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https://d.docs.live.net/8ecfd4e45568b1a8/AAPL - Economics Course/Course materials/A Cash flow model/"/>
    </mc:Choice>
  </mc:AlternateContent>
  <xr:revisionPtr revIDLastSave="104" documentId="8_{FC6A1BB9-8350-47FB-A2D5-F509E08BA535}" xr6:coauthVersionLast="46" xr6:coauthVersionMax="46" xr10:uidLastSave="{573911FD-016A-44C9-A50C-E13D8C7764DA}"/>
  <bookViews>
    <workbookView xWindow="-120" yWindow="480" windowWidth="29040" windowHeight="15840" tabRatio="830" xr2:uid="{483F79EB-5DDE-4F5D-B4E9-E78478CC41B8}"/>
  </bookViews>
  <sheets>
    <sheet name="notes" sheetId="9" r:id="rId1"/>
    <sheet name="assumptions" sheetId="1" r:id="rId2"/>
    <sheet name="output table (1)" sheetId="14" r:id="rId3"/>
    <sheet name="output table (2)" sheetId="15" r:id="rId4"/>
    <sheet name="rate time graph" sheetId="11" r:id="rId5"/>
    <sheet name="cash flow graph" sheetId="12" r:id="rId6"/>
    <sheet name="historical production" sheetId="6" r:id="rId7"/>
    <sheet name="forecast production" sheetId="7" r:id="rId8"/>
    <sheet name="monthly calculations (1)" sheetId="3" r:id="rId9"/>
    <sheet name="monthly calculations (2)" sheetId="13" r:id="rId10"/>
  </sheets>
  <definedNames>
    <definedName name="adval">assumptions!$E$34</definedName>
    <definedName name="as_of">assumptions!$C$7</definedName>
    <definedName name="b_gas">'forecast production'!$E$24</definedName>
    <definedName name="b_gas_new">'forecast production'!$E$31</definedName>
    <definedName name="b_oil">'forecast production'!$D$24</definedName>
    <definedName name="b_oil_new">'forecast production'!$D$31</definedName>
    <definedName name="b_water">'forecast production'!$F$24</definedName>
    <definedName name="b_water_new">'forecast production'!$F$31</definedName>
    <definedName name="capex_new">'forecast production'!$D$5</definedName>
    <definedName name="d_gas">'forecast production'!$E$22</definedName>
    <definedName name="d_gas_new">'forecast production'!$E$29</definedName>
    <definedName name="d_oil">'forecast production'!$D$22</definedName>
    <definedName name="d_oil_new">'forecast production'!$D$29</definedName>
    <definedName name="d_water">'forecast production'!$F$22</definedName>
    <definedName name="d_water_new">'forecast production'!$F$29</definedName>
    <definedName name="daily_base">'forecast production'!$P$7:$S$366</definedName>
    <definedName name="days">'forecast production'!$P$7:$P$534</definedName>
    <definedName name="diff_gas">assumptions!$D$32</definedName>
    <definedName name="diff_oil">assumptions!$D$31</definedName>
    <definedName name="disc_1">assumptions!$C$50</definedName>
    <definedName name="disc_2">assumptions!$D$50</definedName>
    <definedName name="disc_3">assumptions!$E$50</definedName>
    <definedName name="disc_4">assumptions!$F$50</definedName>
    <definedName name="disc_5">assumptions!$G$50</definedName>
    <definedName name="disc_6">assumptions!$H$50</definedName>
    <definedName name="disc_7">assumptions!$I$50</definedName>
    <definedName name="disc_8">assumptions!$J$50</definedName>
    <definedName name="dmin_gas">'forecast production'!$E$23</definedName>
    <definedName name="dmin_gas_new">'forecast production'!$E$30</definedName>
    <definedName name="dmin_oil">'forecast production'!$D$23</definedName>
    <definedName name="dmin_oil_new">'forecast production'!$D$30</definedName>
    <definedName name="dmin_water">'forecast production'!$F$23</definedName>
    <definedName name="dmin_water_new">'forecast production'!$F$30</definedName>
    <definedName name="energy_residue">assumptions!$C$28</definedName>
    <definedName name="fixed_month">assumptions!$C$39</definedName>
    <definedName name="fixed_well">assumptions!$C$40</definedName>
    <definedName name="gas_daily_base">'forecast production'!$R$7:$R$366</definedName>
    <definedName name="gas_daily_new">'forecast production'!$W$7:$W$366</definedName>
    <definedName name="initial_investment">assumptions!$F$39</definedName>
    <definedName name="initial_investment_partner2">assumptions!$F$40</definedName>
    <definedName name="lease_NRI">assumptions!$C$12</definedName>
    <definedName name="mult_capex">assumptions!$C$56</definedName>
    <definedName name="mult_gasprice">assumptions!$C$55</definedName>
    <definedName name="mult_oilprice">assumptions!$C$54</definedName>
    <definedName name="mult_opex">assumptions!$C$57</definedName>
    <definedName name="mult_vol">assumptions!$C$53</definedName>
    <definedName name="NGL_yield">assumptions!$C$20</definedName>
    <definedName name="NRI">assumptions!$C$11</definedName>
    <definedName name="NRI_2">assumptions!$D$11</definedName>
    <definedName name="NRI_2_APO">assumptions!$I$11</definedName>
    <definedName name="NRI_APO">assumptions!$H$11</definedName>
    <definedName name="NRI_current" localSheetId="9">'monthly calculations (2)'!$J$6:$J$365</definedName>
    <definedName name="NRI_current">'monthly calculations (1)'!$J$6:$J$365</definedName>
    <definedName name="oil_daily_base">'forecast production'!$Q$7:$Q$366</definedName>
    <definedName name="oil_daily_new">'forecast production'!$V$7:$V$366</definedName>
    <definedName name="pdiff_gas">assumptions!$C$32</definedName>
    <definedName name="pdiff_ngl">assumptions!$C$33</definedName>
    <definedName name="pdiff_oil">assumptions!$C$31</definedName>
    <definedName name="price_gas">assumptions!$N$10:$N$369</definedName>
    <definedName name="price_ngl">assumptions!$O$10:$O$369</definedName>
    <definedName name="price_oil">assumptions!$M$10:$M$369</definedName>
    <definedName name="_xlnm.Print_Area" localSheetId="1">assumptions!$A$2:$O$55</definedName>
    <definedName name="_xlnm.Print_Area" localSheetId="0">notes!$B$1:$D$42</definedName>
    <definedName name="qi_gas">assumptions!$D$16</definedName>
    <definedName name="qi_gas_new">'forecast production'!$E$7</definedName>
    <definedName name="qi_oil">assumptions!$C$16</definedName>
    <definedName name="qi_oil_new">'forecast production'!$D$7</definedName>
    <definedName name="qi_start">assumptions!$C$15</definedName>
    <definedName name="qi_water">assumptions!$E$16</definedName>
    <definedName name="qi_water_new">'forecast production'!$F$7</definedName>
    <definedName name="qlim_gas">'forecast production'!$E$25</definedName>
    <definedName name="qlim_gas_new">'forecast production'!$E$32</definedName>
    <definedName name="qlim_oil">'forecast production'!$D$25</definedName>
    <definedName name="qlim_oil_new">'forecast production'!$D$32</definedName>
    <definedName name="qlim_water">'forecast production'!$F$25</definedName>
    <definedName name="qlim_water_new">'forecast production'!$F$32</definedName>
    <definedName name="ROI_threshold">assumptions!$F$10</definedName>
    <definedName name="ROR_threshold">assumptions!$F$11</definedName>
    <definedName name="sev_gas">assumptions!$E$32</definedName>
    <definedName name="sev_ngl">assumptions!$E$33</definedName>
    <definedName name="sev_oil">assumptions!$E$31</definedName>
    <definedName name="shrink_leaseuse">assumptions!$C$27</definedName>
    <definedName name="shrink_ngl">assumptions!$C$26</definedName>
    <definedName name="tlim_gas">'forecast production'!$E$26</definedName>
    <definedName name="tlim_gas_new">'forecast production'!$E$33</definedName>
    <definedName name="tlim_oil">'forecast production'!$D$26</definedName>
    <definedName name="tlim_oil_new">'forecast production'!$D$33</definedName>
    <definedName name="tlim_water">'forecast production'!$F$26</definedName>
    <definedName name="tlim_water_new">'forecast production'!$F$33</definedName>
    <definedName name="var_bo">assumptions!$C$41</definedName>
    <definedName name="var_bw">assumptions!$C$43</definedName>
    <definedName name="var_mcf">assumptions!$C$42</definedName>
    <definedName name="vol_leaseuse">assumptions!$D$27</definedName>
    <definedName name="water_daily_base">'forecast production'!$S$7:$S$366</definedName>
    <definedName name="water_daily_new">'forecast production'!$X$7:$X$366</definedName>
    <definedName name="wellcount_base">assumptions!$C$21</definedName>
    <definedName name="WI">assumptions!$C$10</definedName>
    <definedName name="WI_2">assumptions!$D$10</definedName>
    <definedName name="WI_2_APO">assumptions!$I$10</definedName>
    <definedName name="WI_APO">assumptions!$H$10</definedName>
    <definedName name="WI_current_1">'monthly calculations (1)'!$I$6:$I$365</definedName>
    <definedName name="WI_current_2" localSheetId="9">'monthly calculations (2)'!$I$6:$I$365</definedName>
    <definedName name="Z_67117C0F_1B5D_4D89_8B0C_855EE265FFB6_.wvu.Cols" localSheetId="2" hidden="1">'output table (1)'!$F:$F,'output table (1)'!$N:$O,'output table (1)'!$R:$S</definedName>
    <definedName name="Z_67117C0F_1B5D_4D89_8B0C_855EE265FFB6_.wvu.Cols" localSheetId="3" hidden="1">'output table (2)'!$F:$F,'output table (2)'!$N:$O,'output table (2)'!$R:$S</definedName>
    <definedName name="Z_67117C0F_1B5D_4D89_8B0C_855EE265FFB6_.wvu.PrintArea" localSheetId="1" hidden="1">assumptions!$A$2:$O$55</definedName>
    <definedName name="Z_67117C0F_1B5D_4D89_8B0C_855EE265FFB6_.wvu.PrintArea" localSheetId="0" hidden="1">notes!$B$1:$D$42</definedName>
  </definedNames>
  <calcPr calcId="191029" calcMode="autoNoTable"/>
  <customWorkbookViews>
    <customWorkbookView name="Two-pane view" guid="{67117C0F-1B5D-4D89-8B0C-855EE265FFB6}" xWindow="678" yWindow="42" windowWidth="1238" windowHeight="1042" activeSheetId="4"/>
  </customWorkbookViews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365" i="13" l="1"/>
  <c r="Y364" i="13"/>
  <c r="Y363" i="13"/>
  <c r="Y362" i="13"/>
  <c r="Y361" i="13"/>
  <c r="Y360" i="13"/>
  <c r="Y359" i="13"/>
  <c r="Y358" i="13"/>
  <c r="Y357" i="13"/>
  <c r="Y356" i="13"/>
  <c r="Y355" i="13"/>
  <c r="Y354" i="13"/>
  <c r="Y353" i="13"/>
  <c r="Y352" i="13"/>
  <c r="Y351" i="13"/>
  <c r="Y350" i="13"/>
  <c r="Y349" i="13"/>
  <c r="Y348" i="13"/>
  <c r="Y347" i="13"/>
  <c r="Y346" i="13"/>
  <c r="Y345" i="13"/>
  <c r="Y344" i="13"/>
  <c r="Y343" i="13"/>
  <c r="Y342" i="13"/>
  <c r="Y341" i="13"/>
  <c r="Y340" i="13"/>
  <c r="Y339" i="13"/>
  <c r="Y338" i="13"/>
  <c r="Y337" i="13"/>
  <c r="Y336" i="13"/>
  <c r="Y335" i="13"/>
  <c r="Y334" i="13"/>
  <c r="Y333" i="13"/>
  <c r="Y332" i="13"/>
  <c r="Y331" i="13"/>
  <c r="Y330" i="13"/>
  <c r="Y329" i="13"/>
  <c r="Y328" i="13"/>
  <c r="Y327" i="13"/>
  <c r="Y326" i="13"/>
  <c r="Y325" i="13"/>
  <c r="Y324" i="13"/>
  <c r="Y323" i="13"/>
  <c r="Y322" i="13"/>
  <c r="Y321" i="13"/>
  <c r="Y320" i="13"/>
  <c r="Y319" i="13"/>
  <c r="Y318" i="13"/>
  <c r="Y317" i="13"/>
  <c r="Y316" i="13"/>
  <c r="Y315" i="13"/>
  <c r="Y314" i="13"/>
  <c r="Y313" i="13"/>
  <c r="Y312" i="13"/>
  <c r="Y311" i="13"/>
  <c r="Y310" i="13"/>
  <c r="Y309" i="13"/>
  <c r="Y308" i="13"/>
  <c r="Y307" i="13"/>
  <c r="Y306" i="13"/>
  <c r="Y305" i="13"/>
  <c r="Y304" i="13"/>
  <c r="Y303" i="13"/>
  <c r="Y302" i="13"/>
  <c r="Y301" i="13"/>
  <c r="Y300" i="13"/>
  <c r="Y299" i="13"/>
  <c r="Y298" i="13"/>
  <c r="Y297" i="13"/>
  <c r="Y296" i="13"/>
  <c r="Y295" i="13"/>
  <c r="Y294" i="13"/>
  <c r="Y293" i="13"/>
  <c r="Y292" i="13"/>
  <c r="Y291" i="13"/>
  <c r="Y290" i="13"/>
  <c r="Y289" i="13"/>
  <c r="Y288" i="13"/>
  <c r="Y287" i="13"/>
  <c r="Y286" i="13"/>
  <c r="Y285" i="13"/>
  <c r="Y284" i="13"/>
  <c r="Y283" i="13"/>
  <c r="Y282" i="13"/>
  <c r="Y281" i="13"/>
  <c r="Y280" i="13"/>
  <c r="Y279" i="13"/>
  <c r="Y278" i="13"/>
  <c r="Y277" i="13"/>
  <c r="Y276" i="13"/>
  <c r="Y275" i="13"/>
  <c r="Y274" i="13"/>
  <c r="Y273" i="13"/>
  <c r="Y272" i="13"/>
  <c r="Y271" i="13"/>
  <c r="Y270" i="13"/>
  <c r="Y269" i="13"/>
  <c r="Y268" i="13"/>
  <c r="Y267" i="13"/>
  <c r="Y266" i="13"/>
  <c r="Y265" i="13"/>
  <c r="Y264" i="13"/>
  <c r="Y263" i="13"/>
  <c r="Y262" i="13"/>
  <c r="Y261" i="13"/>
  <c r="Y260" i="13"/>
  <c r="Y259" i="13"/>
  <c r="Y258" i="13"/>
  <c r="Y257" i="13"/>
  <c r="Y256" i="13"/>
  <c r="Y255" i="13"/>
  <c r="Y254" i="13"/>
  <c r="Y253" i="13"/>
  <c r="Y252" i="13"/>
  <c r="Y251" i="13"/>
  <c r="Y250" i="13"/>
  <c r="Y249" i="13"/>
  <c r="Y248" i="13"/>
  <c r="Y247" i="13"/>
  <c r="Y246" i="13"/>
  <c r="Y245" i="13"/>
  <c r="Y244" i="13"/>
  <c r="Y243" i="13"/>
  <c r="Y242" i="13"/>
  <c r="Y241" i="13"/>
  <c r="Y240" i="13"/>
  <c r="Y239" i="13"/>
  <c r="Y238" i="13"/>
  <c r="Y237" i="13"/>
  <c r="Y236" i="13"/>
  <c r="Y235" i="13"/>
  <c r="Y234" i="13"/>
  <c r="Y233" i="13"/>
  <c r="Y232" i="13"/>
  <c r="Y231" i="13"/>
  <c r="Y230" i="13"/>
  <c r="Y229" i="13"/>
  <c r="Y228" i="13"/>
  <c r="Y227" i="13"/>
  <c r="Y226" i="13"/>
  <c r="Y225" i="13"/>
  <c r="Y224" i="13"/>
  <c r="Y223" i="13"/>
  <c r="Y222" i="13"/>
  <c r="Y221" i="13"/>
  <c r="Y220" i="13"/>
  <c r="Y219" i="13"/>
  <c r="Y218" i="13"/>
  <c r="Y217" i="13"/>
  <c r="Y216" i="13"/>
  <c r="Y215" i="13"/>
  <c r="Y214" i="13"/>
  <c r="Y213" i="13"/>
  <c r="Y212" i="13"/>
  <c r="Y211" i="13"/>
  <c r="Y210" i="13"/>
  <c r="Y209" i="13"/>
  <c r="Y208" i="13"/>
  <c r="Y207" i="13"/>
  <c r="Y206" i="13"/>
  <c r="Y205" i="13"/>
  <c r="Y204" i="13"/>
  <c r="Y203" i="13"/>
  <c r="Y202" i="13"/>
  <c r="Y201" i="13"/>
  <c r="Y200" i="13"/>
  <c r="Y199" i="13"/>
  <c r="Y198" i="13"/>
  <c r="Y197" i="13"/>
  <c r="Y196" i="13"/>
  <c r="Y195" i="13"/>
  <c r="Y194" i="13"/>
  <c r="Y193" i="13"/>
  <c r="Y192" i="13"/>
  <c r="Y191" i="13"/>
  <c r="Y190" i="13"/>
  <c r="Y189" i="13"/>
  <c r="Y188" i="13"/>
  <c r="Y187" i="13"/>
  <c r="Y186" i="13"/>
  <c r="Y185" i="13"/>
  <c r="Y184" i="13"/>
  <c r="Y183" i="13"/>
  <c r="Y182" i="13"/>
  <c r="Y181" i="13"/>
  <c r="Y180" i="13"/>
  <c r="Y179" i="13"/>
  <c r="Y178" i="13"/>
  <c r="Y177" i="13"/>
  <c r="Y176" i="13"/>
  <c r="Y175" i="13"/>
  <c r="Y174" i="13"/>
  <c r="Y173" i="13"/>
  <c r="Y172" i="13"/>
  <c r="Y171" i="13"/>
  <c r="Y170" i="13"/>
  <c r="Y169" i="13"/>
  <c r="Y168" i="13"/>
  <c r="Y167" i="13"/>
  <c r="Y166" i="13"/>
  <c r="Y165" i="13"/>
  <c r="Y164" i="13"/>
  <c r="Y163" i="13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50" i="13"/>
  <c r="Y149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H19" i="1"/>
  <c r="H15" i="1"/>
  <c r="H10" i="1"/>
  <c r="H11" i="1" s="1"/>
  <c r="Y365" i="3" l="1"/>
  <c r="Y364" i="3"/>
  <c r="Y363" i="3"/>
  <c r="Y362" i="3"/>
  <c r="Y361" i="3"/>
  <c r="Y360" i="3"/>
  <c r="Y359" i="3"/>
  <c r="Y358" i="3"/>
  <c r="Y357" i="3"/>
  <c r="Y356" i="3"/>
  <c r="Y355" i="3"/>
  <c r="Y354" i="3"/>
  <c r="Y353" i="3"/>
  <c r="Y352" i="3"/>
  <c r="Y351" i="3"/>
  <c r="Y350" i="3"/>
  <c r="Y349" i="3"/>
  <c r="Y348" i="3"/>
  <c r="Y347" i="3"/>
  <c r="Y346" i="3"/>
  <c r="Y345" i="3"/>
  <c r="Y344" i="3"/>
  <c r="Y343" i="3"/>
  <c r="Y342" i="3"/>
  <c r="Y341" i="3"/>
  <c r="Y340" i="3"/>
  <c r="Y339" i="3"/>
  <c r="Y338" i="3"/>
  <c r="Y337" i="3"/>
  <c r="Y336" i="3"/>
  <c r="Y335" i="3"/>
  <c r="Y334" i="3"/>
  <c r="Y333" i="3"/>
  <c r="Y332" i="3"/>
  <c r="Y331" i="3"/>
  <c r="Y330" i="3"/>
  <c r="Y329" i="3"/>
  <c r="Y328" i="3"/>
  <c r="Y327" i="3"/>
  <c r="Y326" i="3"/>
  <c r="Y325" i="3"/>
  <c r="Y324" i="3"/>
  <c r="Y323" i="3"/>
  <c r="Y322" i="3"/>
  <c r="Y321" i="3"/>
  <c r="Y320" i="3"/>
  <c r="Y319" i="3"/>
  <c r="Y318" i="3"/>
  <c r="Y317" i="3"/>
  <c r="Y316" i="3"/>
  <c r="Y315" i="3"/>
  <c r="Y314" i="3"/>
  <c r="Y313" i="3"/>
  <c r="Y312" i="3"/>
  <c r="Y311" i="3"/>
  <c r="Y310" i="3"/>
  <c r="Y309" i="3"/>
  <c r="Y308" i="3"/>
  <c r="Y307" i="3"/>
  <c r="Y306" i="3"/>
  <c r="Y305" i="3"/>
  <c r="Y304" i="3"/>
  <c r="Y303" i="3"/>
  <c r="Y302" i="3"/>
  <c r="Y301" i="3"/>
  <c r="Y300" i="3"/>
  <c r="Y299" i="3"/>
  <c r="Y298" i="3"/>
  <c r="Y297" i="3"/>
  <c r="Y296" i="3"/>
  <c r="Y295" i="3"/>
  <c r="Y294" i="3"/>
  <c r="Y293" i="3"/>
  <c r="Y292" i="3"/>
  <c r="Y291" i="3"/>
  <c r="Y290" i="3"/>
  <c r="Y289" i="3"/>
  <c r="Y288" i="3"/>
  <c r="Y287" i="3"/>
  <c r="Y286" i="3"/>
  <c r="Y285" i="3"/>
  <c r="Y284" i="3"/>
  <c r="Y283" i="3"/>
  <c r="Y282" i="3"/>
  <c r="Y281" i="3"/>
  <c r="Y280" i="3"/>
  <c r="Y279" i="3"/>
  <c r="Y278" i="3"/>
  <c r="Y277" i="3"/>
  <c r="Y276" i="3"/>
  <c r="Y275" i="3"/>
  <c r="Y274" i="3"/>
  <c r="Y273" i="3"/>
  <c r="Y272" i="3"/>
  <c r="Y271" i="3"/>
  <c r="Y270" i="3"/>
  <c r="Y269" i="3"/>
  <c r="Y268" i="3"/>
  <c r="Y267" i="3"/>
  <c r="Y266" i="3"/>
  <c r="Y265" i="3"/>
  <c r="Y264" i="3"/>
  <c r="Y263" i="3"/>
  <c r="Y262" i="3"/>
  <c r="Y261" i="3"/>
  <c r="Y260" i="3"/>
  <c r="Y259" i="3"/>
  <c r="Y258" i="3"/>
  <c r="Y257" i="3"/>
  <c r="Y256" i="3"/>
  <c r="Y255" i="3"/>
  <c r="Y254" i="3"/>
  <c r="Y253" i="3"/>
  <c r="Y252" i="3"/>
  <c r="Y251" i="3"/>
  <c r="Y250" i="3"/>
  <c r="Y249" i="3"/>
  <c r="Y248" i="3"/>
  <c r="Y247" i="3"/>
  <c r="Y246" i="3"/>
  <c r="Y245" i="3"/>
  <c r="Y244" i="3"/>
  <c r="Y243" i="3"/>
  <c r="Y242" i="3"/>
  <c r="Y241" i="3"/>
  <c r="Y240" i="3"/>
  <c r="Y239" i="3"/>
  <c r="Y238" i="3"/>
  <c r="Y237" i="3"/>
  <c r="Y236" i="3"/>
  <c r="Y235" i="3"/>
  <c r="Y234" i="3"/>
  <c r="Y233" i="3"/>
  <c r="Y232" i="3"/>
  <c r="Y231" i="3"/>
  <c r="Y230" i="3"/>
  <c r="Y229" i="3"/>
  <c r="Y228" i="3"/>
  <c r="Y227" i="3"/>
  <c r="Y226" i="3"/>
  <c r="Y225" i="3"/>
  <c r="Y224" i="3"/>
  <c r="Y223" i="3"/>
  <c r="Y222" i="3"/>
  <c r="Y221" i="3"/>
  <c r="Y220" i="3"/>
  <c r="Y219" i="3"/>
  <c r="Y218" i="3"/>
  <c r="Y217" i="3"/>
  <c r="Y216" i="3"/>
  <c r="Y215" i="3"/>
  <c r="Y214" i="3"/>
  <c r="Y213" i="3"/>
  <c r="Y212" i="3"/>
  <c r="Y211" i="3"/>
  <c r="Y210" i="3"/>
  <c r="Y209" i="3"/>
  <c r="Y208" i="3"/>
  <c r="Y207" i="3"/>
  <c r="Y206" i="3"/>
  <c r="Y205" i="3"/>
  <c r="Y204" i="3"/>
  <c r="Y203" i="3"/>
  <c r="Y202" i="3"/>
  <c r="Y201" i="3"/>
  <c r="Y200" i="3"/>
  <c r="Y199" i="3"/>
  <c r="Y198" i="3"/>
  <c r="Y197" i="3"/>
  <c r="Y196" i="3"/>
  <c r="Y195" i="3"/>
  <c r="Y194" i="3"/>
  <c r="Y193" i="3"/>
  <c r="Y192" i="3"/>
  <c r="Y191" i="3"/>
  <c r="Y190" i="3"/>
  <c r="Y189" i="3"/>
  <c r="Y188" i="3"/>
  <c r="Y187" i="3"/>
  <c r="Y186" i="3"/>
  <c r="Y185" i="3"/>
  <c r="Y184" i="3"/>
  <c r="Y183" i="3"/>
  <c r="Y182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Y6" i="3"/>
  <c r="H16" i="1"/>
  <c r="X46" i="15" l="1"/>
  <c r="X46" i="14"/>
  <c r="F33" i="7"/>
  <c r="E33" i="7"/>
  <c r="AF6" i="13" l="1"/>
  <c r="AF6" i="3"/>
  <c r="J366" i="7" l="1"/>
  <c r="C21" i="1"/>
  <c r="D6" i="3" s="1"/>
  <c r="Z6" i="3" s="1"/>
  <c r="J365" i="7"/>
  <c r="J364" i="7"/>
  <c r="J363" i="7"/>
  <c r="J362" i="7"/>
  <c r="J361" i="7"/>
  <c r="J358" i="7"/>
  <c r="J359" i="7"/>
  <c r="J360" i="7"/>
  <c r="J357" i="7"/>
  <c r="J356" i="7"/>
  <c r="J355" i="7"/>
  <c r="J354" i="7"/>
  <c r="J353" i="7"/>
  <c r="J352" i="7"/>
  <c r="J351" i="7"/>
  <c r="J350" i="7"/>
  <c r="J349" i="7"/>
  <c r="J347" i="7"/>
  <c r="J348" i="7"/>
  <c r="J345" i="7"/>
  <c r="J346" i="7"/>
  <c r="J344" i="7"/>
  <c r="J343" i="7"/>
  <c r="J342" i="7"/>
  <c r="J341" i="7"/>
  <c r="J340" i="7"/>
  <c r="J339" i="7"/>
  <c r="J338" i="7"/>
  <c r="J337" i="7"/>
  <c r="J335" i="7"/>
  <c r="J336" i="7"/>
  <c r="J334" i="7"/>
  <c r="J332" i="7"/>
  <c r="J333" i="7"/>
  <c r="J331" i="7"/>
  <c r="J330" i="7"/>
  <c r="J329" i="7"/>
  <c r="J328" i="7"/>
  <c r="J327" i="7"/>
  <c r="J326" i="7"/>
  <c r="J325" i="7"/>
  <c r="J323" i="7"/>
  <c r="J324" i="7"/>
  <c r="J322" i="7"/>
  <c r="J321" i="7"/>
  <c r="J319" i="7"/>
  <c r="J320" i="7"/>
  <c r="J318" i="7"/>
  <c r="J317" i="7"/>
  <c r="J316" i="7"/>
  <c r="J315" i="7"/>
  <c r="J314" i="7"/>
  <c r="J313" i="7"/>
  <c r="J311" i="7"/>
  <c r="J312" i="7"/>
  <c r="J310" i="7"/>
  <c r="J309" i="7"/>
  <c r="J308" i="7"/>
  <c r="J306" i="7"/>
  <c r="J307" i="7"/>
  <c r="J305" i="7"/>
  <c r="J304" i="7"/>
  <c r="J303" i="7"/>
  <c r="J302" i="7"/>
  <c r="J301" i="7"/>
  <c r="J299" i="7"/>
  <c r="J300" i="7"/>
  <c r="J298" i="7"/>
  <c r="J297" i="7"/>
  <c r="J296" i="7"/>
  <c r="J295" i="7"/>
  <c r="J293" i="7"/>
  <c r="J294" i="7"/>
  <c r="J292" i="7"/>
  <c r="J291" i="7"/>
  <c r="J290" i="7"/>
  <c r="J289" i="7"/>
  <c r="J287" i="7"/>
  <c r="J288" i="7"/>
  <c r="J286" i="7"/>
  <c r="J285" i="7"/>
  <c r="J284" i="7"/>
  <c r="J283" i="7"/>
  <c r="J282" i="7"/>
  <c r="J280" i="7"/>
  <c r="J281" i="7"/>
  <c r="J279" i="7"/>
  <c r="J278" i="7"/>
  <c r="J277" i="7"/>
  <c r="J275" i="7"/>
  <c r="J276" i="7"/>
  <c r="J274" i="7"/>
  <c r="J273" i="7"/>
  <c r="J272" i="7"/>
  <c r="J271" i="7"/>
  <c r="J270" i="7"/>
  <c r="J269" i="7"/>
  <c r="J267" i="7"/>
  <c r="J268" i="7"/>
  <c r="J266" i="7"/>
  <c r="J265" i="7"/>
  <c r="J263" i="7"/>
  <c r="J264" i="7"/>
  <c r="J262" i="7"/>
  <c r="J261" i="7"/>
  <c r="J260" i="7"/>
  <c r="J259" i="7"/>
  <c r="J258" i="7"/>
  <c r="J257" i="7"/>
  <c r="J256" i="7"/>
  <c r="J254" i="7"/>
  <c r="J255" i="7"/>
  <c r="J253" i="7"/>
  <c r="J251" i="7"/>
  <c r="J252" i="7"/>
  <c r="J250" i="7"/>
  <c r="J249" i="7"/>
  <c r="J248" i="7"/>
  <c r="J247" i="7"/>
  <c r="J246" i="7"/>
  <c r="J245" i="7"/>
  <c r="J244" i="7"/>
  <c r="J243" i="7"/>
  <c r="J241" i="7"/>
  <c r="J242" i="7"/>
  <c r="J239" i="7"/>
  <c r="J240" i="7"/>
  <c r="J238" i="7"/>
  <c r="J237" i="7"/>
  <c r="J236" i="7"/>
  <c r="J235" i="7"/>
  <c r="J234" i="7"/>
  <c r="J233" i="7"/>
  <c r="J232" i="7"/>
  <c r="J231" i="7"/>
  <c r="J230" i="7"/>
  <c r="J227" i="7"/>
  <c r="J228" i="7"/>
  <c r="J229" i="7"/>
  <c r="J226" i="7"/>
  <c r="J225" i="7"/>
  <c r="J224" i="7"/>
  <c r="J223" i="7"/>
  <c r="J222" i="7"/>
  <c r="J221" i="7"/>
  <c r="J220" i="7"/>
  <c r="J219" i="7"/>
  <c r="J218" i="7"/>
  <c r="J217" i="7"/>
  <c r="J215" i="7"/>
  <c r="J216" i="7"/>
  <c r="J214" i="7"/>
  <c r="J213" i="7"/>
  <c r="J212" i="7"/>
  <c r="J211" i="7"/>
  <c r="J210" i="7"/>
  <c r="J209" i="7"/>
  <c r="J208" i="7"/>
  <c r="J207" i="7"/>
  <c r="J206" i="7"/>
  <c r="J205" i="7"/>
  <c r="J202" i="7"/>
  <c r="J203" i="7"/>
  <c r="J204" i="7"/>
  <c r="J201" i="7"/>
  <c r="J200" i="7"/>
  <c r="J199" i="7"/>
  <c r="J198" i="7"/>
  <c r="J197" i="7"/>
  <c r="J196" i="7"/>
  <c r="J195" i="7"/>
  <c r="J194" i="7"/>
  <c r="J193" i="7"/>
  <c r="J191" i="7"/>
  <c r="J192" i="7"/>
  <c r="J189" i="7"/>
  <c r="J190" i="7"/>
  <c r="J188" i="7"/>
  <c r="J187" i="7"/>
  <c r="J186" i="7"/>
  <c r="J185" i="7"/>
  <c r="J184" i="7"/>
  <c r="J183" i="7"/>
  <c r="J182" i="7"/>
  <c r="J181" i="7"/>
  <c r="J179" i="7"/>
  <c r="J180" i="7"/>
  <c r="J178" i="7"/>
  <c r="J176" i="7"/>
  <c r="J177" i="7"/>
  <c r="J175" i="7"/>
  <c r="J174" i="7"/>
  <c r="J173" i="7"/>
  <c r="J172" i="7"/>
  <c r="J171" i="7"/>
  <c r="J170" i="7"/>
  <c r="J169" i="7"/>
  <c r="J167" i="7"/>
  <c r="J168" i="7"/>
  <c r="J166" i="7"/>
  <c r="J165" i="7"/>
  <c r="J163" i="7"/>
  <c r="J164" i="7"/>
  <c r="J162" i="7"/>
  <c r="J161" i="7"/>
  <c r="J160" i="7"/>
  <c r="J159" i="7"/>
  <c r="J158" i="7"/>
  <c r="J157" i="7"/>
  <c r="J155" i="7"/>
  <c r="J156" i="7"/>
  <c r="J154" i="7"/>
  <c r="J153" i="7"/>
  <c r="J152" i="7"/>
  <c r="J150" i="7"/>
  <c r="J151" i="7"/>
  <c r="J149" i="7"/>
  <c r="J148" i="7"/>
  <c r="J147" i="7"/>
  <c r="J146" i="7"/>
  <c r="J145" i="7"/>
  <c r="J143" i="7"/>
  <c r="J144" i="7"/>
  <c r="J142" i="7"/>
  <c r="J141" i="7"/>
  <c r="J140" i="7"/>
  <c r="J139" i="7"/>
  <c r="J137" i="7"/>
  <c r="J138" i="7"/>
  <c r="J136" i="7"/>
  <c r="J135" i="7"/>
  <c r="J134" i="7"/>
  <c r="J133" i="7"/>
  <c r="J131" i="7"/>
  <c r="J132" i="7"/>
  <c r="J130" i="7"/>
  <c r="J129" i="7"/>
  <c r="J128" i="7"/>
  <c r="J127" i="7"/>
  <c r="J126" i="7"/>
  <c r="J124" i="7"/>
  <c r="J125" i="7"/>
  <c r="J123" i="7"/>
  <c r="J122" i="7"/>
  <c r="J121" i="7"/>
  <c r="J119" i="7"/>
  <c r="J120" i="7"/>
  <c r="J118" i="7"/>
  <c r="J117" i="7"/>
  <c r="J116" i="7"/>
  <c r="J115" i="7"/>
  <c r="J114" i="7"/>
  <c r="J113" i="7"/>
  <c r="J111" i="7"/>
  <c r="J112" i="7"/>
  <c r="J110" i="7"/>
  <c r="J109" i="7"/>
  <c r="J107" i="7"/>
  <c r="J108" i="7"/>
  <c r="J106" i="7"/>
  <c r="J105" i="7"/>
  <c r="J104" i="7"/>
  <c r="J103" i="7"/>
  <c r="J102" i="7"/>
  <c r="J101" i="7"/>
  <c r="J100" i="7"/>
  <c r="J98" i="7"/>
  <c r="J99" i="7"/>
  <c r="J97" i="7"/>
  <c r="J95" i="7"/>
  <c r="J96" i="7"/>
  <c r="J94" i="7"/>
  <c r="J93" i="7"/>
  <c r="J92" i="7"/>
  <c r="J91" i="7"/>
  <c r="J90" i="7"/>
  <c r="J89" i="7"/>
  <c r="J88" i="7"/>
  <c r="J87" i="7"/>
  <c r="J85" i="7"/>
  <c r="J86" i="7"/>
  <c r="J83" i="7"/>
  <c r="J84" i="7"/>
  <c r="J82" i="7"/>
  <c r="J81" i="7"/>
  <c r="J80" i="7"/>
  <c r="J79" i="7"/>
  <c r="J78" i="7"/>
  <c r="J77" i="7"/>
  <c r="J76" i="7"/>
  <c r="J75" i="7"/>
  <c r="J74" i="7"/>
  <c r="J71" i="7"/>
  <c r="J72" i="7"/>
  <c r="J73" i="7"/>
  <c r="J70" i="7"/>
  <c r="J69" i="7"/>
  <c r="J68" i="7"/>
  <c r="J67" i="7"/>
  <c r="J66" i="7"/>
  <c r="J65" i="7"/>
  <c r="J64" i="7"/>
  <c r="J63" i="7"/>
  <c r="J62" i="7"/>
  <c r="J61" i="7"/>
  <c r="J59" i="7"/>
  <c r="J60" i="7"/>
  <c r="J58" i="7"/>
  <c r="J57" i="7"/>
  <c r="J56" i="7"/>
  <c r="J55" i="7"/>
  <c r="J54" i="7"/>
  <c r="J53" i="7"/>
  <c r="J52" i="7"/>
  <c r="J51" i="7"/>
  <c r="J50" i="7"/>
  <c r="J49" i="7"/>
  <c r="J46" i="7"/>
  <c r="J47" i="7"/>
  <c r="J48" i="7"/>
  <c r="J45" i="7"/>
  <c r="J44" i="7"/>
  <c r="J43" i="7"/>
  <c r="J42" i="7"/>
  <c r="J41" i="7"/>
  <c r="J40" i="7"/>
  <c r="J39" i="7"/>
  <c r="J38" i="7"/>
  <c r="J37" i="7"/>
  <c r="J35" i="7"/>
  <c r="J36" i="7"/>
  <c r="J33" i="7"/>
  <c r="J34" i="7"/>
  <c r="J32" i="7"/>
  <c r="J31" i="7"/>
  <c r="J30" i="7"/>
  <c r="J29" i="7"/>
  <c r="J28" i="7"/>
  <c r="J27" i="7"/>
  <c r="J26" i="7"/>
  <c r="J25" i="7"/>
  <c r="J23" i="7"/>
  <c r="J24" i="7"/>
  <c r="J22" i="7"/>
  <c r="J20" i="7"/>
  <c r="J21" i="7"/>
  <c r="J19" i="7"/>
  <c r="J18" i="7"/>
  <c r="J17" i="7"/>
  <c r="J16" i="7"/>
  <c r="J15" i="7"/>
  <c r="J14" i="7"/>
  <c r="J13" i="7"/>
  <c r="J12" i="7"/>
  <c r="J11" i="7"/>
  <c r="J10" i="7"/>
  <c r="J9" i="7"/>
  <c r="J7" i="7"/>
  <c r="J8" i="7"/>
  <c r="D30" i="7"/>
  <c r="D29" i="7"/>
  <c r="D31" i="7"/>
  <c r="H7" i="7"/>
  <c r="O7" i="7"/>
  <c r="O8" i="7" s="1"/>
  <c r="O9" i="7" s="1"/>
  <c r="D23" i="7"/>
  <c r="D22" i="7"/>
  <c r="D24" i="7"/>
  <c r="D44" i="14" s="1"/>
  <c r="E30" i="7"/>
  <c r="E32" i="7" s="1"/>
  <c r="W7" i="7" s="1"/>
  <c r="E29" i="7"/>
  <c r="E31" i="7"/>
  <c r="E23" i="7"/>
  <c r="E22" i="7"/>
  <c r="E24" i="7"/>
  <c r="E44" i="14" s="1"/>
  <c r="F23" i="7"/>
  <c r="F22" i="7"/>
  <c r="F24" i="7"/>
  <c r="F30" i="7"/>
  <c r="F29" i="7"/>
  <c r="F31" i="7"/>
  <c r="J6" i="3"/>
  <c r="O6" i="3"/>
  <c r="R6" i="3" s="1"/>
  <c r="P6" i="3"/>
  <c r="S6" i="3" s="1"/>
  <c r="I6" i="3"/>
  <c r="J7" i="3"/>
  <c r="I7" i="3"/>
  <c r="B6" i="3"/>
  <c r="B7" i="3" s="1"/>
  <c r="C7" i="3" s="1"/>
  <c r="C63" i="1"/>
  <c r="I11" i="1"/>
  <c r="H18" i="1" s="1"/>
  <c r="O6" i="13"/>
  <c r="R6" i="13" s="1"/>
  <c r="P6" i="13"/>
  <c r="S6" i="13" s="1"/>
  <c r="I6" i="13"/>
  <c r="AG6" i="13" s="1"/>
  <c r="I7" i="13"/>
  <c r="AG7" i="13" s="1"/>
  <c r="B6" i="13"/>
  <c r="C6" i="13" s="1"/>
  <c r="B7" i="13"/>
  <c r="AF7" i="13" s="1"/>
  <c r="I10" i="1"/>
  <c r="I45" i="15" s="1"/>
  <c r="W40" i="15"/>
  <c r="I42" i="15"/>
  <c r="I41" i="15"/>
  <c r="B8" i="15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AH6" i="13"/>
  <c r="Y4" i="14"/>
  <c r="X45" i="15"/>
  <c r="Q46" i="15"/>
  <c r="M46" i="15"/>
  <c r="X44" i="15"/>
  <c r="Q45" i="15"/>
  <c r="M45" i="15"/>
  <c r="E45" i="15"/>
  <c r="D45" i="15"/>
  <c r="X43" i="15"/>
  <c r="Q44" i="15"/>
  <c r="K44" i="15"/>
  <c r="E44" i="15"/>
  <c r="X42" i="15"/>
  <c r="Q43" i="15"/>
  <c r="L43" i="15"/>
  <c r="K43" i="15"/>
  <c r="E43" i="15"/>
  <c r="D43" i="15"/>
  <c r="X41" i="15"/>
  <c r="Q42" i="15"/>
  <c r="M42" i="15"/>
  <c r="L42" i="15"/>
  <c r="K42" i="15"/>
  <c r="E42" i="15"/>
  <c r="D42" i="15"/>
  <c r="X40" i="15"/>
  <c r="X38" i="15"/>
  <c r="Y3" i="15"/>
  <c r="Y2" i="15"/>
  <c r="B3" i="15"/>
  <c r="Y1" i="15"/>
  <c r="Y4" i="15"/>
  <c r="B1" i="15"/>
  <c r="I45" i="14"/>
  <c r="H9" i="1"/>
  <c r="I9" i="1"/>
  <c r="X45" i="14"/>
  <c r="Q46" i="14"/>
  <c r="M46" i="14"/>
  <c r="X44" i="14"/>
  <c r="Q45" i="14"/>
  <c r="M45" i="14"/>
  <c r="E45" i="14"/>
  <c r="D45" i="14"/>
  <c r="X43" i="14"/>
  <c r="Q44" i="14"/>
  <c r="K44" i="14"/>
  <c r="X42" i="14"/>
  <c r="Q43" i="14"/>
  <c r="L43" i="14"/>
  <c r="K43" i="14"/>
  <c r="I42" i="14"/>
  <c r="E43" i="14"/>
  <c r="D43" i="14"/>
  <c r="X41" i="14"/>
  <c r="Q42" i="14"/>
  <c r="M42" i="14"/>
  <c r="L42" i="14"/>
  <c r="K42" i="14"/>
  <c r="I41" i="14"/>
  <c r="E42" i="14"/>
  <c r="D42" i="14"/>
  <c r="X40" i="14"/>
  <c r="B8" i="14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X38" i="14"/>
  <c r="Y3" i="14"/>
  <c r="B3" i="14"/>
  <c r="Y2" i="14"/>
  <c r="Y1" i="14"/>
  <c r="B1" i="14"/>
  <c r="AE366" i="13"/>
  <c r="O10" i="1"/>
  <c r="Q6" i="13" s="1"/>
  <c r="AP5" i="13"/>
  <c r="K45" i="1"/>
  <c r="K46" i="1"/>
  <c r="K47" i="1"/>
  <c r="K44" i="1"/>
  <c r="K40" i="1"/>
  <c r="M11" i="1"/>
  <c r="M12" i="1" s="1"/>
  <c r="O12" i="1" s="1"/>
  <c r="Q8" i="13" s="1"/>
  <c r="N11" i="1"/>
  <c r="N12" i="1" s="1"/>
  <c r="AP5" i="3"/>
  <c r="L365" i="6"/>
  <c r="K365" i="6"/>
  <c r="J365" i="6"/>
  <c r="M365" i="6" s="1"/>
  <c r="I365" i="6"/>
  <c r="L364" i="6"/>
  <c r="K364" i="6"/>
  <c r="J364" i="6"/>
  <c r="M364" i="6" s="1"/>
  <c r="I364" i="6"/>
  <c r="L363" i="6"/>
  <c r="K363" i="6"/>
  <c r="J363" i="6"/>
  <c r="M363" i="6" s="1"/>
  <c r="I363" i="6"/>
  <c r="L362" i="6"/>
  <c r="K362" i="6"/>
  <c r="J362" i="6"/>
  <c r="M362" i="6" s="1"/>
  <c r="I362" i="6"/>
  <c r="L361" i="6"/>
  <c r="K361" i="6"/>
  <c r="J361" i="6"/>
  <c r="M361" i="6" s="1"/>
  <c r="I361" i="6"/>
  <c r="L360" i="6"/>
  <c r="K360" i="6"/>
  <c r="J360" i="6"/>
  <c r="M360" i="6" s="1"/>
  <c r="I360" i="6"/>
  <c r="L359" i="6"/>
  <c r="K359" i="6"/>
  <c r="J359" i="6"/>
  <c r="M359" i="6" s="1"/>
  <c r="I359" i="6"/>
  <c r="L358" i="6"/>
  <c r="K358" i="6"/>
  <c r="J358" i="6"/>
  <c r="M358" i="6" s="1"/>
  <c r="I358" i="6"/>
  <c r="L357" i="6"/>
  <c r="K357" i="6"/>
  <c r="J357" i="6"/>
  <c r="M357" i="6" s="1"/>
  <c r="I357" i="6"/>
  <c r="L356" i="6"/>
  <c r="K356" i="6"/>
  <c r="J356" i="6"/>
  <c r="M356" i="6" s="1"/>
  <c r="I356" i="6"/>
  <c r="L355" i="6"/>
  <c r="K355" i="6"/>
  <c r="J355" i="6"/>
  <c r="M355" i="6" s="1"/>
  <c r="I355" i="6"/>
  <c r="L354" i="6"/>
  <c r="K354" i="6"/>
  <c r="J354" i="6"/>
  <c r="M354" i="6" s="1"/>
  <c r="I354" i="6"/>
  <c r="L353" i="6"/>
  <c r="K353" i="6"/>
  <c r="J353" i="6"/>
  <c r="M353" i="6" s="1"/>
  <c r="I353" i="6"/>
  <c r="L352" i="6"/>
  <c r="K352" i="6"/>
  <c r="J352" i="6"/>
  <c r="M352" i="6" s="1"/>
  <c r="I352" i="6"/>
  <c r="L351" i="6"/>
  <c r="K351" i="6"/>
  <c r="J351" i="6"/>
  <c r="M351" i="6" s="1"/>
  <c r="I351" i="6"/>
  <c r="L350" i="6"/>
  <c r="K350" i="6"/>
  <c r="J350" i="6"/>
  <c r="M350" i="6" s="1"/>
  <c r="I350" i="6"/>
  <c r="L349" i="6"/>
  <c r="K349" i="6"/>
  <c r="J349" i="6"/>
  <c r="M349" i="6" s="1"/>
  <c r="I349" i="6"/>
  <c r="L348" i="6"/>
  <c r="K348" i="6"/>
  <c r="J348" i="6"/>
  <c r="M348" i="6" s="1"/>
  <c r="I348" i="6"/>
  <c r="L347" i="6"/>
  <c r="K347" i="6"/>
  <c r="J347" i="6"/>
  <c r="M347" i="6" s="1"/>
  <c r="I347" i="6"/>
  <c r="L346" i="6"/>
  <c r="K346" i="6"/>
  <c r="J346" i="6"/>
  <c r="M346" i="6" s="1"/>
  <c r="I346" i="6"/>
  <c r="L345" i="6"/>
  <c r="K345" i="6"/>
  <c r="J345" i="6"/>
  <c r="M345" i="6" s="1"/>
  <c r="I345" i="6"/>
  <c r="L344" i="6"/>
  <c r="K344" i="6"/>
  <c r="J344" i="6"/>
  <c r="M344" i="6" s="1"/>
  <c r="I344" i="6"/>
  <c r="L343" i="6"/>
  <c r="K343" i="6"/>
  <c r="J343" i="6"/>
  <c r="M343" i="6" s="1"/>
  <c r="I343" i="6"/>
  <c r="L342" i="6"/>
  <c r="K342" i="6"/>
  <c r="J342" i="6"/>
  <c r="M342" i="6" s="1"/>
  <c r="I342" i="6"/>
  <c r="L341" i="6"/>
  <c r="K341" i="6"/>
  <c r="J341" i="6"/>
  <c r="M341" i="6" s="1"/>
  <c r="I341" i="6"/>
  <c r="L340" i="6"/>
  <c r="K340" i="6"/>
  <c r="J340" i="6"/>
  <c r="M340" i="6" s="1"/>
  <c r="I340" i="6"/>
  <c r="L339" i="6"/>
  <c r="K339" i="6"/>
  <c r="J339" i="6"/>
  <c r="M339" i="6" s="1"/>
  <c r="I339" i="6"/>
  <c r="L338" i="6"/>
  <c r="K338" i="6"/>
  <c r="J338" i="6"/>
  <c r="M338" i="6" s="1"/>
  <c r="I338" i="6"/>
  <c r="L337" i="6"/>
  <c r="K337" i="6"/>
  <c r="J337" i="6"/>
  <c r="M337" i="6" s="1"/>
  <c r="I337" i="6"/>
  <c r="L336" i="6"/>
  <c r="K336" i="6"/>
  <c r="J336" i="6"/>
  <c r="M336" i="6" s="1"/>
  <c r="I336" i="6"/>
  <c r="L335" i="6"/>
  <c r="K335" i="6"/>
  <c r="J335" i="6"/>
  <c r="M335" i="6" s="1"/>
  <c r="I335" i="6"/>
  <c r="L334" i="6"/>
  <c r="K334" i="6"/>
  <c r="J334" i="6"/>
  <c r="M334" i="6" s="1"/>
  <c r="I334" i="6"/>
  <c r="L333" i="6"/>
  <c r="K333" i="6"/>
  <c r="J333" i="6"/>
  <c r="M333" i="6" s="1"/>
  <c r="I333" i="6"/>
  <c r="L332" i="6"/>
  <c r="K332" i="6"/>
  <c r="J332" i="6"/>
  <c r="M332" i="6" s="1"/>
  <c r="I332" i="6"/>
  <c r="L331" i="6"/>
  <c r="K331" i="6"/>
  <c r="J331" i="6"/>
  <c r="M331" i="6" s="1"/>
  <c r="I331" i="6"/>
  <c r="L330" i="6"/>
  <c r="K330" i="6"/>
  <c r="J330" i="6"/>
  <c r="M330" i="6" s="1"/>
  <c r="I330" i="6"/>
  <c r="L329" i="6"/>
  <c r="K329" i="6"/>
  <c r="J329" i="6"/>
  <c r="M329" i="6" s="1"/>
  <c r="I329" i="6"/>
  <c r="L328" i="6"/>
  <c r="K328" i="6"/>
  <c r="J328" i="6"/>
  <c r="M328" i="6" s="1"/>
  <c r="I328" i="6"/>
  <c r="L327" i="6"/>
  <c r="K327" i="6"/>
  <c r="J327" i="6"/>
  <c r="M327" i="6" s="1"/>
  <c r="I327" i="6"/>
  <c r="L326" i="6"/>
  <c r="K326" i="6"/>
  <c r="J326" i="6"/>
  <c r="M326" i="6" s="1"/>
  <c r="I326" i="6"/>
  <c r="L325" i="6"/>
  <c r="K325" i="6"/>
  <c r="J325" i="6"/>
  <c r="M325" i="6" s="1"/>
  <c r="I325" i="6"/>
  <c r="L324" i="6"/>
  <c r="K324" i="6"/>
  <c r="J324" i="6"/>
  <c r="M324" i="6" s="1"/>
  <c r="I324" i="6"/>
  <c r="L323" i="6"/>
  <c r="K323" i="6"/>
  <c r="J323" i="6"/>
  <c r="M323" i="6" s="1"/>
  <c r="I323" i="6"/>
  <c r="L322" i="6"/>
  <c r="K322" i="6"/>
  <c r="J322" i="6"/>
  <c r="M322" i="6" s="1"/>
  <c r="I322" i="6"/>
  <c r="L321" i="6"/>
  <c r="K321" i="6"/>
  <c r="J321" i="6"/>
  <c r="M321" i="6" s="1"/>
  <c r="I321" i="6"/>
  <c r="L320" i="6"/>
  <c r="K320" i="6"/>
  <c r="J320" i="6"/>
  <c r="M320" i="6" s="1"/>
  <c r="I320" i="6"/>
  <c r="L319" i="6"/>
  <c r="K319" i="6"/>
  <c r="J319" i="6"/>
  <c r="M319" i="6" s="1"/>
  <c r="I319" i="6"/>
  <c r="L318" i="6"/>
  <c r="K318" i="6"/>
  <c r="J318" i="6"/>
  <c r="M318" i="6" s="1"/>
  <c r="I318" i="6"/>
  <c r="L317" i="6"/>
  <c r="K317" i="6"/>
  <c r="J317" i="6"/>
  <c r="M317" i="6" s="1"/>
  <c r="I317" i="6"/>
  <c r="L316" i="6"/>
  <c r="K316" i="6"/>
  <c r="J316" i="6"/>
  <c r="M316" i="6" s="1"/>
  <c r="I316" i="6"/>
  <c r="L315" i="6"/>
  <c r="K315" i="6"/>
  <c r="J315" i="6"/>
  <c r="M315" i="6" s="1"/>
  <c r="I315" i="6"/>
  <c r="L314" i="6"/>
  <c r="K314" i="6"/>
  <c r="J314" i="6"/>
  <c r="M314" i="6" s="1"/>
  <c r="I314" i="6"/>
  <c r="L313" i="6"/>
  <c r="K313" i="6"/>
  <c r="J313" i="6"/>
  <c r="M313" i="6" s="1"/>
  <c r="I313" i="6"/>
  <c r="L312" i="6"/>
  <c r="K312" i="6"/>
  <c r="J312" i="6"/>
  <c r="M312" i="6" s="1"/>
  <c r="I312" i="6"/>
  <c r="L311" i="6"/>
  <c r="K311" i="6"/>
  <c r="J311" i="6"/>
  <c r="M311" i="6" s="1"/>
  <c r="I311" i="6"/>
  <c r="L310" i="6"/>
  <c r="K310" i="6"/>
  <c r="J310" i="6"/>
  <c r="M310" i="6" s="1"/>
  <c r="I310" i="6"/>
  <c r="L309" i="6"/>
  <c r="K309" i="6"/>
  <c r="J309" i="6"/>
  <c r="M309" i="6" s="1"/>
  <c r="I309" i="6"/>
  <c r="L308" i="6"/>
  <c r="K308" i="6"/>
  <c r="J308" i="6"/>
  <c r="M308" i="6" s="1"/>
  <c r="I308" i="6"/>
  <c r="L307" i="6"/>
  <c r="K307" i="6"/>
  <c r="J307" i="6"/>
  <c r="M307" i="6" s="1"/>
  <c r="I307" i="6"/>
  <c r="L306" i="6"/>
  <c r="K306" i="6"/>
  <c r="J306" i="6"/>
  <c r="M306" i="6" s="1"/>
  <c r="I306" i="6"/>
  <c r="L305" i="6"/>
  <c r="K305" i="6"/>
  <c r="J305" i="6"/>
  <c r="M305" i="6" s="1"/>
  <c r="I305" i="6"/>
  <c r="L304" i="6"/>
  <c r="K304" i="6"/>
  <c r="J304" i="6"/>
  <c r="M304" i="6" s="1"/>
  <c r="I304" i="6"/>
  <c r="L303" i="6"/>
  <c r="K303" i="6"/>
  <c r="J303" i="6"/>
  <c r="M303" i="6" s="1"/>
  <c r="I303" i="6"/>
  <c r="L302" i="6"/>
  <c r="K302" i="6"/>
  <c r="J302" i="6"/>
  <c r="M302" i="6" s="1"/>
  <c r="I302" i="6"/>
  <c r="L301" i="6"/>
  <c r="K301" i="6"/>
  <c r="J301" i="6"/>
  <c r="M301" i="6" s="1"/>
  <c r="I301" i="6"/>
  <c r="L300" i="6"/>
  <c r="K300" i="6"/>
  <c r="J300" i="6"/>
  <c r="M300" i="6" s="1"/>
  <c r="I300" i="6"/>
  <c r="L299" i="6"/>
  <c r="K299" i="6"/>
  <c r="J299" i="6"/>
  <c r="M299" i="6" s="1"/>
  <c r="I299" i="6"/>
  <c r="L298" i="6"/>
  <c r="K298" i="6"/>
  <c r="J298" i="6"/>
  <c r="M298" i="6" s="1"/>
  <c r="I298" i="6"/>
  <c r="L297" i="6"/>
  <c r="K297" i="6"/>
  <c r="J297" i="6"/>
  <c r="M297" i="6" s="1"/>
  <c r="I297" i="6"/>
  <c r="L296" i="6"/>
  <c r="K296" i="6"/>
  <c r="J296" i="6"/>
  <c r="M296" i="6" s="1"/>
  <c r="I296" i="6"/>
  <c r="L295" i="6"/>
  <c r="K295" i="6"/>
  <c r="J295" i="6"/>
  <c r="M295" i="6" s="1"/>
  <c r="I295" i="6"/>
  <c r="L294" i="6"/>
  <c r="K294" i="6"/>
  <c r="J294" i="6"/>
  <c r="M294" i="6" s="1"/>
  <c r="I294" i="6"/>
  <c r="L293" i="6"/>
  <c r="K293" i="6"/>
  <c r="J293" i="6"/>
  <c r="M293" i="6" s="1"/>
  <c r="I293" i="6"/>
  <c r="L292" i="6"/>
  <c r="K292" i="6"/>
  <c r="J292" i="6"/>
  <c r="M292" i="6" s="1"/>
  <c r="I292" i="6"/>
  <c r="L291" i="6"/>
  <c r="K291" i="6"/>
  <c r="J291" i="6"/>
  <c r="M291" i="6" s="1"/>
  <c r="I291" i="6"/>
  <c r="L290" i="6"/>
  <c r="K290" i="6"/>
  <c r="J290" i="6"/>
  <c r="M290" i="6" s="1"/>
  <c r="I290" i="6"/>
  <c r="L289" i="6"/>
  <c r="K289" i="6"/>
  <c r="J289" i="6"/>
  <c r="M289" i="6" s="1"/>
  <c r="I289" i="6"/>
  <c r="L288" i="6"/>
  <c r="K288" i="6"/>
  <c r="J288" i="6"/>
  <c r="M288" i="6" s="1"/>
  <c r="I288" i="6"/>
  <c r="L287" i="6"/>
  <c r="K287" i="6"/>
  <c r="J287" i="6"/>
  <c r="M287" i="6" s="1"/>
  <c r="I287" i="6"/>
  <c r="L286" i="6"/>
  <c r="K286" i="6"/>
  <c r="J286" i="6"/>
  <c r="M286" i="6" s="1"/>
  <c r="I286" i="6"/>
  <c r="L285" i="6"/>
  <c r="K285" i="6"/>
  <c r="J285" i="6"/>
  <c r="M285" i="6" s="1"/>
  <c r="I285" i="6"/>
  <c r="L284" i="6"/>
  <c r="K284" i="6"/>
  <c r="J284" i="6"/>
  <c r="M284" i="6" s="1"/>
  <c r="I284" i="6"/>
  <c r="L283" i="6"/>
  <c r="K283" i="6"/>
  <c r="J283" i="6"/>
  <c r="M283" i="6" s="1"/>
  <c r="I283" i="6"/>
  <c r="L282" i="6"/>
  <c r="K282" i="6"/>
  <c r="J282" i="6"/>
  <c r="M282" i="6" s="1"/>
  <c r="I282" i="6"/>
  <c r="L281" i="6"/>
  <c r="K281" i="6"/>
  <c r="J281" i="6"/>
  <c r="M281" i="6" s="1"/>
  <c r="I281" i="6"/>
  <c r="L280" i="6"/>
  <c r="K280" i="6"/>
  <c r="J280" i="6"/>
  <c r="M280" i="6" s="1"/>
  <c r="I280" i="6"/>
  <c r="L279" i="6"/>
  <c r="K279" i="6"/>
  <c r="J279" i="6"/>
  <c r="M279" i="6" s="1"/>
  <c r="I279" i="6"/>
  <c r="L278" i="6"/>
  <c r="K278" i="6"/>
  <c r="J278" i="6"/>
  <c r="M278" i="6" s="1"/>
  <c r="I278" i="6"/>
  <c r="L277" i="6"/>
  <c r="K277" i="6"/>
  <c r="J277" i="6"/>
  <c r="M277" i="6" s="1"/>
  <c r="I277" i="6"/>
  <c r="L276" i="6"/>
  <c r="K276" i="6"/>
  <c r="J276" i="6"/>
  <c r="M276" i="6" s="1"/>
  <c r="I276" i="6"/>
  <c r="L275" i="6"/>
  <c r="K275" i="6"/>
  <c r="J275" i="6"/>
  <c r="M275" i="6" s="1"/>
  <c r="I275" i="6"/>
  <c r="L274" i="6"/>
  <c r="K274" i="6"/>
  <c r="J274" i="6"/>
  <c r="M274" i="6" s="1"/>
  <c r="I274" i="6"/>
  <c r="L273" i="6"/>
  <c r="K273" i="6"/>
  <c r="J273" i="6"/>
  <c r="M273" i="6" s="1"/>
  <c r="I273" i="6"/>
  <c r="L272" i="6"/>
  <c r="K272" i="6"/>
  <c r="J272" i="6"/>
  <c r="M272" i="6" s="1"/>
  <c r="I272" i="6"/>
  <c r="L271" i="6"/>
  <c r="K271" i="6"/>
  <c r="J271" i="6"/>
  <c r="M271" i="6" s="1"/>
  <c r="I271" i="6"/>
  <c r="L270" i="6"/>
  <c r="K270" i="6"/>
  <c r="J270" i="6"/>
  <c r="M270" i="6" s="1"/>
  <c r="I270" i="6"/>
  <c r="L269" i="6"/>
  <c r="K269" i="6"/>
  <c r="J269" i="6"/>
  <c r="M269" i="6" s="1"/>
  <c r="I269" i="6"/>
  <c r="L268" i="6"/>
  <c r="K268" i="6"/>
  <c r="J268" i="6"/>
  <c r="M268" i="6" s="1"/>
  <c r="I268" i="6"/>
  <c r="L267" i="6"/>
  <c r="K267" i="6"/>
  <c r="J267" i="6"/>
  <c r="M267" i="6" s="1"/>
  <c r="I267" i="6"/>
  <c r="L266" i="6"/>
  <c r="K266" i="6"/>
  <c r="J266" i="6"/>
  <c r="M266" i="6" s="1"/>
  <c r="I266" i="6"/>
  <c r="L265" i="6"/>
  <c r="K265" i="6"/>
  <c r="J265" i="6"/>
  <c r="M265" i="6" s="1"/>
  <c r="I265" i="6"/>
  <c r="L264" i="6"/>
  <c r="K264" i="6"/>
  <c r="J264" i="6"/>
  <c r="M264" i="6" s="1"/>
  <c r="I264" i="6"/>
  <c r="L263" i="6"/>
  <c r="K263" i="6"/>
  <c r="J263" i="6"/>
  <c r="M263" i="6" s="1"/>
  <c r="I263" i="6"/>
  <c r="L262" i="6"/>
  <c r="K262" i="6"/>
  <c r="J262" i="6"/>
  <c r="M262" i="6" s="1"/>
  <c r="I262" i="6"/>
  <c r="L261" i="6"/>
  <c r="K261" i="6"/>
  <c r="J261" i="6"/>
  <c r="M261" i="6" s="1"/>
  <c r="I261" i="6"/>
  <c r="L260" i="6"/>
  <c r="K260" i="6"/>
  <c r="J260" i="6"/>
  <c r="M260" i="6" s="1"/>
  <c r="I260" i="6"/>
  <c r="L259" i="6"/>
  <c r="K259" i="6"/>
  <c r="J259" i="6"/>
  <c r="M259" i="6" s="1"/>
  <c r="I259" i="6"/>
  <c r="L258" i="6"/>
  <c r="K258" i="6"/>
  <c r="J258" i="6"/>
  <c r="M258" i="6" s="1"/>
  <c r="I258" i="6"/>
  <c r="L257" i="6"/>
  <c r="K257" i="6"/>
  <c r="J257" i="6"/>
  <c r="M257" i="6" s="1"/>
  <c r="I257" i="6"/>
  <c r="L256" i="6"/>
  <c r="K256" i="6"/>
  <c r="J256" i="6"/>
  <c r="M256" i="6" s="1"/>
  <c r="I256" i="6"/>
  <c r="L255" i="6"/>
  <c r="K255" i="6"/>
  <c r="J255" i="6"/>
  <c r="M255" i="6" s="1"/>
  <c r="I255" i="6"/>
  <c r="L254" i="6"/>
  <c r="K254" i="6"/>
  <c r="J254" i="6"/>
  <c r="M254" i="6" s="1"/>
  <c r="I254" i="6"/>
  <c r="L253" i="6"/>
  <c r="K253" i="6"/>
  <c r="J253" i="6"/>
  <c r="M253" i="6" s="1"/>
  <c r="I253" i="6"/>
  <c r="L252" i="6"/>
  <c r="K252" i="6"/>
  <c r="J252" i="6"/>
  <c r="M252" i="6" s="1"/>
  <c r="I252" i="6"/>
  <c r="L251" i="6"/>
  <c r="K251" i="6"/>
  <c r="J251" i="6"/>
  <c r="M251" i="6" s="1"/>
  <c r="I251" i="6"/>
  <c r="L250" i="6"/>
  <c r="K250" i="6"/>
  <c r="J250" i="6"/>
  <c r="M250" i="6" s="1"/>
  <c r="I250" i="6"/>
  <c r="L249" i="6"/>
  <c r="K249" i="6"/>
  <c r="J249" i="6"/>
  <c r="M249" i="6" s="1"/>
  <c r="I249" i="6"/>
  <c r="L248" i="6"/>
  <c r="K248" i="6"/>
  <c r="J248" i="6"/>
  <c r="M248" i="6" s="1"/>
  <c r="I248" i="6"/>
  <c r="L247" i="6"/>
  <c r="K247" i="6"/>
  <c r="J247" i="6"/>
  <c r="M247" i="6" s="1"/>
  <c r="I247" i="6"/>
  <c r="L246" i="6"/>
  <c r="K246" i="6"/>
  <c r="J246" i="6"/>
  <c r="M246" i="6" s="1"/>
  <c r="I246" i="6"/>
  <c r="L245" i="6"/>
  <c r="K245" i="6"/>
  <c r="J245" i="6"/>
  <c r="M245" i="6" s="1"/>
  <c r="I245" i="6"/>
  <c r="L244" i="6"/>
  <c r="K244" i="6"/>
  <c r="J244" i="6"/>
  <c r="M244" i="6" s="1"/>
  <c r="I244" i="6"/>
  <c r="L243" i="6"/>
  <c r="K243" i="6"/>
  <c r="J243" i="6"/>
  <c r="M243" i="6" s="1"/>
  <c r="I243" i="6"/>
  <c r="L242" i="6"/>
  <c r="K242" i="6"/>
  <c r="J242" i="6"/>
  <c r="M242" i="6" s="1"/>
  <c r="I242" i="6"/>
  <c r="L241" i="6"/>
  <c r="K241" i="6"/>
  <c r="J241" i="6"/>
  <c r="M241" i="6" s="1"/>
  <c r="I241" i="6"/>
  <c r="L240" i="6"/>
  <c r="K240" i="6"/>
  <c r="J240" i="6"/>
  <c r="M240" i="6" s="1"/>
  <c r="I240" i="6"/>
  <c r="L239" i="6"/>
  <c r="K239" i="6"/>
  <c r="J239" i="6"/>
  <c r="M239" i="6" s="1"/>
  <c r="I239" i="6"/>
  <c r="L238" i="6"/>
  <c r="K238" i="6"/>
  <c r="J238" i="6"/>
  <c r="M238" i="6" s="1"/>
  <c r="I238" i="6"/>
  <c r="L237" i="6"/>
  <c r="K237" i="6"/>
  <c r="J237" i="6"/>
  <c r="M237" i="6" s="1"/>
  <c r="I237" i="6"/>
  <c r="L236" i="6"/>
  <c r="K236" i="6"/>
  <c r="J236" i="6"/>
  <c r="M236" i="6" s="1"/>
  <c r="I236" i="6"/>
  <c r="L235" i="6"/>
  <c r="K235" i="6"/>
  <c r="J235" i="6"/>
  <c r="M235" i="6" s="1"/>
  <c r="I235" i="6"/>
  <c r="L234" i="6"/>
  <c r="K234" i="6"/>
  <c r="J234" i="6"/>
  <c r="I234" i="6"/>
  <c r="L233" i="6"/>
  <c r="K233" i="6"/>
  <c r="J233" i="6"/>
  <c r="M233" i="6" s="1"/>
  <c r="I233" i="6"/>
  <c r="L232" i="6"/>
  <c r="K232" i="6"/>
  <c r="J232" i="6"/>
  <c r="M232" i="6" s="1"/>
  <c r="I232" i="6"/>
  <c r="L231" i="6"/>
  <c r="K231" i="6"/>
  <c r="J231" i="6"/>
  <c r="M231" i="6" s="1"/>
  <c r="I231" i="6"/>
  <c r="L230" i="6"/>
  <c r="K230" i="6"/>
  <c r="J230" i="6"/>
  <c r="M230" i="6" s="1"/>
  <c r="I230" i="6"/>
  <c r="L229" i="6"/>
  <c r="K229" i="6"/>
  <c r="J229" i="6"/>
  <c r="M229" i="6" s="1"/>
  <c r="I229" i="6"/>
  <c r="L228" i="6"/>
  <c r="K228" i="6"/>
  <c r="J228" i="6"/>
  <c r="I228" i="6"/>
  <c r="L227" i="6"/>
  <c r="K227" i="6"/>
  <c r="J227" i="6"/>
  <c r="M227" i="6" s="1"/>
  <c r="I227" i="6"/>
  <c r="L226" i="6"/>
  <c r="K226" i="6"/>
  <c r="J226" i="6"/>
  <c r="M226" i="6" s="1"/>
  <c r="I226" i="6"/>
  <c r="L225" i="6"/>
  <c r="K225" i="6"/>
  <c r="J225" i="6"/>
  <c r="M225" i="6" s="1"/>
  <c r="I225" i="6"/>
  <c r="L224" i="6"/>
  <c r="K224" i="6"/>
  <c r="J224" i="6"/>
  <c r="M224" i="6" s="1"/>
  <c r="I224" i="6"/>
  <c r="L223" i="6"/>
  <c r="K223" i="6"/>
  <c r="J223" i="6"/>
  <c r="M223" i="6" s="1"/>
  <c r="I223" i="6"/>
  <c r="L222" i="6"/>
  <c r="K222" i="6"/>
  <c r="J222" i="6"/>
  <c r="M222" i="6" s="1"/>
  <c r="I222" i="6"/>
  <c r="L221" i="6"/>
  <c r="K221" i="6"/>
  <c r="J221" i="6"/>
  <c r="M221" i="6" s="1"/>
  <c r="I221" i="6"/>
  <c r="L220" i="6"/>
  <c r="K220" i="6"/>
  <c r="J220" i="6"/>
  <c r="I220" i="6"/>
  <c r="L219" i="6"/>
  <c r="K219" i="6"/>
  <c r="J219" i="6"/>
  <c r="M219" i="6" s="1"/>
  <c r="I219" i="6"/>
  <c r="L218" i="6"/>
  <c r="K218" i="6"/>
  <c r="J218" i="6"/>
  <c r="M218" i="6" s="1"/>
  <c r="I218" i="6"/>
  <c r="L217" i="6"/>
  <c r="K217" i="6"/>
  <c r="J217" i="6"/>
  <c r="M217" i="6" s="1"/>
  <c r="I217" i="6"/>
  <c r="L216" i="6"/>
  <c r="K216" i="6"/>
  <c r="J216" i="6"/>
  <c r="M216" i="6" s="1"/>
  <c r="I216" i="6"/>
  <c r="L215" i="6"/>
  <c r="K215" i="6"/>
  <c r="J215" i="6"/>
  <c r="M215" i="6" s="1"/>
  <c r="I215" i="6"/>
  <c r="L214" i="6"/>
  <c r="K214" i="6"/>
  <c r="J214" i="6"/>
  <c r="M214" i="6" s="1"/>
  <c r="I214" i="6"/>
  <c r="L213" i="6"/>
  <c r="K213" i="6"/>
  <c r="J213" i="6"/>
  <c r="M213" i="6" s="1"/>
  <c r="I213" i="6"/>
  <c r="L212" i="6"/>
  <c r="K212" i="6"/>
  <c r="J212" i="6"/>
  <c r="M212" i="6" s="1"/>
  <c r="I212" i="6"/>
  <c r="L211" i="6"/>
  <c r="K211" i="6"/>
  <c r="J211" i="6"/>
  <c r="I211" i="6"/>
  <c r="L210" i="6"/>
  <c r="K210" i="6"/>
  <c r="J210" i="6"/>
  <c r="M210" i="6" s="1"/>
  <c r="I210" i="6"/>
  <c r="L209" i="6"/>
  <c r="K209" i="6"/>
  <c r="J209" i="6"/>
  <c r="M209" i="6" s="1"/>
  <c r="I209" i="6"/>
  <c r="L208" i="6"/>
  <c r="K208" i="6"/>
  <c r="J208" i="6"/>
  <c r="M208" i="6" s="1"/>
  <c r="I208" i="6"/>
  <c r="L207" i="6"/>
  <c r="K207" i="6"/>
  <c r="J207" i="6"/>
  <c r="M207" i="6" s="1"/>
  <c r="I207" i="6"/>
  <c r="L206" i="6"/>
  <c r="K206" i="6"/>
  <c r="J206" i="6"/>
  <c r="M206" i="6" s="1"/>
  <c r="I206" i="6"/>
  <c r="L205" i="6"/>
  <c r="K205" i="6"/>
  <c r="J205" i="6"/>
  <c r="M205" i="6" s="1"/>
  <c r="I205" i="6"/>
  <c r="L204" i="6"/>
  <c r="K204" i="6"/>
  <c r="J204" i="6"/>
  <c r="M204" i="6" s="1"/>
  <c r="I204" i="6"/>
  <c r="L203" i="6"/>
  <c r="K203" i="6"/>
  <c r="J203" i="6"/>
  <c r="M203" i="6" s="1"/>
  <c r="I203" i="6"/>
  <c r="L202" i="6"/>
  <c r="K202" i="6"/>
  <c r="J202" i="6"/>
  <c r="M202" i="6" s="1"/>
  <c r="I202" i="6"/>
  <c r="L201" i="6"/>
  <c r="K201" i="6"/>
  <c r="J201" i="6"/>
  <c r="M201" i="6" s="1"/>
  <c r="I201" i="6"/>
  <c r="L200" i="6"/>
  <c r="K200" i="6"/>
  <c r="J200" i="6"/>
  <c r="M200" i="6" s="1"/>
  <c r="I200" i="6"/>
  <c r="L199" i="6"/>
  <c r="K199" i="6"/>
  <c r="J199" i="6"/>
  <c r="I199" i="6"/>
  <c r="L198" i="6"/>
  <c r="K198" i="6"/>
  <c r="J198" i="6"/>
  <c r="M198" i="6" s="1"/>
  <c r="I198" i="6"/>
  <c r="L197" i="6"/>
  <c r="K197" i="6"/>
  <c r="J197" i="6"/>
  <c r="M197" i="6" s="1"/>
  <c r="I197" i="6"/>
  <c r="L196" i="6"/>
  <c r="K196" i="6"/>
  <c r="J196" i="6"/>
  <c r="M196" i="6" s="1"/>
  <c r="I196" i="6"/>
  <c r="L195" i="6"/>
  <c r="K195" i="6"/>
  <c r="J195" i="6"/>
  <c r="M195" i="6" s="1"/>
  <c r="I195" i="6"/>
  <c r="L194" i="6"/>
  <c r="K194" i="6"/>
  <c r="J194" i="6"/>
  <c r="M194" i="6" s="1"/>
  <c r="I194" i="6"/>
  <c r="L193" i="6"/>
  <c r="K193" i="6"/>
  <c r="J193" i="6"/>
  <c r="M193" i="6" s="1"/>
  <c r="I193" i="6"/>
  <c r="L192" i="6"/>
  <c r="K192" i="6"/>
  <c r="J192" i="6"/>
  <c r="M192" i="6" s="1"/>
  <c r="I192" i="6"/>
  <c r="L191" i="6"/>
  <c r="K191" i="6"/>
  <c r="J191" i="6"/>
  <c r="M191" i="6" s="1"/>
  <c r="I191" i="6"/>
  <c r="L190" i="6"/>
  <c r="K190" i="6"/>
  <c r="J190" i="6"/>
  <c r="M190" i="6" s="1"/>
  <c r="I190" i="6"/>
  <c r="L189" i="6"/>
  <c r="K189" i="6"/>
  <c r="J189" i="6"/>
  <c r="M189" i="6" s="1"/>
  <c r="I189" i="6"/>
  <c r="L188" i="6"/>
  <c r="K188" i="6"/>
  <c r="J188" i="6"/>
  <c r="M188" i="6" s="1"/>
  <c r="I188" i="6"/>
  <c r="L187" i="6"/>
  <c r="K187" i="6"/>
  <c r="J187" i="6"/>
  <c r="M187" i="6" s="1"/>
  <c r="I187" i="6"/>
  <c r="L186" i="6"/>
  <c r="K186" i="6"/>
  <c r="J186" i="6"/>
  <c r="M186" i="6" s="1"/>
  <c r="I186" i="6"/>
  <c r="L185" i="6"/>
  <c r="K185" i="6"/>
  <c r="J185" i="6"/>
  <c r="M185" i="6" s="1"/>
  <c r="I185" i="6"/>
  <c r="L184" i="6"/>
  <c r="K184" i="6"/>
  <c r="J184" i="6"/>
  <c r="M184" i="6" s="1"/>
  <c r="I184" i="6"/>
  <c r="L183" i="6"/>
  <c r="K183" i="6"/>
  <c r="J183" i="6"/>
  <c r="I183" i="6"/>
  <c r="L182" i="6"/>
  <c r="K182" i="6"/>
  <c r="J182" i="6"/>
  <c r="M182" i="6" s="1"/>
  <c r="I182" i="6"/>
  <c r="L181" i="6"/>
  <c r="K181" i="6"/>
  <c r="J181" i="6"/>
  <c r="M181" i="6" s="1"/>
  <c r="I181" i="6"/>
  <c r="L180" i="6"/>
  <c r="K180" i="6"/>
  <c r="J180" i="6"/>
  <c r="M180" i="6" s="1"/>
  <c r="I180" i="6"/>
  <c r="L179" i="6"/>
  <c r="K179" i="6"/>
  <c r="J179" i="6"/>
  <c r="M179" i="6" s="1"/>
  <c r="I179" i="6"/>
  <c r="L178" i="6"/>
  <c r="K178" i="6"/>
  <c r="J178" i="6"/>
  <c r="M178" i="6" s="1"/>
  <c r="I178" i="6"/>
  <c r="L177" i="6"/>
  <c r="K177" i="6"/>
  <c r="J177" i="6"/>
  <c r="M177" i="6" s="1"/>
  <c r="I177" i="6"/>
  <c r="L176" i="6"/>
  <c r="K176" i="6"/>
  <c r="J176" i="6"/>
  <c r="M176" i="6" s="1"/>
  <c r="I176" i="6"/>
  <c r="L175" i="6"/>
  <c r="K175" i="6"/>
  <c r="J175" i="6"/>
  <c r="M175" i="6" s="1"/>
  <c r="I175" i="6"/>
  <c r="L174" i="6"/>
  <c r="K174" i="6"/>
  <c r="J174" i="6"/>
  <c r="M174" i="6" s="1"/>
  <c r="I174" i="6"/>
  <c r="L173" i="6"/>
  <c r="K173" i="6"/>
  <c r="J173" i="6"/>
  <c r="M173" i="6" s="1"/>
  <c r="I173" i="6"/>
  <c r="L172" i="6"/>
  <c r="K172" i="6"/>
  <c r="J172" i="6"/>
  <c r="M172" i="6" s="1"/>
  <c r="I172" i="6"/>
  <c r="L171" i="6"/>
  <c r="K171" i="6"/>
  <c r="J171" i="6"/>
  <c r="M171" i="6" s="1"/>
  <c r="I171" i="6"/>
  <c r="L170" i="6"/>
  <c r="K170" i="6"/>
  <c r="J170" i="6"/>
  <c r="M170" i="6" s="1"/>
  <c r="I170" i="6"/>
  <c r="L169" i="6"/>
  <c r="K169" i="6"/>
  <c r="J169" i="6"/>
  <c r="M169" i="6" s="1"/>
  <c r="I169" i="6"/>
  <c r="L168" i="6"/>
  <c r="K168" i="6"/>
  <c r="J168" i="6"/>
  <c r="M168" i="6" s="1"/>
  <c r="I168" i="6"/>
  <c r="L167" i="6"/>
  <c r="K167" i="6"/>
  <c r="J167" i="6"/>
  <c r="I167" i="6"/>
  <c r="L166" i="6"/>
  <c r="K166" i="6"/>
  <c r="J166" i="6"/>
  <c r="I166" i="6"/>
  <c r="L165" i="6"/>
  <c r="K165" i="6"/>
  <c r="J165" i="6"/>
  <c r="I165" i="6"/>
  <c r="L164" i="6"/>
  <c r="K164" i="6"/>
  <c r="J164" i="6"/>
  <c r="I164" i="6"/>
  <c r="L163" i="6"/>
  <c r="K163" i="6"/>
  <c r="J163" i="6"/>
  <c r="I163" i="6"/>
  <c r="L162" i="6"/>
  <c r="K162" i="6"/>
  <c r="J162" i="6"/>
  <c r="I162" i="6"/>
  <c r="L161" i="6"/>
  <c r="K161" i="6"/>
  <c r="J161" i="6"/>
  <c r="I161" i="6"/>
  <c r="L160" i="6"/>
  <c r="K160" i="6"/>
  <c r="J160" i="6"/>
  <c r="I160" i="6"/>
  <c r="L159" i="6"/>
  <c r="K159" i="6"/>
  <c r="J159" i="6"/>
  <c r="I159" i="6"/>
  <c r="L158" i="6"/>
  <c r="K158" i="6"/>
  <c r="J158" i="6"/>
  <c r="I158" i="6"/>
  <c r="L157" i="6"/>
  <c r="K157" i="6"/>
  <c r="J157" i="6"/>
  <c r="I157" i="6"/>
  <c r="L156" i="6"/>
  <c r="K156" i="6"/>
  <c r="J156" i="6"/>
  <c r="I156" i="6"/>
  <c r="L155" i="6"/>
  <c r="K155" i="6"/>
  <c r="J155" i="6"/>
  <c r="I155" i="6"/>
  <c r="L154" i="6"/>
  <c r="K154" i="6"/>
  <c r="J154" i="6"/>
  <c r="I154" i="6"/>
  <c r="L153" i="6"/>
  <c r="K153" i="6"/>
  <c r="J153" i="6"/>
  <c r="I153" i="6"/>
  <c r="L152" i="6"/>
  <c r="K152" i="6"/>
  <c r="J152" i="6"/>
  <c r="I152" i="6"/>
  <c r="L151" i="6"/>
  <c r="K151" i="6"/>
  <c r="J151" i="6"/>
  <c r="I151" i="6"/>
  <c r="L150" i="6"/>
  <c r="K150" i="6"/>
  <c r="J150" i="6"/>
  <c r="I150" i="6"/>
  <c r="L149" i="6"/>
  <c r="K149" i="6"/>
  <c r="J149" i="6"/>
  <c r="I149" i="6"/>
  <c r="L148" i="6"/>
  <c r="K148" i="6"/>
  <c r="J148" i="6"/>
  <c r="I148" i="6"/>
  <c r="L147" i="6"/>
  <c r="K147" i="6"/>
  <c r="J147" i="6"/>
  <c r="I147" i="6"/>
  <c r="L146" i="6"/>
  <c r="K146" i="6"/>
  <c r="J146" i="6"/>
  <c r="I146" i="6"/>
  <c r="L145" i="6"/>
  <c r="K145" i="6"/>
  <c r="J145" i="6"/>
  <c r="I145" i="6"/>
  <c r="L144" i="6"/>
  <c r="K144" i="6"/>
  <c r="J144" i="6"/>
  <c r="I144" i="6"/>
  <c r="L143" i="6"/>
  <c r="K143" i="6"/>
  <c r="J143" i="6"/>
  <c r="I143" i="6"/>
  <c r="L142" i="6"/>
  <c r="K142" i="6"/>
  <c r="J142" i="6"/>
  <c r="I142" i="6"/>
  <c r="L141" i="6"/>
  <c r="K141" i="6"/>
  <c r="J141" i="6"/>
  <c r="I141" i="6"/>
  <c r="L140" i="6"/>
  <c r="K140" i="6"/>
  <c r="J140" i="6"/>
  <c r="I140" i="6"/>
  <c r="L139" i="6"/>
  <c r="K139" i="6"/>
  <c r="J139" i="6"/>
  <c r="I139" i="6"/>
  <c r="L138" i="6"/>
  <c r="K138" i="6"/>
  <c r="J138" i="6"/>
  <c r="I138" i="6"/>
  <c r="L137" i="6"/>
  <c r="K137" i="6"/>
  <c r="J137" i="6"/>
  <c r="I137" i="6"/>
  <c r="L136" i="6"/>
  <c r="K136" i="6"/>
  <c r="J136" i="6"/>
  <c r="I136" i="6"/>
  <c r="L135" i="6"/>
  <c r="K135" i="6"/>
  <c r="J135" i="6"/>
  <c r="I135" i="6"/>
  <c r="L134" i="6"/>
  <c r="K134" i="6"/>
  <c r="J134" i="6"/>
  <c r="I134" i="6"/>
  <c r="L133" i="6"/>
  <c r="K133" i="6"/>
  <c r="J133" i="6"/>
  <c r="I133" i="6"/>
  <c r="L132" i="6"/>
  <c r="K132" i="6"/>
  <c r="J132" i="6"/>
  <c r="I132" i="6"/>
  <c r="L131" i="6"/>
  <c r="K131" i="6"/>
  <c r="J131" i="6"/>
  <c r="I131" i="6"/>
  <c r="L130" i="6"/>
  <c r="K130" i="6"/>
  <c r="J130" i="6"/>
  <c r="I130" i="6"/>
  <c r="L129" i="6"/>
  <c r="K129" i="6"/>
  <c r="J129" i="6"/>
  <c r="I129" i="6"/>
  <c r="L128" i="6"/>
  <c r="K128" i="6"/>
  <c r="J128" i="6"/>
  <c r="I128" i="6"/>
  <c r="L127" i="6"/>
  <c r="K127" i="6"/>
  <c r="J127" i="6"/>
  <c r="I127" i="6"/>
  <c r="L126" i="6"/>
  <c r="K126" i="6"/>
  <c r="J126" i="6"/>
  <c r="I126" i="6"/>
  <c r="L125" i="6"/>
  <c r="K125" i="6"/>
  <c r="J125" i="6"/>
  <c r="I125" i="6"/>
  <c r="L124" i="6"/>
  <c r="K124" i="6"/>
  <c r="J124" i="6"/>
  <c r="I124" i="6"/>
  <c r="L123" i="6"/>
  <c r="K123" i="6"/>
  <c r="J123" i="6"/>
  <c r="I123" i="6"/>
  <c r="L122" i="6"/>
  <c r="K122" i="6"/>
  <c r="J122" i="6"/>
  <c r="I122" i="6"/>
  <c r="L121" i="6"/>
  <c r="K121" i="6"/>
  <c r="J121" i="6"/>
  <c r="I121" i="6"/>
  <c r="L120" i="6"/>
  <c r="K120" i="6"/>
  <c r="J120" i="6"/>
  <c r="I120" i="6"/>
  <c r="L119" i="6"/>
  <c r="K119" i="6"/>
  <c r="J119" i="6"/>
  <c r="I119" i="6"/>
  <c r="L118" i="6"/>
  <c r="K118" i="6"/>
  <c r="J118" i="6"/>
  <c r="I118" i="6"/>
  <c r="L117" i="6"/>
  <c r="K117" i="6"/>
  <c r="J117" i="6"/>
  <c r="I117" i="6"/>
  <c r="L116" i="6"/>
  <c r="K116" i="6"/>
  <c r="J116" i="6"/>
  <c r="I116" i="6"/>
  <c r="L115" i="6"/>
  <c r="K115" i="6"/>
  <c r="J115" i="6"/>
  <c r="I115" i="6"/>
  <c r="L114" i="6"/>
  <c r="K114" i="6"/>
  <c r="J114" i="6"/>
  <c r="I114" i="6"/>
  <c r="L113" i="6"/>
  <c r="K113" i="6"/>
  <c r="J113" i="6"/>
  <c r="I113" i="6"/>
  <c r="L112" i="6"/>
  <c r="K112" i="6"/>
  <c r="J112" i="6"/>
  <c r="I112" i="6"/>
  <c r="L111" i="6"/>
  <c r="K111" i="6"/>
  <c r="J111" i="6"/>
  <c r="I111" i="6"/>
  <c r="L110" i="6"/>
  <c r="K110" i="6"/>
  <c r="J110" i="6"/>
  <c r="I110" i="6"/>
  <c r="L109" i="6"/>
  <c r="K109" i="6"/>
  <c r="J109" i="6"/>
  <c r="I109" i="6"/>
  <c r="L108" i="6"/>
  <c r="K108" i="6"/>
  <c r="J108" i="6"/>
  <c r="I108" i="6"/>
  <c r="L107" i="6"/>
  <c r="K107" i="6"/>
  <c r="J107" i="6"/>
  <c r="I107" i="6"/>
  <c r="L106" i="6"/>
  <c r="K106" i="6"/>
  <c r="J106" i="6"/>
  <c r="I106" i="6"/>
  <c r="L105" i="6"/>
  <c r="K105" i="6"/>
  <c r="J105" i="6"/>
  <c r="I105" i="6"/>
  <c r="L104" i="6"/>
  <c r="K104" i="6"/>
  <c r="J104" i="6"/>
  <c r="I104" i="6"/>
  <c r="L103" i="6"/>
  <c r="K103" i="6"/>
  <c r="J103" i="6"/>
  <c r="I103" i="6"/>
  <c r="L102" i="6"/>
  <c r="K102" i="6"/>
  <c r="J102" i="6"/>
  <c r="I102" i="6"/>
  <c r="L101" i="6"/>
  <c r="K101" i="6"/>
  <c r="J101" i="6"/>
  <c r="I101" i="6"/>
  <c r="L100" i="6"/>
  <c r="K100" i="6"/>
  <c r="J100" i="6"/>
  <c r="I100" i="6"/>
  <c r="L99" i="6"/>
  <c r="K99" i="6"/>
  <c r="J99" i="6"/>
  <c r="I99" i="6"/>
  <c r="L98" i="6"/>
  <c r="K98" i="6"/>
  <c r="J98" i="6"/>
  <c r="I98" i="6"/>
  <c r="L97" i="6"/>
  <c r="K97" i="6"/>
  <c r="J97" i="6"/>
  <c r="I97" i="6"/>
  <c r="L96" i="6"/>
  <c r="K96" i="6"/>
  <c r="J96" i="6"/>
  <c r="I96" i="6"/>
  <c r="L95" i="6"/>
  <c r="K95" i="6"/>
  <c r="J95" i="6"/>
  <c r="I95" i="6"/>
  <c r="L94" i="6"/>
  <c r="K94" i="6"/>
  <c r="J94" i="6"/>
  <c r="I94" i="6"/>
  <c r="L93" i="6"/>
  <c r="K93" i="6"/>
  <c r="J93" i="6"/>
  <c r="M93" i="6" s="1"/>
  <c r="I93" i="6"/>
  <c r="L92" i="6"/>
  <c r="K92" i="6"/>
  <c r="J92" i="6"/>
  <c r="M92" i="6" s="1"/>
  <c r="I92" i="6"/>
  <c r="L91" i="6"/>
  <c r="K91" i="6"/>
  <c r="J91" i="6"/>
  <c r="M91" i="6" s="1"/>
  <c r="I91" i="6"/>
  <c r="L90" i="6"/>
  <c r="K90" i="6"/>
  <c r="J90" i="6"/>
  <c r="O90" i="6" s="1"/>
  <c r="I90" i="6"/>
  <c r="L89" i="6"/>
  <c r="K89" i="6"/>
  <c r="J89" i="6"/>
  <c r="O89" i="6" s="1"/>
  <c r="I89" i="6"/>
  <c r="L88" i="6"/>
  <c r="K88" i="6"/>
  <c r="J88" i="6"/>
  <c r="O88" i="6" s="1"/>
  <c r="I88" i="6"/>
  <c r="L87" i="6"/>
  <c r="K87" i="6"/>
  <c r="J87" i="6"/>
  <c r="O87" i="6" s="1"/>
  <c r="I87" i="6"/>
  <c r="L86" i="6"/>
  <c r="K86" i="6"/>
  <c r="J86" i="6"/>
  <c r="O86" i="6" s="1"/>
  <c r="I86" i="6"/>
  <c r="L85" i="6"/>
  <c r="K85" i="6"/>
  <c r="J85" i="6"/>
  <c r="O85" i="6" s="1"/>
  <c r="I85" i="6"/>
  <c r="L84" i="6"/>
  <c r="K84" i="6"/>
  <c r="J84" i="6"/>
  <c r="O84" i="6" s="1"/>
  <c r="I84" i="6"/>
  <c r="L83" i="6"/>
  <c r="K83" i="6"/>
  <c r="J83" i="6"/>
  <c r="O83" i="6" s="1"/>
  <c r="I83" i="6"/>
  <c r="L82" i="6"/>
  <c r="K82" i="6"/>
  <c r="J82" i="6"/>
  <c r="O82" i="6" s="1"/>
  <c r="I82" i="6"/>
  <c r="L81" i="6"/>
  <c r="K81" i="6"/>
  <c r="J81" i="6"/>
  <c r="O81" i="6" s="1"/>
  <c r="I81" i="6"/>
  <c r="L80" i="6"/>
  <c r="K80" i="6"/>
  <c r="J80" i="6"/>
  <c r="O80" i="6" s="1"/>
  <c r="I80" i="6"/>
  <c r="L79" i="6"/>
  <c r="K79" i="6"/>
  <c r="J79" i="6"/>
  <c r="O79" i="6" s="1"/>
  <c r="I79" i="6"/>
  <c r="L78" i="6"/>
  <c r="K78" i="6"/>
  <c r="J78" i="6"/>
  <c r="O78" i="6" s="1"/>
  <c r="I78" i="6"/>
  <c r="L77" i="6"/>
  <c r="K77" i="6"/>
  <c r="J77" i="6"/>
  <c r="O77" i="6" s="1"/>
  <c r="I77" i="6"/>
  <c r="L76" i="6"/>
  <c r="K76" i="6"/>
  <c r="J76" i="6"/>
  <c r="O76" i="6" s="1"/>
  <c r="I76" i="6"/>
  <c r="L75" i="6"/>
  <c r="K75" i="6"/>
  <c r="J75" i="6"/>
  <c r="O75" i="6" s="1"/>
  <c r="I75" i="6"/>
  <c r="L74" i="6"/>
  <c r="K74" i="6"/>
  <c r="J74" i="6"/>
  <c r="O74" i="6" s="1"/>
  <c r="I74" i="6"/>
  <c r="L73" i="6"/>
  <c r="K73" i="6"/>
  <c r="J73" i="6"/>
  <c r="O73" i="6" s="1"/>
  <c r="I73" i="6"/>
  <c r="L72" i="6"/>
  <c r="K72" i="6"/>
  <c r="J72" i="6"/>
  <c r="O72" i="6" s="1"/>
  <c r="I72" i="6"/>
  <c r="L71" i="6"/>
  <c r="K71" i="6"/>
  <c r="J71" i="6"/>
  <c r="O71" i="6" s="1"/>
  <c r="I71" i="6"/>
  <c r="L70" i="6"/>
  <c r="K70" i="6"/>
  <c r="J70" i="6"/>
  <c r="O70" i="6" s="1"/>
  <c r="I70" i="6"/>
  <c r="L69" i="6"/>
  <c r="K69" i="6"/>
  <c r="J69" i="6"/>
  <c r="O69" i="6" s="1"/>
  <c r="I69" i="6"/>
  <c r="L68" i="6"/>
  <c r="K68" i="6"/>
  <c r="J68" i="6"/>
  <c r="O68" i="6" s="1"/>
  <c r="I68" i="6"/>
  <c r="L67" i="6"/>
  <c r="K67" i="6"/>
  <c r="J67" i="6"/>
  <c r="O67" i="6" s="1"/>
  <c r="I67" i="6"/>
  <c r="L66" i="6"/>
  <c r="K66" i="6"/>
  <c r="J66" i="6"/>
  <c r="O66" i="6" s="1"/>
  <c r="I66" i="6"/>
  <c r="L65" i="6"/>
  <c r="K65" i="6"/>
  <c r="J65" i="6"/>
  <c r="O65" i="6" s="1"/>
  <c r="I65" i="6"/>
  <c r="L64" i="6"/>
  <c r="K64" i="6"/>
  <c r="J64" i="6"/>
  <c r="O64" i="6" s="1"/>
  <c r="I64" i="6"/>
  <c r="L63" i="6"/>
  <c r="K63" i="6"/>
  <c r="J63" i="6"/>
  <c r="O63" i="6" s="1"/>
  <c r="I63" i="6"/>
  <c r="L62" i="6"/>
  <c r="K62" i="6"/>
  <c r="J62" i="6"/>
  <c r="O62" i="6" s="1"/>
  <c r="I62" i="6"/>
  <c r="L61" i="6"/>
  <c r="K61" i="6"/>
  <c r="J61" i="6"/>
  <c r="O61" i="6" s="1"/>
  <c r="I61" i="6"/>
  <c r="L60" i="6"/>
  <c r="K60" i="6"/>
  <c r="J60" i="6"/>
  <c r="O60" i="6" s="1"/>
  <c r="I60" i="6"/>
  <c r="L59" i="6"/>
  <c r="K59" i="6"/>
  <c r="J59" i="6"/>
  <c r="O59" i="6" s="1"/>
  <c r="I59" i="6"/>
  <c r="L58" i="6"/>
  <c r="K58" i="6"/>
  <c r="J58" i="6"/>
  <c r="O58" i="6" s="1"/>
  <c r="I58" i="6"/>
  <c r="L57" i="6"/>
  <c r="K57" i="6"/>
  <c r="J57" i="6"/>
  <c r="O57" i="6" s="1"/>
  <c r="I57" i="6"/>
  <c r="L56" i="6"/>
  <c r="K56" i="6"/>
  <c r="J56" i="6"/>
  <c r="O56" i="6" s="1"/>
  <c r="I56" i="6"/>
  <c r="L55" i="6"/>
  <c r="K55" i="6"/>
  <c r="J55" i="6"/>
  <c r="O55" i="6" s="1"/>
  <c r="I55" i="6"/>
  <c r="L54" i="6"/>
  <c r="K54" i="6"/>
  <c r="J54" i="6"/>
  <c r="O54" i="6" s="1"/>
  <c r="I54" i="6"/>
  <c r="L53" i="6"/>
  <c r="K53" i="6"/>
  <c r="J53" i="6"/>
  <c r="O53" i="6" s="1"/>
  <c r="I53" i="6"/>
  <c r="L52" i="6"/>
  <c r="K52" i="6"/>
  <c r="J52" i="6"/>
  <c r="O52" i="6" s="1"/>
  <c r="I52" i="6"/>
  <c r="L51" i="6"/>
  <c r="K51" i="6"/>
  <c r="J51" i="6"/>
  <c r="O51" i="6" s="1"/>
  <c r="I51" i="6"/>
  <c r="L50" i="6"/>
  <c r="K50" i="6"/>
  <c r="J50" i="6"/>
  <c r="O50" i="6" s="1"/>
  <c r="I50" i="6"/>
  <c r="L49" i="6"/>
  <c r="K49" i="6"/>
  <c r="J49" i="6"/>
  <c r="O49" i="6" s="1"/>
  <c r="I49" i="6"/>
  <c r="L48" i="6"/>
  <c r="K48" i="6"/>
  <c r="J48" i="6"/>
  <c r="O48" i="6" s="1"/>
  <c r="I48" i="6"/>
  <c r="L47" i="6"/>
  <c r="K47" i="6"/>
  <c r="J47" i="6"/>
  <c r="O47" i="6" s="1"/>
  <c r="I47" i="6"/>
  <c r="L46" i="6"/>
  <c r="K46" i="6"/>
  <c r="J46" i="6"/>
  <c r="O46" i="6" s="1"/>
  <c r="I46" i="6"/>
  <c r="L45" i="6"/>
  <c r="K45" i="6"/>
  <c r="J45" i="6"/>
  <c r="O45" i="6" s="1"/>
  <c r="I45" i="6"/>
  <c r="L44" i="6"/>
  <c r="K44" i="6"/>
  <c r="J44" i="6"/>
  <c r="O44" i="6" s="1"/>
  <c r="I44" i="6"/>
  <c r="L43" i="6"/>
  <c r="K43" i="6"/>
  <c r="J43" i="6"/>
  <c r="O43" i="6" s="1"/>
  <c r="I43" i="6"/>
  <c r="L42" i="6"/>
  <c r="K42" i="6"/>
  <c r="J42" i="6"/>
  <c r="O42" i="6" s="1"/>
  <c r="I42" i="6"/>
  <c r="L41" i="6"/>
  <c r="K41" i="6"/>
  <c r="J41" i="6"/>
  <c r="O41" i="6" s="1"/>
  <c r="I41" i="6"/>
  <c r="L40" i="6"/>
  <c r="K40" i="6"/>
  <c r="J40" i="6"/>
  <c r="O40" i="6" s="1"/>
  <c r="I40" i="6"/>
  <c r="L39" i="6"/>
  <c r="K39" i="6"/>
  <c r="J39" i="6"/>
  <c r="O39" i="6" s="1"/>
  <c r="I39" i="6"/>
  <c r="L38" i="6"/>
  <c r="K38" i="6"/>
  <c r="J38" i="6"/>
  <c r="O38" i="6" s="1"/>
  <c r="I38" i="6"/>
  <c r="L37" i="6"/>
  <c r="K37" i="6"/>
  <c r="J37" i="6"/>
  <c r="O37" i="6" s="1"/>
  <c r="I37" i="6"/>
  <c r="L36" i="6"/>
  <c r="K36" i="6"/>
  <c r="J36" i="6"/>
  <c r="O36" i="6" s="1"/>
  <c r="I36" i="6"/>
  <c r="L35" i="6"/>
  <c r="K35" i="6"/>
  <c r="J35" i="6"/>
  <c r="O35" i="6" s="1"/>
  <c r="I35" i="6"/>
  <c r="L34" i="6"/>
  <c r="K34" i="6"/>
  <c r="J34" i="6"/>
  <c r="O34" i="6" s="1"/>
  <c r="I34" i="6"/>
  <c r="L33" i="6"/>
  <c r="K33" i="6"/>
  <c r="J33" i="6"/>
  <c r="O33" i="6" s="1"/>
  <c r="I33" i="6"/>
  <c r="L32" i="6"/>
  <c r="K32" i="6"/>
  <c r="J32" i="6"/>
  <c r="O32" i="6" s="1"/>
  <c r="I32" i="6"/>
  <c r="L31" i="6"/>
  <c r="K31" i="6"/>
  <c r="J31" i="6"/>
  <c r="O31" i="6" s="1"/>
  <c r="I31" i="6"/>
  <c r="P365" i="6"/>
  <c r="O365" i="6"/>
  <c r="N365" i="6"/>
  <c r="P364" i="6"/>
  <c r="O364" i="6"/>
  <c r="N364" i="6"/>
  <c r="P363" i="6"/>
  <c r="N363" i="6"/>
  <c r="P362" i="6"/>
  <c r="O362" i="6"/>
  <c r="N362" i="6"/>
  <c r="P361" i="6"/>
  <c r="N361" i="6"/>
  <c r="P360" i="6"/>
  <c r="O360" i="6"/>
  <c r="N360" i="6"/>
  <c r="P359" i="6"/>
  <c r="N359" i="6"/>
  <c r="P358" i="6"/>
  <c r="O358" i="6"/>
  <c r="N358" i="6"/>
  <c r="P357" i="6"/>
  <c r="N357" i="6"/>
  <c r="P356" i="6"/>
  <c r="O356" i="6"/>
  <c r="N356" i="6"/>
  <c r="P355" i="6"/>
  <c r="N355" i="6"/>
  <c r="P354" i="6"/>
  <c r="O354" i="6"/>
  <c r="N354" i="6"/>
  <c r="P353" i="6"/>
  <c r="N353" i="6"/>
  <c r="P352" i="6"/>
  <c r="O352" i="6"/>
  <c r="N352" i="6"/>
  <c r="P351" i="6"/>
  <c r="N351" i="6"/>
  <c r="P350" i="6"/>
  <c r="O350" i="6"/>
  <c r="N350" i="6"/>
  <c r="P349" i="6"/>
  <c r="N349" i="6"/>
  <c r="P348" i="6"/>
  <c r="O348" i="6"/>
  <c r="N348" i="6"/>
  <c r="P347" i="6"/>
  <c r="N347" i="6"/>
  <c r="P346" i="6"/>
  <c r="O346" i="6"/>
  <c r="N346" i="6"/>
  <c r="P345" i="6"/>
  <c r="N345" i="6"/>
  <c r="P344" i="6"/>
  <c r="O344" i="6"/>
  <c r="N344" i="6"/>
  <c r="P343" i="6"/>
  <c r="N343" i="6"/>
  <c r="P342" i="6"/>
  <c r="O342" i="6"/>
  <c r="N342" i="6"/>
  <c r="P341" i="6"/>
  <c r="N341" i="6"/>
  <c r="P340" i="6"/>
  <c r="O340" i="6"/>
  <c r="N340" i="6"/>
  <c r="P339" i="6"/>
  <c r="N339" i="6"/>
  <c r="P338" i="6"/>
  <c r="O338" i="6"/>
  <c r="N338" i="6"/>
  <c r="P337" i="6"/>
  <c r="N337" i="6"/>
  <c r="P336" i="6"/>
  <c r="O336" i="6"/>
  <c r="N336" i="6"/>
  <c r="P335" i="6"/>
  <c r="N335" i="6"/>
  <c r="P334" i="6"/>
  <c r="O334" i="6"/>
  <c r="N334" i="6"/>
  <c r="P333" i="6"/>
  <c r="N333" i="6"/>
  <c r="P332" i="6"/>
  <c r="O332" i="6"/>
  <c r="N332" i="6"/>
  <c r="P331" i="6"/>
  <c r="N331" i="6"/>
  <c r="P330" i="6"/>
  <c r="O330" i="6"/>
  <c r="N330" i="6"/>
  <c r="P329" i="6"/>
  <c r="N329" i="6"/>
  <c r="P328" i="6"/>
  <c r="O328" i="6"/>
  <c r="N328" i="6"/>
  <c r="P327" i="6"/>
  <c r="N327" i="6"/>
  <c r="P326" i="6"/>
  <c r="O326" i="6"/>
  <c r="N326" i="6"/>
  <c r="P325" i="6"/>
  <c r="N325" i="6"/>
  <c r="P324" i="6"/>
  <c r="O324" i="6"/>
  <c r="N324" i="6"/>
  <c r="P323" i="6"/>
  <c r="N323" i="6"/>
  <c r="P322" i="6"/>
  <c r="O322" i="6"/>
  <c r="N322" i="6"/>
  <c r="P321" i="6"/>
  <c r="N321" i="6"/>
  <c r="P320" i="6"/>
  <c r="O320" i="6"/>
  <c r="N320" i="6"/>
  <c r="P319" i="6"/>
  <c r="N319" i="6"/>
  <c r="P318" i="6"/>
  <c r="O318" i="6"/>
  <c r="N318" i="6"/>
  <c r="P317" i="6"/>
  <c r="N317" i="6"/>
  <c r="P316" i="6"/>
  <c r="O316" i="6"/>
  <c r="N316" i="6"/>
  <c r="P315" i="6"/>
  <c r="N315" i="6"/>
  <c r="P314" i="6"/>
  <c r="O314" i="6"/>
  <c r="N314" i="6"/>
  <c r="P313" i="6"/>
  <c r="N313" i="6"/>
  <c r="P312" i="6"/>
  <c r="O312" i="6"/>
  <c r="N312" i="6"/>
  <c r="P311" i="6"/>
  <c r="N311" i="6"/>
  <c r="P310" i="6"/>
  <c r="O310" i="6"/>
  <c r="N310" i="6"/>
  <c r="P309" i="6"/>
  <c r="N309" i="6"/>
  <c r="P308" i="6"/>
  <c r="O308" i="6"/>
  <c r="N308" i="6"/>
  <c r="P307" i="6"/>
  <c r="N307" i="6"/>
  <c r="P306" i="6"/>
  <c r="O306" i="6"/>
  <c r="N306" i="6"/>
  <c r="P305" i="6"/>
  <c r="N305" i="6"/>
  <c r="P304" i="6"/>
  <c r="O304" i="6"/>
  <c r="N304" i="6"/>
  <c r="P303" i="6"/>
  <c r="N303" i="6"/>
  <c r="P302" i="6"/>
  <c r="O302" i="6"/>
  <c r="N302" i="6"/>
  <c r="P301" i="6"/>
  <c r="N301" i="6"/>
  <c r="P300" i="6"/>
  <c r="O300" i="6"/>
  <c r="N300" i="6"/>
  <c r="P299" i="6"/>
  <c r="N299" i="6"/>
  <c r="P298" i="6"/>
  <c r="O298" i="6"/>
  <c r="N298" i="6"/>
  <c r="P297" i="6"/>
  <c r="N297" i="6"/>
  <c r="P296" i="6"/>
  <c r="O296" i="6"/>
  <c r="N296" i="6"/>
  <c r="P295" i="6"/>
  <c r="N295" i="6"/>
  <c r="P294" i="6"/>
  <c r="O294" i="6"/>
  <c r="N294" i="6"/>
  <c r="P293" i="6"/>
  <c r="N293" i="6"/>
  <c r="P292" i="6"/>
  <c r="O292" i="6"/>
  <c r="N292" i="6"/>
  <c r="P291" i="6"/>
  <c r="N291" i="6"/>
  <c r="P290" i="6"/>
  <c r="O290" i="6"/>
  <c r="N290" i="6"/>
  <c r="P289" i="6"/>
  <c r="N289" i="6"/>
  <c r="P288" i="6"/>
  <c r="O288" i="6"/>
  <c r="N288" i="6"/>
  <c r="P287" i="6"/>
  <c r="N287" i="6"/>
  <c r="P286" i="6"/>
  <c r="O286" i="6"/>
  <c r="N286" i="6"/>
  <c r="P285" i="6"/>
  <c r="N285" i="6"/>
  <c r="P284" i="6"/>
  <c r="O284" i="6"/>
  <c r="N284" i="6"/>
  <c r="P283" i="6"/>
  <c r="N283" i="6"/>
  <c r="P282" i="6"/>
  <c r="O282" i="6"/>
  <c r="N282" i="6"/>
  <c r="P281" i="6"/>
  <c r="N281" i="6"/>
  <c r="P280" i="6"/>
  <c r="O280" i="6"/>
  <c r="N280" i="6"/>
  <c r="P279" i="6"/>
  <c r="N279" i="6"/>
  <c r="P278" i="6"/>
  <c r="O278" i="6"/>
  <c r="N278" i="6"/>
  <c r="P277" i="6"/>
  <c r="N277" i="6"/>
  <c r="P276" i="6"/>
  <c r="O276" i="6"/>
  <c r="N276" i="6"/>
  <c r="P275" i="6"/>
  <c r="N275" i="6"/>
  <c r="P274" i="6"/>
  <c r="O274" i="6"/>
  <c r="N274" i="6"/>
  <c r="P273" i="6"/>
  <c r="N273" i="6"/>
  <c r="P272" i="6"/>
  <c r="O272" i="6"/>
  <c r="N272" i="6"/>
  <c r="P271" i="6"/>
  <c r="N271" i="6"/>
  <c r="P270" i="6"/>
  <c r="N270" i="6"/>
  <c r="P269" i="6"/>
  <c r="N269" i="6"/>
  <c r="P268" i="6"/>
  <c r="O268" i="6"/>
  <c r="N268" i="6"/>
  <c r="P267" i="6"/>
  <c r="N267" i="6"/>
  <c r="P266" i="6"/>
  <c r="N266" i="6"/>
  <c r="P265" i="6"/>
  <c r="N265" i="6"/>
  <c r="P264" i="6"/>
  <c r="O264" i="6"/>
  <c r="N264" i="6"/>
  <c r="P263" i="6"/>
  <c r="N263" i="6"/>
  <c r="P262" i="6"/>
  <c r="N262" i="6"/>
  <c r="P261" i="6"/>
  <c r="N261" i="6"/>
  <c r="P260" i="6"/>
  <c r="O260" i="6"/>
  <c r="N260" i="6"/>
  <c r="P259" i="6"/>
  <c r="N259" i="6"/>
  <c r="P258" i="6"/>
  <c r="N258" i="6"/>
  <c r="P257" i="6"/>
  <c r="N257" i="6"/>
  <c r="P256" i="6"/>
  <c r="O256" i="6"/>
  <c r="N256" i="6"/>
  <c r="P255" i="6"/>
  <c r="N255" i="6"/>
  <c r="P254" i="6"/>
  <c r="N254" i="6"/>
  <c r="P253" i="6"/>
  <c r="N253" i="6"/>
  <c r="P252" i="6"/>
  <c r="O252" i="6"/>
  <c r="N252" i="6"/>
  <c r="P251" i="6"/>
  <c r="N251" i="6"/>
  <c r="P250" i="6"/>
  <c r="N250" i="6"/>
  <c r="P249" i="6"/>
  <c r="N249" i="6"/>
  <c r="P248" i="6"/>
  <c r="O248" i="6"/>
  <c r="N248" i="6"/>
  <c r="P247" i="6"/>
  <c r="N247" i="6"/>
  <c r="P246" i="6"/>
  <c r="N246" i="6"/>
  <c r="P245" i="6"/>
  <c r="N245" i="6"/>
  <c r="P244" i="6"/>
  <c r="O244" i="6"/>
  <c r="N244" i="6"/>
  <c r="P243" i="6"/>
  <c r="N243" i="6"/>
  <c r="P242" i="6"/>
  <c r="N242" i="6"/>
  <c r="P241" i="6"/>
  <c r="N241" i="6"/>
  <c r="P240" i="6"/>
  <c r="O240" i="6"/>
  <c r="N240" i="6"/>
  <c r="P239" i="6"/>
  <c r="N239" i="6"/>
  <c r="P238" i="6"/>
  <c r="N238" i="6"/>
  <c r="P237" i="6"/>
  <c r="N237" i="6"/>
  <c r="P236" i="6"/>
  <c r="O236" i="6"/>
  <c r="N236" i="6"/>
  <c r="P235" i="6"/>
  <c r="N235" i="6"/>
  <c r="P234" i="6"/>
  <c r="N234" i="6"/>
  <c r="P233" i="6"/>
  <c r="N233" i="6"/>
  <c r="P232" i="6"/>
  <c r="O232" i="6"/>
  <c r="N232" i="6"/>
  <c r="P231" i="6"/>
  <c r="N231" i="6"/>
  <c r="P230" i="6"/>
  <c r="N230" i="6"/>
  <c r="P229" i="6"/>
  <c r="N229" i="6"/>
  <c r="P228" i="6"/>
  <c r="N228" i="6"/>
  <c r="P227" i="6"/>
  <c r="N227" i="6"/>
  <c r="P226" i="6"/>
  <c r="N226" i="6"/>
  <c r="P225" i="6"/>
  <c r="N225" i="6"/>
  <c r="P224" i="6"/>
  <c r="O224" i="6"/>
  <c r="N224" i="6"/>
  <c r="P223" i="6"/>
  <c r="N223" i="6"/>
  <c r="P222" i="6"/>
  <c r="N222" i="6"/>
  <c r="P221" i="6"/>
  <c r="N221" i="6"/>
  <c r="P220" i="6"/>
  <c r="N220" i="6"/>
  <c r="P219" i="6"/>
  <c r="N219" i="6"/>
  <c r="P218" i="6"/>
  <c r="N218" i="6"/>
  <c r="P217" i="6"/>
  <c r="N217" i="6"/>
  <c r="P216" i="6"/>
  <c r="O216" i="6"/>
  <c r="N216" i="6"/>
  <c r="P215" i="6"/>
  <c r="N215" i="6"/>
  <c r="P214" i="6"/>
  <c r="N214" i="6"/>
  <c r="P213" i="6"/>
  <c r="N213" i="6"/>
  <c r="P212" i="6"/>
  <c r="N212" i="6"/>
  <c r="P211" i="6"/>
  <c r="N211" i="6"/>
  <c r="P210" i="6"/>
  <c r="N210" i="6"/>
  <c r="P209" i="6"/>
  <c r="N209" i="6"/>
  <c r="P208" i="6"/>
  <c r="N208" i="6"/>
  <c r="P207" i="6"/>
  <c r="N207" i="6"/>
  <c r="P206" i="6"/>
  <c r="N206" i="6"/>
  <c r="P205" i="6"/>
  <c r="N205" i="6"/>
  <c r="P204" i="6"/>
  <c r="N204" i="6"/>
  <c r="P203" i="6"/>
  <c r="N203" i="6"/>
  <c r="P202" i="6"/>
  <c r="N202" i="6"/>
  <c r="P201" i="6"/>
  <c r="N201" i="6"/>
  <c r="P200" i="6"/>
  <c r="N200" i="6"/>
  <c r="P199" i="6"/>
  <c r="N199" i="6"/>
  <c r="P198" i="6"/>
  <c r="N198" i="6"/>
  <c r="P197" i="6"/>
  <c r="N197" i="6"/>
  <c r="P196" i="6"/>
  <c r="N196" i="6"/>
  <c r="P195" i="6"/>
  <c r="N195" i="6"/>
  <c r="P194" i="6"/>
  <c r="N194" i="6"/>
  <c r="P193" i="6"/>
  <c r="N193" i="6"/>
  <c r="P192" i="6"/>
  <c r="N192" i="6"/>
  <c r="P191" i="6"/>
  <c r="O191" i="6"/>
  <c r="N191" i="6"/>
  <c r="P190" i="6"/>
  <c r="N190" i="6"/>
  <c r="P189" i="6"/>
  <c r="N189" i="6"/>
  <c r="P188" i="6"/>
  <c r="N188" i="6"/>
  <c r="P187" i="6"/>
  <c r="N187" i="6"/>
  <c r="P186" i="6"/>
  <c r="N186" i="6"/>
  <c r="P185" i="6"/>
  <c r="N185" i="6"/>
  <c r="P184" i="6"/>
  <c r="N184" i="6"/>
  <c r="P183" i="6"/>
  <c r="N183" i="6"/>
  <c r="P182" i="6"/>
  <c r="N182" i="6"/>
  <c r="P181" i="6"/>
  <c r="N181" i="6"/>
  <c r="P180" i="6"/>
  <c r="N180" i="6"/>
  <c r="P179" i="6"/>
  <c r="N179" i="6"/>
  <c r="P178" i="6"/>
  <c r="N178" i="6"/>
  <c r="P177" i="6"/>
  <c r="N177" i="6"/>
  <c r="P176" i="6"/>
  <c r="N176" i="6"/>
  <c r="P175" i="6"/>
  <c r="N175" i="6"/>
  <c r="P174" i="6"/>
  <c r="N174" i="6"/>
  <c r="P173" i="6"/>
  <c r="N173" i="6"/>
  <c r="P172" i="6"/>
  <c r="N172" i="6"/>
  <c r="P171" i="6"/>
  <c r="N171" i="6"/>
  <c r="P170" i="6"/>
  <c r="N170" i="6"/>
  <c r="P169" i="6"/>
  <c r="N169" i="6"/>
  <c r="P168" i="6"/>
  <c r="N168" i="6"/>
  <c r="P167" i="6"/>
  <c r="N167" i="6"/>
  <c r="P166" i="6"/>
  <c r="N166" i="6"/>
  <c r="P165" i="6"/>
  <c r="N165" i="6"/>
  <c r="P164" i="6"/>
  <c r="N164" i="6"/>
  <c r="P163" i="6"/>
  <c r="N163" i="6"/>
  <c r="P162" i="6"/>
  <c r="N162" i="6"/>
  <c r="P161" i="6"/>
  <c r="N161" i="6"/>
  <c r="P160" i="6"/>
  <c r="N160" i="6"/>
  <c r="P159" i="6"/>
  <c r="N159" i="6"/>
  <c r="P158" i="6"/>
  <c r="N158" i="6"/>
  <c r="P157" i="6"/>
  <c r="N157" i="6"/>
  <c r="P156" i="6"/>
  <c r="N156" i="6"/>
  <c r="P155" i="6"/>
  <c r="N155" i="6"/>
  <c r="P154" i="6"/>
  <c r="N154" i="6"/>
  <c r="P153" i="6"/>
  <c r="N153" i="6"/>
  <c r="P152" i="6"/>
  <c r="N152" i="6"/>
  <c r="P151" i="6"/>
  <c r="N151" i="6"/>
  <c r="P150" i="6"/>
  <c r="N150" i="6"/>
  <c r="P149" i="6"/>
  <c r="N149" i="6"/>
  <c r="P148" i="6"/>
  <c r="N148" i="6"/>
  <c r="P147" i="6"/>
  <c r="N147" i="6"/>
  <c r="P146" i="6"/>
  <c r="N146" i="6"/>
  <c r="P145" i="6"/>
  <c r="N145" i="6"/>
  <c r="P144" i="6"/>
  <c r="N144" i="6"/>
  <c r="P143" i="6"/>
  <c r="N143" i="6"/>
  <c r="P142" i="6"/>
  <c r="N142" i="6"/>
  <c r="P141" i="6"/>
  <c r="N141" i="6"/>
  <c r="P140" i="6"/>
  <c r="N140" i="6"/>
  <c r="P139" i="6"/>
  <c r="N139" i="6"/>
  <c r="P138" i="6"/>
  <c r="N138" i="6"/>
  <c r="P137" i="6"/>
  <c r="N137" i="6"/>
  <c r="P136" i="6"/>
  <c r="N136" i="6"/>
  <c r="P135" i="6"/>
  <c r="N135" i="6"/>
  <c r="P134" i="6"/>
  <c r="N134" i="6"/>
  <c r="P133" i="6"/>
  <c r="N133" i="6"/>
  <c r="P132" i="6"/>
  <c r="N132" i="6"/>
  <c r="P131" i="6"/>
  <c r="N131" i="6"/>
  <c r="P130" i="6"/>
  <c r="N130" i="6"/>
  <c r="P129" i="6"/>
  <c r="N129" i="6"/>
  <c r="P128" i="6"/>
  <c r="N128" i="6"/>
  <c r="P127" i="6"/>
  <c r="N127" i="6"/>
  <c r="P126" i="6"/>
  <c r="N126" i="6"/>
  <c r="P125" i="6"/>
  <c r="N125" i="6"/>
  <c r="P124" i="6"/>
  <c r="N124" i="6"/>
  <c r="P123" i="6"/>
  <c r="N123" i="6"/>
  <c r="P122" i="6"/>
  <c r="N122" i="6"/>
  <c r="P121" i="6"/>
  <c r="N121" i="6"/>
  <c r="P120" i="6"/>
  <c r="N120" i="6"/>
  <c r="P119" i="6"/>
  <c r="N119" i="6"/>
  <c r="P118" i="6"/>
  <c r="N118" i="6"/>
  <c r="P117" i="6"/>
  <c r="N117" i="6"/>
  <c r="P116" i="6"/>
  <c r="N116" i="6"/>
  <c r="P115" i="6"/>
  <c r="N115" i="6"/>
  <c r="P114" i="6"/>
  <c r="N114" i="6"/>
  <c r="P113" i="6"/>
  <c r="N113" i="6"/>
  <c r="P112" i="6"/>
  <c r="N112" i="6"/>
  <c r="P111" i="6"/>
  <c r="N111" i="6"/>
  <c r="P110" i="6"/>
  <c r="N110" i="6"/>
  <c r="P109" i="6"/>
  <c r="N109" i="6"/>
  <c r="P108" i="6"/>
  <c r="N108" i="6"/>
  <c r="P107" i="6"/>
  <c r="N107" i="6"/>
  <c r="P106" i="6"/>
  <c r="N106" i="6"/>
  <c r="P105" i="6"/>
  <c r="N105" i="6"/>
  <c r="P104" i="6"/>
  <c r="N104" i="6"/>
  <c r="P103" i="6"/>
  <c r="N103" i="6"/>
  <c r="P102" i="6"/>
  <c r="N102" i="6"/>
  <c r="P101" i="6"/>
  <c r="N101" i="6"/>
  <c r="P100" i="6"/>
  <c r="N100" i="6"/>
  <c r="P99" i="6"/>
  <c r="N99" i="6"/>
  <c r="P98" i="6"/>
  <c r="N98" i="6"/>
  <c r="P97" i="6"/>
  <c r="N97" i="6"/>
  <c r="P96" i="6"/>
  <c r="N96" i="6"/>
  <c r="P95" i="6"/>
  <c r="N95" i="6"/>
  <c r="P94" i="6"/>
  <c r="N94" i="6"/>
  <c r="P93" i="6"/>
  <c r="O93" i="6"/>
  <c r="N93" i="6"/>
  <c r="P92" i="6"/>
  <c r="N92" i="6"/>
  <c r="P91" i="6"/>
  <c r="O91" i="6"/>
  <c r="N91" i="6"/>
  <c r="P90" i="6"/>
  <c r="N90" i="6"/>
  <c r="P89" i="6"/>
  <c r="N89" i="6"/>
  <c r="P88" i="6"/>
  <c r="N88" i="6"/>
  <c r="P87" i="6"/>
  <c r="N87" i="6"/>
  <c r="P86" i="6"/>
  <c r="N86" i="6"/>
  <c r="P85" i="6"/>
  <c r="N85" i="6"/>
  <c r="P84" i="6"/>
  <c r="N84" i="6"/>
  <c r="P83" i="6"/>
  <c r="N83" i="6"/>
  <c r="P82" i="6"/>
  <c r="N82" i="6"/>
  <c r="P81" i="6"/>
  <c r="N81" i="6"/>
  <c r="P80" i="6"/>
  <c r="N80" i="6"/>
  <c r="P79" i="6"/>
  <c r="N79" i="6"/>
  <c r="P78" i="6"/>
  <c r="N78" i="6"/>
  <c r="P77" i="6"/>
  <c r="N77" i="6"/>
  <c r="P76" i="6"/>
  <c r="N76" i="6"/>
  <c r="P75" i="6"/>
  <c r="N75" i="6"/>
  <c r="P74" i="6"/>
  <c r="N74" i="6"/>
  <c r="P73" i="6"/>
  <c r="N73" i="6"/>
  <c r="P72" i="6"/>
  <c r="N72" i="6"/>
  <c r="P71" i="6"/>
  <c r="N71" i="6"/>
  <c r="P70" i="6"/>
  <c r="N70" i="6"/>
  <c r="P69" i="6"/>
  <c r="N69" i="6"/>
  <c r="P68" i="6"/>
  <c r="N68" i="6"/>
  <c r="P67" i="6"/>
  <c r="N67" i="6"/>
  <c r="P66" i="6"/>
  <c r="N66" i="6"/>
  <c r="P65" i="6"/>
  <c r="N65" i="6"/>
  <c r="P64" i="6"/>
  <c r="N64" i="6"/>
  <c r="P63" i="6"/>
  <c r="N63" i="6"/>
  <c r="P62" i="6"/>
  <c r="N62" i="6"/>
  <c r="P61" i="6"/>
  <c r="N61" i="6"/>
  <c r="P60" i="6"/>
  <c r="N60" i="6"/>
  <c r="P59" i="6"/>
  <c r="N59" i="6"/>
  <c r="P58" i="6"/>
  <c r="N58" i="6"/>
  <c r="P57" i="6"/>
  <c r="N57" i="6"/>
  <c r="P56" i="6"/>
  <c r="N56" i="6"/>
  <c r="P55" i="6"/>
  <c r="N55" i="6"/>
  <c r="P54" i="6"/>
  <c r="N54" i="6"/>
  <c r="P53" i="6"/>
  <c r="N53" i="6"/>
  <c r="P52" i="6"/>
  <c r="N52" i="6"/>
  <c r="P51" i="6"/>
  <c r="N51" i="6"/>
  <c r="P50" i="6"/>
  <c r="N50" i="6"/>
  <c r="P49" i="6"/>
  <c r="N49" i="6"/>
  <c r="P48" i="6"/>
  <c r="N48" i="6"/>
  <c r="P47" i="6"/>
  <c r="N47" i="6"/>
  <c r="P46" i="6"/>
  <c r="N46" i="6"/>
  <c r="P45" i="6"/>
  <c r="N45" i="6"/>
  <c r="P44" i="6"/>
  <c r="N44" i="6"/>
  <c r="P43" i="6"/>
  <c r="N43" i="6"/>
  <c r="P42" i="6"/>
  <c r="N42" i="6"/>
  <c r="P41" i="6"/>
  <c r="N41" i="6"/>
  <c r="P40" i="6"/>
  <c r="N40" i="6"/>
  <c r="P39" i="6"/>
  <c r="N39" i="6"/>
  <c r="P38" i="6"/>
  <c r="N38" i="6"/>
  <c r="P37" i="6"/>
  <c r="N37" i="6"/>
  <c r="P36" i="6"/>
  <c r="N36" i="6"/>
  <c r="P35" i="6"/>
  <c r="N35" i="6"/>
  <c r="P34" i="6"/>
  <c r="N34" i="6"/>
  <c r="P33" i="6"/>
  <c r="N33" i="6"/>
  <c r="P32" i="6"/>
  <c r="N32" i="6"/>
  <c r="P31" i="6"/>
  <c r="N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W11" i="1"/>
  <c r="Y11" i="1" s="1"/>
  <c r="Y10" i="1"/>
  <c r="T11" i="1"/>
  <c r="V10" i="1"/>
  <c r="Q11" i="1"/>
  <c r="Q12" i="1" s="1"/>
  <c r="Q13" i="1" s="1"/>
  <c r="S11" i="1"/>
  <c r="S10" i="1"/>
  <c r="Q6" i="3"/>
  <c r="E67" i="1"/>
  <c r="X11" i="1"/>
  <c r="X12" i="1" s="1"/>
  <c r="X13" i="1" s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X133" i="1" s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X164" i="1" s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X194" i="1" s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X225" i="1" s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X256" i="1" s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X317" i="1" s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X347" i="1" s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U11" i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U304" i="1" s="1"/>
  <c r="U305" i="1" s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R11" i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R106" i="1" s="1"/>
  <c r="R107" i="1" s="1"/>
  <c r="R108" i="1" s="1"/>
  <c r="R109" i="1" s="1"/>
  <c r="R110" i="1" s="1"/>
  <c r="R111" i="1" s="1"/>
  <c r="R112" i="1" s="1"/>
  <c r="R113" i="1" s="1"/>
  <c r="R114" i="1" s="1"/>
  <c r="R115" i="1" s="1"/>
  <c r="R116" i="1" s="1"/>
  <c r="R117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R197" i="1" s="1"/>
  <c r="R198" i="1" s="1"/>
  <c r="R199" i="1" s="1"/>
  <c r="R200" i="1" s="1"/>
  <c r="R201" i="1" s="1"/>
  <c r="R202" i="1" s="1"/>
  <c r="R203" i="1" s="1"/>
  <c r="R204" i="1" s="1"/>
  <c r="R205" i="1" s="1"/>
  <c r="R206" i="1" s="1"/>
  <c r="R207" i="1" s="1"/>
  <c r="R208" i="1" s="1"/>
  <c r="R209" i="1" s="1"/>
  <c r="R210" i="1" s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R233" i="1" s="1"/>
  <c r="R234" i="1" s="1"/>
  <c r="R235" i="1" s="1"/>
  <c r="R236" i="1" s="1"/>
  <c r="R237" i="1" s="1"/>
  <c r="R238" i="1" s="1"/>
  <c r="R239" i="1" s="1"/>
  <c r="R240" i="1" s="1"/>
  <c r="R241" i="1" s="1"/>
  <c r="R242" i="1" s="1"/>
  <c r="R243" i="1" s="1"/>
  <c r="R244" i="1" s="1"/>
  <c r="R245" i="1" s="1"/>
  <c r="R246" i="1" s="1"/>
  <c r="R247" i="1" s="1"/>
  <c r="R248" i="1" s="1"/>
  <c r="R249" i="1" s="1"/>
  <c r="R250" i="1" s="1"/>
  <c r="R251" i="1" s="1"/>
  <c r="R252" i="1" s="1"/>
  <c r="R253" i="1" s="1"/>
  <c r="R254" i="1" s="1"/>
  <c r="R255" i="1" s="1"/>
  <c r="R256" i="1" s="1"/>
  <c r="R257" i="1" s="1"/>
  <c r="R258" i="1" s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R274" i="1" s="1"/>
  <c r="R275" i="1" s="1"/>
  <c r="R276" i="1" s="1"/>
  <c r="R277" i="1" s="1"/>
  <c r="R278" i="1" s="1"/>
  <c r="R279" i="1" s="1"/>
  <c r="R280" i="1" s="1"/>
  <c r="R281" i="1" s="1"/>
  <c r="R282" i="1" s="1"/>
  <c r="R283" i="1" s="1"/>
  <c r="R284" i="1" s="1"/>
  <c r="R285" i="1" s="1"/>
  <c r="R286" i="1" s="1"/>
  <c r="R287" i="1" s="1"/>
  <c r="R288" i="1" s="1"/>
  <c r="R289" i="1" s="1"/>
  <c r="R290" i="1" s="1"/>
  <c r="R291" i="1" s="1"/>
  <c r="R292" i="1" s="1"/>
  <c r="R293" i="1" s="1"/>
  <c r="R294" i="1" s="1"/>
  <c r="R295" i="1" s="1"/>
  <c r="R296" i="1" s="1"/>
  <c r="R297" i="1" s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R309" i="1" s="1"/>
  <c r="R310" i="1" s="1"/>
  <c r="R311" i="1" s="1"/>
  <c r="R312" i="1" s="1"/>
  <c r="R313" i="1" s="1"/>
  <c r="R314" i="1" s="1"/>
  <c r="R315" i="1" s="1"/>
  <c r="R316" i="1" s="1"/>
  <c r="R317" i="1" s="1"/>
  <c r="R318" i="1" s="1"/>
  <c r="R319" i="1" s="1"/>
  <c r="R320" i="1" s="1"/>
  <c r="R321" i="1" s="1"/>
  <c r="R322" i="1" s="1"/>
  <c r="R323" i="1" s="1"/>
  <c r="R324" i="1" s="1"/>
  <c r="R325" i="1" s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R337" i="1" s="1"/>
  <c r="R338" i="1" s="1"/>
  <c r="R339" i="1" s="1"/>
  <c r="R340" i="1" s="1"/>
  <c r="R341" i="1" s="1"/>
  <c r="R342" i="1" s="1"/>
  <c r="R343" i="1" s="1"/>
  <c r="R344" i="1" s="1"/>
  <c r="R345" i="1" s="1"/>
  <c r="R346" i="1" s="1"/>
  <c r="R347" i="1" s="1"/>
  <c r="R348" i="1" s="1"/>
  <c r="R349" i="1" s="1"/>
  <c r="R350" i="1" s="1"/>
  <c r="R351" i="1" s="1"/>
  <c r="R352" i="1" s="1"/>
  <c r="R353" i="1" s="1"/>
  <c r="R354" i="1" s="1"/>
  <c r="R355" i="1" s="1"/>
  <c r="R356" i="1" s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G4" i="6"/>
  <c r="E4" i="6"/>
  <c r="F4" i="6"/>
  <c r="D4" i="6"/>
  <c r="D63" i="1"/>
  <c r="D64" i="1" s="1"/>
  <c r="C64" i="1"/>
  <c r="E63" i="1"/>
  <c r="E64" i="1" s="1"/>
  <c r="C70" i="1"/>
  <c r="D70" i="1" s="1"/>
  <c r="B7" i="6"/>
  <c r="U8" i="7"/>
  <c r="U9" i="7" s="1"/>
  <c r="U10" i="7" s="1"/>
  <c r="U11" i="7" s="1"/>
  <c r="U12" i="7" s="1"/>
  <c r="U13" i="7" s="1"/>
  <c r="U14" i="7" s="1"/>
  <c r="U15" i="7" s="1"/>
  <c r="U16" i="7" s="1"/>
  <c r="U17" i="7" s="1"/>
  <c r="U18" i="7" s="1"/>
  <c r="U19" i="7" s="1"/>
  <c r="U20" i="7" s="1"/>
  <c r="U21" i="7" s="1"/>
  <c r="U22" i="7" s="1"/>
  <c r="U23" i="7" s="1"/>
  <c r="U24" i="7" s="1"/>
  <c r="U25" i="7" s="1"/>
  <c r="U26" i="7" s="1"/>
  <c r="U27" i="7" s="1"/>
  <c r="U28" i="7" s="1"/>
  <c r="U29" i="7" s="1"/>
  <c r="U30" i="7" s="1"/>
  <c r="U31" i="7" s="1"/>
  <c r="U32" i="7" s="1"/>
  <c r="U33" i="7" s="1"/>
  <c r="U34" i="7" s="1"/>
  <c r="U35" i="7" s="1"/>
  <c r="U36" i="7" s="1"/>
  <c r="U37" i="7" s="1"/>
  <c r="U38" i="7" s="1"/>
  <c r="U39" i="7" s="1"/>
  <c r="U40" i="7" s="1"/>
  <c r="U41" i="7" s="1"/>
  <c r="U42" i="7" s="1"/>
  <c r="U43" i="7" s="1"/>
  <c r="U44" i="7" s="1"/>
  <c r="U45" i="7" s="1"/>
  <c r="U46" i="7" s="1"/>
  <c r="U47" i="7" s="1"/>
  <c r="U48" i="7" s="1"/>
  <c r="U49" i="7" s="1"/>
  <c r="U50" i="7" s="1"/>
  <c r="U51" i="7" s="1"/>
  <c r="U52" i="7" s="1"/>
  <c r="U53" i="7" s="1"/>
  <c r="U54" i="7" s="1"/>
  <c r="U55" i="7" s="1"/>
  <c r="U56" i="7" s="1"/>
  <c r="U57" i="7" s="1"/>
  <c r="U58" i="7" s="1"/>
  <c r="U59" i="7" s="1"/>
  <c r="U60" i="7" s="1"/>
  <c r="U61" i="7" s="1"/>
  <c r="U62" i="7" s="1"/>
  <c r="U63" i="7" s="1"/>
  <c r="U64" i="7" s="1"/>
  <c r="U65" i="7" s="1"/>
  <c r="U66" i="7" s="1"/>
  <c r="U67" i="7" s="1"/>
  <c r="U68" i="7" s="1"/>
  <c r="U69" i="7" s="1"/>
  <c r="U70" i="7" s="1"/>
  <c r="U71" i="7" s="1"/>
  <c r="U72" i="7" s="1"/>
  <c r="U73" i="7" s="1"/>
  <c r="U74" i="7" s="1"/>
  <c r="U75" i="7" s="1"/>
  <c r="U76" i="7" s="1"/>
  <c r="U77" i="7" s="1"/>
  <c r="U78" i="7" s="1"/>
  <c r="U79" i="7" s="1"/>
  <c r="U80" i="7" s="1"/>
  <c r="U81" i="7" s="1"/>
  <c r="U82" i="7" s="1"/>
  <c r="U83" i="7" s="1"/>
  <c r="U84" i="7" s="1"/>
  <c r="U85" i="7" s="1"/>
  <c r="U86" i="7" s="1"/>
  <c r="U87" i="7" s="1"/>
  <c r="U88" i="7" s="1"/>
  <c r="U89" i="7" s="1"/>
  <c r="U90" i="7" s="1"/>
  <c r="U91" i="7" s="1"/>
  <c r="U92" i="7" s="1"/>
  <c r="U93" i="7" s="1"/>
  <c r="U94" i="7" s="1"/>
  <c r="U95" i="7" s="1"/>
  <c r="U96" i="7" s="1"/>
  <c r="U97" i="7" s="1"/>
  <c r="U98" i="7" s="1"/>
  <c r="U99" i="7" s="1"/>
  <c r="U100" i="7" s="1"/>
  <c r="U101" i="7" s="1"/>
  <c r="U102" i="7" s="1"/>
  <c r="U103" i="7" s="1"/>
  <c r="U104" i="7" s="1"/>
  <c r="U105" i="7" s="1"/>
  <c r="U106" i="7" s="1"/>
  <c r="U107" i="7" s="1"/>
  <c r="U108" i="7" s="1"/>
  <c r="U109" i="7" s="1"/>
  <c r="U110" i="7" s="1"/>
  <c r="U111" i="7" s="1"/>
  <c r="U112" i="7" s="1"/>
  <c r="U113" i="7" s="1"/>
  <c r="U114" i="7" s="1"/>
  <c r="U115" i="7" s="1"/>
  <c r="U116" i="7" s="1"/>
  <c r="U117" i="7" s="1"/>
  <c r="U118" i="7" s="1"/>
  <c r="U119" i="7" s="1"/>
  <c r="U120" i="7" s="1"/>
  <c r="U121" i="7" s="1"/>
  <c r="U122" i="7" s="1"/>
  <c r="U123" i="7" s="1"/>
  <c r="U124" i="7" s="1"/>
  <c r="U125" i="7" s="1"/>
  <c r="U126" i="7" s="1"/>
  <c r="U127" i="7" s="1"/>
  <c r="U128" i="7" s="1"/>
  <c r="U129" i="7" s="1"/>
  <c r="U130" i="7" s="1"/>
  <c r="U131" i="7" s="1"/>
  <c r="U132" i="7" s="1"/>
  <c r="U133" i="7" s="1"/>
  <c r="U134" i="7" s="1"/>
  <c r="U135" i="7" s="1"/>
  <c r="U136" i="7" s="1"/>
  <c r="U137" i="7" s="1"/>
  <c r="U138" i="7" s="1"/>
  <c r="U139" i="7" s="1"/>
  <c r="U140" i="7" s="1"/>
  <c r="U141" i="7" s="1"/>
  <c r="U142" i="7" s="1"/>
  <c r="U143" i="7" s="1"/>
  <c r="U144" i="7" s="1"/>
  <c r="U145" i="7" s="1"/>
  <c r="U146" i="7" s="1"/>
  <c r="U147" i="7" s="1"/>
  <c r="U148" i="7" s="1"/>
  <c r="U149" i="7" s="1"/>
  <c r="U150" i="7" s="1"/>
  <c r="U151" i="7" s="1"/>
  <c r="U152" i="7" s="1"/>
  <c r="U153" i="7" s="1"/>
  <c r="U154" i="7" s="1"/>
  <c r="U155" i="7" s="1"/>
  <c r="U156" i="7" s="1"/>
  <c r="U157" i="7" s="1"/>
  <c r="U158" i="7" s="1"/>
  <c r="U159" i="7" s="1"/>
  <c r="U160" i="7" s="1"/>
  <c r="U161" i="7" s="1"/>
  <c r="U162" i="7" s="1"/>
  <c r="U163" i="7" s="1"/>
  <c r="U164" i="7" s="1"/>
  <c r="U165" i="7" s="1"/>
  <c r="U166" i="7" s="1"/>
  <c r="U167" i="7" s="1"/>
  <c r="U168" i="7" s="1"/>
  <c r="U169" i="7" s="1"/>
  <c r="U170" i="7" s="1"/>
  <c r="U171" i="7" s="1"/>
  <c r="U172" i="7" s="1"/>
  <c r="U173" i="7" s="1"/>
  <c r="U174" i="7" s="1"/>
  <c r="U175" i="7" s="1"/>
  <c r="U176" i="7" s="1"/>
  <c r="U177" i="7" s="1"/>
  <c r="U178" i="7" s="1"/>
  <c r="U179" i="7" s="1"/>
  <c r="U180" i="7" s="1"/>
  <c r="U181" i="7" s="1"/>
  <c r="U182" i="7" s="1"/>
  <c r="U183" i="7" s="1"/>
  <c r="U184" i="7" s="1"/>
  <c r="U185" i="7" s="1"/>
  <c r="U186" i="7" s="1"/>
  <c r="U187" i="7" s="1"/>
  <c r="U188" i="7" s="1"/>
  <c r="U189" i="7" s="1"/>
  <c r="U190" i="7" s="1"/>
  <c r="U191" i="7" s="1"/>
  <c r="U192" i="7" s="1"/>
  <c r="U193" i="7" s="1"/>
  <c r="U194" i="7" s="1"/>
  <c r="U195" i="7" s="1"/>
  <c r="U196" i="7" s="1"/>
  <c r="U197" i="7" s="1"/>
  <c r="U198" i="7" s="1"/>
  <c r="U199" i="7" s="1"/>
  <c r="U200" i="7" s="1"/>
  <c r="U201" i="7" s="1"/>
  <c r="U202" i="7" s="1"/>
  <c r="U203" i="7" s="1"/>
  <c r="U204" i="7" s="1"/>
  <c r="U205" i="7" s="1"/>
  <c r="U206" i="7" s="1"/>
  <c r="U207" i="7" s="1"/>
  <c r="U208" i="7" s="1"/>
  <c r="U209" i="7" s="1"/>
  <c r="U210" i="7" s="1"/>
  <c r="U211" i="7" s="1"/>
  <c r="U212" i="7" s="1"/>
  <c r="U213" i="7" s="1"/>
  <c r="U214" i="7" s="1"/>
  <c r="U215" i="7" s="1"/>
  <c r="U216" i="7" s="1"/>
  <c r="U217" i="7" s="1"/>
  <c r="U218" i="7" s="1"/>
  <c r="U219" i="7" s="1"/>
  <c r="U220" i="7" s="1"/>
  <c r="U221" i="7" s="1"/>
  <c r="U222" i="7" s="1"/>
  <c r="U223" i="7" s="1"/>
  <c r="U224" i="7" s="1"/>
  <c r="U225" i="7" s="1"/>
  <c r="U226" i="7" s="1"/>
  <c r="U227" i="7" s="1"/>
  <c r="U228" i="7" s="1"/>
  <c r="U229" i="7" s="1"/>
  <c r="U230" i="7" s="1"/>
  <c r="U231" i="7" s="1"/>
  <c r="U232" i="7" s="1"/>
  <c r="U233" i="7" s="1"/>
  <c r="U234" i="7" s="1"/>
  <c r="U235" i="7" s="1"/>
  <c r="U236" i="7" s="1"/>
  <c r="U237" i="7" s="1"/>
  <c r="U238" i="7" s="1"/>
  <c r="U239" i="7" s="1"/>
  <c r="U240" i="7" s="1"/>
  <c r="U241" i="7" s="1"/>
  <c r="U242" i="7" s="1"/>
  <c r="U243" i="7" s="1"/>
  <c r="U244" i="7" s="1"/>
  <c r="U245" i="7" s="1"/>
  <c r="U246" i="7" s="1"/>
  <c r="U247" i="7" s="1"/>
  <c r="U248" i="7" s="1"/>
  <c r="U249" i="7" s="1"/>
  <c r="U250" i="7" s="1"/>
  <c r="U251" i="7" s="1"/>
  <c r="U252" i="7" s="1"/>
  <c r="U253" i="7" s="1"/>
  <c r="U254" i="7" s="1"/>
  <c r="U255" i="7" s="1"/>
  <c r="U256" i="7" s="1"/>
  <c r="U257" i="7" s="1"/>
  <c r="U258" i="7" s="1"/>
  <c r="U259" i="7" s="1"/>
  <c r="U260" i="7" s="1"/>
  <c r="U261" i="7" s="1"/>
  <c r="U262" i="7" s="1"/>
  <c r="U263" i="7" s="1"/>
  <c r="U264" i="7" s="1"/>
  <c r="U265" i="7" s="1"/>
  <c r="U266" i="7" s="1"/>
  <c r="U267" i="7" s="1"/>
  <c r="U268" i="7" s="1"/>
  <c r="U269" i="7" s="1"/>
  <c r="U270" i="7" s="1"/>
  <c r="U271" i="7" s="1"/>
  <c r="U272" i="7" s="1"/>
  <c r="U273" i="7" s="1"/>
  <c r="U274" i="7" s="1"/>
  <c r="U275" i="7" s="1"/>
  <c r="U276" i="7" s="1"/>
  <c r="U277" i="7" s="1"/>
  <c r="U278" i="7" s="1"/>
  <c r="U279" i="7" s="1"/>
  <c r="U280" i="7" s="1"/>
  <c r="U281" i="7" s="1"/>
  <c r="U282" i="7" s="1"/>
  <c r="U283" i="7" s="1"/>
  <c r="U284" i="7" s="1"/>
  <c r="U285" i="7" s="1"/>
  <c r="U286" i="7" s="1"/>
  <c r="U287" i="7" s="1"/>
  <c r="U288" i="7" s="1"/>
  <c r="U289" i="7" s="1"/>
  <c r="U290" i="7" s="1"/>
  <c r="U291" i="7" s="1"/>
  <c r="U292" i="7" s="1"/>
  <c r="U293" i="7" s="1"/>
  <c r="U294" i="7" s="1"/>
  <c r="U295" i="7" s="1"/>
  <c r="U296" i="7" s="1"/>
  <c r="U297" i="7" s="1"/>
  <c r="U298" i="7" s="1"/>
  <c r="U299" i="7" s="1"/>
  <c r="U300" i="7" s="1"/>
  <c r="U301" i="7" s="1"/>
  <c r="U302" i="7" s="1"/>
  <c r="U303" i="7" s="1"/>
  <c r="U304" i="7" s="1"/>
  <c r="U305" i="7" s="1"/>
  <c r="U306" i="7" s="1"/>
  <c r="U307" i="7" s="1"/>
  <c r="U308" i="7" s="1"/>
  <c r="U309" i="7" s="1"/>
  <c r="U310" i="7" s="1"/>
  <c r="U311" i="7" s="1"/>
  <c r="U312" i="7" s="1"/>
  <c r="U313" i="7" s="1"/>
  <c r="U314" i="7" s="1"/>
  <c r="U315" i="7" s="1"/>
  <c r="U316" i="7" s="1"/>
  <c r="U317" i="7" s="1"/>
  <c r="U318" i="7" s="1"/>
  <c r="U319" i="7" s="1"/>
  <c r="U320" i="7" s="1"/>
  <c r="U321" i="7" s="1"/>
  <c r="U322" i="7" s="1"/>
  <c r="U323" i="7" s="1"/>
  <c r="U324" i="7" s="1"/>
  <c r="U325" i="7" s="1"/>
  <c r="U326" i="7" s="1"/>
  <c r="U327" i="7" s="1"/>
  <c r="U328" i="7" s="1"/>
  <c r="U329" i="7" s="1"/>
  <c r="U330" i="7" s="1"/>
  <c r="U331" i="7" s="1"/>
  <c r="U332" i="7" s="1"/>
  <c r="U333" i="7" s="1"/>
  <c r="U334" i="7" s="1"/>
  <c r="U335" i="7" s="1"/>
  <c r="U336" i="7" s="1"/>
  <c r="U337" i="7" s="1"/>
  <c r="U338" i="7" s="1"/>
  <c r="U339" i="7" s="1"/>
  <c r="U340" i="7" s="1"/>
  <c r="U341" i="7" s="1"/>
  <c r="U342" i="7" s="1"/>
  <c r="U343" i="7" s="1"/>
  <c r="U344" i="7" s="1"/>
  <c r="U345" i="7" s="1"/>
  <c r="U346" i="7" s="1"/>
  <c r="U347" i="7" s="1"/>
  <c r="U348" i="7" s="1"/>
  <c r="U349" i="7" s="1"/>
  <c r="U350" i="7" s="1"/>
  <c r="U351" i="7" s="1"/>
  <c r="U352" i="7" s="1"/>
  <c r="U353" i="7" s="1"/>
  <c r="U354" i="7" s="1"/>
  <c r="U355" i="7" s="1"/>
  <c r="U356" i="7" s="1"/>
  <c r="U357" i="7" s="1"/>
  <c r="U358" i="7" s="1"/>
  <c r="U359" i="7" s="1"/>
  <c r="U360" i="7" s="1"/>
  <c r="U361" i="7" s="1"/>
  <c r="U362" i="7" s="1"/>
  <c r="U363" i="7" s="1"/>
  <c r="U364" i="7" s="1"/>
  <c r="U365" i="7" s="1"/>
  <c r="U366" i="7" s="1"/>
  <c r="F16" i="1"/>
  <c r="L10" i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AA6" i="3" l="1"/>
  <c r="C6" i="3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O92" i="6"/>
  <c r="O175" i="6"/>
  <c r="O206" i="6"/>
  <c r="M96" i="6"/>
  <c r="O96" i="6"/>
  <c r="M98" i="6"/>
  <c r="O98" i="6"/>
  <c r="M100" i="6"/>
  <c r="O100" i="6"/>
  <c r="M102" i="6"/>
  <c r="O102" i="6"/>
  <c r="M104" i="6"/>
  <c r="O104" i="6"/>
  <c r="M106" i="6"/>
  <c r="O106" i="6"/>
  <c r="M108" i="6"/>
  <c r="O108" i="6"/>
  <c r="M109" i="6"/>
  <c r="O109" i="6"/>
  <c r="M112" i="6"/>
  <c r="O112" i="6"/>
  <c r="M114" i="6"/>
  <c r="O114" i="6"/>
  <c r="M117" i="6"/>
  <c r="O117" i="6"/>
  <c r="M119" i="6"/>
  <c r="O119" i="6"/>
  <c r="M121" i="6"/>
  <c r="O121" i="6"/>
  <c r="M123" i="6"/>
  <c r="O123" i="6"/>
  <c r="M125" i="6"/>
  <c r="O125" i="6"/>
  <c r="M127" i="6"/>
  <c r="O127" i="6"/>
  <c r="M130" i="6"/>
  <c r="O130" i="6"/>
  <c r="M132" i="6"/>
  <c r="O132" i="6"/>
  <c r="M134" i="6"/>
  <c r="O134" i="6"/>
  <c r="M136" i="6"/>
  <c r="O136" i="6"/>
  <c r="M138" i="6"/>
  <c r="O138" i="6"/>
  <c r="M141" i="6"/>
  <c r="O141" i="6"/>
  <c r="M143" i="6"/>
  <c r="O143" i="6"/>
  <c r="M145" i="6"/>
  <c r="O145" i="6"/>
  <c r="M147" i="6"/>
  <c r="O147" i="6"/>
  <c r="M149" i="6"/>
  <c r="O149" i="6"/>
  <c r="M151" i="6"/>
  <c r="O151" i="6"/>
  <c r="M154" i="6"/>
  <c r="O154" i="6"/>
  <c r="M156" i="6"/>
  <c r="O156" i="6"/>
  <c r="M159" i="6"/>
  <c r="O159" i="6"/>
  <c r="M161" i="6"/>
  <c r="O161" i="6"/>
  <c r="M162" i="6"/>
  <c r="O162" i="6"/>
  <c r="M164" i="6"/>
  <c r="O164" i="6"/>
  <c r="M165" i="6"/>
  <c r="O165" i="6"/>
  <c r="M166" i="6"/>
  <c r="O166" i="6"/>
  <c r="M167" i="6"/>
  <c r="O167" i="6"/>
  <c r="M183" i="6"/>
  <c r="O183" i="6"/>
  <c r="M199" i="6"/>
  <c r="O199" i="6"/>
  <c r="M211" i="6"/>
  <c r="O211" i="6"/>
  <c r="M220" i="6"/>
  <c r="O220" i="6"/>
  <c r="M228" i="6"/>
  <c r="O228" i="6"/>
  <c r="M234" i="6"/>
  <c r="O234" i="6"/>
  <c r="M94" i="6"/>
  <c r="O94" i="6"/>
  <c r="M95" i="6"/>
  <c r="O95" i="6"/>
  <c r="M97" i="6"/>
  <c r="O97" i="6"/>
  <c r="M99" i="6"/>
  <c r="O99" i="6"/>
  <c r="M101" i="6"/>
  <c r="O101" i="6"/>
  <c r="M103" i="6"/>
  <c r="O103" i="6"/>
  <c r="M105" i="6"/>
  <c r="O105" i="6"/>
  <c r="M107" i="6"/>
  <c r="O107" i="6"/>
  <c r="M110" i="6"/>
  <c r="O110" i="6"/>
  <c r="M111" i="6"/>
  <c r="O111" i="6"/>
  <c r="M113" i="6"/>
  <c r="O113" i="6"/>
  <c r="M115" i="6"/>
  <c r="O115" i="6"/>
  <c r="M116" i="6"/>
  <c r="O116" i="6"/>
  <c r="M118" i="6"/>
  <c r="O118" i="6"/>
  <c r="M120" i="6"/>
  <c r="O120" i="6"/>
  <c r="M122" i="6"/>
  <c r="O122" i="6"/>
  <c r="M124" i="6"/>
  <c r="O124" i="6"/>
  <c r="M126" i="6"/>
  <c r="O126" i="6"/>
  <c r="M128" i="6"/>
  <c r="O128" i="6"/>
  <c r="M129" i="6"/>
  <c r="O129" i="6"/>
  <c r="M131" i="6"/>
  <c r="O131" i="6"/>
  <c r="M133" i="6"/>
  <c r="O133" i="6"/>
  <c r="M135" i="6"/>
  <c r="O135" i="6"/>
  <c r="M137" i="6"/>
  <c r="O137" i="6"/>
  <c r="M139" i="6"/>
  <c r="O139" i="6"/>
  <c r="M140" i="6"/>
  <c r="O140" i="6"/>
  <c r="M142" i="6"/>
  <c r="O142" i="6"/>
  <c r="M144" i="6"/>
  <c r="O144" i="6"/>
  <c r="M146" i="6"/>
  <c r="O146" i="6"/>
  <c r="M148" i="6"/>
  <c r="O148" i="6"/>
  <c r="M150" i="6"/>
  <c r="O150" i="6"/>
  <c r="M152" i="6"/>
  <c r="O152" i="6"/>
  <c r="M153" i="6"/>
  <c r="O153" i="6"/>
  <c r="M155" i="6"/>
  <c r="O155" i="6"/>
  <c r="M157" i="6"/>
  <c r="O157" i="6"/>
  <c r="M158" i="6"/>
  <c r="O158" i="6"/>
  <c r="M160" i="6"/>
  <c r="O160" i="6"/>
  <c r="M163" i="6"/>
  <c r="O163" i="6"/>
  <c r="O238" i="6"/>
  <c r="O246" i="6"/>
  <c r="O254" i="6"/>
  <c r="O262" i="6"/>
  <c r="O270" i="6"/>
  <c r="O242" i="6"/>
  <c r="O250" i="6"/>
  <c r="O258" i="6"/>
  <c r="O266" i="6"/>
  <c r="O171" i="6"/>
  <c r="O187" i="6"/>
  <c r="O203" i="6"/>
  <c r="O218" i="6"/>
  <c r="O226" i="6"/>
  <c r="O235" i="6"/>
  <c r="O239" i="6"/>
  <c r="O243" i="6"/>
  <c r="O247" i="6"/>
  <c r="O251" i="6"/>
  <c r="O255" i="6"/>
  <c r="O259" i="6"/>
  <c r="O263" i="6"/>
  <c r="O267" i="6"/>
  <c r="O271" i="6"/>
  <c r="O275" i="6"/>
  <c r="O279" i="6"/>
  <c r="O283" i="6"/>
  <c r="O287" i="6"/>
  <c r="O291" i="6"/>
  <c r="O295" i="6"/>
  <c r="O299" i="6"/>
  <c r="O303" i="6"/>
  <c r="O307" i="6"/>
  <c r="O311" i="6"/>
  <c r="O315" i="6"/>
  <c r="O319" i="6"/>
  <c r="O323" i="6"/>
  <c r="O327" i="6"/>
  <c r="O331" i="6"/>
  <c r="O335" i="6"/>
  <c r="O339" i="6"/>
  <c r="O343" i="6"/>
  <c r="O347" i="6"/>
  <c r="O351" i="6"/>
  <c r="O355" i="6"/>
  <c r="O359" i="6"/>
  <c r="O363" i="6"/>
  <c r="O179" i="6"/>
  <c r="O195" i="6"/>
  <c r="O209" i="6"/>
  <c r="O214" i="6"/>
  <c r="O222" i="6"/>
  <c r="O230" i="6"/>
  <c r="O233" i="6"/>
  <c r="O237" i="6"/>
  <c r="O241" i="6"/>
  <c r="O245" i="6"/>
  <c r="O249" i="6"/>
  <c r="O253" i="6"/>
  <c r="O257" i="6"/>
  <c r="O261" i="6"/>
  <c r="O265" i="6"/>
  <c r="O269" i="6"/>
  <c r="O273" i="6"/>
  <c r="O277" i="6"/>
  <c r="O281" i="6"/>
  <c r="O285" i="6"/>
  <c r="O289" i="6"/>
  <c r="O293" i="6"/>
  <c r="O297" i="6"/>
  <c r="O301" i="6"/>
  <c r="O305" i="6"/>
  <c r="O309" i="6"/>
  <c r="O313" i="6"/>
  <c r="O317" i="6"/>
  <c r="O321" i="6"/>
  <c r="O325" i="6"/>
  <c r="O329" i="6"/>
  <c r="O333" i="6"/>
  <c r="O337" i="6"/>
  <c r="O341" i="6"/>
  <c r="O345" i="6"/>
  <c r="O349" i="6"/>
  <c r="O353" i="6"/>
  <c r="O357" i="6"/>
  <c r="O361" i="6"/>
  <c r="O173" i="6"/>
  <c r="O181" i="6"/>
  <c r="O189" i="6"/>
  <c r="O197" i="6"/>
  <c r="O205" i="6"/>
  <c r="O215" i="6"/>
  <c r="O219" i="6"/>
  <c r="O223" i="6"/>
  <c r="O227" i="6"/>
  <c r="O231" i="6"/>
  <c r="O169" i="6"/>
  <c r="O177" i="6"/>
  <c r="O185" i="6"/>
  <c r="O193" i="6"/>
  <c r="O201" i="6"/>
  <c r="O207" i="6"/>
  <c r="O210" i="6"/>
  <c r="O213" i="6"/>
  <c r="O217" i="6"/>
  <c r="O221" i="6"/>
  <c r="O225" i="6"/>
  <c r="O229" i="6"/>
  <c r="W12" i="1"/>
  <c r="Q14" i="1"/>
  <c r="S13" i="1"/>
  <c r="F25" i="7"/>
  <c r="F26" i="7" s="1"/>
  <c r="S7" i="7" s="1"/>
  <c r="C7" i="13"/>
  <c r="Q8" i="3"/>
  <c r="T6" i="13"/>
  <c r="B8" i="3"/>
  <c r="AF8" i="3" s="1"/>
  <c r="AF7" i="3"/>
  <c r="T6" i="3"/>
  <c r="E25" i="7"/>
  <c r="D278" i="13"/>
  <c r="Z278" i="13" s="1"/>
  <c r="D178" i="13"/>
  <c r="Z178" i="13" s="1"/>
  <c r="D64" i="13"/>
  <c r="Z64" i="13" s="1"/>
  <c r="D23" i="13"/>
  <c r="Z23" i="13" s="1"/>
  <c r="D295" i="13"/>
  <c r="Z295" i="13" s="1"/>
  <c r="D98" i="13"/>
  <c r="Z98" i="13" s="1"/>
  <c r="D217" i="13"/>
  <c r="Z217" i="13" s="1"/>
  <c r="D234" i="13"/>
  <c r="Z234" i="13" s="1"/>
  <c r="D186" i="13"/>
  <c r="Z186" i="13" s="1"/>
  <c r="D141" i="13"/>
  <c r="Z141" i="13" s="1"/>
  <c r="D205" i="3"/>
  <c r="Z205" i="3" s="1"/>
  <c r="D75" i="3"/>
  <c r="Z75" i="3" s="1"/>
  <c r="D235" i="13"/>
  <c r="Z235" i="13" s="1"/>
  <c r="D114" i="13"/>
  <c r="Z114" i="13" s="1"/>
  <c r="D220" i="13"/>
  <c r="Z220" i="13" s="1"/>
  <c r="D27" i="13"/>
  <c r="Z27" i="13" s="1"/>
  <c r="D326" i="13"/>
  <c r="Z326" i="13" s="1"/>
  <c r="D327" i="13"/>
  <c r="Z327" i="13" s="1"/>
  <c r="D159" i="13"/>
  <c r="Z159" i="13" s="1"/>
  <c r="D29" i="13"/>
  <c r="Z29" i="13" s="1"/>
  <c r="D348" i="13"/>
  <c r="Z348" i="13" s="1"/>
  <c r="D295" i="3"/>
  <c r="Z295" i="3" s="1"/>
  <c r="D230" i="13"/>
  <c r="Z230" i="13" s="1"/>
  <c r="D362" i="13"/>
  <c r="Z362" i="13" s="1"/>
  <c r="D331" i="13"/>
  <c r="Z331" i="13" s="1"/>
  <c r="D138" i="13"/>
  <c r="Z138" i="13" s="1"/>
  <c r="D185" i="13"/>
  <c r="Z185" i="13" s="1"/>
  <c r="D345" i="13"/>
  <c r="Z345" i="13" s="1"/>
  <c r="D271" i="3"/>
  <c r="Z271" i="3" s="1"/>
  <c r="D9" i="13"/>
  <c r="Z9" i="13" s="1"/>
  <c r="D310" i="13"/>
  <c r="Z310" i="13" s="1"/>
  <c r="D247" i="13"/>
  <c r="Z247" i="13" s="1"/>
  <c r="D206" i="13"/>
  <c r="Z206" i="13" s="1"/>
  <c r="D143" i="13"/>
  <c r="Z143" i="13" s="1"/>
  <c r="D95" i="13"/>
  <c r="Z95" i="13" s="1"/>
  <c r="D148" i="13"/>
  <c r="Z148" i="13" s="1"/>
  <c r="D281" i="13"/>
  <c r="Z281" i="13" s="1"/>
  <c r="D285" i="3"/>
  <c r="Z285" i="3" s="1"/>
  <c r="D44" i="15"/>
  <c r="I46" i="15"/>
  <c r="AH7" i="13"/>
  <c r="I46" i="14"/>
  <c r="H17" i="1"/>
  <c r="AG7" i="3"/>
  <c r="AG6" i="3"/>
  <c r="AH6" i="3" s="1"/>
  <c r="D59" i="13"/>
  <c r="Z59" i="13" s="1"/>
  <c r="D266" i="13"/>
  <c r="Z266" i="13" s="1"/>
  <c r="D358" i="13"/>
  <c r="Z358" i="13" s="1"/>
  <c r="D279" i="13"/>
  <c r="Z279" i="13" s="1"/>
  <c r="D363" i="13"/>
  <c r="Z363" i="13" s="1"/>
  <c r="D162" i="13"/>
  <c r="Z162" i="13" s="1"/>
  <c r="D122" i="13"/>
  <c r="Z122" i="13" s="1"/>
  <c r="D74" i="13"/>
  <c r="Z74" i="13" s="1"/>
  <c r="D42" i="13"/>
  <c r="Z42" i="13" s="1"/>
  <c r="D284" i="13"/>
  <c r="Z284" i="13" s="1"/>
  <c r="D351" i="3"/>
  <c r="Z351" i="3" s="1"/>
  <c r="D215" i="3"/>
  <c r="Z215" i="3" s="1"/>
  <c r="C71" i="1"/>
  <c r="D71" i="1" s="1"/>
  <c r="E5" i="15"/>
  <c r="E5" i="14"/>
  <c r="I6" i="6"/>
  <c r="O6" i="6" s="1"/>
  <c r="K6" i="6"/>
  <c r="J6" i="6"/>
  <c r="L6" i="6"/>
  <c r="B8" i="6"/>
  <c r="G5" i="14"/>
  <c r="G5" i="15"/>
  <c r="D5" i="15"/>
  <c r="D5" i="14"/>
  <c r="S14" i="1"/>
  <c r="Q15" i="1"/>
  <c r="T12" i="1"/>
  <c r="V11" i="1"/>
  <c r="Y12" i="1"/>
  <c r="W13" i="1"/>
  <c r="F5" i="15"/>
  <c r="F5" i="14"/>
  <c r="S12" i="1"/>
  <c r="O168" i="6"/>
  <c r="O172" i="6"/>
  <c r="O176" i="6"/>
  <c r="O180" i="6"/>
  <c r="O184" i="6"/>
  <c r="O188" i="6"/>
  <c r="O192" i="6"/>
  <c r="O196" i="6"/>
  <c r="O200" i="6"/>
  <c r="O204" i="6"/>
  <c r="O208" i="6"/>
  <c r="O212" i="6"/>
  <c r="O170" i="6"/>
  <c r="O174" i="6"/>
  <c r="O178" i="6"/>
  <c r="O182" i="6"/>
  <c r="O186" i="6"/>
  <c r="O190" i="6"/>
  <c r="O194" i="6"/>
  <c r="O198" i="6"/>
  <c r="O202" i="6"/>
  <c r="O8" i="3"/>
  <c r="O8" i="13"/>
  <c r="M13" i="1"/>
  <c r="O7" i="3"/>
  <c r="O7" i="13"/>
  <c r="B9" i="3"/>
  <c r="AF9" i="3" s="1"/>
  <c r="C8" i="3"/>
  <c r="P8" i="3"/>
  <c r="S8" i="3" s="1"/>
  <c r="P8" i="13"/>
  <c r="S8" i="13" s="1"/>
  <c r="N13" i="1"/>
  <c r="O11" i="1"/>
  <c r="P7" i="3"/>
  <c r="S7" i="3" s="1"/>
  <c r="P7" i="13"/>
  <c r="S7" i="13" s="1"/>
  <c r="B8" i="13"/>
  <c r="AF8" i="13" s="1"/>
  <c r="J6" i="13"/>
  <c r="J7" i="13"/>
  <c r="F32" i="7"/>
  <c r="X7" i="7" s="1"/>
  <c r="M7" i="7" s="1"/>
  <c r="Z7" i="7"/>
  <c r="H8" i="7"/>
  <c r="L7" i="7"/>
  <c r="D183" i="3"/>
  <c r="Z183" i="3" s="1"/>
  <c r="D41" i="3"/>
  <c r="Z41" i="3" s="1"/>
  <c r="P8" i="7"/>
  <c r="X8" i="7" s="1"/>
  <c r="D43" i="13"/>
  <c r="Z43" i="13" s="1"/>
  <c r="D294" i="13"/>
  <c r="Z294" i="13" s="1"/>
  <c r="D263" i="13"/>
  <c r="Z263" i="13" s="1"/>
  <c r="D194" i="13"/>
  <c r="Z194" i="13" s="1"/>
  <c r="D111" i="13"/>
  <c r="Z111" i="13" s="1"/>
  <c r="D128" i="13"/>
  <c r="Z128" i="13" s="1"/>
  <c r="D199" i="13"/>
  <c r="Z199" i="13" s="1"/>
  <c r="D319" i="3"/>
  <c r="Z319" i="3" s="1"/>
  <c r="D301" i="3"/>
  <c r="Z301" i="3" s="1"/>
  <c r="D287" i="3"/>
  <c r="Z287" i="3" s="1"/>
  <c r="D231" i="3"/>
  <c r="Z231" i="3" s="1"/>
  <c r="D221" i="3"/>
  <c r="Z221" i="3" s="1"/>
  <c r="D207" i="3"/>
  <c r="Z207" i="3" s="1"/>
  <c r="D123" i="3"/>
  <c r="Z123" i="3" s="1"/>
  <c r="D105" i="3"/>
  <c r="Z105" i="3" s="1"/>
  <c r="D59" i="3"/>
  <c r="Z59" i="3" s="1"/>
  <c r="D10" i="13"/>
  <c r="Z10" i="13" s="1"/>
  <c r="D246" i="13"/>
  <c r="Z246" i="13" s="1"/>
  <c r="D330" i="13"/>
  <c r="Z330" i="13" s="1"/>
  <c r="D38" i="13"/>
  <c r="Z38" i="13" s="1"/>
  <c r="D299" i="13"/>
  <c r="Z299" i="13" s="1"/>
  <c r="D343" i="13"/>
  <c r="Z343" i="13" s="1"/>
  <c r="D175" i="13"/>
  <c r="Z175" i="13" s="1"/>
  <c r="D154" i="13"/>
  <c r="Z154" i="13" s="1"/>
  <c r="D130" i="13"/>
  <c r="Z130" i="13" s="1"/>
  <c r="D90" i="13"/>
  <c r="Z90" i="13" s="1"/>
  <c r="D66" i="13"/>
  <c r="Z66" i="13" s="1"/>
  <c r="D28" i="13"/>
  <c r="Z28" i="13" s="1"/>
  <c r="D173" i="13"/>
  <c r="Z173" i="13" s="1"/>
  <c r="D109" i="13"/>
  <c r="Z109" i="13" s="1"/>
  <c r="D33" i="13"/>
  <c r="Z33" i="13" s="1"/>
  <c r="D52" i="13"/>
  <c r="Z52" i="13" s="1"/>
  <c r="D55" i="13"/>
  <c r="Z55" i="13" s="1"/>
  <c r="D13" i="13"/>
  <c r="Z13" i="13" s="1"/>
  <c r="D262" i="13"/>
  <c r="Z262" i="13" s="1"/>
  <c r="D298" i="13"/>
  <c r="Z298" i="13" s="1"/>
  <c r="D342" i="13"/>
  <c r="Z342" i="13" s="1"/>
  <c r="D231" i="13"/>
  <c r="Z231" i="13" s="1"/>
  <c r="D267" i="13"/>
  <c r="Z267" i="13" s="1"/>
  <c r="D311" i="13"/>
  <c r="Z311" i="13" s="1"/>
  <c r="D359" i="13"/>
  <c r="Z359" i="13" s="1"/>
  <c r="D191" i="13"/>
  <c r="Z191" i="13" s="1"/>
  <c r="D170" i="13"/>
  <c r="Z170" i="13" s="1"/>
  <c r="D146" i="13"/>
  <c r="Z146" i="13" s="1"/>
  <c r="D127" i="13"/>
  <c r="Z127" i="13" s="1"/>
  <c r="D106" i="13"/>
  <c r="Z106" i="13" s="1"/>
  <c r="D82" i="13"/>
  <c r="Z82" i="13" s="1"/>
  <c r="D62" i="13"/>
  <c r="Z62" i="13" s="1"/>
  <c r="D205" i="13"/>
  <c r="Z205" i="13" s="1"/>
  <c r="D157" i="13"/>
  <c r="Z157" i="13" s="1"/>
  <c r="D97" i="13"/>
  <c r="Z97" i="13" s="1"/>
  <c r="D192" i="13"/>
  <c r="Z192" i="13" s="1"/>
  <c r="D96" i="13"/>
  <c r="Z96" i="13" s="1"/>
  <c r="D316" i="13"/>
  <c r="Z316" i="13" s="1"/>
  <c r="D313" i="13"/>
  <c r="Z313" i="13" s="1"/>
  <c r="D252" i="13"/>
  <c r="Z252" i="13" s="1"/>
  <c r="D249" i="13"/>
  <c r="Z249" i="13" s="1"/>
  <c r="D343" i="3"/>
  <c r="Z343" i="3" s="1"/>
  <c r="D333" i="3"/>
  <c r="Z333" i="3" s="1"/>
  <c r="D311" i="3"/>
  <c r="Z311" i="3" s="1"/>
  <c r="D255" i="3"/>
  <c r="Z255" i="3" s="1"/>
  <c r="D237" i="3"/>
  <c r="Z237" i="3" s="1"/>
  <c r="D223" i="3"/>
  <c r="Z223" i="3" s="1"/>
  <c r="D155" i="3"/>
  <c r="Z155" i="3" s="1"/>
  <c r="D137" i="3"/>
  <c r="Z137" i="3" s="1"/>
  <c r="D107" i="3"/>
  <c r="Z107" i="3" s="1"/>
  <c r="D79" i="13"/>
  <c r="Z79" i="13" s="1"/>
  <c r="D46" i="13"/>
  <c r="Z46" i="13" s="1"/>
  <c r="D189" i="13"/>
  <c r="Z189" i="13" s="1"/>
  <c r="D153" i="13"/>
  <c r="Z153" i="13" s="1"/>
  <c r="D77" i="13"/>
  <c r="Z77" i="13" s="1"/>
  <c r="D160" i="13"/>
  <c r="Z160" i="13" s="1"/>
  <c r="D84" i="13"/>
  <c r="Z84" i="13" s="1"/>
  <c r="D215" i="13"/>
  <c r="Z215" i="13" s="1"/>
  <c r="D212" i="13"/>
  <c r="Z212" i="13" s="1"/>
  <c r="D14" i="13"/>
  <c r="Z14" i="13" s="1"/>
  <c r="D359" i="3"/>
  <c r="Z359" i="3" s="1"/>
  <c r="D349" i="3"/>
  <c r="Z349" i="3" s="1"/>
  <c r="D335" i="3"/>
  <c r="Z335" i="3" s="1"/>
  <c r="D279" i="3"/>
  <c r="Z279" i="3" s="1"/>
  <c r="D269" i="3"/>
  <c r="Z269" i="3" s="1"/>
  <c r="D247" i="3"/>
  <c r="Z247" i="3" s="1"/>
  <c r="D191" i="3"/>
  <c r="Z191" i="3" s="1"/>
  <c r="D169" i="3"/>
  <c r="Z169" i="3" s="1"/>
  <c r="D139" i="3"/>
  <c r="Z139" i="3" s="1"/>
  <c r="D27" i="3"/>
  <c r="Z27" i="3" s="1"/>
  <c r="D39" i="13"/>
  <c r="Z39" i="13" s="1"/>
  <c r="D7" i="13"/>
  <c r="Z7" i="13" s="1"/>
  <c r="AA7" i="13" s="1"/>
  <c r="D218" i="13"/>
  <c r="Z218" i="13" s="1"/>
  <c r="D250" i="13"/>
  <c r="Z250" i="13" s="1"/>
  <c r="D282" i="13"/>
  <c r="Z282" i="13" s="1"/>
  <c r="D314" i="13"/>
  <c r="Z314" i="13" s="1"/>
  <c r="D346" i="13"/>
  <c r="Z346" i="13" s="1"/>
  <c r="D219" i="13"/>
  <c r="Z219" i="13" s="1"/>
  <c r="D251" i="13"/>
  <c r="Z251" i="13" s="1"/>
  <c r="D283" i="13"/>
  <c r="Z283" i="13" s="1"/>
  <c r="D315" i="13"/>
  <c r="Z315" i="13" s="1"/>
  <c r="D347" i="13"/>
  <c r="Z347" i="13" s="1"/>
  <c r="D202" i="13"/>
  <c r="Z202" i="13" s="1"/>
  <c r="D183" i="13"/>
  <c r="Z183" i="13" s="1"/>
  <c r="D167" i="13"/>
  <c r="Z167" i="13" s="1"/>
  <c r="D151" i="13"/>
  <c r="Z151" i="13" s="1"/>
  <c r="D135" i="13"/>
  <c r="Z135" i="13" s="1"/>
  <c r="D119" i="13"/>
  <c r="Z119" i="13" s="1"/>
  <c r="D103" i="13"/>
  <c r="Z103" i="13" s="1"/>
  <c r="D87" i="13"/>
  <c r="Z87" i="13" s="1"/>
  <c r="D71" i="13"/>
  <c r="Z71" i="13" s="1"/>
  <c r="D45" i="13"/>
  <c r="Z45" i="13" s="1"/>
  <c r="D201" i="13"/>
  <c r="Z201" i="13" s="1"/>
  <c r="D169" i="13"/>
  <c r="Z169" i="13" s="1"/>
  <c r="D129" i="13"/>
  <c r="Z129" i="13" s="1"/>
  <c r="D65" i="13"/>
  <c r="Z65" i="13" s="1"/>
  <c r="D180" i="13"/>
  <c r="Z180" i="13" s="1"/>
  <c r="D116" i="13"/>
  <c r="Z116" i="13" s="1"/>
  <c r="D40" i="13"/>
  <c r="Z40" i="13" s="1"/>
  <c r="D364" i="13"/>
  <c r="Z364" i="13" s="1"/>
  <c r="D361" i="13"/>
  <c r="Z361" i="13" s="1"/>
  <c r="D332" i="13"/>
  <c r="Z332" i="13" s="1"/>
  <c r="D329" i="13"/>
  <c r="Z329" i="13" s="1"/>
  <c r="D300" i="13"/>
  <c r="Z300" i="13" s="1"/>
  <c r="D297" i="13"/>
  <c r="Z297" i="13" s="1"/>
  <c r="D268" i="13"/>
  <c r="Z268" i="13" s="1"/>
  <c r="D265" i="13"/>
  <c r="Z265" i="13" s="1"/>
  <c r="D236" i="13"/>
  <c r="Z236" i="13" s="1"/>
  <c r="D233" i="13"/>
  <c r="Z233" i="13" s="1"/>
  <c r="D365" i="3"/>
  <c r="Z365" i="3" s="1"/>
  <c r="D327" i="3"/>
  <c r="Z327" i="3" s="1"/>
  <c r="D317" i="3"/>
  <c r="Z317" i="3" s="1"/>
  <c r="D303" i="3"/>
  <c r="Z303" i="3" s="1"/>
  <c r="D263" i="3"/>
  <c r="Z263" i="3" s="1"/>
  <c r="D253" i="3"/>
  <c r="Z253" i="3" s="1"/>
  <c r="D239" i="3"/>
  <c r="Z239" i="3" s="1"/>
  <c r="D199" i="3"/>
  <c r="Z199" i="3" s="1"/>
  <c r="D189" i="3"/>
  <c r="Z189" i="3" s="1"/>
  <c r="D171" i="3"/>
  <c r="Z171" i="3" s="1"/>
  <c r="D91" i="3"/>
  <c r="Z91" i="3" s="1"/>
  <c r="D73" i="3"/>
  <c r="Z73" i="3" s="1"/>
  <c r="D43" i="3"/>
  <c r="Z43" i="3" s="1"/>
  <c r="D357" i="3"/>
  <c r="Z357" i="3" s="1"/>
  <c r="D341" i="3"/>
  <c r="Z341" i="3" s="1"/>
  <c r="D325" i="3"/>
  <c r="Z325" i="3" s="1"/>
  <c r="D309" i="3"/>
  <c r="Z309" i="3" s="1"/>
  <c r="D293" i="3"/>
  <c r="Z293" i="3" s="1"/>
  <c r="D277" i="3"/>
  <c r="Z277" i="3" s="1"/>
  <c r="D261" i="3"/>
  <c r="Z261" i="3" s="1"/>
  <c r="D245" i="3"/>
  <c r="Z245" i="3" s="1"/>
  <c r="D229" i="3"/>
  <c r="Z229" i="3" s="1"/>
  <c r="D213" i="3"/>
  <c r="Z213" i="3" s="1"/>
  <c r="D197" i="3"/>
  <c r="Z197" i="3" s="1"/>
  <c r="D181" i="3"/>
  <c r="Z181" i="3" s="1"/>
  <c r="D153" i="3"/>
  <c r="Z153" i="3" s="1"/>
  <c r="D121" i="3"/>
  <c r="Z121" i="3" s="1"/>
  <c r="D89" i="3"/>
  <c r="Z89" i="3" s="1"/>
  <c r="D57" i="3"/>
  <c r="Z57" i="3" s="1"/>
  <c r="D25" i="3"/>
  <c r="Z25" i="3" s="1"/>
  <c r="D9" i="3"/>
  <c r="Z9" i="3" s="1"/>
  <c r="D8" i="3"/>
  <c r="Z8" i="3" s="1"/>
  <c r="D11" i="3"/>
  <c r="Z11" i="3" s="1"/>
  <c r="D12" i="3"/>
  <c r="Z12" i="3" s="1"/>
  <c r="D14" i="3"/>
  <c r="Z14" i="3" s="1"/>
  <c r="D16" i="3"/>
  <c r="Z16" i="3" s="1"/>
  <c r="D18" i="3"/>
  <c r="Z18" i="3" s="1"/>
  <c r="D20" i="3"/>
  <c r="Z20" i="3" s="1"/>
  <c r="D22" i="3"/>
  <c r="Z22" i="3" s="1"/>
  <c r="D24" i="3"/>
  <c r="Z24" i="3" s="1"/>
  <c r="D26" i="3"/>
  <c r="Z26" i="3" s="1"/>
  <c r="D28" i="3"/>
  <c r="Z28" i="3" s="1"/>
  <c r="D30" i="3"/>
  <c r="Z30" i="3" s="1"/>
  <c r="D32" i="3"/>
  <c r="Z32" i="3" s="1"/>
  <c r="D34" i="3"/>
  <c r="Z34" i="3" s="1"/>
  <c r="D36" i="3"/>
  <c r="Z36" i="3" s="1"/>
  <c r="D38" i="3"/>
  <c r="Z38" i="3" s="1"/>
  <c r="D40" i="3"/>
  <c r="Z40" i="3" s="1"/>
  <c r="D42" i="3"/>
  <c r="Z42" i="3" s="1"/>
  <c r="D44" i="3"/>
  <c r="Z44" i="3" s="1"/>
  <c r="D46" i="3"/>
  <c r="Z46" i="3" s="1"/>
  <c r="D48" i="3"/>
  <c r="Z48" i="3" s="1"/>
  <c r="D50" i="3"/>
  <c r="Z50" i="3" s="1"/>
  <c r="D52" i="3"/>
  <c r="Z52" i="3" s="1"/>
  <c r="D54" i="3"/>
  <c r="Z54" i="3" s="1"/>
  <c r="D56" i="3"/>
  <c r="Z56" i="3" s="1"/>
  <c r="D58" i="3"/>
  <c r="Z58" i="3" s="1"/>
  <c r="D60" i="3"/>
  <c r="Z60" i="3" s="1"/>
  <c r="D62" i="3"/>
  <c r="Z62" i="3" s="1"/>
  <c r="D64" i="3"/>
  <c r="Z64" i="3" s="1"/>
  <c r="D66" i="3"/>
  <c r="Z66" i="3" s="1"/>
  <c r="D68" i="3"/>
  <c r="Z68" i="3" s="1"/>
  <c r="D70" i="3"/>
  <c r="Z70" i="3" s="1"/>
  <c r="D72" i="3"/>
  <c r="Z72" i="3" s="1"/>
  <c r="D74" i="3"/>
  <c r="Z74" i="3" s="1"/>
  <c r="D76" i="3"/>
  <c r="Z76" i="3" s="1"/>
  <c r="D78" i="3"/>
  <c r="Z78" i="3" s="1"/>
  <c r="D80" i="3"/>
  <c r="Z80" i="3" s="1"/>
  <c r="D82" i="3"/>
  <c r="Z82" i="3" s="1"/>
  <c r="D84" i="3"/>
  <c r="Z84" i="3" s="1"/>
  <c r="D86" i="3"/>
  <c r="Z86" i="3" s="1"/>
  <c r="D88" i="3"/>
  <c r="Z88" i="3" s="1"/>
  <c r="D90" i="3"/>
  <c r="Z90" i="3" s="1"/>
  <c r="D92" i="3"/>
  <c r="Z92" i="3" s="1"/>
  <c r="D94" i="3"/>
  <c r="Z94" i="3" s="1"/>
  <c r="D96" i="3"/>
  <c r="Z96" i="3" s="1"/>
  <c r="D98" i="3"/>
  <c r="Z98" i="3" s="1"/>
  <c r="D100" i="3"/>
  <c r="Z100" i="3" s="1"/>
  <c r="D102" i="3"/>
  <c r="Z102" i="3" s="1"/>
  <c r="D104" i="3"/>
  <c r="Z104" i="3" s="1"/>
  <c r="D106" i="3"/>
  <c r="Z106" i="3" s="1"/>
  <c r="D108" i="3"/>
  <c r="Z108" i="3" s="1"/>
  <c r="D110" i="3"/>
  <c r="Z110" i="3" s="1"/>
  <c r="D112" i="3"/>
  <c r="Z112" i="3" s="1"/>
  <c r="D114" i="3"/>
  <c r="Z114" i="3" s="1"/>
  <c r="D116" i="3"/>
  <c r="Z116" i="3" s="1"/>
  <c r="D118" i="3"/>
  <c r="Z118" i="3" s="1"/>
  <c r="D120" i="3"/>
  <c r="Z120" i="3" s="1"/>
  <c r="D122" i="3"/>
  <c r="Z122" i="3" s="1"/>
  <c r="D124" i="3"/>
  <c r="Z124" i="3" s="1"/>
  <c r="D126" i="3"/>
  <c r="Z126" i="3" s="1"/>
  <c r="D128" i="3"/>
  <c r="Z128" i="3" s="1"/>
  <c r="D130" i="3"/>
  <c r="Z130" i="3" s="1"/>
  <c r="D132" i="3"/>
  <c r="Z132" i="3" s="1"/>
  <c r="D134" i="3"/>
  <c r="Z134" i="3" s="1"/>
  <c r="D136" i="3"/>
  <c r="Z136" i="3" s="1"/>
  <c r="D138" i="3"/>
  <c r="Z138" i="3" s="1"/>
  <c r="D140" i="3"/>
  <c r="Z140" i="3" s="1"/>
  <c r="D142" i="3"/>
  <c r="Z142" i="3" s="1"/>
  <c r="D144" i="3"/>
  <c r="Z144" i="3" s="1"/>
  <c r="D146" i="3"/>
  <c r="Z146" i="3" s="1"/>
  <c r="D148" i="3"/>
  <c r="Z148" i="3" s="1"/>
  <c r="D150" i="3"/>
  <c r="Z150" i="3" s="1"/>
  <c r="D152" i="3"/>
  <c r="Z152" i="3" s="1"/>
  <c r="D154" i="3"/>
  <c r="Z154" i="3" s="1"/>
  <c r="D156" i="3"/>
  <c r="Z156" i="3" s="1"/>
  <c r="D158" i="3"/>
  <c r="Z158" i="3" s="1"/>
  <c r="D160" i="3"/>
  <c r="Z160" i="3" s="1"/>
  <c r="D162" i="3"/>
  <c r="Z162" i="3" s="1"/>
  <c r="D164" i="3"/>
  <c r="Z164" i="3" s="1"/>
  <c r="D166" i="3"/>
  <c r="Z166" i="3" s="1"/>
  <c r="D168" i="3"/>
  <c r="Z168" i="3" s="1"/>
  <c r="D170" i="3"/>
  <c r="Z170" i="3" s="1"/>
  <c r="D172" i="3"/>
  <c r="Z172" i="3" s="1"/>
  <c r="D174" i="3"/>
  <c r="Z174" i="3" s="1"/>
  <c r="D176" i="3"/>
  <c r="Z176" i="3" s="1"/>
  <c r="D15" i="3"/>
  <c r="Z15" i="3" s="1"/>
  <c r="D23" i="3"/>
  <c r="Z23" i="3" s="1"/>
  <c r="D31" i="3"/>
  <c r="Z31" i="3" s="1"/>
  <c r="D39" i="3"/>
  <c r="Z39" i="3" s="1"/>
  <c r="D47" i="3"/>
  <c r="Z47" i="3" s="1"/>
  <c r="D55" i="3"/>
  <c r="Z55" i="3" s="1"/>
  <c r="D63" i="3"/>
  <c r="Z63" i="3" s="1"/>
  <c r="D71" i="3"/>
  <c r="Z71" i="3" s="1"/>
  <c r="D79" i="3"/>
  <c r="Z79" i="3" s="1"/>
  <c r="D87" i="3"/>
  <c r="Z87" i="3" s="1"/>
  <c r="D95" i="3"/>
  <c r="Z95" i="3" s="1"/>
  <c r="D103" i="3"/>
  <c r="Z103" i="3" s="1"/>
  <c r="D111" i="3"/>
  <c r="Z111" i="3" s="1"/>
  <c r="D119" i="3"/>
  <c r="Z119" i="3" s="1"/>
  <c r="D127" i="3"/>
  <c r="Z127" i="3" s="1"/>
  <c r="D135" i="3"/>
  <c r="Z135" i="3" s="1"/>
  <c r="D143" i="3"/>
  <c r="Z143" i="3" s="1"/>
  <c r="D151" i="3"/>
  <c r="Z151" i="3" s="1"/>
  <c r="D159" i="3"/>
  <c r="Z159" i="3" s="1"/>
  <c r="D167" i="3"/>
  <c r="Z167" i="3" s="1"/>
  <c r="D175" i="3"/>
  <c r="Z175" i="3" s="1"/>
  <c r="D15" i="13"/>
  <c r="Z15" i="13" s="1"/>
  <c r="D17" i="13"/>
  <c r="Z17" i="13" s="1"/>
  <c r="D22" i="13"/>
  <c r="Z22" i="13" s="1"/>
  <c r="D200" i="13"/>
  <c r="Z200" i="13" s="1"/>
  <c r="D203" i="13"/>
  <c r="Z203" i="13" s="1"/>
  <c r="D208" i="13"/>
  <c r="Z208" i="13" s="1"/>
  <c r="D211" i="13"/>
  <c r="Z211" i="13" s="1"/>
  <c r="D216" i="13"/>
  <c r="Z216" i="13" s="1"/>
  <c r="D221" i="13"/>
  <c r="Z221" i="13" s="1"/>
  <c r="D224" i="13"/>
  <c r="Z224" i="13" s="1"/>
  <c r="D229" i="13"/>
  <c r="Z229" i="13" s="1"/>
  <c r="D232" i="13"/>
  <c r="Z232" i="13" s="1"/>
  <c r="D237" i="13"/>
  <c r="Z237" i="13" s="1"/>
  <c r="D240" i="13"/>
  <c r="Z240" i="13" s="1"/>
  <c r="D245" i="13"/>
  <c r="Z245" i="13" s="1"/>
  <c r="D248" i="13"/>
  <c r="Z248" i="13" s="1"/>
  <c r="D253" i="13"/>
  <c r="Z253" i="13" s="1"/>
  <c r="D256" i="13"/>
  <c r="Z256" i="13" s="1"/>
  <c r="D261" i="13"/>
  <c r="Z261" i="13" s="1"/>
  <c r="D264" i="13"/>
  <c r="Z264" i="13" s="1"/>
  <c r="D269" i="13"/>
  <c r="Z269" i="13" s="1"/>
  <c r="D272" i="13"/>
  <c r="Z272" i="13" s="1"/>
  <c r="D277" i="13"/>
  <c r="Z277" i="13" s="1"/>
  <c r="D280" i="13"/>
  <c r="Z280" i="13" s="1"/>
  <c r="D285" i="13"/>
  <c r="Z285" i="13" s="1"/>
  <c r="D288" i="13"/>
  <c r="Z288" i="13" s="1"/>
  <c r="D293" i="13"/>
  <c r="Z293" i="13" s="1"/>
  <c r="D296" i="13"/>
  <c r="Z296" i="13" s="1"/>
  <c r="D301" i="13"/>
  <c r="Z301" i="13" s="1"/>
  <c r="D304" i="13"/>
  <c r="Z304" i="13" s="1"/>
  <c r="D309" i="13"/>
  <c r="Z309" i="13" s="1"/>
  <c r="D312" i="13"/>
  <c r="Z312" i="13" s="1"/>
  <c r="D317" i="13"/>
  <c r="Z317" i="13" s="1"/>
  <c r="D320" i="13"/>
  <c r="Z320" i="13" s="1"/>
  <c r="D325" i="13"/>
  <c r="Z325" i="13" s="1"/>
  <c r="D328" i="13"/>
  <c r="Z328" i="13" s="1"/>
  <c r="D333" i="13"/>
  <c r="Z333" i="13" s="1"/>
  <c r="D336" i="13"/>
  <c r="Z336" i="13" s="1"/>
  <c r="D341" i="13"/>
  <c r="Z341" i="13" s="1"/>
  <c r="D344" i="13"/>
  <c r="Z344" i="13" s="1"/>
  <c r="D349" i="13"/>
  <c r="Z349" i="13" s="1"/>
  <c r="D352" i="13"/>
  <c r="Z352" i="13" s="1"/>
  <c r="D357" i="13"/>
  <c r="Z357" i="13" s="1"/>
  <c r="D360" i="13"/>
  <c r="Z360" i="13" s="1"/>
  <c r="D365" i="13"/>
  <c r="Z365" i="13" s="1"/>
  <c r="D54" i="13"/>
  <c r="Z54" i="13" s="1"/>
  <c r="D19" i="13"/>
  <c r="Z19" i="13" s="1"/>
  <c r="D48" i="13"/>
  <c r="Z48" i="13" s="1"/>
  <c r="D72" i="13"/>
  <c r="Z72" i="13" s="1"/>
  <c r="D88" i="13"/>
  <c r="Z88" i="13" s="1"/>
  <c r="D104" i="13"/>
  <c r="Z104" i="13" s="1"/>
  <c r="D120" i="13"/>
  <c r="Z120" i="13" s="1"/>
  <c r="D136" i="13"/>
  <c r="Z136" i="13" s="1"/>
  <c r="D152" i="13"/>
  <c r="Z152" i="13" s="1"/>
  <c r="D168" i="13"/>
  <c r="Z168" i="13" s="1"/>
  <c r="D184" i="13"/>
  <c r="Z184" i="13" s="1"/>
  <c r="D20" i="13"/>
  <c r="Z20" i="13" s="1"/>
  <c r="D34" i="13"/>
  <c r="Z34" i="13" s="1"/>
  <c r="D50" i="13"/>
  <c r="Z50" i="13" s="1"/>
  <c r="D69" i="13"/>
  <c r="Z69" i="13" s="1"/>
  <c r="D85" i="13"/>
  <c r="Z85" i="13" s="1"/>
  <c r="D101" i="13"/>
  <c r="Z101" i="13" s="1"/>
  <c r="D117" i="13"/>
  <c r="Z117" i="13" s="1"/>
  <c r="D133" i="13"/>
  <c r="Z133" i="13" s="1"/>
  <c r="D13" i="3"/>
  <c r="Z13" i="3" s="1"/>
  <c r="D21" i="3"/>
  <c r="Z21" i="3" s="1"/>
  <c r="D29" i="3"/>
  <c r="Z29" i="3" s="1"/>
  <c r="D37" i="3"/>
  <c r="Z37" i="3" s="1"/>
  <c r="D45" i="3"/>
  <c r="Z45" i="3" s="1"/>
  <c r="D53" i="3"/>
  <c r="Z53" i="3" s="1"/>
  <c r="D61" i="3"/>
  <c r="Z61" i="3" s="1"/>
  <c r="D69" i="3"/>
  <c r="Z69" i="3" s="1"/>
  <c r="D77" i="3"/>
  <c r="Z77" i="3" s="1"/>
  <c r="D85" i="3"/>
  <c r="Z85" i="3" s="1"/>
  <c r="D93" i="3"/>
  <c r="Z93" i="3" s="1"/>
  <c r="D101" i="3"/>
  <c r="Z101" i="3" s="1"/>
  <c r="D109" i="3"/>
  <c r="Z109" i="3" s="1"/>
  <c r="D117" i="3"/>
  <c r="Z117" i="3" s="1"/>
  <c r="D125" i="3"/>
  <c r="Z125" i="3" s="1"/>
  <c r="D133" i="3"/>
  <c r="Z133" i="3" s="1"/>
  <c r="D141" i="3"/>
  <c r="Z141" i="3" s="1"/>
  <c r="D149" i="3"/>
  <c r="Z149" i="3" s="1"/>
  <c r="D157" i="3"/>
  <c r="Z157" i="3" s="1"/>
  <c r="D165" i="3"/>
  <c r="Z165" i="3" s="1"/>
  <c r="D173" i="3"/>
  <c r="Z173" i="3" s="1"/>
  <c r="D178" i="3"/>
  <c r="Z178" i="3" s="1"/>
  <c r="D180" i="3"/>
  <c r="Z180" i="3" s="1"/>
  <c r="D182" i="3"/>
  <c r="Z182" i="3" s="1"/>
  <c r="D184" i="3"/>
  <c r="Z184" i="3" s="1"/>
  <c r="D186" i="3"/>
  <c r="Z186" i="3" s="1"/>
  <c r="D188" i="3"/>
  <c r="Z188" i="3" s="1"/>
  <c r="D190" i="3"/>
  <c r="Z190" i="3" s="1"/>
  <c r="D192" i="3"/>
  <c r="Z192" i="3" s="1"/>
  <c r="D194" i="3"/>
  <c r="Z194" i="3" s="1"/>
  <c r="D196" i="3"/>
  <c r="Z196" i="3" s="1"/>
  <c r="D198" i="3"/>
  <c r="Z198" i="3" s="1"/>
  <c r="D200" i="3"/>
  <c r="Z200" i="3" s="1"/>
  <c r="D202" i="3"/>
  <c r="Z202" i="3" s="1"/>
  <c r="D204" i="3"/>
  <c r="Z204" i="3" s="1"/>
  <c r="D206" i="3"/>
  <c r="Z206" i="3" s="1"/>
  <c r="D208" i="3"/>
  <c r="Z208" i="3" s="1"/>
  <c r="D210" i="3"/>
  <c r="Z210" i="3" s="1"/>
  <c r="D212" i="3"/>
  <c r="Z212" i="3" s="1"/>
  <c r="D214" i="3"/>
  <c r="Z214" i="3" s="1"/>
  <c r="D216" i="3"/>
  <c r="Z216" i="3" s="1"/>
  <c r="D218" i="3"/>
  <c r="Z218" i="3" s="1"/>
  <c r="D220" i="3"/>
  <c r="Z220" i="3" s="1"/>
  <c r="D222" i="3"/>
  <c r="Z222" i="3" s="1"/>
  <c r="D224" i="3"/>
  <c r="Z224" i="3" s="1"/>
  <c r="D226" i="3"/>
  <c r="Z226" i="3" s="1"/>
  <c r="D228" i="3"/>
  <c r="Z228" i="3" s="1"/>
  <c r="D230" i="3"/>
  <c r="Z230" i="3" s="1"/>
  <c r="D232" i="3"/>
  <c r="Z232" i="3" s="1"/>
  <c r="D234" i="3"/>
  <c r="Z234" i="3" s="1"/>
  <c r="D236" i="3"/>
  <c r="Z236" i="3" s="1"/>
  <c r="D238" i="3"/>
  <c r="Z238" i="3" s="1"/>
  <c r="D240" i="3"/>
  <c r="Z240" i="3" s="1"/>
  <c r="D242" i="3"/>
  <c r="Z242" i="3" s="1"/>
  <c r="D244" i="3"/>
  <c r="Z244" i="3" s="1"/>
  <c r="D246" i="3"/>
  <c r="Z246" i="3" s="1"/>
  <c r="D248" i="3"/>
  <c r="Z248" i="3" s="1"/>
  <c r="D250" i="3"/>
  <c r="Z250" i="3" s="1"/>
  <c r="D252" i="3"/>
  <c r="Z252" i="3" s="1"/>
  <c r="D254" i="3"/>
  <c r="Z254" i="3" s="1"/>
  <c r="D256" i="3"/>
  <c r="Z256" i="3" s="1"/>
  <c r="D258" i="3"/>
  <c r="Z258" i="3" s="1"/>
  <c r="D260" i="3"/>
  <c r="Z260" i="3" s="1"/>
  <c r="D262" i="3"/>
  <c r="Z262" i="3" s="1"/>
  <c r="D264" i="3"/>
  <c r="Z264" i="3" s="1"/>
  <c r="D266" i="3"/>
  <c r="Z266" i="3" s="1"/>
  <c r="D268" i="3"/>
  <c r="Z268" i="3" s="1"/>
  <c r="D270" i="3"/>
  <c r="Z270" i="3" s="1"/>
  <c r="D272" i="3"/>
  <c r="Z272" i="3" s="1"/>
  <c r="D274" i="3"/>
  <c r="Z274" i="3" s="1"/>
  <c r="D276" i="3"/>
  <c r="Z276" i="3" s="1"/>
  <c r="D278" i="3"/>
  <c r="Z278" i="3" s="1"/>
  <c r="D280" i="3"/>
  <c r="Z280" i="3" s="1"/>
  <c r="D282" i="3"/>
  <c r="Z282" i="3" s="1"/>
  <c r="D284" i="3"/>
  <c r="Z284" i="3" s="1"/>
  <c r="D286" i="3"/>
  <c r="Z286" i="3" s="1"/>
  <c r="D288" i="3"/>
  <c r="Z288" i="3" s="1"/>
  <c r="D290" i="3"/>
  <c r="Z290" i="3" s="1"/>
  <c r="D292" i="3"/>
  <c r="Z292" i="3" s="1"/>
  <c r="D294" i="3"/>
  <c r="Z294" i="3" s="1"/>
  <c r="D296" i="3"/>
  <c r="Z296" i="3" s="1"/>
  <c r="D298" i="3"/>
  <c r="Z298" i="3" s="1"/>
  <c r="D300" i="3"/>
  <c r="Z300" i="3" s="1"/>
  <c r="D302" i="3"/>
  <c r="Z302" i="3" s="1"/>
  <c r="D304" i="3"/>
  <c r="Z304" i="3" s="1"/>
  <c r="D306" i="3"/>
  <c r="Z306" i="3" s="1"/>
  <c r="D308" i="3"/>
  <c r="Z308" i="3" s="1"/>
  <c r="D310" i="3"/>
  <c r="Z310" i="3" s="1"/>
  <c r="D312" i="3"/>
  <c r="Z312" i="3" s="1"/>
  <c r="D314" i="3"/>
  <c r="Z314" i="3" s="1"/>
  <c r="D316" i="3"/>
  <c r="Z316" i="3" s="1"/>
  <c r="D318" i="3"/>
  <c r="Z318" i="3" s="1"/>
  <c r="D320" i="3"/>
  <c r="Z320" i="3" s="1"/>
  <c r="D322" i="3"/>
  <c r="Z322" i="3" s="1"/>
  <c r="D324" i="3"/>
  <c r="Z324" i="3" s="1"/>
  <c r="D326" i="3"/>
  <c r="Z326" i="3" s="1"/>
  <c r="D328" i="3"/>
  <c r="Z328" i="3" s="1"/>
  <c r="D330" i="3"/>
  <c r="Z330" i="3" s="1"/>
  <c r="D332" i="3"/>
  <c r="Z332" i="3" s="1"/>
  <c r="D334" i="3"/>
  <c r="Z334" i="3" s="1"/>
  <c r="D336" i="3"/>
  <c r="Z336" i="3" s="1"/>
  <c r="D338" i="3"/>
  <c r="Z338" i="3" s="1"/>
  <c r="D340" i="3"/>
  <c r="Z340" i="3" s="1"/>
  <c r="D342" i="3"/>
  <c r="Z342" i="3" s="1"/>
  <c r="D344" i="3"/>
  <c r="Z344" i="3" s="1"/>
  <c r="D346" i="3"/>
  <c r="Z346" i="3" s="1"/>
  <c r="D348" i="3"/>
  <c r="Z348" i="3" s="1"/>
  <c r="D350" i="3"/>
  <c r="Z350" i="3" s="1"/>
  <c r="D352" i="3"/>
  <c r="Z352" i="3" s="1"/>
  <c r="D354" i="3"/>
  <c r="Z354" i="3" s="1"/>
  <c r="D356" i="3"/>
  <c r="Z356" i="3" s="1"/>
  <c r="D358" i="3"/>
  <c r="Z358" i="3" s="1"/>
  <c r="D360" i="3"/>
  <c r="Z360" i="3" s="1"/>
  <c r="D362" i="3"/>
  <c r="Z362" i="3" s="1"/>
  <c r="D364" i="3"/>
  <c r="Z364" i="3" s="1"/>
  <c r="D53" i="13"/>
  <c r="Z53" i="13" s="1"/>
  <c r="D24" i="13"/>
  <c r="Z24" i="13" s="1"/>
  <c r="D56" i="13"/>
  <c r="Z56" i="13" s="1"/>
  <c r="D76" i="13"/>
  <c r="Z76" i="13" s="1"/>
  <c r="D92" i="13"/>
  <c r="Z92" i="13" s="1"/>
  <c r="D108" i="13"/>
  <c r="Z108" i="13" s="1"/>
  <c r="D124" i="13"/>
  <c r="Z124" i="13" s="1"/>
  <c r="D140" i="13"/>
  <c r="Z140" i="13" s="1"/>
  <c r="D156" i="13"/>
  <c r="Z156" i="13" s="1"/>
  <c r="D172" i="13"/>
  <c r="Z172" i="13" s="1"/>
  <c r="D188" i="13"/>
  <c r="Z188" i="13" s="1"/>
  <c r="D25" i="13"/>
  <c r="Z25" i="13" s="1"/>
  <c r="D41" i="13"/>
  <c r="Z41" i="13" s="1"/>
  <c r="D57" i="13"/>
  <c r="Z57" i="13" s="1"/>
  <c r="D73" i="13"/>
  <c r="Z73" i="13" s="1"/>
  <c r="D89" i="13"/>
  <c r="Z89" i="13" s="1"/>
  <c r="D105" i="13"/>
  <c r="Z105" i="13" s="1"/>
  <c r="D121" i="13"/>
  <c r="Z121" i="13" s="1"/>
  <c r="D137" i="13"/>
  <c r="Z137" i="13" s="1"/>
  <c r="D31" i="13"/>
  <c r="Z31" i="13" s="1"/>
  <c r="D47" i="13"/>
  <c r="Z47" i="13" s="1"/>
  <c r="D63" i="13"/>
  <c r="Z63" i="13" s="1"/>
  <c r="D222" i="13"/>
  <c r="Z222" i="13" s="1"/>
  <c r="D254" i="13"/>
  <c r="Z254" i="13" s="1"/>
  <c r="D286" i="13"/>
  <c r="Z286" i="13" s="1"/>
  <c r="D334" i="13"/>
  <c r="Z334" i="13" s="1"/>
  <c r="D223" i="13"/>
  <c r="Z223" i="13" s="1"/>
  <c r="D271" i="13"/>
  <c r="Z271" i="13" s="1"/>
  <c r="D319" i="13"/>
  <c r="Z319" i="13" s="1"/>
  <c r="D351" i="13"/>
  <c r="Z351" i="13" s="1"/>
  <c r="D190" i="13"/>
  <c r="Z190" i="13" s="1"/>
  <c r="D166" i="13"/>
  <c r="Z166" i="13" s="1"/>
  <c r="D142" i="13"/>
  <c r="Z142" i="13" s="1"/>
  <c r="D126" i="13"/>
  <c r="Z126" i="13" s="1"/>
  <c r="D110" i="13"/>
  <c r="Z110" i="13" s="1"/>
  <c r="D102" i="13"/>
  <c r="Z102" i="13" s="1"/>
  <c r="D94" i="13"/>
  <c r="Z94" i="13" s="1"/>
  <c r="D86" i="13"/>
  <c r="Z86" i="13" s="1"/>
  <c r="D78" i="13"/>
  <c r="Z78" i="13" s="1"/>
  <c r="D61" i="13"/>
  <c r="Z61" i="13" s="1"/>
  <c r="D44" i="13"/>
  <c r="Z44" i="13" s="1"/>
  <c r="D213" i="13"/>
  <c r="Z213" i="13" s="1"/>
  <c r="D197" i="13"/>
  <c r="Z197" i="13" s="1"/>
  <c r="D181" i="13"/>
  <c r="Z181" i="13" s="1"/>
  <c r="D165" i="13"/>
  <c r="Z165" i="13" s="1"/>
  <c r="D149" i="13"/>
  <c r="Z149" i="13" s="1"/>
  <c r="D125" i="13"/>
  <c r="Z125" i="13" s="1"/>
  <c r="D93" i="13"/>
  <c r="Z93" i="13" s="1"/>
  <c r="D58" i="13"/>
  <c r="Z58" i="13" s="1"/>
  <c r="D26" i="13"/>
  <c r="Z26" i="13" s="1"/>
  <c r="D176" i="13"/>
  <c r="Z176" i="13" s="1"/>
  <c r="D144" i="13"/>
  <c r="Z144" i="13" s="1"/>
  <c r="D112" i="13"/>
  <c r="Z112" i="13" s="1"/>
  <c r="D80" i="13"/>
  <c r="Z80" i="13" s="1"/>
  <c r="D32" i="13"/>
  <c r="Z32" i="13" s="1"/>
  <c r="D207" i="13"/>
  <c r="Z207" i="13" s="1"/>
  <c r="D204" i="13"/>
  <c r="Z204" i="13" s="1"/>
  <c r="D16" i="13"/>
  <c r="Z16" i="13" s="1"/>
  <c r="D361" i="3"/>
  <c r="Z361" i="3" s="1"/>
  <c r="D353" i="3"/>
  <c r="Z353" i="3" s="1"/>
  <c r="D345" i="3"/>
  <c r="Z345" i="3" s="1"/>
  <c r="D337" i="3"/>
  <c r="Z337" i="3" s="1"/>
  <c r="D329" i="3"/>
  <c r="Z329" i="3" s="1"/>
  <c r="D321" i="3"/>
  <c r="Z321" i="3" s="1"/>
  <c r="D313" i="3"/>
  <c r="Z313" i="3" s="1"/>
  <c r="D305" i="3"/>
  <c r="Z305" i="3" s="1"/>
  <c r="D297" i="3"/>
  <c r="Z297" i="3" s="1"/>
  <c r="D289" i="3"/>
  <c r="Z289" i="3" s="1"/>
  <c r="D281" i="3"/>
  <c r="Z281" i="3" s="1"/>
  <c r="D273" i="3"/>
  <c r="Z273" i="3" s="1"/>
  <c r="D265" i="3"/>
  <c r="Z265" i="3" s="1"/>
  <c r="D257" i="3"/>
  <c r="Z257" i="3" s="1"/>
  <c r="D249" i="3"/>
  <c r="Z249" i="3" s="1"/>
  <c r="D241" i="3"/>
  <c r="Z241" i="3" s="1"/>
  <c r="D233" i="3"/>
  <c r="Z233" i="3" s="1"/>
  <c r="D225" i="3"/>
  <c r="Z225" i="3" s="1"/>
  <c r="D217" i="3"/>
  <c r="Z217" i="3" s="1"/>
  <c r="D209" i="3"/>
  <c r="Z209" i="3" s="1"/>
  <c r="D201" i="3"/>
  <c r="Z201" i="3" s="1"/>
  <c r="D193" i="3"/>
  <c r="Z193" i="3" s="1"/>
  <c r="D185" i="3"/>
  <c r="Z185" i="3" s="1"/>
  <c r="D177" i="3"/>
  <c r="Z177" i="3" s="1"/>
  <c r="D161" i="3"/>
  <c r="Z161" i="3" s="1"/>
  <c r="D145" i="3"/>
  <c r="Z145" i="3" s="1"/>
  <c r="D129" i="3"/>
  <c r="Z129" i="3" s="1"/>
  <c r="D113" i="3"/>
  <c r="Z113" i="3" s="1"/>
  <c r="D97" i="3"/>
  <c r="Z97" i="3" s="1"/>
  <c r="D81" i="3"/>
  <c r="Z81" i="3" s="1"/>
  <c r="D65" i="3"/>
  <c r="Z65" i="3" s="1"/>
  <c r="D49" i="3"/>
  <c r="Z49" i="3" s="1"/>
  <c r="D33" i="3"/>
  <c r="Z33" i="3" s="1"/>
  <c r="D17" i="3"/>
  <c r="Z17" i="3" s="1"/>
  <c r="D10" i="3"/>
  <c r="Z10" i="3" s="1"/>
  <c r="D7" i="3"/>
  <c r="Z7" i="3" s="1"/>
  <c r="AA7" i="3" s="1"/>
  <c r="D11" i="13"/>
  <c r="Z11" i="13" s="1"/>
  <c r="D238" i="13"/>
  <c r="Z238" i="13" s="1"/>
  <c r="D270" i="13"/>
  <c r="Z270" i="13" s="1"/>
  <c r="D302" i="13"/>
  <c r="Z302" i="13" s="1"/>
  <c r="D318" i="13"/>
  <c r="Z318" i="13" s="1"/>
  <c r="D350" i="13"/>
  <c r="Z350" i="13" s="1"/>
  <c r="D36" i="13"/>
  <c r="Z36" i="13" s="1"/>
  <c r="D239" i="13"/>
  <c r="Z239" i="13" s="1"/>
  <c r="D255" i="13"/>
  <c r="Z255" i="13" s="1"/>
  <c r="D287" i="13"/>
  <c r="Z287" i="13" s="1"/>
  <c r="D303" i="13"/>
  <c r="Z303" i="13" s="1"/>
  <c r="D335" i="13"/>
  <c r="Z335" i="13" s="1"/>
  <c r="D214" i="13"/>
  <c r="Z214" i="13" s="1"/>
  <c r="D198" i="13"/>
  <c r="Z198" i="13" s="1"/>
  <c r="D182" i="13"/>
  <c r="Z182" i="13" s="1"/>
  <c r="D174" i="13"/>
  <c r="Z174" i="13" s="1"/>
  <c r="D158" i="13"/>
  <c r="Z158" i="13" s="1"/>
  <c r="D150" i="13"/>
  <c r="Z150" i="13" s="1"/>
  <c r="D134" i="13"/>
  <c r="Z134" i="13" s="1"/>
  <c r="D118" i="13"/>
  <c r="Z118" i="13" s="1"/>
  <c r="D70" i="13"/>
  <c r="Z70" i="13" s="1"/>
  <c r="D35" i="13"/>
  <c r="Z35" i="13" s="1"/>
  <c r="D51" i="13"/>
  <c r="Z51" i="13" s="1"/>
  <c r="D6" i="13"/>
  <c r="Z6" i="13" s="1"/>
  <c r="AA6" i="13" s="1"/>
  <c r="D12" i="13"/>
  <c r="Z12" i="13" s="1"/>
  <c r="D226" i="13"/>
  <c r="Z226" i="13" s="1"/>
  <c r="D242" i="13"/>
  <c r="Z242" i="13" s="1"/>
  <c r="D258" i="13"/>
  <c r="Z258" i="13" s="1"/>
  <c r="D274" i="13"/>
  <c r="Z274" i="13" s="1"/>
  <c r="D290" i="13"/>
  <c r="Z290" i="13" s="1"/>
  <c r="D306" i="13"/>
  <c r="Z306" i="13" s="1"/>
  <c r="D322" i="13"/>
  <c r="Z322" i="13" s="1"/>
  <c r="D338" i="13"/>
  <c r="Z338" i="13" s="1"/>
  <c r="D354" i="13"/>
  <c r="Z354" i="13" s="1"/>
  <c r="D37" i="13"/>
  <c r="Z37" i="13" s="1"/>
  <c r="D227" i="13"/>
  <c r="Z227" i="13" s="1"/>
  <c r="D243" i="13"/>
  <c r="Z243" i="13" s="1"/>
  <c r="D259" i="13"/>
  <c r="Z259" i="13" s="1"/>
  <c r="D275" i="13"/>
  <c r="Z275" i="13" s="1"/>
  <c r="D291" i="13"/>
  <c r="Z291" i="13" s="1"/>
  <c r="D307" i="13"/>
  <c r="Z307" i="13" s="1"/>
  <c r="D323" i="13"/>
  <c r="Z323" i="13" s="1"/>
  <c r="D339" i="13"/>
  <c r="Z339" i="13" s="1"/>
  <c r="D355" i="13"/>
  <c r="Z355" i="13" s="1"/>
  <c r="D210" i="13"/>
  <c r="Z210" i="13" s="1"/>
  <c r="D195" i="13"/>
  <c r="Z195" i="13" s="1"/>
  <c r="D187" i="13"/>
  <c r="Z187" i="13" s="1"/>
  <c r="D179" i="13"/>
  <c r="Z179" i="13" s="1"/>
  <c r="D171" i="13"/>
  <c r="Z171" i="13" s="1"/>
  <c r="D163" i="13"/>
  <c r="Z163" i="13" s="1"/>
  <c r="D155" i="13"/>
  <c r="Z155" i="13" s="1"/>
  <c r="D147" i="13"/>
  <c r="Z147" i="13" s="1"/>
  <c r="D139" i="13"/>
  <c r="Z139" i="13" s="1"/>
  <c r="D131" i="13"/>
  <c r="Z131" i="13" s="1"/>
  <c r="D123" i="13"/>
  <c r="Z123" i="13" s="1"/>
  <c r="D115" i="13"/>
  <c r="Z115" i="13" s="1"/>
  <c r="D107" i="13"/>
  <c r="Z107" i="13" s="1"/>
  <c r="D99" i="13"/>
  <c r="Z99" i="13" s="1"/>
  <c r="D91" i="13"/>
  <c r="Z91" i="13" s="1"/>
  <c r="D83" i="13"/>
  <c r="Z83" i="13" s="1"/>
  <c r="D75" i="13"/>
  <c r="Z75" i="13" s="1"/>
  <c r="D67" i="13"/>
  <c r="Z67" i="13" s="1"/>
  <c r="D60" i="13"/>
  <c r="Z60" i="13" s="1"/>
  <c r="D30" i="13"/>
  <c r="Z30" i="13" s="1"/>
  <c r="D209" i="13"/>
  <c r="Z209" i="13" s="1"/>
  <c r="D193" i="13"/>
  <c r="Z193" i="13" s="1"/>
  <c r="D177" i="13"/>
  <c r="Z177" i="13" s="1"/>
  <c r="D161" i="13"/>
  <c r="Z161" i="13" s="1"/>
  <c r="D145" i="13"/>
  <c r="Z145" i="13" s="1"/>
  <c r="D113" i="13"/>
  <c r="Z113" i="13" s="1"/>
  <c r="D81" i="13"/>
  <c r="Z81" i="13" s="1"/>
  <c r="D49" i="13"/>
  <c r="Z49" i="13" s="1"/>
  <c r="D196" i="13"/>
  <c r="Z196" i="13" s="1"/>
  <c r="D164" i="13"/>
  <c r="Z164" i="13" s="1"/>
  <c r="D132" i="13"/>
  <c r="Z132" i="13" s="1"/>
  <c r="D100" i="13"/>
  <c r="Z100" i="13" s="1"/>
  <c r="D68" i="13"/>
  <c r="Z68" i="13" s="1"/>
  <c r="D8" i="13"/>
  <c r="Z8" i="13" s="1"/>
  <c r="D356" i="13"/>
  <c r="Z356" i="13" s="1"/>
  <c r="D353" i="13"/>
  <c r="Z353" i="13" s="1"/>
  <c r="D340" i="13"/>
  <c r="Z340" i="13" s="1"/>
  <c r="D337" i="13"/>
  <c r="Z337" i="13" s="1"/>
  <c r="D324" i="13"/>
  <c r="Z324" i="13" s="1"/>
  <c r="D321" i="13"/>
  <c r="Z321" i="13" s="1"/>
  <c r="D308" i="13"/>
  <c r="Z308" i="13" s="1"/>
  <c r="D305" i="13"/>
  <c r="Z305" i="13" s="1"/>
  <c r="D292" i="13"/>
  <c r="Z292" i="13" s="1"/>
  <c r="D289" i="13"/>
  <c r="Z289" i="13" s="1"/>
  <c r="D276" i="13"/>
  <c r="Z276" i="13" s="1"/>
  <c r="D273" i="13"/>
  <c r="Z273" i="13" s="1"/>
  <c r="D260" i="13"/>
  <c r="Z260" i="13" s="1"/>
  <c r="D257" i="13"/>
  <c r="Z257" i="13" s="1"/>
  <c r="D244" i="13"/>
  <c r="Z244" i="13" s="1"/>
  <c r="D241" i="13"/>
  <c r="Z241" i="13" s="1"/>
  <c r="D228" i="13"/>
  <c r="Z228" i="13" s="1"/>
  <c r="D225" i="13"/>
  <c r="Z225" i="13" s="1"/>
  <c r="D21" i="13"/>
  <c r="Z21" i="13" s="1"/>
  <c r="D18" i="13"/>
  <c r="Z18" i="13" s="1"/>
  <c r="D363" i="3"/>
  <c r="Z363" i="3" s="1"/>
  <c r="D355" i="3"/>
  <c r="Z355" i="3" s="1"/>
  <c r="D347" i="3"/>
  <c r="Z347" i="3" s="1"/>
  <c r="D339" i="3"/>
  <c r="Z339" i="3" s="1"/>
  <c r="D331" i="3"/>
  <c r="Z331" i="3" s="1"/>
  <c r="D323" i="3"/>
  <c r="Z323" i="3" s="1"/>
  <c r="D315" i="3"/>
  <c r="Z315" i="3" s="1"/>
  <c r="D307" i="3"/>
  <c r="Z307" i="3" s="1"/>
  <c r="D299" i="3"/>
  <c r="Z299" i="3" s="1"/>
  <c r="D291" i="3"/>
  <c r="Z291" i="3" s="1"/>
  <c r="D283" i="3"/>
  <c r="Z283" i="3" s="1"/>
  <c r="D275" i="3"/>
  <c r="Z275" i="3" s="1"/>
  <c r="D267" i="3"/>
  <c r="Z267" i="3" s="1"/>
  <c r="D259" i="3"/>
  <c r="Z259" i="3" s="1"/>
  <c r="D251" i="3"/>
  <c r="Z251" i="3" s="1"/>
  <c r="D243" i="3"/>
  <c r="Z243" i="3" s="1"/>
  <c r="D235" i="3"/>
  <c r="Z235" i="3" s="1"/>
  <c r="D227" i="3"/>
  <c r="Z227" i="3" s="1"/>
  <c r="D219" i="3"/>
  <c r="Z219" i="3" s="1"/>
  <c r="D211" i="3"/>
  <c r="Z211" i="3" s="1"/>
  <c r="D203" i="3"/>
  <c r="Z203" i="3" s="1"/>
  <c r="D195" i="3"/>
  <c r="Z195" i="3" s="1"/>
  <c r="D187" i="3"/>
  <c r="Z187" i="3" s="1"/>
  <c r="D179" i="3"/>
  <c r="Z179" i="3" s="1"/>
  <c r="D163" i="3"/>
  <c r="Z163" i="3" s="1"/>
  <c r="D147" i="3"/>
  <c r="Z147" i="3" s="1"/>
  <c r="D131" i="3"/>
  <c r="Z131" i="3" s="1"/>
  <c r="D115" i="3"/>
  <c r="Z115" i="3" s="1"/>
  <c r="D99" i="3"/>
  <c r="Z99" i="3" s="1"/>
  <c r="D83" i="3"/>
  <c r="Z83" i="3" s="1"/>
  <c r="D67" i="3"/>
  <c r="Z67" i="3" s="1"/>
  <c r="D51" i="3"/>
  <c r="Z51" i="3" s="1"/>
  <c r="D35" i="3"/>
  <c r="Z35" i="3" s="1"/>
  <c r="D19" i="3"/>
  <c r="Z19" i="3" s="1"/>
  <c r="O10" i="7"/>
  <c r="P9" i="7"/>
  <c r="D32" i="7"/>
  <c r="D33" i="7" s="1"/>
  <c r="D25" i="7"/>
  <c r="AH7" i="3" l="1"/>
  <c r="N6" i="6"/>
  <c r="M6" i="6"/>
  <c r="D26" i="7"/>
  <c r="Q7" i="7" s="1"/>
  <c r="E26" i="7"/>
  <c r="R9" i="7" s="1"/>
  <c r="S8" i="7"/>
  <c r="W8" i="7"/>
  <c r="L8" i="7" s="1"/>
  <c r="C8" i="13"/>
  <c r="B9" i="13"/>
  <c r="AF9" i="13" s="1"/>
  <c r="T7" i="13"/>
  <c r="R7" i="13"/>
  <c r="R8" i="3"/>
  <c r="T8" i="3"/>
  <c r="I7" i="6"/>
  <c r="L7" i="6"/>
  <c r="K7" i="6"/>
  <c r="J7" i="6"/>
  <c r="B9" i="6"/>
  <c r="Q7" i="13"/>
  <c r="Q7" i="3"/>
  <c r="R7" i="3"/>
  <c r="T7" i="3"/>
  <c r="T13" i="1"/>
  <c r="V12" i="1"/>
  <c r="P9" i="3"/>
  <c r="S9" i="3" s="1"/>
  <c r="P9" i="13"/>
  <c r="S9" i="13" s="1"/>
  <c r="N14" i="1"/>
  <c r="B10" i="3"/>
  <c r="AF10" i="3" s="1"/>
  <c r="C9" i="3"/>
  <c r="O9" i="3"/>
  <c r="O9" i="13"/>
  <c r="O13" i="1"/>
  <c r="M14" i="1"/>
  <c r="W14" i="1"/>
  <c r="Y13" i="1"/>
  <c r="Q16" i="1"/>
  <c r="S15" i="1"/>
  <c r="Z8" i="7"/>
  <c r="H9" i="7"/>
  <c r="T8" i="13"/>
  <c r="R8" i="13"/>
  <c r="M8" i="7"/>
  <c r="X9" i="7"/>
  <c r="V9" i="7"/>
  <c r="S9" i="7"/>
  <c r="W9" i="7"/>
  <c r="Q9" i="7"/>
  <c r="V7" i="7"/>
  <c r="V8" i="7"/>
  <c r="O11" i="7"/>
  <c r="P10" i="7"/>
  <c r="M7" i="6" l="1"/>
  <c r="L9" i="7"/>
  <c r="N7" i="6"/>
  <c r="Q8" i="7"/>
  <c r="R8" i="7"/>
  <c r="R7" i="7"/>
  <c r="O10" i="3"/>
  <c r="O10" i="13"/>
  <c r="O14" i="1"/>
  <c r="M15" i="1"/>
  <c r="I8" i="6"/>
  <c r="L8" i="6"/>
  <c r="K8" i="6"/>
  <c r="J8" i="6"/>
  <c r="M8" i="6" s="1"/>
  <c r="B10" i="6"/>
  <c r="O7" i="6"/>
  <c r="Q17" i="1"/>
  <c r="S16" i="1"/>
  <c r="Q9" i="3"/>
  <c r="Q9" i="13"/>
  <c r="B11" i="3"/>
  <c r="AF11" i="3" s="1"/>
  <c r="C10" i="3"/>
  <c r="B10" i="13"/>
  <c r="AF10" i="13" s="1"/>
  <c r="C9" i="13"/>
  <c r="Z9" i="7"/>
  <c r="H10" i="7"/>
  <c r="T9" i="13"/>
  <c r="R9" i="13"/>
  <c r="W15" i="1"/>
  <c r="Y14" i="1"/>
  <c r="T9" i="3"/>
  <c r="R9" i="3"/>
  <c r="P10" i="3"/>
  <c r="S10" i="3" s="1"/>
  <c r="P10" i="13"/>
  <c r="S10" i="13" s="1"/>
  <c r="N15" i="1"/>
  <c r="T14" i="1"/>
  <c r="V13" i="1"/>
  <c r="K8" i="7"/>
  <c r="K7" i="7"/>
  <c r="K9" i="7"/>
  <c r="O12" i="7"/>
  <c r="P11" i="7"/>
  <c r="M9" i="7"/>
  <c r="W10" i="7"/>
  <c r="V10" i="7"/>
  <c r="S10" i="7"/>
  <c r="Q10" i="7"/>
  <c r="R10" i="7"/>
  <c r="X10" i="7"/>
  <c r="M10" i="7" s="1"/>
  <c r="N8" i="6" l="1"/>
  <c r="B11" i="13"/>
  <c r="AF11" i="13" s="1"/>
  <c r="C10" i="13"/>
  <c r="S17" i="1"/>
  <c r="Q18" i="1"/>
  <c r="O11" i="13"/>
  <c r="O11" i="3"/>
  <c r="M16" i="1"/>
  <c r="O15" i="1"/>
  <c r="W16" i="1"/>
  <c r="Y15" i="1"/>
  <c r="Z10" i="7"/>
  <c r="H11" i="7"/>
  <c r="Q10" i="13"/>
  <c r="Q10" i="3"/>
  <c r="V14" i="1"/>
  <c r="T15" i="1"/>
  <c r="I9" i="6"/>
  <c r="J9" i="6"/>
  <c r="L9" i="6"/>
  <c r="K9" i="6"/>
  <c r="B11" i="6"/>
  <c r="O8" i="6"/>
  <c r="R10" i="13"/>
  <c r="T10" i="13"/>
  <c r="P11" i="3"/>
  <c r="S11" i="3" s="1"/>
  <c r="P11" i="13"/>
  <c r="S11" i="13" s="1"/>
  <c r="N16" i="1"/>
  <c r="B12" i="3"/>
  <c r="AF12" i="3" s="1"/>
  <c r="C11" i="3"/>
  <c r="R10" i="3"/>
  <c r="T10" i="3"/>
  <c r="L10" i="7"/>
  <c r="O13" i="7"/>
  <c r="P12" i="7"/>
  <c r="K10" i="7"/>
  <c r="S11" i="7"/>
  <c r="W11" i="7"/>
  <c r="R11" i="7"/>
  <c r="Q11" i="7"/>
  <c r="V11" i="7"/>
  <c r="K11" i="7" s="1"/>
  <c r="X11" i="7"/>
  <c r="M11" i="7" s="1"/>
  <c r="M9" i="6" l="1"/>
  <c r="N9" i="6"/>
  <c r="R11" i="3"/>
  <c r="T11" i="3"/>
  <c r="B13" i="3"/>
  <c r="AF13" i="3" s="1"/>
  <c r="C12" i="3"/>
  <c r="I10" i="6"/>
  <c r="K10" i="6"/>
  <c r="N10" i="6" s="1"/>
  <c r="J10" i="6"/>
  <c r="B12" i="6"/>
  <c r="L10" i="6"/>
  <c r="O9" i="6"/>
  <c r="Y16" i="1"/>
  <c r="W17" i="1"/>
  <c r="R11" i="13"/>
  <c r="T11" i="13"/>
  <c r="B12" i="13"/>
  <c r="AF12" i="13" s="1"/>
  <c r="C11" i="13"/>
  <c r="T16" i="1"/>
  <c r="V15" i="1"/>
  <c r="Z11" i="7"/>
  <c r="H12" i="7"/>
  <c r="Q11" i="13"/>
  <c r="Q11" i="3"/>
  <c r="S18" i="1"/>
  <c r="Q19" i="1"/>
  <c r="P12" i="3"/>
  <c r="S12" i="3" s="1"/>
  <c r="P12" i="13"/>
  <c r="S12" i="13" s="1"/>
  <c r="N17" i="1"/>
  <c r="O12" i="3"/>
  <c r="O12" i="13"/>
  <c r="O16" i="1"/>
  <c r="M17" i="1"/>
  <c r="L11" i="7"/>
  <c r="O14" i="7"/>
  <c r="P13" i="7"/>
  <c r="W12" i="7"/>
  <c r="S12" i="7"/>
  <c r="R12" i="7"/>
  <c r="V12" i="7"/>
  <c r="Q12" i="7"/>
  <c r="X12" i="7"/>
  <c r="O10" i="6" l="1"/>
  <c r="T12" i="13"/>
  <c r="R12" i="13"/>
  <c r="T17" i="1"/>
  <c r="V16" i="1"/>
  <c r="R12" i="3"/>
  <c r="T12" i="3"/>
  <c r="Q20" i="1"/>
  <c r="S19" i="1"/>
  <c r="Z12" i="7"/>
  <c r="H13" i="7"/>
  <c r="O13" i="3"/>
  <c r="M18" i="1"/>
  <c r="O13" i="13"/>
  <c r="O17" i="1"/>
  <c r="P13" i="3"/>
  <c r="S13" i="3" s="1"/>
  <c r="P13" i="13"/>
  <c r="S13" i="13" s="1"/>
  <c r="N18" i="1"/>
  <c r="B13" i="13"/>
  <c r="AF13" i="13" s="1"/>
  <c r="C12" i="13"/>
  <c r="W18" i="1"/>
  <c r="Y17" i="1"/>
  <c r="I11" i="6"/>
  <c r="L11" i="6"/>
  <c r="K11" i="6"/>
  <c r="J11" i="6"/>
  <c r="B13" i="6"/>
  <c r="Q12" i="13"/>
  <c r="Q12" i="3"/>
  <c r="M10" i="6"/>
  <c r="B14" i="3"/>
  <c r="AF14" i="3" s="1"/>
  <c r="C13" i="3"/>
  <c r="M12" i="7"/>
  <c r="O15" i="7"/>
  <c r="P14" i="7"/>
  <c r="Q13" i="7"/>
  <c r="V13" i="7"/>
  <c r="S13" i="7"/>
  <c r="X13" i="7"/>
  <c r="M13" i="7" s="1"/>
  <c r="W13" i="7"/>
  <c r="R13" i="7"/>
  <c r="K12" i="7"/>
  <c r="L12" i="7"/>
  <c r="M11" i="6" l="1"/>
  <c r="B15" i="3"/>
  <c r="AF15" i="3" s="1"/>
  <c r="C14" i="3"/>
  <c r="O14" i="3"/>
  <c r="O14" i="13"/>
  <c r="O18" i="1"/>
  <c r="M19" i="1"/>
  <c r="I12" i="6"/>
  <c r="O12" i="6" s="1"/>
  <c r="L12" i="6"/>
  <c r="K12" i="6"/>
  <c r="J12" i="6"/>
  <c r="B14" i="6"/>
  <c r="O11" i="6"/>
  <c r="B14" i="13"/>
  <c r="AF14" i="13" s="1"/>
  <c r="C13" i="13"/>
  <c r="R13" i="3"/>
  <c r="T13" i="3"/>
  <c r="Q21" i="1"/>
  <c r="S20" i="1"/>
  <c r="T18" i="1"/>
  <c r="V17" i="1"/>
  <c r="Q13" i="13"/>
  <c r="Q13" i="3"/>
  <c r="Z13" i="7"/>
  <c r="H14" i="7"/>
  <c r="N11" i="6"/>
  <c r="W19" i="1"/>
  <c r="Y18" i="1"/>
  <c r="P14" i="3"/>
  <c r="S14" i="3" s="1"/>
  <c r="P14" i="13"/>
  <c r="S14" i="13" s="1"/>
  <c r="N19" i="1"/>
  <c r="T13" i="13"/>
  <c r="R13" i="13"/>
  <c r="K13" i="7"/>
  <c r="R14" i="7"/>
  <c r="W14" i="7"/>
  <c r="L14" i="7" s="1"/>
  <c r="S14" i="7"/>
  <c r="Q14" i="7"/>
  <c r="X14" i="7"/>
  <c r="M14" i="7" s="1"/>
  <c r="V14" i="7"/>
  <c r="L13" i="7"/>
  <c r="O16" i="7"/>
  <c r="P15" i="7"/>
  <c r="N12" i="6" l="1"/>
  <c r="P15" i="3"/>
  <c r="S15" i="3" s="1"/>
  <c r="P15" i="13"/>
  <c r="S15" i="13" s="1"/>
  <c r="N20" i="1"/>
  <c r="Y19" i="1"/>
  <c r="W20" i="1"/>
  <c r="I13" i="6"/>
  <c r="J13" i="6"/>
  <c r="L13" i="6"/>
  <c r="K13" i="6"/>
  <c r="B15" i="6"/>
  <c r="R14" i="3"/>
  <c r="T14" i="3"/>
  <c r="Q22" i="1"/>
  <c r="S21" i="1"/>
  <c r="B15" i="13"/>
  <c r="AF15" i="13" s="1"/>
  <c r="C14" i="13"/>
  <c r="M12" i="6"/>
  <c r="O15" i="13"/>
  <c r="O15" i="3"/>
  <c r="O19" i="1"/>
  <c r="M20" i="1"/>
  <c r="Z14" i="7"/>
  <c r="H15" i="7"/>
  <c r="Q14" i="13"/>
  <c r="Q14" i="3"/>
  <c r="B16" i="3"/>
  <c r="AF16" i="3" s="1"/>
  <c r="C15" i="3"/>
  <c r="V18" i="1"/>
  <c r="T19" i="1"/>
  <c r="R14" i="13"/>
  <c r="T14" i="13"/>
  <c r="Q15" i="7"/>
  <c r="X15" i="7"/>
  <c r="W15" i="7"/>
  <c r="S15" i="7"/>
  <c r="V15" i="7"/>
  <c r="K15" i="7" s="1"/>
  <c r="R15" i="7"/>
  <c r="K14" i="7"/>
  <c r="O17" i="7"/>
  <c r="P16" i="7"/>
  <c r="O13" i="6" l="1"/>
  <c r="B17" i="3"/>
  <c r="AF17" i="3" s="1"/>
  <c r="C16" i="3"/>
  <c r="Z15" i="7"/>
  <c r="H16" i="7"/>
  <c r="R15" i="3"/>
  <c r="T15" i="3"/>
  <c r="B16" i="13"/>
  <c r="AF16" i="13" s="1"/>
  <c r="C15" i="13"/>
  <c r="T20" i="1"/>
  <c r="V19" i="1"/>
  <c r="R15" i="13"/>
  <c r="T15" i="13"/>
  <c r="M13" i="6"/>
  <c r="P16" i="3"/>
  <c r="S16" i="3" s="1"/>
  <c r="P16" i="13"/>
  <c r="S16" i="13" s="1"/>
  <c r="N21" i="1"/>
  <c r="O16" i="3"/>
  <c r="O16" i="13"/>
  <c r="M21" i="1"/>
  <c r="O20" i="1"/>
  <c r="I14" i="6"/>
  <c r="K14" i="6"/>
  <c r="J14" i="6"/>
  <c r="M14" i="6" s="1"/>
  <c r="B16" i="6"/>
  <c r="L14" i="6"/>
  <c r="Q15" i="13"/>
  <c r="Q15" i="3"/>
  <c r="S22" i="1"/>
  <c r="Q23" i="1"/>
  <c r="N13" i="6"/>
  <c r="Y20" i="1"/>
  <c r="W21" i="1"/>
  <c r="L15" i="7"/>
  <c r="Q16" i="7"/>
  <c r="V16" i="7"/>
  <c r="K16" i="7" s="1"/>
  <c r="R16" i="7"/>
  <c r="X16" i="7"/>
  <c r="W16" i="7"/>
  <c r="S16" i="7"/>
  <c r="M15" i="7"/>
  <c r="O18" i="7"/>
  <c r="P17" i="7"/>
  <c r="N14" i="6" l="1"/>
  <c r="T16" i="13"/>
  <c r="R16" i="13"/>
  <c r="S23" i="1"/>
  <c r="Q24" i="1"/>
  <c r="O14" i="6"/>
  <c r="R16" i="3"/>
  <c r="T16" i="3"/>
  <c r="T21" i="1"/>
  <c r="V20" i="1"/>
  <c r="W22" i="1"/>
  <c r="Y21" i="1"/>
  <c r="I15" i="6"/>
  <c r="L15" i="6"/>
  <c r="K15" i="6"/>
  <c r="N15" i="6" s="1"/>
  <c r="J15" i="6"/>
  <c r="M15" i="6" s="1"/>
  <c r="B17" i="6"/>
  <c r="Q16" i="13"/>
  <c r="Q16" i="3"/>
  <c r="P17" i="3"/>
  <c r="S17" i="3" s="1"/>
  <c r="P17" i="13"/>
  <c r="S17" i="13" s="1"/>
  <c r="N22" i="1"/>
  <c r="B18" i="3"/>
  <c r="AF18" i="3" s="1"/>
  <c r="C17" i="3"/>
  <c r="O17" i="3"/>
  <c r="O17" i="13"/>
  <c r="O21" i="1"/>
  <c r="M22" i="1"/>
  <c r="C16" i="13"/>
  <c r="B17" i="13"/>
  <c r="AF17" i="13" s="1"/>
  <c r="Z16" i="7"/>
  <c r="H17" i="7"/>
  <c r="M16" i="7"/>
  <c r="Q17" i="7"/>
  <c r="V17" i="7"/>
  <c r="K17" i="7" s="1"/>
  <c r="S17" i="7"/>
  <c r="X17" i="7"/>
  <c r="W17" i="7"/>
  <c r="R17" i="7"/>
  <c r="L16" i="7"/>
  <c r="P18" i="7"/>
  <c r="O19" i="7"/>
  <c r="O18" i="3" l="1"/>
  <c r="O18" i="13"/>
  <c r="O22" i="1"/>
  <c r="M23" i="1"/>
  <c r="I16" i="6"/>
  <c r="L16" i="6"/>
  <c r="K16" i="6"/>
  <c r="N16" i="6" s="1"/>
  <c r="J16" i="6"/>
  <c r="M16" i="6" s="1"/>
  <c r="B18" i="6"/>
  <c r="O15" i="6"/>
  <c r="T22" i="1"/>
  <c r="V21" i="1"/>
  <c r="Q25" i="1"/>
  <c r="S24" i="1"/>
  <c r="B18" i="13"/>
  <c r="AF18" i="13" s="1"/>
  <c r="C17" i="13"/>
  <c r="Q17" i="3"/>
  <c r="Q17" i="13"/>
  <c r="B19" i="3"/>
  <c r="AF19" i="3" s="1"/>
  <c r="C18" i="3"/>
  <c r="T17" i="13"/>
  <c r="R17" i="13"/>
  <c r="W23" i="1"/>
  <c r="Y22" i="1"/>
  <c r="Z17" i="7"/>
  <c r="H18" i="7"/>
  <c r="R17" i="3"/>
  <c r="T17" i="3"/>
  <c r="P18" i="3"/>
  <c r="S18" i="3" s="1"/>
  <c r="P18" i="13"/>
  <c r="S18" i="13" s="1"/>
  <c r="N23" i="1"/>
  <c r="Q18" i="7"/>
  <c r="X18" i="7"/>
  <c r="M18" i="7" s="1"/>
  <c r="S18" i="7"/>
  <c r="R18" i="7"/>
  <c r="V18" i="7"/>
  <c r="W18" i="7"/>
  <c r="M17" i="7"/>
  <c r="P19" i="7"/>
  <c r="O20" i="7"/>
  <c r="L17" i="7"/>
  <c r="O16" i="6" l="1"/>
  <c r="Z18" i="7"/>
  <c r="H19" i="7"/>
  <c r="B19" i="13"/>
  <c r="AF19" i="13" s="1"/>
  <c r="C18" i="13"/>
  <c r="O19" i="13"/>
  <c r="O19" i="3"/>
  <c r="M24" i="1"/>
  <c r="O23" i="1"/>
  <c r="V22" i="1"/>
  <c r="T23" i="1"/>
  <c r="Q18" i="13"/>
  <c r="Q18" i="3"/>
  <c r="R18" i="13"/>
  <c r="T18" i="13"/>
  <c r="P19" i="3"/>
  <c r="S19" i="3" s="1"/>
  <c r="N24" i="1"/>
  <c r="P19" i="13"/>
  <c r="S19" i="13" s="1"/>
  <c r="W24" i="1"/>
  <c r="Y23" i="1"/>
  <c r="B20" i="3"/>
  <c r="AF20" i="3" s="1"/>
  <c r="C19" i="3"/>
  <c r="Q26" i="1"/>
  <c r="S25" i="1"/>
  <c r="I17" i="6"/>
  <c r="O17" i="6" s="1"/>
  <c r="J17" i="6"/>
  <c r="L17" i="6"/>
  <c r="K17" i="6"/>
  <c r="B19" i="6"/>
  <c r="R18" i="3"/>
  <c r="T18" i="3"/>
  <c r="L18" i="7"/>
  <c r="K18" i="7"/>
  <c r="P20" i="7"/>
  <c r="O21" i="7"/>
  <c r="S19" i="7"/>
  <c r="W19" i="7"/>
  <c r="R19" i="7"/>
  <c r="Q19" i="7"/>
  <c r="V19" i="7"/>
  <c r="K19" i="7" s="1"/>
  <c r="X19" i="7"/>
  <c r="S26" i="1" l="1"/>
  <c r="Q27" i="1"/>
  <c r="O20" i="3"/>
  <c r="O20" i="13"/>
  <c r="O24" i="1"/>
  <c r="M25" i="1"/>
  <c r="B20" i="13"/>
  <c r="AF20" i="13" s="1"/>
  <c r="C19" i="13"/>
  <c r="M17" i="6"/>
  <c r="Y24" i="1"/>
  <c r="W25" i="1"/>
  <c r="T24" i="1"/>
  <c r="V23" i="1"/>
  <c r="R19" i="3"/>
  <c r="T19" i="3"/>
  <c r="I18" i="6"/>
  <c r="K18" i="6"/>
  <c r="J18" i="6"/>
  <c r="L18" i="6"/>
  <c r="B20" i="6"/>
  <c r="B21" i="3"/>
  <c r="AF21" i="3" s="1"/>
  <c r="C20" i="3"/>
  <c r="R19" i="13"/>
  <c r="T19" i="13"/>
  <c r="Z19" i="7"/>
  <c r="H20" i="7"/>
  <c r="N17" i="6"/>
  <c r="P20" i="3"/>
  <c r="S20" i="3" s="1"/>
  <c r="P20" i="13"/>
  <c r="S20" i="13" s="1"/>
  <c r="N25" i="1"/>
  <c r="Q19" i="13"/>
  <c r="Q19" i="3"/>
  <c r="W20" i="7"/>
  <c r="L20" i="7" s="1"/>
  <c r="S20" i="7"/>
  <c r="R20" i="7"/>
  <c r="V20" i="7"/>
  <c r="X20" i="7"/>
  <c r="M20" i="7" s="1"/>
  <c r="Q20" i="7"/>
  <c r="L19" i="7"/>
  <c r="M19" i="7"/>
  <c r="O22" i="7"/>
  <c r="P21" i="7"/>
  <c r="M18" i="6" l="1"/>
  <c r="P21" i="3"/>
  <c r="S21" i="3" s="1"/>
  <c r="P21" i="13"/>
  <c r="S21" i="13" s="1"/>
  <c r="N26" i="1"/>
  <c r="Z20" i="7"/>
  <c r="H21" i="7"/>
  <c r="W26" i="1"/>
  <c r="Y25" i="1"/>
  <c r="B21" i="13"/>
  <c r="AF21" i="13" s="1"/>
  <c r="C20" i="13"/>
  <c r="T20" i="13"/>
  <c r="R20" i="13"/>
  <c r="B22" i="3"/>
  <c r="AF22" i="3" s="1"/>
  <c r="C21" i="3"/>
  <c r="R20" i="3"/>
  <c r="T20" i="3"/>
  <c r="N18" i="6"/>
  <c r="O21" i="3"/>
  <c r="O21" i="13"/>
  <c r="M26" i="1"/>
  <c r="O25" i="1"/>
  <c r="Q28" i="1"/>
  <c r="S27" i="1"/>
  <c r="I19" i="6"/>
  <c r="O19" i="6" s="1"/>
  <c r="L19" i="6"/>
  <c r="K19" i="6"/>
  <c r="J19" i="6"/>
  <c r="B21" i="6"/>
  <c r="O18" i="6"/>
  <c r="T25" i="1"/>
  <c r="V24" i="1"/>
  <c r="Q20" i="13"/>
  <c r="Q20" i="3"/>
  <c r="Q21" i="7"/>
  <c r="V21" i="7"/>
  <c r="S21" i="7"/>
  <c r="X21" i="7"/>
  <c r="W21" i="7"/>
  <c r="R21" i="7"/>
  <c r="O23" i="7"/>
  <c r="P22" i="7"/>
  <c r="K20" i="7"/>
  <c r="M19" i="6" l="1"/>
  <c r="T21" i="13"/>
  <c r="R21" i="13"/>
  <c r="T26" i="1"/>
  <c r="V25" i="1"/>
  <c r="N19" i="6"/>
  <c r="Q29" i="1"/>
  <c r="S28" i="1"/>
  <c r="R21" i="3"/>
  <c r="T21" i="3"/>
  <c r="P22" i="3"/>
  <c r="S22" i="3" s="1"/>
  <c r="P22" i="13"/>
  <c r="S22" i="13" s="1"/>
  <c r="N27" i="1"/>
  <c r="Q21" i="13"/>
  <c r="Q21" i="3"/>
  <c r="B23" i="3"/>
  <c r="AF23" i="3" s="1"/>
  <c r="C22" i="3"/>
  <c r="W27" i="1"/>
  <c r="Y26" i="1"/>
  <c r="I20" i="6"/>
  <c r="L20" i="6"/>
  <c r="K20" i="6"/>
  <c r="J20" i="6"/>
  <c r="B22" i="6"/>
  <c r="O22" i="3"/>
  <c r="O22" i="13"/>
  <c r="M27" i="1"/>
  <c r="O26" i="1"/>
  <c r="B22" i="13"/>
  <c r="AF22" i="13" s="1"/>
  <c r="C21" i="13"/>
  <c r="Z21" i="7"/>
  <c r="H22" i="7"/>
  <c r="R22" i="7"/>
  <c r="W22" i="7"/>
  <c r="L22" i="7" s="1"/>
  <c r="S22" i="7"/>
  <c r="V22" i="7"/>
  <c r="K22" i="7" s="1"/>
  <c r="X22" i="7"/>
  <c r="M22" i="7" s="1"/>
  <c r="Q22" i="7"/>
  <c r="M21" i="7"/>
  <c r="O24" i="7"/>
  <c r="P23" i="7"/>
  <c r="K21" i="7"/>
  <c r="L21" i="7"/>
  <c r="M20" i="6" l="1"/>
  <c r="N20" i="6"/>
  <c r="O23" i="13"/>
  <c r="O23" i="3"/>
  <c r="O27" i="1"/>
  <c r="M28" i="1"/>
  <c r="V26" i="1"/>
  <c r="T27" i="1"/>
  <c r="B23" i="13"/>
  <c r="AF23" i="13" s="1"/>
  <c r="C22" i="13"/>
  <c r="R22" i="13"/>
  <c r="T22" i="13"/>
  <c r="Y27" i="1"/>
  <c r="W28" i="1"/>
  <c r="S29" i="1"/>
  <c r="Q30" i="1"/>
  <c r="Z22" i="7"/>
  <c r="H23" i="7"/>
  <c r="R22" i="3"/>
  <c r="T22" i="3"/>
  <c r="Q22" i="13"/>
  <c r="Q22" i="3"/>
  <c r="I21" i="6"/>
  <c r="J21" i="6"/>
  <c r="M21" i="6" s="1"/>
  <c r="L21" i="6"/>
  <c r="K21" i="6"/>
  <c r="B23" i="6"/>
  <c r="O20" i="6"/>
  <c r="B24" i="3"/>
  <c r="AF24" i="3" s="1"/>
  <c r="C23" i="3"/>
  <c r="P23" i="3"/>
  <c r="S23" i="3" s="1"/>
  <c r="P23" i="13"/>
  <c r="S23" i="13" s="1"/>
  <c r="N28" i="1"/>
  <c r="Q23" i="7"/>
  <c r="X23" i="7"/>
  <c r="W23" i="7"/>
  <c r="S23" i="7"/>
  <c r="V23" i="7"/>
  <c r="R23" i="7"/>
  <c r="O25" i="7"/>
  <c r="P24" i="7"/>
  <c r="B24" i="13" l="1"/>
  <c r="AF24" i="13" s="1"/>
  <c r="C23" i="13"/>
  <c r="O24" i="3"/>
  <c r="O24" i="13"/>
  <c r="M29" i="1"/>
  <c r="O28" i="1"/>
  <c r="S30" i="1"/>
  <c r="Q31" i="1"/>
  <c r="Q23" i="13"/>
  <c r="Q23" i="3"/>
  <c r="I22" i="6"/>
  <c r="K22" i="6"/>
  <c r="N22" i="6" s="1"/>
  <c r="J22" i="6"/>
  <c r="M22" i="6" s="1"/>
  <c r="L22" i="6"/>
  <c r="B24" i="6"/>
  <c r="O21" i="6"/>
  <c r="T28" i="1"/>
  <c r="V27" i="1"/>
  <c r="R23" i="3"/>
  <c r="T23" i="3"/>
  <c r="P24" i="3"/>
  <c r="S24" i="3" s="1"/>
  <c r="P24" i="13"/>
  <c r="S24" i="13" s="1"/>
  <c r="N29" i="1"/>
  <c r="B25" i="3"/>
  <c r="AF25" i="3" s="1"/>
  <c r="C24" i="3"/>
  <c r="N21" i="6"/>
  <c r="Z23" i="7"/>
  <c r="H24" i="7"/>
  <c r="Y28" i="1"/>
  <c r="W29" i="1"/>
  <c r="R23" i="13"/>
  <c r="T23" i="13"/>
  <c r="Q24" i="7"/>
  <c r="V24" i="7"/>
  <c r="K24" i="7" s="1"/>
  <c r="R24" i="7"/>
  <c r="X24" i="7"/>
  <c r="W24" i="7"/>
  <c r="L24" i="7" s="1"/>
  <c r="S24" i="7"/>
  <c r="M23" i="7"/>
  <c r="O26" i="7"/>
  <c r="P25" i="7"/>
  <c r="K23" i="7"/>
  <c r="L23" i="7"/>
  <c r="W30" i="1" l="1"/>
  <c r="Y29" i="1"/>
  <c r="P25" i="3"/>
  <c r="S25" i="3" s="1"/>
  <c r="P25" i="13"/>
  <c r="S25" i="13" s="1"/>
  <c r="N30" i="1"/>
  <c r="I23" i="6"/>
  <c r="O23" i="6" s="1"/>
  <c r="L23" i="6"/>
  <c r="K23" i="6"/>
  <c r="N23" i="6" s="1"/>
  <c r="J23" i="6"/>
  <c r="B25" i="6"/>
  <c r="O22" i="6"/>
  <c r="R24" i="3"/>
  <c r="T24" i="3"/>
  <c r="Q24" i="13"/>
  <c r="Q24" i="3"/>
  <c r="Z24" i="7"/>
  <c r="H25" i="7"/>
  <c r="B26" i="3"/>
  <c r="AF26" i="3" s="1"/>
  <c r="C25" i="3"/>
  <c r="T29" i="1"/>
  <c r="V28" i="1"/>
  <c r="O25" i="3"/>
  <c r="O25" i="13"/>
  <c r="O29" i="1"/>
  <c r="M30" i="1"/>
  <c r="C24" i="13"/>
  <c r="B25" i="13"/>
  <c r="AF25" i="13" s="1"/>
  <c r="Q32" i="1"/>
  <c r="S31" i="1"/>
  <c r="T24" i="13"/>
  <c r="R24" i="13"/>
  <c r="Q25" i="7"/>
  <c r="V25" i="7"/>
  <c r="S25" i="7"/>
  <c r="X25" i="7"/>
  <c r="M25" i="7" s="1"/>
  <c r="W25" i="7"/>
  <c r="R25" i="7"/>
  <c r="P26" i="7"/>
  <c r="O27" i="7"/>
  <c r="M24" i="7"/>
  <c r="T25" i="13" l="1"/>
  <c r="R25" i="13"/>
  <c r="R25" i="3"/>
  <c r="T25" i="3"/>
  <c r="B27" i="3"/>
  <c r="AF27" i="3" s="1"/>
  <c r="C26" i="3"/>
  <c r="Q33" i="1"/>
  <c r="S32" i="1"/>
  <c r="O26" i="3"/>
  <c r="O26" i="13"/>
  <c r="O30" i="1"/>
  <c r="M31" i="1"/>
  <c r="I24" i="6"/>
  <c r="L24" i="6"/>
  <c r="K24" i="6"/>
  <c r="J24" i="6"/>
  <c r="B26" i="6"/>
  <c r="B26" i="13"/>
  <c r="AF26" i="13" s="1"/>
  <c r="C25" i="13"/>
  <c r="Q25" i="3"/>
  <c r="Q25" i="13"/>
  <c r="T30" i="1"/>
  <c r="V29" i="1"/>
  <c r="Z25" i="7"/>
  <c r="H26" i="7"/>
  <c r="M23" i="6"/>
  <c r="P26" i="3"/>
  <c r="S26" i="3" s="1"/>
  <c r="P26" i="13"/>
  <c r="S26" i="13" s="1"/>
  <c r="N31" i="1"/>
  <c r="W31" i="1"/>
  <c r="Y30" i="1"/>
  <c r="O28" i="7"/>
  <c r="P27" i="7"/>
  <c r="L25" i="7"/>
  <c r="Q26" i="7"/>
  <c r="X26" i="7"/>
  <c r="S26" i="7"/>
  <c r="R26" i="7"/>
  <c r="V26" i="7"/>
  <c r="K26" i="7" s="1"/>
  <c r="W26" i="7"/>
  <c r="K25" i="7"/>
  <c r="O24" i="6" l="1"/>
  <c r="W32" i="1"/>
  <c r="Y31" i="1"/>
  <c r="V30" i="1"/>
  <c r="T31" i="1"/>
  <c r="B27" i="13"/>
  <c r="AF27" i="13" s="1"/>
  <c r="C26" i="13"/>
  <c r="N24" i="6"/>
  <c r="Q26" i="13"/>
  <c r="Q26" i="3"/>
  <c r="S33" i="1"/>
  <c r="Q34" i="1"/>
  <c r="P27" i="3"/>
  <c r="S27" i="3" s="1"/>
  <c r="P27" i="13"/>
  <c r="S27" i="13" s="1"/>
  <c r="N32" i="1"/>
  <c r="Z26" i="7"/>
  <c r="H27" i="7"/>
  <c r="R26" i="13"/>
  <c r="T26" i="13"/>
  <c r="I25" i="6"/>
  <c r="J25" i="6"/>
  <c r="L25" i="6"/>
  <c r="K25" i="6"/>
  <c r="B27" i="6"/>
  <c r="R26" i="3"/>
  <c r="T26" i="3"/>
  <c r="B28" i="3"/>
  <c r="AF28" i="3" s="1"/>
  <c r="C27" i="3"/>
  <c r="M24" i="6"/>
  <c r="O27" i="13"/>
  <c r="O27" i="3"/>
  <c r="M32" i="1"/>
  <c r="O31" i="1"/>
  <c r="L26" i="7"/>
  <c r="R27" i="7"/>
  <c r="S27" i="7"/>
  <c r="Q27" i="7"/>
  <c r="V27" i="7"/>
  <c r="X27" i="7"/>
  <c r="M27" i="7" s="1"/>
  <c r="W27" i="7"/>
  <c r="L27" i="7" s="1"/>
  <c r="M26" i="7"/>
  <c r="O29" i="7"/>
  <c r="P28" i="7"/>
  <c r="N25" i="6" l="1"/>
  <c r="M25" i="6"/>
  <c r="R27" i="3"/>
  <c r="T27" i="3"/>
  <c r="B29" i="3"/>
  <c r="AF29" i="3" s="1"/>
  <c r="C28" i="3"/>
  <c r="I26" i="6"/>
  <c r="K26" i="6"/>
  <c r="N26" i="6" s="1"/>
  <c r="J26" i="6"/>
  <c r="B28" i="6"/>
  <c r="L26" i="6"/>
  <c r="O25" i="6"/>
  <c r="S34" i="1"/>
  <c r="Q35" i="1"/>
  <c r="T32" i="1"/>
  <c r="V31" i="1"/>
  <c r="R27" i="13"/>
  <c r="T27" i="13"/>
  <c r="P28" i="3"/>
  <c r="S28" i="3" s="1"/>
  <c r="P28" i="13"/>
  <c r="S28" i="13" s="1"/>
  <c r="N33" i="1"/>
  <c r="Q27" i="13"/>
  <c r="Q27" i="3"/>
  <c r="B28" i="13"/>
  <c r="AF28" i="13" s="1"/>
  <c r="C27" i="13"/>
  <c r="O28" i="3"/>
  <c r="O28" i="13"/>
  <c r="O32" i="1"/>
  <c r="M33" i="1"/>
  <c r="Z27" i="7"/>
  <c r="H28" i="7"/>
  <c r="Y32" i="1"/>
  <c r="W33" i="1"/>
  <c r="S28" i="7"/>
  <c r="Q28" i="7"/>
  <c r="R28" i="7"/>
  <c r="W28" i="7"/>
  <c r="L28" i="7" s="1"/>
  <c r="V28" i="7"/>
  <c r="X28" i="7"/>
  <c r="P29" i="7"/>
  <c r="O30" i="7"/>
  <c r="K28" i="7"/>
  <c r="K27" i="7"/>
  <c r="O26" i="6" l="1"/>
  <c r="M26" i="6"/>
  <c r="Q28" i="13"/>
  <c r="Q28" i="3"/>
  <c r="B29" i="13"/>
  <c r="AF29" i="13" s="1"/>
  <c r="C28" i="13"/>
  <c r="P29" i="3"/>
  <c r="S29" i="3" s="1"/>
  <c r="P29" i="13"/>
  <c r="S29" i="13" s="1"/>
  <c r="N34" i="1"/>
  <c r="B30" i="3"/>
  <c r="AF30" i="3" s="1"/>
  <c r="C29" i="3"/>
  <c r="Z28" i="7"/>
  <c r="H29" i="7"/>
  <c r="T28" i="13"/>
  <c r="R28" i="13"/>
  <c r="R28" i="3"/>
  <c r="T28" i="3"/>
  <c r="T33" i="1"/>
  <c r="V32" i="1"/>
  <c r="W34" i="1"/>
  <c r="Y33" i="1"/>
  <c r="O29" i="3"/>
  <c r="O29" i="13"/>
  <c r="M34" i="1"/>
  <c r="O33" i="1"/>
  <c r="Q36" i="1"/>
  <c r="S35" i="1"/>
  <c r="I27" i="6"/>
  <c r="L27" i="6"/>
  <c r="K27" i="6"/>
  <c r="J27" i="6"/>
  <c r="B29" i="6"/>
  <c r="R29" i="7"/>
  <c r="S29" i="7"/>
  <c r="Q29" i="7"/>
  <c r="V29" i="7"/>
  <c r="X29" i="7"/>
  <c r="W29" i="7"/>
  <c r="M28" i="7"/>
  <c r="P30" i="7"/>
  <c r="O31" i="7"/>
  <c r="N27" i="6" l="1"/>
  <c r="M27" i="6"/>
  <c r="I28" i="6"/>
  <c r="L28" i="6"/>
  <c r="K28" i="6"/>
  <c r="J28" i="6"/>
  <c r="M28" i="6" s="1"/>
  <c r="B30" i="6"/>
  <c r="O27" i="6"/>
  <c r="O30" i="3"/>
  <c r="O30" i="13"/>
  <c r="O34" i="1"/>
  <c r="M35" i="1"/>
  <c r="W35" i="1"/>
  <c r="Y34" i="1"/>
  <c r="P30" i="3"/>
  <c r="S30" i="3" s="1"/>
  <c r="P30" i="13"/>
  <c r="S30" i="13" s="1"/>
  <c r="N35" i="1"/>
  <c r="B30" i="13"/>
  <c r="AF30" i="13" s="1"/>
  <c r="C29" i="13"/>
  <c r="T29" i="13"/>
  <c r="R29" i="13"/>
  <c r="Q37" i="1"/>
  <c r="S36" i="1"/>
  <c r="R29" i="3"/>
  <c r="T29" i="3"/>
  <c r="T34" i="1"/>
  <c r="V33" i="1"/>
  <c r="B31" i="3"/>
  <c r="AF31" i="3" s="1"/>
  <c r="C30" i="3"/>
  <c r="Q29" i="13"/>
  <c r="Q29" i="3"/>
  <c r="Z29" i="7"/>
  <c r="H30" i="7"/>
  <c r="L29" i="7"/>
  <c r="Q30" i="7"/>
  <c r="X30" i="7"/>
  <c r="R30" i="7"/>
  <c r="V30" i="7"/>
  <c r="K30" i="7" s="1"/>
  <c r="S30" i="7"/>
  <c r="W30" i="7"/>
  <c r="M29" i="7"/>
  <c r="O32" i="7"/>
  <c r="P31" i="7"/>
  <c r="K29" i="7"/>
  <c r="N28" i="6" l="1"/>
  <c r="B32" i="3"/>
  <c r="AF32" i="3" s="1"/>
  <c r="C31" i="3"/>
  <c r="R30" i="13"/>
  <c r="T30" i="13"/>
  <c r="P31" i="3"/>
  <c r="S31" i="3" s="1"/>
  <c r="P31" i="13"/>
  <c r="S31" i="13" s="1"/>
  <c r="N36" i="1"/>
  <c r="Y35" i="1"/>
  <c r="W36" i="1"/>
  <c r="R30" i="3"/>
  <c r="T30" i="3"/>
  <c r="O31" i="13"/>
  <c r="O31" i="3"/>
  <c r="O35" i="1"/>
  <c r="M36" i="1"/>
  <c r="Z30" i="7"/>
  <c r="H31" i="7"/>
  <c r="V34" i="1"/>
  <c r="T35" i="1"/>
  <c r="Q38" i="1"/>
  <c r="S37" i="1"/>
  <c r="B31" i="13"/>
  <c r="AF31" i="13" s="1"/>
  <c r="C30" i="13"/>
  <c r="Q30" i="13"/>
  <c r="Q30" i="3"/>
  <c r="I29" i="6"/>
  <c r="J29" i="6"/>
  <c r="L29" i="6"/>
  <c r="K29" i="6"/>
  <c r="B31" i="6"/>
  <c r="O28" i="6"/>
  <c r="P32" i="7"/>
  <c r="O33" i="7"/>
  <c r="M30" i="7"/>
  <c r="L30" i="7"/>
  <c r="Q31" i="7"/>
  <c r="X31" i="7"/>
  <c r="S31" i="7"/>
  <c r="V31" i="7"/>
  <c r="R31" i="7"/>
  <c r="W31" i="7"/>
  <c r="O29" i="6" l="1"/>
  <c r="N29" i="6"/>
  <c r="I30" i="6"/>
  <c r="K30" i="6"/>
  <c r="N30" i="6" s="1"/>
  <c r="J30" i="6"/>
  <c r="B32" i="6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L30" i="6"/>
  <c r="B32" i="13"/>
  <c r="AF32" i="13" s="1"/>
  <c r="C31" i="13"/>
  <c r="T36" i="1"/>
  <c r="V35" i="1"/>
  <c r="O32" i="3"/>
  <c r="O32" i="13"/>
  <c r="M37" i="1"/>
  <c r="O36" i="1"/>
  <c r="P32" i="3"/>
  <c r="S32" i="3" s="1"/>
  <c r="P32" i="13"/>
  <c r="S32" i="13" s="1"/>
  <c r="N37" i="1"/>
  <c r="Q31" i="13"/>
  <c r="Q31" i="3"/>
  <c r="Z31" i="7"/>
  <c r="H32" i="7"/>
  <c r="R31" i="3"/>
  <c r="T31" i="3"/>
  <c r="Y36" i="1"/>
  <c r="W37" i="1"/>
  <c r="B33" i="3"/>
  <c r="AF33" i="3" s="1"/>
  <c r="C32" i="3"/>
  <c r="M29" i="6"/>
  <c r="S38" i="1"/>
  <c r="Q39" i="1"/>
  <c r="R31" i="13"/>
  <c r="T31" i="13"/>
  <c r="P33" i="7"/>
  <c r="O34" i="7"/>
  <c r="K31" i="7"/>
  <c r="M31" i="7"/>
  <c r="Q32" i="7"/>
  <c r="R32" i="7"/>
  <c r="S32" i="7"/>
  <c r="V32" i="7"/>
  <c r="W32" i="7"/>
  <c r="X32" i="7"/>
  <c r="M32" i="7" s="1"/>
  <c r="L31" i="7"/>
  <c r="M30" i="6" l="1"/>
  <c r="S39" i="1"/>
  <c r="Q40" i="1"/>
  <c r="B34" i="3"/>
  <c r="AF34" i="3" s="1"/>
  <c r="C33" i="3"/>
  <c r="R32" i="3"/>
  <c r="T32" i="3"/>
  <c r="C32" i="13"/>
  <c r="B33" i="13"/>
  <c r="AF33" i="13" s="1"/>
  <c r="T32" i="13"/>
  <c r="R32" i="13"/>
  <c r="Q32" i="13"/>
  <c r="Q32" i="3"/>
  <c r="W38" i="1"/>
  <c r="Y37" i="1"/>
  <c r="Z32" i="7"/>
  <c r="H33" i="7"/>
  <c r="P33" i="3"/>
  <c r="S33" i="3" s="1"/>
  <c r="P33" i="13"/>
  <c r="S33" i="13" s="1"/>
  <c r="N38" i="1"/>
  <c r="O33" i="3"/>
  <c r="O33" i="13"/>
  <c r="O37" i="1"/>
  <c r="M38" i="1"/>
  <c r="T37" i="1"/>
  <c r="V36" i="1"/>
  <c r="O30" i="6"/>
  <c r="O35" i="7"/>
  <c r="P34" i="7"/>
  <c r="L32" i="7"/>
  <c r="K32" i="7"/>
  <c r="W33" i="7"/>
  <c r="R33" i="7"/>
  <c r="Q33" i="7"/>
  <c r="S33" i="7"/>
  <c r="X33" i="7"/>
  <c r="V33" i="7"/>
  <c r="B35" i="3" l="1"/>
  <c r="AF35" i="3" s="1"/>
  <c r="C34" i="3"/>
  <c r="T33" i="13"/>
  <c r="R33" i="13"/>
  <c r="W39" i="1"/>
  <c r="Y38" i="1"/>
  <c r="T38" i="1"/>
  <c r="V37" i="1"/>
  <c r="R33" i="3"/>
  <c r="T33" i="3"/>
  <c r="Z33" i="7"/>
  <c r="H34" i="7"/>
  <c r="B34" i="13"/>
  <c r="AF34" i="13" s="1"/>
  <c r="C33" i="13"/>
  <c r="Q41" i="1"/>
  <c r="S40" i="1"/>
  <c r="Q33" i="3"/>
  <c r="Q33" i="13"/>
  <c r="O34" i="3"/>
  <c r="O34" i="13"/>
  <c r="O38" i="1"/>
  <c r="M39" i="1"/>
  <c r="P34" i="3"/>
  <c r="S34" i="3" s="1"/>
  <c r="P34" i="13"/>
  <c r="S34" i="13" s="1"/>
  <c r="N39" i="1"/>
  <c r="M33" i="7"/>
  <c r="L33" i="7"/>
  <c r="K33" i="7"/>
  <c r="S34" i="7"/>
  <c r="W34" i="7"/>
  <c r="L34" i="7" s="1"/>
  <c r="V34" i="7"/>
  <c r="K34" i="7" s="1"/>
  <c r="R34" i="7"/>
  <c r="Q34" i="7"/>
  <c r="X34" i="7"/>
  <c r="M34" i="7" s="1"/>
  <c r="O36" i="7"/>
  <c r="P35" i="7"/>
  <c r="O35" i="13" l="1"/>
  <c r="O35" i="3"/>
  <c r="M40" i="1"/>
  <c r="O39" i="1"/>
  <c r="V38" i="1"/>
  <c r="T39" i="1"/>
  <c r="P35" i="3"/>
  <c r="S35" i="3" s="1"/>
  <c r="P35" i="13"/>
  <c r="S35" i="13" s="1"/>
  <c r="N40" i="1"/>
  <c r="Q34" i="13"/>
  <c r="Q34" i="3"/>
  <c r="B35" i="13"/>
  <c r="AF35" i="13" s="1"/>
  <c r="C34" i="13"/>
  <c r="R34" i="13"/>
  <c r="T34" i="13"/>
  <c r="W40" i="1"/>
  <c r="Y39" i="1"/>
  <c r="B36" i="3"/>
  <c r="AF36" i="3" s="1"/>
  <c r="C35" i="3"/>
  <c r="R34" i="3"/>
  <c r="T34" i="3"/>
  <c r="Q42" i="1"/>
  <c r="S41" i="1"/>
  <c r="Z34" i="7"/>
  <c r="H35" i="7"/>
  <c r="R35" i="7"/>
  <c r="Q35" i="7"/>
  <c r="V35" i="7"/>
  <c r="K35" i="7" s="1"/>
  <c r="S35" i="7"/>
  <c r="X35" i="7"/>
  <c r="W35" i="7"/>
  <c r="O37" i="7"/>
  <c r="P36" i="7"/>
  <c r="S42" i="1" l="1"/>
  <c r="Q43" i="1"/>
  <c r="B37" i="3"/>
  <c r="AF37" i="3" s="1"/>
  <c r="C36" i="3"/>
  <c r="Q35" i="13"/>
  <c r="Q35" i="3"/>
  <c r="Z35" i="7"/>
  <c r="H36" i="7"/>
  <c r="O36" i="3"/>
  <c r="O36" i="13"/>
  <c r="O40" i="1"/>
  <c r="M41" i="1"/>
  <c r="T40" i="1"/>
  <c r="V39" i="1"/>
  <c r="R35" i="3"/>
  <c r="T35" i="3"/>
  <c r="Y40" i="1"/>
  <c r="W41" i="1"/>
  <c r="B36" i="13"/>
  <c r="AF36" i="13" s="1"/>
  <c r="C35" i="13"/>
  <c r="P36" i="3"/>
  <c r="S36" i="3" s="1"/>
  <c r="P36" i="13"/>
  <c r="S36" i="13" s="1"/>
  <c r="N41" i="1"/>
  <c r="R35" i="13"/>
  <c r="T35" i="13"/>
  <c r="O38" i="7"/>
  <c r="P37" i="7"/>
  <c r="W36" i="7"/>
  <c r="L36" i="7" s="1"/>
  <c r="V36" i="7"/>
  <c r="X36" i="7"/>
  <c r="R36" i="7"/>
  <c r="Q36" i="7"/>
  <c r="S36" i="7"/>
  <c r="M35" i="7"/>
  <c r="L35" i="7"/>
  <c r="Q36" i="13" l="1"/>
  <c r="Q36" i="3"/>
  <c r="B38" i="3"/>
  <c r="AF38" i="3" s="1"/>
  <c r="C37" i="3"/>
  <c r="W42" i="1"/>
  <c r="Y41" i="1"/>
  <c r="T36" i="13"/>
  <c r="R36" i="13"/>
  <c r="T41" i="1"/>
  <c r="V40" i="1"/>
  <c r="R36" i="3"/>
  <c r="T36" i="3"/>
  <c r="Q44" i="1"/>
  <c r="S43" i="1"/>
  <c r="P37" i="3"/>
  <c r="S37" i="3" s="1"/>
  <c r="P37" i="13"/>
  <c r="S37" i="13" s="1"/>
  <c r="N42" i="1"/>
  <c r="B37" i="13"/>
  <c r="AF37" i="13" s="1"/>
  <c r="C36" i="13"/>
  <c r="O37" i="3"/>
  <c r="O37" i="13"/>
  <c r="M42" i="1"/>
  <c r="O41" i="1"/>
  <c r="Z36" i="7"/>
  <c r="H37" i="7"/>
  <c r="M36" i="7"/>
  <c r="O39" i="7"/>
  <c r="P38" i="7"/>
  <c r="K36" i="7"/>
  <c r="V37" i="7"/>
  <c r="W37" i="7"/>
  <c r="X37" i="7"/>
  <c r="S37" i="7"/>
  <c r="Q37" i="7"/>
  <c r="R37" i="7"/>
  <c r="O38" i="3" l="1"/>
  <c r="O38" i="13"/>
  <c r="M43" i="1"/>
  <c r="O42" i="1"/>
  <c r="B38" i="13"/>
  <c r="AF38" i="13" s="1"/>
  <c r="C37" i="13"/>
  <c r="B39" i="3"/>
  <c r="AF39" i="3" s="1"/>
  <c r="C38" i="3"/>
  <c r="Z37" i="7"/>
  <c r="H38" i="7"/>
  <c r="T37" i="13"/>
  <c r="R37" i="13"/>
  <c r="R37" i="3"/>
  <c r="T37" i="3"/>
  <c r="P38" i="3"/>
  <c r="S38" i="3" s="1"/>
  <c r="P38" i="13"/>
  <c r="S38" i="13" s="1"/>
  <c r="N43" i="1"/>
  <c r="Q45" i="1"/>
  <c r="S44" i="1"/>
  <c r="T42" i="1"/>
  <c r="V41" i="1"/>
  <c r="W43" i="1"/>
  <c r="Y42" i="1"/>
  <c r="Q37" i="13"/>
  <c r="Q37" i="3"/>
  <c r="L37" i="7"/>
  <c r="K37" i="7"/>
  <c r="M37" i="7"/>
  <c r="W38" i="7"/>
  <c r="V38" i="7"/>
  <c r="S38" i="7"/>
  <c r="R38" i="7"/>
  <c r="X38" i="7"/>
  <c r="Q38" i="7"/>
  <c r="P39" i="7"/>
  <c r="O40" i="7"/>
  <c r="M38" i="7"/>
  <c r="Y43" i="1" l="1"/>
  <c r="W44" i="1"/>
  <c r="S45" i="1"/>
  <c r="Q46" i="1"/>
  <c r="Z38" i="7"/>
  <c r="H39" i="7"/>
  <c r="Q38" i="13"/>
  <c r="Q38" i="3"/>
  <c r="P39" i="3"/>
  <c r="S39" i="3" s="1"/>
  <c r="P39" i="13"/>
  <c r="S39" i="13" s="1"/>
  <c r="N44" i="1"/>
  <c r="O39" i="13"/>
  <c r="O39" i="3"/>
  <c r="O43" i="1"/>
  <c r="M44" i="1"/>
  <c r="V42" i="1"/>
  <c r="T43" i="1"/>
  <c r="B39" i="13"/>
  <c r="AF39" i="13" s="1"/>
  <c r="C38" i="13"/>
  <c r="R38" i="13"/>
  <c r="T38" i="13"/>
  <c r="B40" i="3"/>
  <c r="AF40" i="3" s="1"/>
  <c r="C39" i="3"/>
  <c r="R38" i="3"/>
  <c r="T38" i="3"/>
  <c r="P40" i="7"/>
  <c r="O41" i="7"/>
  <c r="L38" i="7"/>
  <c r="K38" i="7"/>
  <c r="R39" i="7"/>
  <c r="X39" i="7"/>
  <c r="W39" i="7"/>
  <c r="V39" i="7"/>
  <c r="S39" i="7"/>
  <c r="Q39" i="7"/>
  <c r="B41" i="3" l="1"/>
  <c r="AF41" i="3" s="1"/>
  <c r="C40" i="3"/>
  <c r="R39" i="13"/>
  <c r="T39" i="13"/>
  <c r="S46" i="1"/>
  <c r="Q47" i="1"/>
  <c r="B40" i="13"/>
  <c r="AF40" i="13" s="1"/>
  <c r="C39" i="13"/>
  <c r="O40" i="3"/>
  <c r="O40" i="13"/>
  <c r="M45" i="1"/>
  <c r="O44" i="1"/>
  <c r="P40" i="3"/>
  <c r="S40" i="3" s="1"/>
  <c r="P40" i="13"/>
  <c r="S40" i="13" s="1"/>
  <c r="N45" i="1"/>
  <c r="Q39" i="13"/>
  <c r="Q39" i="3"/>
  <c r="Z39" i="7"/>
  <c r="H40" i="7"/>
  <c r="Y44" i="1"/>
  <c r="W45" i="1"/>
  <c r="T44" i="1"/>
  <c r="V43" i="1"/>
  <c r="R39" i="3"/>
  <c r="T39" i="3"/>
  <c r="O42" i="7"/>
  <c r="P41" i="7"/>
  <c r="V40" i="7"/>
  <c r="K40" i="7" s="1"/>
  <c r="X40" i="7"/>
  <c r="M40" i="7" s="1"/>
  <c r="W40" i="7"/>
  <c r="S40" i="7"/>
  <c r="Q40" i="7"/>
  <c r="R40" i="7"/>
  <c r="L39" i="7"/>
  <c r="M39" i="7"/>
  <c r="K39" i="7"/>
  <c r="T45" i="1" l="1"/>
  <c r="V44" i="1"/>
  <c r="T40" i="13"/>
  <c r="R40" i="13"/>
  <c r="W46" i="1"/>
  <c r="Y45" i="1"/>
  <c r="R40" i="3"/>
  <c r="T40" i="3"/>
  <c r="Q48" i="1"/>
  <c r="S47" i="1"/>
  <c r="Q40" i="13"/>
  <c r="Q40" i="3"/>
  <c r="B42" i="3"/>
  <c r="AF42" i="3" s="1"/>
  <c r="C41" i="3"/>
  <c r="Z40" i="7"/>
  <c r="H41" i="7"/>
  <c r="P41" i="3"/>
  <c r="S41" i="3" s="1"/>
  <c r="P41" i="13"/>
  <c r="S41" i="13" s="1"/>
  <c r="N46" i="1"/>
  <c r="O41" i="3"/>
  <c r="O41" i="13"/>
  <c r="O45" i="1"/>
  <c r="M46" i="1"/>
  <c r="C40" i="13"/>
  <c r="B41" i="13"/>
  <c r="AF41" i="13" s="1"/>
  <c r="L40" i="7"/>
  <c r="R41" i="7"/>
  <c r="X41" i="7"/>
  <c r="M41" i="7" s="1"/>
  <c r="W41" i="7"/>
  <c r="L41" i="7" s="1"/>
  <c r="S41" i="7"/>
  <c r="V41" i="7"/>
  <c r="Q41" i="7"/>
  <c r="P42" i="7"/>
  <c r="O43" i="7"/>
  <c r="O42" i="3" l="1"/>
  <c r="O42" i="13"/>
  <c r="O46" i="1"/>
  <c r="M47" i="1"/>
  <c r="P42" i="3"/>
  <c r="S42" i="3" s="1"/>
  <c r="P42" i="13"/>
  <c r="S42" i="13" s="1"/>
  <c r="N47" i="1"/>
  <c r="B42" i="13"/>
  <c r="AF42" i="13" s="1"/>
  <c r="C41" i="13"/>
  <c r="Q41" i="3"/>
  <c r="Q41" i="13"/>
  <c r="T41" i="13"/>
  <c r="R41" i="13"/>
  <c r="B43" i="3"/>
  <c r="AF43" i="3" s="1"/>
  <c r="C42" i="3"/>
  <c r="R41" i="3"/>
  <c r="T41" i="3"/>
  <c r="Z41" i="7"/>
  <c r="H42" i="7"/>
  <c r="Q49" i="1"/>
  <c r="S48" i="1"/>
  <c r="W47" i="1"/>
  <c r="Y46" i="1"/>
  <c r="T46" i="1"/>
  <c r="V45" i="1"/>
  <c r="Q42" i="7"/>
  <c r="X42" i="7"/>
  <c r="R42" i="7"/>
  <c r="W42" i="7"/>
  <c r="V42" i="7"/>
  <c r="K42" i="7" s="1"/>
  <c r="S42" i="7"/>
  <c r="K41" i="7"/>
  <c r="O44" i="7"/>
  <c r="P43" i="7"/>
  <c r="M42" i="7"/>
  <c r="W48" i="1" l="1"/>
  <c r="Y47" i="1"/>
  <c r="B44" i="3"/>
  <c r="AF44" i="3" s="1"/>
  <c r="C43" i="3"/>
  <c r="O43" i="13"/>
  <c r="O43" i="3"/>
  <c r="M48" i="1"/>
  <c r="O47" i="1"/>
  <c r="P43" i="3"/>
  <c r="S43" i="3" s="1"/>
  <c r="P43" i="13"/>
  <c r="S43" i="13" s="1"/>
  <c r="N48" i="1"/>
  <c r="Q42" i="13"/>
  <c r="Q42" i="3"/>
  <c r="V46" i="1"/>
  <c r="T47" i="1"/>
  <c r="S49" i="1"/>
  <c r="Q50" i="1"/>
  <c r="R42" i="13"/>
  <c r="T42" i="13"/>
  <c r="Z42" i="7"/>
  <c r="H43" i="7"/>
  <c r="B43" i="13"/>
  <c r="AF43" i="13" s="1"/>
  <c r="C42" i="13"/>
  <c r="R42" i="3"/>
  <c r="T42" i="3"/>
  <c r="R43" i="7"/>
  <c r="Q43" i="7"/>
  <c r="V43" i="7"/>
  <c r="S43" i="7"/>
  <c r="X43" i="7"/>
  <c r="W43" i="7"/>
  <c r="L43" i="7" s="1"/>
  <c r="O45" i="7"/>
  <c r="P44" i="7"/>
  <c r="L42" i="7"/>
  <c r="B44" i="13" l="1"/>
  <c r="AF44" i="13" s="1"/>
  <c r="C43" i="13"/>
  <c r="T48" i="1"/>
  <c r="V47" i="1"/>
  <c r="P44" i="3"/>
  <c r="S44" i="3" s="1"/>
  <c r="P44" i="13"/>
  <c r="S44" i="13" s="1"/>
  <c r="N49" i="1"/>
  <c r="O44" i="3"/>
  <c r="O44" i="13"/>
  <c r="O48" i="1"/>
  <c r="M49" i="1"/>
  <c r="C44" i="3"/>
  <c r="B45" i="3"/>
  <c r="AF45" i="3" s="1"/>
  <c r="R43" i="3"/>
  <c r="T43" i="3"/>
  <c r="Z43" i="7"/>
  <c r="H44" i="7"/>
  <c r="S50" i="1"/>
  <c r="Q51" i="1"/>
  <c r="R43" i="13"/>
  <c r="T43" i="13"/>
  <c r="Q43" i="13"/>
  <c r="Q43" i="3"/>
  <c r="Y48" i="1"/>
  <c r="W49" i="1"/>
  <c r="Q44" i="7"/>
  <c r="S44" i="7"/>
  <c r="X44" i="7"/>
  <c r="R44" i="7"/>
  <c r="W44" i="7"/>
  <c r="V44" i="7"/>
  <c r="K44" i="7" s="1"/>
  <c r="P45" i="7"/>
  <c r="O46" i="7"/>
  <c r="K43" i="7"/>
  <c r="M43" i="7"/>
  <c r="O45" i="3" l="1"/>
  <c r="M50" i="1"/>
  <c r="O45" i="13"/>
  <c r="O49" i="1"/>
  <c r="P45" i="3"/>
  <c r="S45" i="3" s="1"/>
  <c r="P45" i="13"/>
  <c r="S45" i="13" s="1"/>
  <c r="N50" i="1"/>
  <c r="T49" i="1"/>
  <c r="V48" i="1"/>
  <c r="W50" i="1"/>
  <c r="Y49" i="1"/>
  <c r="Z44" i="7"/>
  <c r="H45" i="7"/>
  <c r="B46" i="3"/>
  <c r="AF46" i="3" s="1"/>
  <c r="C45" i="3"/>
  <c r="Q44" i="13"/>
  <c r="Q44" i="3"/>
  <c r="T44" i="13"/>
  <c r="R44" i="13"/>
  <c r="B45" i="13"/>
  <c r="AF45" i="13" s="1"/>
  <c r="C44" i="13"/>
  <c r="Q52" i="1"/>
  <c r="S51" i="1"/>
  <c r="R44" i="3"/>
  <c r="T44" i="3"/>
  <c r="M44" i="7"/>
  <c r="O47" i="7"/>
  <c r="P46" i="7"/>
  <c r="V45" i="7"/>
  <c r="W45" i="7"/>
  <c r="L45" i="7" s="1"/>
  <c r="X45" i="7"/>
  <c r="S45" i="7"/>
  <c r="R45" i="7"/>
  <c r="Q45" i="7"/>
  <c r="L44" i="7"/>
  <c r="Q53" i="1" l="1"/>
  <c r="S52" i="1"/>
  <c r="T50" i="1"/>
  <c r="V49" i="1"/>
  <c r="Q45" i="13"/>
  <c r="Q45" i="3"/>
  <c r="B47" i="3"/>
  <c r="AF47" i="3" s="1"/>
  <c r="C46" i="3"/>
  <c r="P46" i="3"/>
  <c r="S46" i="3" s="1"/>
  <c r="P46" i="13"/>
  <c r="S46" i="13" s="1"/>
  <c r="N51" i="1"/>
  <c r="T45" i="13"/>
  <c r="R45" i="13"/>
  <c r="B46" i="13"/>
  <c r="AF46" i="13" s="1"/>
  <c r="C45" i="13"/>
  <c r="W51" i="1"/>
  <c r="Y50" i="1"/>
  <c r="O46" i="3"/>
  <c r="O46" i="13"/>
  <c r="O50" i="1"/>
  <c r="M51" i="1"/>
  <c r="Z45" i="7"/>
  <c r="H46" i="7"/>
  <c r="R45" i="3"/>
  <c r="T45" i="3"/>
  <c r="S46" i="7"/>
  <c r="V46" i="7"/>
  <c r="K46" i="7" s="1"/>
  <c r="W46" i="7"/>
  <c r="Q46" i="7"/>
  <c r="X46" i="7"/>
  <c r="M46" i="7" s="1"/>
  <c r="R46" i="7"/>
  <c r="K45" i="7"/>
  <c r="O48" i="7"/>
  <c r="P47" i="7"/>
  <c r="M45" i="7"/>
  <c r="R46" i="3" l="1"/>
  <c r="T46" i="3"/>
  <c r="B47" i="13"/>
  <c r="AF47" i="13" s="1"/>
  <c r="C46" i="13"/>
  <c r="P47" i="3"/>
  <c r="S47" i="3" s="1"/>
  <c r="P47" i="13"/>
  <c r="S47" i="13" s="1"/>
  <c r="N52" i="1"/>
  <c r="B48" i="3"/>
  <c r="AF48" i="3" s="1"/>
  <c r="C47" i="3"/>
  <c r="O47" i="13"/>
  <c r="O51" i="1"/>
  <c r="O47" i="3"/>
  <c r="M52" i="1"/>
  <c r="V50" i="1"/>
  <c r="T51" i="1"/>
  <c r="Q46" i="13"/>
  <c r="Q46" i="3"/>
  <c r="Y51" i="1"/>
  <c r="W52" i="1"/>
  <c r="Z46" i="7"/>
  <c r="H47" i="7"/>
  <c r="R46" i="13"/>
  <c r="T46" i="13"/>
  <c r="Q54" i="1"/>
  <c r="S53" i="1"/>
  <c r="P48" i="7"/>
  <c r="O49" i="7"/>
  <c r="L46" i="7"/>
  <c r="R47" i="7"/>
  <c r="X47" i="7"/>
  <c r="W47" i="7"/>
  <c r="V47" i="7"/>
  <c r="Q47" i="7"/>
  <c r="S47" i="7"/>
  <c r="R47" i="13" l="1"/>
  <c r="T47" i="13"/>
  <c r="P48" i="3"/>
  <c r="S48" i="3" s="1"/>
  <c r="P48" i="13"/>
  <c r="S48" i="13" s="1"/>
  <c r="N53" i="1"/>
  <c r="B48" i="13"/>
  <c r="AF48" i="13" s="1"/>
  <c r="C47" i="13"/>
  <c r="Z47" i="7"/>
  <c r="H48" i="7"/>
  <c r="O48" i="3"/>
  <c r="O48" i="13"/>
  <c r="M53" i="1"/>
  <c r="O52" i="1"/>
  <c r="S54" i="1"/>
  <c r="Q55" i="1"/>
  <c r="R47" i="3"/>
  <c r="T47" i="3"/>
  <c r="B49" i="3"/>
  <c r="AF49" i="3" s="1"/>
  <c r="C48" i="3"/>
  <c r="Y52" i="1"/>
  <c r="W53" i="1"/>
  <c r="T52" i="1"/>
  <c r="V51" i="1"/>
  <c r="Q47" i="13"/>
  <c r="Q47" i="3"/>
  <c r="M47" i="7"/>
  <c r="L47" i="7"/>
  <c r="P49" i="7"/>
  <c r="O50" i="7"/>
  <c r="K47" i="7"/>
  <c r="W48" i="7"/>
  <c r="R48" i="7"/>
  <c r="S48" i="7"/>
  <c r="V48" i="7"/>
  <c r="X48" i="7"/>
  <c r="Q48" i="7"/>
  <c r="T53" i="1" l="1"/>
  <c r="V52" i="1"/>
  <c r="B50" i="3"/>
  <c r="AF50" i="3" s="1"/>
  <c r="C49" i="3"/>
  <c r="S55" i="1"/>
  <c r="Q56" i="1"/>
  <c r="T48" i="13"/>
  <c r="R48" i="13"/>
  <c r="W54" i="1"/>
  <c r="Y53" i="1"/>
  <c r="R48" i="3"/>
  <c r="T48" i="3"/>
  <c r="B49" i="13"/>
  <c r="AF49" i="13" s="1"/>
  <c r="C48" i="13"/>
  <c r="Q48" i="13"/>
  <c r="Q48" i="3"/>
  <c r="Z48" i="7"/>
  <c r="H49" i="7"/>
  <c r="O49" i="3"/>
  <c r="O49" i="13"/>
  <c r="O53" i="1"/>
  <c r="M54" i="1"/>
  <c r="P49" i="3"/>
  <c r="S49" i="3" s="1"/>
  <c r="P49" i="13"/>
  <c r="S49" i="13" s="1"/>
  <c r="N54" i="1"/>
  <c r="M48" i="7"/>
  <c r="K48" i="7"/>
  <c r="P50" i="7"/>
  <c r="O51" i="7"/>
  <c r="L48" i="7"/>
  <c r="R49" i="7"/>
  <c r="X49" i="7"/>
  <c r="W49" i="7"/>
  <c r="L49" i="7" s="1"/>
  <c r="S49" i="7"/>
  <c r="V49" i="7"/>
  <c r="Q49" i="7"/>
  <c r="O50" i="3" l="1"/>
  <c r="O50" i="13"/>
  <c r="O54" i="1"/>
  <c r="M55" i="1"/>
  <c r="Z49" i="7"/>
  <c r="H50" i="7"/>
  <c r="B51" i="3"/>
  <c r="AF51" i="3" s="1"/>
  <c r="C50" i="3"/>
  <c r="P50" i="3"/>
  <c r="S50" i="3" s="1"/>
  <c r="P50" i="13"/>
  <c r="S50" i="13" s="1"/>
  <c r="N55" i="1"/>
  <c r="Q49" i="3"/>
  <c r="Q49" i="13"/>
  <c r="B50" i="13"/>
  <c r="AF50" i="13" s="1"/>
  <c r="C49" i="13"/>
  <c r="Q57" i="1"/>
  <c r="S56" i="1"/>
  <c r="R49" i="13"/>
  <c r="T49" i="13"/>
  <c r="W55" i="1"/>
  <c r="Y54" i="1"/>
  <c r="R49" i="3"/>
  <c r="T49" i="3"/>
  <c r="T54" i="1"/>
  <c r="V53" i="1"/>
  <c r="P51" i="7"/>
  <c r="O52" i="7"/>
  <c r="M49" i="7"/>
  <c r="K49" i="7"/>
  <c r="S50" i="7"/>
  <c r="V50" i="7"/>
  <c r="R50" i="7"/>
  <c r="Q50" i="7"/>
  <c r="X50" i="7"/>
  <c r="W50" i="7"/>
  <c r="L50" i="7"/>
  <c r="C50" i="13" l="1"/>
  <c r="B51" i="13"/>
  <c r="AF51" i="13" s="1"/>
  <c r="P51" i="3"/>
  <c r="S51" i="3" s="1"/>
  <c r="P51" i="13"/>
  <c r="S51" i="13" s="1"/>
  <c r="N56" i="1"/>
  <c r="B52" i="3"/>
  <c r="AF52" i="3" s="1"/>
  <c r="C51" i="3"/>
  <c r="O51" i="3"/>
  <c r="O51" i="13"/>
  <c r="M56" i="1"/>
  <c r="O55" i="1"/>
  <c r="Q50" i="13"/>
  <c r="Q50" i="3"/>
  <c r="V54" i="1"/>
  <c r="T55" i="1"/>
  <c r="W56" i="1"/>
  <c r="Y55" i="1"/>
  <c r="Q58" i="1"/>
  <c r="S57" i="1"/>
  <c r="Z50" i="7"/>
  <c r="H51" i="7"/>
  <c r="T50" i="13"/>
  <c r="R50" i="13"/>
  <c r="R50" i="3"/>
  <c r="T50" i="3"/>
  <c r="O53" i="7"/>
  <c r="P52" i="7"/>
  <c r="M50" i="7"/>
  <c r="K50" i="7"/>
  <c r="S51" i="7"/>
  <c r="R51" i="7"/>
  <c r="V51" i="7"/>
  <c r="Q51" i="7"/>
  <c r="W51" i="7"/>
  <c r="X51" i="7"/>
  <c r="M51" i="7" s="1"/>
  <c r="S58" i="1" l="1"/>
  <c r="Q59" i="1"/>
  <c r="O52" i="3"/>
  <c r="O52" i="13"/>
  <c r="O56" i="1"/>
  <c r="M57" i="1"/>
  <c r="B53" i="3"/>
  <c r="AF53" i="3" s="1"/>
  <c r="C52" i="3"/>
  <c r="B52" i="13"/>
  <c r="AF52" i="13" s="1"/>
  <c r="C51" i="13"/>
  <c r="Y56" i="1"/>
  <c r="W57" i="1"/>
  <c r="R51" i="3"/>
  <c r="T51" i="3"/>
  <c r="P52" i="3"/>
  <c r="S52" i="3" s="1"/>
  <c r="P52" i="13"/>
  <c r="S52" i="13" s="1"/>
  <c r="N57" i="1"/>
  <c r="Z51" i="7"/>
  <c r="H52" i="7"/>
  <c r="T51" i="13"/>
  <c r="R51" i="13"/>
  <c r="T56" i="1"/>
  <c r="V55" i="1"/>
  <c r="Q51" i="13"/>
  <c r="Q51" i="3"/>
  <c r="K51" i="7"/>
  <c r="P53" i="7"/>
  <c r="O54" i="7"/>
  <c r="L51" i="7"/>
  <c r="W52" i="7"/>
  <c r="V52" i="7"/>
  <c r="X52" i="7"/>
  <c r="Q52" i="7"/>
  <c r="S52" i="7"/>
  <c r="R52" i="7"/>
  <c r="T57" i="1" l="1"/>
  <c r="V56" i="1"/>
  <c r="B54" i="3"/>
  <c r="AF54" i="3" s="1"/>
  <c r="C53" i="3"/>
  <c r="R52" i="13"/>
  <c r="T52" i="13"/>
  <c r="P53" i="3"/>
  <c r="S53" i="3" s="1"/>
  <c r="P53" i="13"/>
  <c r="S53" i="13" s="1"/>
  <c r="N58" i="1"/>
  <c r="R52" i="3"/>
  <c r="T52" i="3"/>
  <c r="W58" i="1"/>
  <c r="Y57" i="1"/>
  <c r="O53" i="3"/>
  <c r="O53" i="13"/>
  <c r="M58" i="1"/>
  <c r="O57" i="1"/>
  <c r="Q60" i="1"/>
  <c r="S59" i="1"/>
  <c r="B53" i="13"/>
  <c r="AF53" i="13" s="1"/>
  <c r="C52" i="13"/>
  <c r="Z52" i="7"/>
  <c r="H53" i="7"/>
  <c r="Q52" i="13"/>
  <c r="Q52" i="3"/>
  <c r="M52" i="7"/>
  <c r="O55" i="7"/>
  <c r="P54" i="7"/>
  <c r="K52" i="7"/>
  <c r="R53" i="7"/>
  <c r="X53" i="7"/>
  <c r="M53" i="7" s="1"/>
  <c r="S53" i="7"/>
  <c r="Q53" i="7"/>
  <c r="W53" i="7"/>
  <c r="V53" i="7"/>
  <c r="L52" i="7"/>
  <c r="R53" i="13" l="1"/>
  <c r="T53" i="13"/>
  <c r="B55" i="3"/>
  <c r="AF55" i="3" s="1"/>
  <c r="C54" i="3"/>
  <c r="B54" i="13"/>
  <c r="AF54" i="13" s="1"/>
  <c r="C53" i="13"/>
  <c r="Q53" i="13"/>
  <c r="Q53" i="3"/>
  <c r="P54" i="3"/>
  <c r="S54" i="3" s="1"/>
  <c r="P54" i="13"/>
  <c r="S54" i="13" s="1"/>
  <c r="N59" i="1"/>
  <c r="Q61" i="1"/>
  <c r="S60" i="1"/>
  <c r="R53" i="3"/>
  <c r="T53" i="3"/>
  <c r="Z53" i="7"/>
  <c r="H54" i="7"/>
  <c r="O54" i="3"/>
  <c r="O54" i="13"/>
  <c r="M59" i="1"/>
  <c r="O58" i="1"/>
  <c r="W59" i="1"/>
  <c r="Y58" i="1"/>
  <c r="T58" i="1"/>
  <c r="V57" i="1"/>
  <c r="S54" i="7"/>
  <c r="X54" i="7"/>
  <c r="M54" i="7" s="1"/>
  <c r="Q54" i="7"/>
  <c r="V54" i="7"/>
  <c r="K54" i="7" s="1"/>
  <c r="W54" i="7"/>
  <c r="L54" i="7" s="1"/>
  <c r="R54" i="7"/>
  <c r="L53" i="7"/>
  <c r="O56" i="7"/>
  <c r="P55" i="7"/>
  <c r="K53" i="7"/>
  <c r="Q54" i="13" l="1"/>
  <c r="Q54" i="3"/>
  <c r="Z54" i="7"/>
  <c r="H55" i="7"/>
  <c r="C54" i="13"/>
  <c r="B55" i="13"/>
  <c r="AF55" i="13" s="1"/>
  <c r="Y59" i="1"/>
  <c r="W60" i="1"/>
  <c r="R54" i="3"/>
  <c r="T54" i="3"/>
  <c r="V58" i="1"/>
  <c r="T59" i="1"/>
  <c r="O55" i="3"/>
  <c r="O55" i="13"/>
  <c r="O59" i="1"/>
  <c r="M60" i="1"/>
  <c r="S61" i="1"/>
  <c r="Q62" i="1"/>
  <c r="B56" i="3"/>
  <c r="AF56" i="3" s="1"/>
  <c r="C55" i="3"/>
  <c r="T54" i="13"/>
  <c r="R54" i="13"/>
  <c r="P55" i="3"/>
  <c r="S55" i="3" s="1"/>
  <c r="P55" i="13"/>
  <c r="S55" i="13" s="1"/>
  <c r="N60" i="1"/>
  <c r="P56" i="7"/>
  <c r="O57" i="7"/>
  <c r="S55" i="7"/>
  <c r="W55" i="7"/>
  <c r="V55" i="7"/>
  <c r="X55" i="7"/>
  <c r="Q55" i="7"/>
  <c r="R55" i="7"/>
  <c r="Q55" i="13" l="1"/>
  <c r="Q55" i="3"/>
  <c r="Z55" i="7"/>
  <c r="H56" i="7"/>
  <c r="S62" i="1"/>
  <c r="Q63" i="1"/>
  <c r="T55" i="13"/>
  <c r="R55" i="13"/>
  <c r="C55" i="13"/>
  <c r="B56" i="13"/>
  <c r="AF56" i="13" s="1"/>
  <c r="R55" i="3"/>
  <c r="T55" i="3"/>
  <c r="P56" i="3"/>
  <c r="S56" i="3" s="1"/>
  <c r="P56" i="13"/>
  <c r="S56" i="13" s="1"/>
  <c r="N61" i="1"/>
  <c r="B57" i="3"/>
  <c r="AF57" i="3" s="1"/>
  <c r="C56" i="3"/>
  <c r="O56" i="3"/>
  <c r="O56" i="13"/>
  <c r="M61" i="1"/>
  <c r="O60" i="1"/>
  <c r="T60" i="1"/>
  <c r="V59" i="1"/>
  <c r="Y60" i="1"/>
  <c r="W61" i="1"/>
  <c r="L55" i="7"/>
  <c r="P57" i="7"/>
  <c r="O58" i="7"/>
  <c r="M55" i="7"/>
  <c r="R56" i="7"/>
  <c r="W56" i="7"/>
  <c r="Q56" i="7"/>
  <c r="X56" i="7"/>
  <c r="M56" i="7" s="1"/>
  <c r="S56" i="7"/>
  <c r="V56" i="7"/>
  <c r="K55" i="7"/>
  <c r="T61" i="1" l="1"/>
  <c r="V60" i="1"/>
  <c r="Z56" i="7"/>
  <c r="H57" i="7"/>
  <c r="W62" i="1"/>
  <c r="Y61" i="1"/>
  <c r="Q56" i="13"/>
  <c r="Q56" i="3"/>
  <c r="B57" i="13"/>
  <c r="AF57" i="13" s="1"/>
  <c r="C56" i="13"/>
  <c r="R56" i="3"/>
  <c r="T56" i="3"/>
  <c r="P57" i="3"/>
  <c r="S57" i="3" s="1"/>
  <c r="P57" i="13"/>
  <c r="S57" i="13" s="1"/>
  <c r="N62" i="1"/>
  <c r="O57" i="3"/>
  <c r="O57" i="13"/>
  <c r="O61" i="1"/>
  <c r="M62" i="1"/>
  <c r="B58" i="3"/>
  <c r="AF58" i="3" s="1"/>
  <c r="C57" i="3"/>
  <c r="Q64" i="1"/>
  <c r="S63" i="1"/>
  <c r="R56" i="13"/>
  <c r="T56" i="13"/>
  <c r="P58" i="7"/>
  <c r="O59" i="7"/>
  <c r="V57" i="7"/>
  <c r="R57" i="7"/>
  <c r="Q57" i="7"/>
  <c r="S57" i="7"/>
  <c r="W57" i="7"/>
  <c r="X57" i="7"/>
  <c r="L56" i="7"/>
  <c r="K56" i="7"/>
  <c r="L57" i="7"/>
  <c r="Q65" i="1" l="1"/>
  <c r="S64" i="1"/>
  <c r="O58" i="3"/>
  <c r="O58" i="13"/>
  <c r="O62" i="1"/>
  <c r="M63" i="1"/>
  <c r="P58" i="3"/>
  <c r="S58" i="3" s="1"/>
  <c r="P58" i="13"/>
  <c r="S58" i="13" s="1"/>
  <c r="N63" i="1"/>
  <c r="Z57" i="7"/>
  <c r="H58" i="7"/>
  <c r="Q57" i="3"/>
  <c r="Q57" i="13"/>
  <c r="B59" i="3"/>
  <c r="AF59" i="3" s="1"/>
  <c r="C58" i="3"/>
  <c r="R57" i="13"/>
  <c r="T57" i="13"/>
  <c r="B58" i="13"/>
  <c r="AF58" i="13" s="1"/>
  <c r="C57" i="13"/>
  <c r="R57" i="3"/>
  <c r="T57" i="3"/>
  <c r="W63" i="1"/>
  <c r="Y62" i="1"/>
  <c r="T62" i="1"/>
  <c r="V61" i="1"/>
  <c r="S58" i="7"/>
  <c r="W58" i="7"/>
  <c r="Q58" i="7"/>
  <c r="R58" i="7"/>
  <c r="V58" i="7"/>
  <c r="K58" i="7" s="1"/>
  <c r="X58" i="7"/>
  <c r="M58" i="7" s="1"/>
  <c r="M57" i="7"/>
  <c r="K57" i="7"/>
  <c r="O60" i="7"/>
  <c r="P59" i="7"/>
  <c r="B60" i="3" l="1"/>
  <c r="AF60" i="3" s="1"/>
  <c r="C59" i="3"/>
  <c r="Z58" i="7"/>
  <c r="H59" i="7"/>
  <c r="R58" i="3"/>
  <c r="T58" i="3"/>
  <c r="C58" i="13"/>
  <c r="B59" i="13"/>
  <c r="AF59" i="13" s="1"/>
  <c r="T58" i="13"/>
  <c r="R58" i="13"/>
  <c r="V62" i="1"/>
  <c r="T63" i="1"/>
  <c r="O59" i="3"/>
  <c r="O59" i="13"/>
  <c r="M64" i="1"/>
  <c r="O63" i="1"/>
  <c r="W64" i="1"/>
  <c r="Y63" i="1"/>
  <c r="P59" i="3"/>
  <c r="S59" i="3" s="1"/>
  <c r="P59" i="13"/>
  <c r="S59" i="13" s="1"/>
  <c r="N64" i="1"/>
  <c r="Q58" i="13"/>
  <c r="Q58" i="3"/>
  <c r="S65" i="1"/>
  <c r="Q66" i="1"/>
  <c r="O61" i="7"/>
  <c r="P60" i="7"/>
  <c r="X59" i="7"/>
  <c r="S59" i="7"/>
  <c r="W59" i="7"/>
  <c r="Q59" i="7"/>
  <c r="R59" i="7"/>
  <c r="V59" i="7"/>
  <c r="L58" i="7"/>
  <c r="T59" i="13" l="1"/>
  <c r="R59" i="13"/>
  <c r="S66" i="1"/>
  <c r="Q67" i="1"/>
  <c r="P60" i="3"/>
  <c r="S60" i="3" s="1"/>
  <c r="P60" i="13"/>
  <c r="S60" i="13" s="1"/>
  <c r="N65" i="1"/>
  <c r="Y64" i="1"/>
  <c r="W65" i="1"/>
  <c r="R59" i="3"/>
  <c r="T59" i="3"/>
  <c r="B60" i="13"/>
  <c r="AF60" i="13" s="1"/>
  <c r="C59" i="13"/>
  <c r="B61" i="3"/>
  <c r="AF61" i="3" s="1"/>
  <c r="C60" i="3"/>
  <c r="Q59" i="13"/>
  <c r="Q59" i="3"/>
  <c r="T64" i="1"/>
  <c r="V63" i="1"/>
  <c r="O60" i="3"/>
  <c r="O60" i="13"/>
  <c r="O64" i="1"/>
  <c r="M65" i="1"/>
  <c r="Z59" i="7"/>
  <c r="H60" i="7"/>
  <c r="M59" i="7"/>
  <c r="V60" i="7"/>
  <c r="X60" i="7"/>
  <c r="W60" i="7"/>
  <c r="L60" i="7" s="1"/>
  <c r="Q60" i="7"/>
  <c r="R60" i="7"/>
  <c r="S60" i="7"/>
  <c r="P61" i="7"/>
  <c r="O62" i="7"/>
  <c r="L59" i="7"/>
  <c r="K59" i="7"/>
  <c r="Z60" i="7" l="1"/>
  <c r="H61" i="7"/>
  <c r="R60" i="13"/>
  <c r="T60" i="13"/>
  <c r="P61" i="3"/>
  <c r="S61" i="3" s="1"/>
  <c r="P61" i="13"/>
  <c r="S61" i="13" s="1"/>
  <c r="N66" i="1"/>
  <c r="B62" i="3"/>
  <c r="AF62" i="3" s="1"/>
  <c r="C61" i="3"/>
  <c r="Q68" i="1"/>
  <c r="S67" i="1"/>
  <c r="R60" i="3"/>
  <c r="T60" i="3"/>
  <c r="Q60" i="13"/>
  <c r="Q60" i="3"/>
  <c r="T65" i="1"/>
  <c r="V64" i="1"/>
  <c r="O61" i="3"/>
  <c r="O61" i="13"/>
  <c r="M66" i="1"/>
  <c r="O65" i="1"/>
  <c r="B61" i="13"/>
  <c r="AF61" i="13" s="1"/>
  <c r="C60" i="13"/>
  <c r="W66" i="1"/>
  <c r="Y65" i="1"/>
  <c r="R61" i="7"/>
  <c r="W61" i="7"/>
  <c r="V61" i="7"/>
  <c r="Q61" i="7"/>
  <c r="X61" i="7"/>
  <c r="M61" i="7" s="1"/>
  <c r="S61" i="7"/>
  <c r="K60" i="7"/>
  <c r="O63" i="7"/>
  <c r="P62" i="7"/>
  <c r="M60" i="7"/>
  <c r="R61" i="3" l="1"/>
  <c r="T61" i="3"/>
  <c r="Q69" i="1"/>
  <c r="S68" i="1"/>
  <c r="P62" i="3"/>
  <c r="S62" i="3" s="1"/>
  <c r="P62" i="13"/>
  <c r="S62" i="13" s="1"/>
  <c r="N67" i="1"/>
  <c r="W67" i="1"/>
  <c r="Y66" i="1"/>
  <c r="Q61" i="13"/>
  <c r="Q61" i="3"/>
  <c r="Z61" i="7"/>
  <c r="H62" i="7"/>
  <c r="B62" i="13"/>
  <c r="AF62" i="13" s="1"/>
  <c r="C61" i="13"/>
  <c r="R61" i="13"/>
  <c r="T61" i="13"/>
  <c r="O62" i="3"/>
  <c r="O62" i="13"/>
  <c r="O66" i="1"/>
  <c r="M67" i="1"/>
  <c r="T66" i="1"/>
  <c r="V65" i="1"/>
  <c r="B63" i="3"/>
  <c r="AF63" i="3" s="1"/>
  <c r="C62" i="3"/>
  <c r="L61" i="7"/>
  <c r="S62" i="7"/>
  <c r="W62" i="7"/>
  <c r="Q62" i="7"/>
  <c r="X62" i="7"/>
  <c r="R62" i="7"/>
  <c r="V62" i="7"/>
  <c r="K61" i="7"/>
  <c r="O64" i="7"/>
  <c r="P63" i="7"/>
  <c r="V66" i="1" l="1"/>
  <c r="T67" i="1"/>
  <c r="R62" i="3"/>
  <c r="T62" i="3"/>
  <c r="C62" i="13"/>
  <c r="B63" i="13"/>
  <c r="AF63" i="13" s="1"/>
  <c r="P63" i="3"/>
  <c r="S63" i="3" s="1"/>
  <c r="P63" i="13"/>
  <c r="S63" i="13" s="1"/>
  <c r="N68" i="1"/>
  <c r="Q70" i="1"/>
  <c r="S69" i="1"/>
  <c r="Y67" i="1"/>
  <c r="W68" i="1"/>
  <c r="B64" i="3"/>
  <c r="AF64" i="3" s="1"/>
  <c r="C63" i="3"/>
  <c r="O63" i="3"/>
  <c r="O63" i="13"/>
  <c r="O67" i="1"/>
  <c r="M68" i="1"/>
  <c r="T62" i="13"/>
  <c r="R62" i="13"/>
  <c r="Q62" i="13"/>
  <c r="Q62" i="3"/>
  <c r="Z62" i="7"/>
  <c r="H63" i="7"/>
  <c r="O65" i="7"/>
  <c r="P64" i="7"/>
  <c r="L62" i="7"/>
  <c r="K62" i="7"/>
  <c r="S63" i="7"/>
  <c r="W63" i="7"/>
  <c r="V63" i="7"/>
  <c r="K63" i="7" s="1"/>
  <c r="X63" i="7"/>
  <c r="M63" i="7" s="1"/>
  <c r="R63" i="7"/>
  <c r="Q63" i="7"/>
  <c r="M62" i="7"/>
  <c r="Q63" i="13" l="1"/>
  <c r="Q63" i="3"/>
  <c r="Z63" i="7"/>
  <c r="H64" i="7"/>
  <c r="T63" i="13"/>
  <c r="R63" i="13"/>
  <c r="S70" i="1"/>
  <c r="Q71" i="1"/>
  <c r="C63" i="13"/>
  <c r="B64" i="13"/>
  <c r="AF64" i="13" s="1"/>
  <c r="R63" i="3"/>
  <c r="T63" i="3"/>
  <c r="Y68" i="1"/>
  <c r="W69" i="1"/>
  <c r="P64" i="3"/>
  <c r="S64" i="3" s="1"/>
  <c r="P64" i="13"/>
  <c r="S64" i="13" s="1"/>
  <c r="N69" i="1"/>
  <c r="T68" i="1"/>
  <c r="V67" i="1"/>
  <c r="B65" i="3"/>
  <c r="AF65" i="3" s="1"/>
  <c r="C64" i="3"/>
  <c r="O64" i="3"/>
  <c r="O64" i="13"/>
  <c r="M69" i="1"/>
  <c r="O68" i="1"/>
  <c r="L63" i="7"/>
  <c r="R64" i="7"/>
  <c r="W64" i="7"/>
  <c r="L64" i="7" s="1"/>
  <c r="Q64" i="7"/>
  <c r="X64" i="7"/>
  <c r="S64" i="7"/>
  <c r="V64" i="7"/>
  <c r="K64" i="7" s="1"/>
  <c r="P65" i="7"/>
  <c r="O66" i="7"/>
  <c r="R64" i="3" l="1"/>
  <c r="T64" i="3"/>
  <c r="Q64" i="13"/>
  <c r="Q64" i="3"/>
  <c r="T69" i="1"/>
  <c r="V68" i="1"/>
  <c r="W70" i="1"/>
  <c r="Y69" i="1"/>
  <c r="B65" i="13"/>
  <c r="AF65" i="13" s="1"/>
  <c r="C64" i="13"/>
  <c r="O65" i="3"/>
  <c r="O65" i="13"/>
  <c r="O69" i="1"/>
  <c r="M70" i="1"/>
  <c r="B66" i="3"/>
  <c r="AF66" i="3" s="1"/>
  <c r="C65" i="3"/>
  <c r="P65" i="3"/>
  <c r="S65" i="3" s="1"/>
  <c r="P65" i="13"/>
  <c r="S65" i="13" s="1"/>
  <c r="N70" i="1"/>
  <c r="S71" i="1"/>
  <c r="Q72" i="1"/>
  <c r="Z64" i="7"/>
  <c r="H65" i="7"/>
  <c r="R64" i="13"/>
  <c r="T64" i="13"/>
  <c r="P66" i="7"/>
  <c r="O67" i="7"/>
  <c r="S65" i="7"/>
  <c r="Q65" i="7"/>
  <c r="V65" i="7"/>
  <c r="R65" i="7"/>
  <c r="X65" i="7"/>
  <c r="M65" i="7" s="1"/>
  <c r="W65" i="7"/>
  <c r="M64" i="7"/>
  <c r="R65" i="3" l="1"/>
  <c r="T65" i="3"/>
  <c r="Q73" i="1"/>
  <c r="S72" i="1"/>
  <c r="O66" i="3"/>
  <c r="O66" i="13"/>
  <c r="O70" i="1"/>
  <c r="M71" i="1"/>
  <c r="W71" i="1"/>
  <c r="Y70" i="1"/>
  <c r="Q65" i="3"/>
  <c r="Q65" i="13"/>
  <c r="B66" i="13"/>
  <c r="AF66" i="13" s="1"/>
  <c r="C65" i="13"/>
  <c r="Z65" i="7"/>
  <c r="H66" i="7"/>
  <c r="P66" i="3"/>
  <c r="S66" i="3" s="1"/>
  <c r="P66" i="13"/>
  <c r="S66" i="13" s="1"/>
  <c r="N71" i="1"/>
  <c r="B67" i="3"/>
  <c r="AF67" i="3" s="1"/>
  <c r="C66" i="3"/>
  <c r="R65" i="13"/>
  <c r="T65" i="13"/>
  <c r="T70" i="1"/>
  <c r="V69" i="1"/>
  <c r="P67" i="7"/>
  <c r="O68" i="7"/>
  <c r="V66" i="7"/>
  <c r="K66" i="7" s="1"/>
  <c r="X66" i="7"/>
  <c r="Q66" i="7"/>
  <c r="S66" i="7"/>
  <c r="W66" i="7"/>
  <c r="R66" i="7"/>
  <c r="K65" i="7"/>
  <c r="L65" i="7"/>
  <c r="P67" i="3" l="1"/>
  <c r="S67" i="3" s="1"/>
  <c r="P67" i="13"/>
  <c r="S67" i="13" s="1"/>
  <c r="N72" i="1"/>
  <c r="O67" i="3"/>
  <c r="O67" i="13"/>
  <c r="M72" i="1"/>
  <c r="O71" i="1"/>
  <c r="Q66" i="13"/>
  <c r="Q66" i="3"/>
  <c r="S73" i="1"/>
  <c r="Q74" i="1"/>
  <c r="V70" i="1"/>
  <c r="T71" i="1"/>
  <c r="B68" i="3"/>
  <c r="AF68" i="3" s="1"/>
  <c r="C67" i="3"/>
  <c r="C66" i="13"/>
  <c r="B67" i="13"/>
  <c r="AF67" i="13" s="1"/>
  <c r="T66" i="13"/>
  <c r="R66" i="13"/>
  <c r="Z66" i="7"/>
  <c r="H67" i="7"/>
  <c r="W72" i="1"/>
  <c r="Y71" i="1"/>
  <c r="R66" i="3"/>
  <c r="T66" i="3"/>
  <c r="L66" i="7"/>
  <c r="P68" i="7"/>
  <c r="O69" i="7"/>
  <c r="S67" i="7"/>
  <c r="W67" i="7"/>
  <c r="L67" i="7" s="1"/>
  <c r="X67" i="7"/>
  <c r="Q67" i="7"/>
  <c r="V67" i="7"/>
  <c r="R67" i="7"/>
  <c r="M67" i="7"/>
  <c r="M66" i="7"/>
  <c r="Y72" i="1" l="1"/>
  <c r="W73" i="1"/>
  <c r="R67" i="3"/>
  <c r="T67" i="3"/>
  <c r="Z67" i="7"/>
  <c r="H68" i="7"/>
  <c r="B68" i="13"/>
  <c r="AF68" i="13" s="1"/>
  <c r="C67" i="13"/>
  <c r="B69" i="3"/>
  <c r="AF69" i="3" s="1"/>
  <c r="C68" i="3"/>
  <c r="S74" i="1"/>
  <c r="Q75" i="1"/>
  <c r="Q67" i="13"/>
  <c r="Q67" i="3"/>
  <c r="P68" i="3"/>
  <c r="S68" i="3" s="1"/>
  <c r="P68" i="13"/>
  <c r="S68" i="13" s="1"/>
  <c r="N73" i="1"/>
  <c r="O68" i="3"/>
  <c r="O68" i="13"/>
  <c r="O72" i="1"/>
  <c r="M73" i="1"/>
  <c r="T72" i="1"/>
  <c r="V71" i="1"/>
  <c r="T67" i="13"/>
  <c r="R67" i="13"/>
  <c r="K67" i="7"/>
  <c r="O70" i="7"/>
  <c r="P69" i="7"/>
  <c r="R68" i="7"/>
  <c r="W68" i="7"/>
  <c r="Q68" i="7"/>
  <c r="S68" i="7"/>
  <c r="X68" i="7"/>
  <c r="V68" i="7"/>
  <c r="P69" i="3" l="1"/>
  <c r="S69" i="3" s="1"/>
  <c r="P69" i="13"/>
  <c r="S69" i="13" s="1"/>
  <c r="N74" i="1"/>
  <c r="B70" i="3"/>
  <c r="AF70" i="3" s="1"/>
  <c r="C69" i="3"/>
  <c r="B69" i="13"/>
  <c r="AF69" i="13" s="1"/>
  <c r="C68" i="13"/>
  <c r="O69" i="3"/>
  <c r="O69" i="13"/>
  <c r="M74" i="1"/>
  <c r="O73" i="1"/>
  <c r="Q68" i="13"/>
  <c r="Q68" i="3"/>
  <c r="Q76" i="1"/>
  <c r="S75" i="1"/>
  <c r="Z68" i="7"/>
  <c r="H69" i="7"/>
  <c r="W74" i="1"/>
  <c r="Y73" i="1"/>
  <c r="T73" i="1"/>
  <c r="V72" i="1"/>
  <c r="R68" i="3"/>
  <c r="T68" i="3"/>
  <c r="R68" i="13"/>
  <c r="T68" i="13"/>
  <c r="R69" i="7"/>
  <c r="W69" i="7"/>
  <c r="V69" i="7"/>
  <c r="Q69" i="7"/>
  <c r="S69" i="7"/>
  <c r="X69" i="7"/>
  <c r="M69" i="7" s="1"/>
  <c r="O71" i="7"/>
  <c r="P70" i="7"/>
  <c r="K68" i="7"/>
  <c r="M68" i="7"/>
  <c r="L69" i="7"/>
  <c r="L68" i="7"/>
  <c r="W75" i="1" l="1"/>
  <c r="Y74" i="1"/>
  <c r="Q77" i="1"/>
  <c r="S76" i="1"/>
  <c r="O70" i="3"/>
  <c r="O70" i="13"/>
  <c r="M75" i="1"/>
  <c r="O74" i="1"/>
  <c r="B70" i="13"/>
  <c r="AF70" i="13" s="1"/>
  <c r="C69" i="13"/>
  <c r="Z69" i="7"/>
  <c r="H70" i="7"/>
  <c r="R69" i="13"/>
  <c r="T69" i="13"/>
  <c r="P70" i="3"/>
  <c r="S70" i="3" s="1"/>
  <c r="P70" i="13"/>
  <c r="S70" i="13" s="1"/>
  <c r="N75" i="1"/>
  <c r="T74" i="1"/>
  <c r="V73" i="1"/>
  <c r="R69" i="3"/>
  <c r="T69" i="3"/>
  <c r="Q69" i="13"/>
  <c r="Q69" i="3"/>
  <c r="B71" i="3"/>
  <c r="AF71" i="3" s="1"/>
  <c r="C70" i="3"/>
  <c r="V70" i="7"/>
  <c r="X70" i="7"/>
  <c r="R70" i="7"/>
  <c r="W70" i="7"/>
  <c r="S70" i="7"/>
  <c r="Q70" i="7"/>
  <c r="P71" i="7"/>
  <c r="O72" i="7"/>
  <c r="K70" i="7"/>
  <c r="K69" i="7"/>
  <c r="Q70" i="13" l="1"/>
  <c r="Q70" i="3"/>
  <c r="V74" i="1"/>
  <c r="T75" i="1"/>
  <c r="O71" i="3"/>
  <c r="O71" i="13"/>
  <c r="O75" i="1"/>
  <c r="M76" i="1"/>
  <c r="S77" i="1"/>
  <c r="Q78" i="1"/>
  <c r="B72" i="3"/>
  <c r="AF72" i="3" s="1"/>
  <c r="C71" i="3"/>
  <c r="P71" i="3"/>
  <c r="S71" i="3" s="1"/>
  <c r="P71" i="13"/>
  <c r="S71" i="13" s="1"/>
  <c r="N76" i="1"/>
  <c r="C70" i="13"/>
  <c r="B71" i="13"/>
  <c r="AF71" i="13" s="1"/>
  <c r="T70" i="13"/>
  <c r="R70" i="13"/>
  <c r="Z70" i="7"/>
  <c r="H71" i="7"/>
  <c r="R70" i="3"/>
  <c r="T70" i="3"/>
  <c r="Y75" i="1"/>
  <c r="W76" i="1"/>
  <c r="M70" i="7"/>
  <c r="P72" i="7"/>
  <c r="O73" i="7"/>
  <c r="S71" i="7"/>
  <c r="W71" i="7"/>
  <c r="V71" i="7"/>
  <c r="K71" i="7" s="1"/>
  <c r="X71" i="7"/>
  <c r="Q71" i="7"/>
  <c r="R71" i="7"/>
  <c r="L70" i="7"/>
  <c r="Q71" i="13" l="1"/>
  <c r="Q71" i="3"/>
  <c r="Y76" i="1"/>
  <c r="W77" i="1"/>
  <c r="Z71" i="7"/>
  <c r="H72" i="7"/>
  <c r="B72" i="13"/>
  <c r="AF72" i="13" s="1"/>
  <c r="C71" i="13"/>
  <c r="S78" i="1"/>
  <c r="Q79" i="1"/>
  <c r="T71" i="13"/>
  <c r="R71" i="13"/>
  <c r="P72" i="3"/>
  <c r="S72" i="3" s="1"/>
  <c r="P72" i="13"/>
  <c r="S72" i="13" s="1"/>
  <c r="N77" i="1"/>
  <c r="B73" i="3"/>
  <c r="AF73" i="3" s="1"/>
  <c r="C72" i="3"/>
  <c r="O72" i="3"/>
  <c r="O72" i="13"/>
  <c r="M77" i="1"/>
  <c r="O76" i="1"/>
  <c r="T76" i="1"/>
  <c r="V75" i="1"/>
  <c r="R71" i="3"/>
  <c r="T71" i="3"/>
  <c r="P73" i="7"/>
  <c r="O74" i="7"/>
  <c r="X72" i="7"/>
  <c r="M72" i="7" s="1"/>
  <c r="S72" i="7"/>
  <c r="R72" i="7"/>
  <c r="V72" i="7"/>
  <c r="Q72" i="7"/>
  <c r="W72" i="7"/>
  <c r="M71" i="7"/>
  <c r="L71" i="7"/>
  <c r="R72" i="3" l="1"/>
  <c r="T72" i="3"/>
  <c r="P73" i="3"/>
  <c r="S73" i="3" s="1"/>
  <c r="P73" i="13"/>
  <c r="S73" i="13" s="1"/>
  <c r="N78" i="1"/>
  <c r="B73" i="13"/>
  <c r="AF73" i="13" s="1"/>
  <c r="C72" i="13"/>
  <c r="W78" i="1"/>
  <c r="Y77" i="1"/>
  <c r="Q72" i="13"/>
  <c r="Q72" i="3"/>
  <c r="Q80" i="1"/>
  <c r="S79" i="1"/>
  <c r="T77" i="1"/>
  <c r="V76" i="1"/>
  <c r="O73" i="3"/>
  <c r="O73" i="13"/>
  <c r="O77" i="1"/>
  <c r="M78" i="1"/>
  <c r="B74" i="3"/>
  <c r="AF74" i="3" s="1"/>
  <c r="C73" i="3"/>
  <c r="Z72" i="7"/>
  <c r="H73" i="7"/>
  <c r="R72" i="13"/>
  <c r="T72" i="13"/>
  <c r="K72" i="7"/>
  <c r="L72" i="7"/>
  <c r="P74" i="7"/>
  <c r="O75" i="7"/>
  <c r="Q73" i="7"/>
  <c r="W73" i="7"/>
  <c r="S73" i="7"/>
  <c r="R73" i="7"/>
  <c r="X73" i="7"/>
  <c r="V73" i="7"/>
  <c r="O74" i="3" l="1"/>
  <c r="O74" i="13"/>
  <c r="O78" i="1"/>
  <c r="M79" i="1"/>
  <c r="Q73" i="3"/>
  <c r="Q73" i="13"/>
  <c r="T78" i="1"/>
  <c r="V77" i="1"/>
  <c r="B74" i="13"/>
  <c r="AF74" i="13" s="1"/>
  <c r="C73" i="13"/>
  <c r="B75" i="3"/>
  <c r="AF75" i="3" s="1"/>
  <c r="C74" i="3"/>
  <c r="T73" i="13"/>
  <c r="R73" i="13"/>
  <c r="Z73" i="7"/>
  <c r="H74" i="7"/>
  <c r="R73" i="3"/>
  <c r="T73" i="3"/>
  <c r="Q81" i="1"/>
  <c r="S80" i="1"/>
  <c r="W79" i="1"/>
  <c r="Y78" i="1"/>
  <c r="P74" i="3"/>
  <c r="S74" i="3" s="1"/>
  <c r="P74" i="13"/>
  <c r="S74" i="13" s="1"/>
  <c r="N79" i="1"/>
  <c r="M73" i="7"/>
  <c r="O76" i="7"/>
  <c r="P75" i="7"/>
  <c r="L73" i="7"/>
  <c r="S74" i="7"/>
  <c r="W74" i="7"/>
  <c r="L74" i="7" s="1"/>
  <c r="Q74" i="7"/>
  <c r="R74" i="7"/>
  <c r="V74" i="7"/>
  <c r="X74" i="7"/>
  <c r="K73" i="7"/>
  <c r="O75" i="3" l="1"/>
  <c r="O75" i="13"/>
  <c r="M80" i="1"/>
  <c r="O79" i="1"/>
  <c r="P75" i="3"/>
  <c r="S75" i="3" s="1"/>
  <c r="P75" i="13"/>
  <c r="S75" i="13" s="1"/>
  <c r="N80" i="1"/>
  <c r="W80" i="1"/>
  <c r="Y79" i="1"/>
  <c r="V78" i="1"/>
  <c r="T79" i="1"/>
  <c r="Q74" i="13"/>
  <c r="Q74" i="3"/>
  <c r="Z74" i="7"/>
  <c r="H75" i="7"/>
  <c r="C74" i="13"/>
  <c r="B75" i="13"/>
  <c r="AF75" i="13" s="1"/>
  <c r="T74" i="13"/>
  <c r="R74" i="13"/>
  <c r="S81" i="1"/>
  <c r="Q82" i="1"/>
  <c r="B76" i="3"/>
  <c r="AF76" i="3" s="1"/>
  <c r="C75" i="3"/>
  <c r="R74" i="3"/>
  <c r="T74" i="3"/>
  <c r="P76" i="7"/>
  <c r="O77" i="7"/>
  <c r="S75" i="7"/>
  <c r="W75" i="7"/>
  <c r="X75" i="7"/>
  <c r="Q75" i="7"/>
  <c r="V75" i="7"/>
  <c r="R75" i="7"/>
  <c r="K74" i="7"/>
  <c r="M74" i="7"/>
  <c r="B77" i="3" l="1"/>
  <c r="AF77" i="3" s="1"/>
  <c r="C76" i="3"/>
  <c r="Z75" i="7"/>
  <c r="H76" i="7"/>
  <c r="T80" i="1"/>
  <c r="V79" i="1"/>
  <c r="P76" i="3"/>
  <c r="S76" i="3" s="1"/>
  <c r="P76" i="13"/>
  <c r="S76" i="13" s="1"/>
  <c r="N81" i="1"/>
  <c r="O76" i="3"/>
  <c r="O76" i="13"/>
  <c r="O80" i="1"/>
  <c r="M81" i="1"/>
  <c r="Y80" i="1"/>
  <c r="W81" i="1"/>
  <c r="Q75" i="13"/>
  <c r="Q75" i="3"/>
  <c r="S82" i="1"/>
  <c r="Q83" i="1"/>
  <c r="B76" i="13"/>
  <c r="AF76" i="13" s="1"/>
  <c r="C75" i="13"/>
  <c r="R75" i="13"/>
  <c r="T75" i="13"/>
  <c r="R75" i="3"/>
  <c r="T75" i="3"/>
  <c r="O78" i="7"/>
  <c r="P77" i="7"/>
  <c r="V76" i="7"/>
  <c r="X76" i="7"/>
  <c r="W76" i="7"/>
  <c r="Q76" i="7"/>
  <c r="R76" i="7"/>
  <c r="S76" i="7"/>
  <c r="L75" i="7"/>
  <c r="M75" i="7"/>
  <c r="K75" i="7"/>
  <c r="R76" i="13" l="1"/>
  <c r="T76" i="13"/>
  <c r="R76" i="3"/>
  <c r="T76" i="3"/>
  <c r="Q84" i="1"/>
  <c r="S83" i="1"/>
  <c r="W82" i="1"/>
  <c r="Y81" i="1"/>
  <c r="B77" i="13"/>
  <c r="AF77" i="13" s="1"/>
  <c r="C76" i="13"/>
  <c r="O77" i="3"/>
  <c r="O77" i="13"/>
  <c r="M82" i="1"/>
  <c r="O81" i="1"/>
  <c r="P77" i="3"/>
  <c r="S77" i="3" s="1"/>
  <c r="P77" i="13"/>
  <c r="S77" i="13" s="1"/>
  <c r="N82" i="1"/>
  <c r="T81" i="1"/>
  <c r="V80" i="1"/>
  <c r="B78" i="3"/>
  <c r="AF78" i="3" s="1"/>
  <c r="C77" i="3"/>
  <c r="Q76" i="13"/>
  <c r="Q76" i="3"/>
  <c r="Z76" i="7"/>
  <c r="H77" i="7"/>
  <c r="O79" i="7"/>
  <c r="P78" i="7"/>
  <c r="K76" i="7"/>
  <c r="L76" i="7"/>
  <c r="M76" i="7"/>
  <c r="R77" i="7"/>
  <c r="W77" i="7"/>
  <c r="V77" i="7"/>
  <c r="Q77" i="7"/>
  <c r="X77" i="7"/>
  <c r="S77" i="7"/>
  <c r="Z77" i="7" l="1"/>
  <c r="H78" i="7"/>
  <c r="T82" i="1"/>
  <c r="V81" i="1"/>
  <c r="Q77" i="3"/>
  <c r="Q77" i="13"/>
  <c r="W83" i="1"/>
  <c r="Y82" i="1"/>
  <c r="R77" i="3"/>
  <c r="T77" i="3"/>
  <c r="B79" i="3"/>
  <c r="AF79" i="3" s="1"/>
  <c r="C78" i="3"/>
  <c r="P78" i="3"/>
  <c r="S78" i="3" s="1"/>
  <c r="P78" i="13"/>
  <c r="S78" i="13" s="1"/>
  <c r="N83" i="1"/>
  <c r="O78" i="3"/>
  <c r="O78" i="13"/>
  <c r="O82" i="1"/>
  <c r="M83" i="1"/>
  <c r="B78" i="13"/>
  <c r="AF78" i="13" s="1"/>
  <c r="C77" i="13"/>
  <c r="T77" i="13"/>
  <c r="R77" i="13"/>
  <c r="Q85" i="1"/>
  <c r="S84" i="1"/>
  <c r="K77" i="7"/>
  <c r="O80" i="7"/>
  <c r="P79" i="7"/>
  <c r="L77" i="7"/>
  <c r="S78" i="7"/>
  <c r="W78" i="7"/>
  <c r="Q78" i="7"/>
  <c r="X78" i="7"/>
  <c r="R78" i="7"/>
  <c r="V78" i="7"/>
  <c r="M77" i="7"/>
  <c r="Q78" i="13" l="1"/>
  <c r="Q78" i="3"/>
  <c r="Y83" i="1"/>
  <c r="W84" i="1"/>
  <c r="V82" i="1"/>
  <c r="T83" i="1"/>
  <c r="Q86" i="1"/>
  <c r="S85" i="1"/>
  <c r="C78" i="13"/>
  <c r="B79" i="13"/>
  <c r="AF79" i="13" s="1"/>
  <c r="T78" i="13"/>
  <c r="R78" i="13"/>
  <c r="Z78" i="7"/>
  <c r="H79" i="7"/>
  <c r="O79" i="3"/>
  <c r="O79" i="13"/>
  <c r="O83" i="1"/>
  <c r="M84" i="1"/>
  <c r="P79" i="3"/>
  <c r="S79" i="3" s="1"/>
  <c r="P79" i="13"/>
  <c r="S79" i="13" s="1"/>
  <c r="N84" i="1"/>
  <c r="B80" i="3"/>
  <c r="AF80" i="3" s="1"/>
  <c r="C79" i="3"/>
  <c r="R78" i="3"/>
  <c r="T78" i="3"/>
  <c r="M78" i="7"/>
  <c r="K78" i="7"/>
  <c r="O81" i="7"/>
  <c r="P80" i="7"/>
  <c r="L78" i="7"/>
  <c r="S79" i="7"/>
  <c r="W79" i="7"/>
  <c r="V79" i="7"/>
  <c r="X79" i="7"/>
  <c r="R79" i="7"/>
  <c r="Q79" i="7"/>
  <c r="Y84" i="1" l="1"/>
  <c r="W85" i="1"/>
  <c r="O80" i="3"/>
  <c r="O80" i="13"/>
  <c r="O84" i="1"/>
  <c r="M85" i="1"/>
  <c r="Z79" i="7"/>
  <c r="H80" i="7"/>
  <c r="B80" i="13"/>
  <c r="AF80" i="13" s="1"/>
  <c r="C79" i="13"/>
  <c r="S86" i="1"/>
  <c r="Q87" i="1"/>
  <c r="B81" i="3"/>
  <c r="AF81" i="3" s="1"/>
  <c r="C80" i="3"/>
  <c r="R79" i="3"/>
  <c r="T79" i="3"/>
  <c r="P80" i="3"/>
  <c r="S80" i="3" s="1"/>
  <c r="P80" i="13"/>
  <c r="S80" i="13" s="1"/>
  <c r="N85" i="1"/>
  <c r="Q79" i="13"/>
  <c r="Q79" i="3"/>
  <c r="T84" i="1"/>
  <c r="V83" i="1"/>
  <c r="R79" i="13"/>
  <c r="T79" i="13"/>
  <c r="K79" i="7"/>
  <c r="R80" i="7"/>
  <c r="W80" i="7"/>
  <c r="L80" i="7" s="1"/>
  <c r="Q80" i="7"/>
  <c r="X80" i="7"/>
  <c r="M80" i="7" s="1"/>
  <c r="S80" i="7"/>
  <c r="V80" i="7"/>
  <c r="K80" i="7" s="1"/>
  <c r="M79" i="7"/>
  <c r="O82" i="7"/>
  <c r="P81" i="7"/>
  <c r="L79" i="7"/>
  <c r="R80" i="13" l="1"/>
  <c r="T80" i="13"/>
  <c r="B82" i="3"/>
  <c r="AF82" i="3" s="1"/>
  <c r="C81" i="3"/>
  <c r="R80" i="3"/>
  <c r="T80" i="3"/>
  <c r="T85" i="1"/>
  <c r="V84" i="1"/>
  <c r="Z80" i="7"/>
  <c r="H81" i="7"/>
  <c r="B81" i="13"/>
  <c r="AF81" i="13" s="1"/>
  <c r="C80" i="13"/>
  <c r="O81" i="3"/>
  <c r="O81" i="13"/>
  <c r="O85" i="1"/>
  <c r="M86" i="1"/>
  <c r="W86" i="1"/>
  <c r="Y85" i="1"/>
  <c r="P81" i="3"/>
  <c r="S81" i="3" s="1"/>
  <c r="P81" i="13"/>
  <c r="S81" i="13" s="1"/>
  <c r="N86" i="1"/>
  <c r="S87" i="1"/>
  <c r="Q88" i="1"/>
  <c r="Q80" i="13"/>
  <c r="Q80" i="3"/>
  <c r="R81" i="7"/>
  <c r="W81" i="7"/>
  <c r="V81" i="7"/>
  <c r="S81" i="7"/>
  <c r="X81" i="7"/>
  <c r="Q81" i="7"/>
  <c r="O83" i="7"/>
  <c r="P82" i="7"/>
  <c r="Q89" i="1" l="1"/>
  <c r="S88" i="1"/>
  <c r="T81" i="13"/>
  <c r="R81" i="13"/>
  <c r="B83" i="3"/>
  <c r="AF83" i="3" s="1"/>
  <c r="C82" i="3"/>
  <c r="P82" i="3"/>
  <c r="S82" i="3" s="1"/>
  <c r="P82" i="13"/>
  <c r="S82" i="13" s="1"/>
  <c r="N87" i="1"/>
  <c r="W87" i="1"/>
  <c r="Y86" i="1"/>
  <c r="R81" i="3"/>
  <c r="T81" i="3"/>
  <c r="Z81" i="7"/>
  <c r="H82" i="7"/>
  <c r="T86" i="1"/>
  <c r="V85" i="1"/>
  <c r="O82" i="3"/>
  <c r="O82" i="13"/>
  <c r="O86" i="1"/>
  <c r="M87" i="1"/>
  <c r="Q81" i="3"/>
  <c r="Q81" i="13"/>
  <c r="B82" i="13"/>
  <c r="AF82" i="13" s="1"/>
  <c r="C81" i="13"/>
  <c r="K81" i="7"/>
  <c r="S82" i="7"/>
  <c r="W82" i="7"/>
  <c r="L82" i="7" s="1"/>
  <c r="Q82" i="7"/>
  <c r="R82" i="7"/>
  <c r="V82" i="7"/>
  <c r="X82" i="7"/>
  <c r="L81" i="7"/>
  <c r="O84" i="7"/>
  <c r="P83" i="7"/>
  <c r="M81" i="7"/>
  <c r="Z82" i="7" l="1"/>
  <c r="H83" i="7"/>
  <c r="R82" i="3"/>
  <c r="T82" i="3"/>
  <c r="W88" i="1"/>
  <c r="Y87" i="1"/>
  <c r="T82" i="13"/>
  <c r="R82" i="13"/>
  <c r="C82" i="13"/>
  <c r="B83" i="13"/>
  <c r="AF83" i="13" s="1"/>
  <c r="O83" i="3"/>
  <c r="O83" i="13"/>
  <c r="M88" i="1"/>
  <c r="O87" i="1"/>
  <c r="P83" i="3"/>
  <c r="S83" i="3" s="1"/>
  <c r="P83" i="13"/>
  <c r="S83" i="13" s="1"/>
  <c r="N88" i="1"/>
  <c r="B84" i="3"/>
  <c r="AF84" i="3" s="1"/>
  <c r="C83" i="3"/>
  <c r="Q82" i="13"/>
  <c r="Q82" i="3"/>
  <c r="V86" i="1"/>
  <c r="T87" i="1"/>
  <c r="Q90" i="1"/>
  <c r="S89" i="1"/>
  <c r="K82" i="7"/>
  <c r="X83" i="7"/>
  <c r="S83" i="7"/>
  <c r="W83" i="7"/>
  <c r="Q83" i="7"/>
  <c r="V83" i="7"/>
  <c r="R83" i="7"/>
  <c r="O85" i="7"/>
  <c r="P84" i="7"/>
  <c r="M82" i="7"/>
  <c r="Q83" i="13" l="1"/>
  <c r="Q83" i="3"/>
  <c r="B84" i="13"/>
  <c r="AF84" i="13" s="1"/>
  <c r="C83" i="13"/>
  <c r="B85" i="3"/>
  <c r="AF85" i="3" s="1"/>
  <c r="C84" i="3"/>
  <c r="R83" i="3"/>
  <c r="T83" i="3"/>
  <c r="S90" i="1"/>
  <c r="Q91" i="1"/>
  <c r="P84" i="3"/>
  <c r="S84" i="3" s="1"/>
  <c r="P84" i="13"/>
  <c r="S84" i="13" s="1"/>
  <c r="N89" i="1"/>
  <c r="O84" i="3"/>
  <c r="O84" i="13"/>
  <c r="O88" i="1"/>
  <c r="M89" i="1"/>
  <c r="Z83" i="7"/>
  <c r="H84" i="7"/>
  <c r="T88" i="1"/>
  <c r="V87" i="1"/>
  <c r="R83" i="13"/>
  <c r="T83" i="13"/>
  <c r="Y88" i="1"/>
  <c r="W89" i="1"/>
  <c r="L83" i="7"/>
  <c r="V84" i="7"/>
  <c r="X84" i="7"/>
  <c r="W84" i="7"/>
  <c r="Q84" i="7"/>
  <c r="S84" i="7"/>
  <c r="R84" i="7"/>
  <c r="K83" i="7"/>
  <c r="P85" i="7"/>
  <c r="O86" i="7"/>
  <c r="M84" i="7"/>
  <c r="M83" i="7"/>
  <c r="W90" i="1" l="1"/>
  <c r="Y89" i="1"/>
  <c r="O85" i="3"/>
  <c r="O85" i="13"/>
  <c r="M90" i="1"/>
  <c r="O89" i="1"/>
  <c r="P85" i="3"/>
  <c r="S85" i="3" s="1"/>
  <c r="N90" i="1"/>
  <c r="P85" i="13"/>
  <c r="S85" i="13" s="1"/>
  <c r="B86" i="3"/>
  <c r="AF86" i="3" s="1"/>
  <c r="C85" i="3"/>
  <c r="T89" i="1"/>
  <c r="V88" i="1"/>
  <c r="Q84" i="13"/>
  <c r="Q84" i="3"/>
  <c r="R84" i="3"/>
  <c r="T84" i="3"/>
  <c r="Q92" i="1"/>
  <c r="S91" i="1"/>
  <c r="B85" i="13"/>
  <c r="AF85" i="13" s="1"/>
  <c r="C84" i="13"/>
  <c r="Z84" i="7"/>
  <c r="H85" i="7"/>
  <c r="R84" i="13"/>
  <c r="T84" i="13"/>
  <c r="O87" i="7"/>
  <c r="P86" i="7"/>
  <c r="R85" i="7"/>
  <c r="W85" i="7"/>
  <c r="V85" i="7"/>
  <c r="Q85" i="7"/>
  <c r="S85" i="7"/>
  <c r="X85" i="7"/>
  <c r="K85" i="7"/>
  <c r="K84" i="7"/>
  <c r="L84" i="7"/>
  <c r="P86" i="3" l="1"/>
  <c r="S86" i="3" s="1"/>
  <c r="P86" i="13"/>
  <c r="S86" i="13" s="1"/>
  <c r="N91" i="1"/>
  <c r="T85" i="13"/>
  <c r="R85" i="13"/>
  <c r="Q93" i="1"/>
  <c r="S92" i="1"/>
  <c r="B87" i="3"/>
  <c r="AF87" i="3" s="1"/>
  <c r="C86" i="3"/>
  <c r="R85" i="3"/>
  <c r="T85" i="3"/>
  <c r="B86" i="13"/>
  <c r="AF86" i="13" s="1"/>
  <c r="C85" i="13"/>
  <c r="Q85" i="3"/>
  <c r="Q85" i="13"/>
  <c r="Z85" i="7"/>
  <c r="H86" i="7"/>
  <c r="T90" i="1"/>
  <c r="V89" i="1"/>
  <c r="O86" i="3"/>
  <c r="O86" i="13"/>
  <c r="O90" i="1"/>
  <c r="M91" i="1"/>
  <c r="W91" i="1"/>
  <c r="Y90" i="1"/>
  <c r="V86" i="7"/>
  <c r="X86" i="7"/>
  <c r="R86" i="7"/>
  <c r="W86" i="7"/>
  <c r="S86" i="7"/>
  <c r="Q86" i="7"/>
  <c r="P87" i="7"/>
  <c r="O88" i="7"/>
  <c r="M85" i="7"/>
  <c r="M86" i="7"/>
  <c r="L85" i="7"/>
  <c r="Q86" i="13" l="1"/>
  <c r="Q86" i="3"/>
  <c r="V90" i="1"/>
  <c r="T91" i="1"/>
  <c r="T86" i="13"/>
  <c r="R86" i="13"/>
  <c r="Z86" i="7"/>
  <c r="H87" i="7"/>
  <c r="P87" i="3"/>
  <c r="S87" i="3" s="1"/>
  <c r="P87" i="13"/>
  <c r="S87" i="13" s="1"/>
  <c r="N92" i="1"/>
  <c r="Y91" i="1"/>
  <c r="W92" i="1"/>
  <c r="R86" i="3"/>
  <c r="T86" i="3"/>
  <c r="C86" i="13"/>
  <c r="B87" i="13"/>
  <c r="AF87" i="13" s="1"/>
  <c r="S93" i="1"/>
  <c r="Q94" i="1"/>
  <c r="O87" i="3"/>
  <c r="O87" i="13"/>
  <c r="M92" i="1"/>
  <c r="O91" i="1"/>
  <c r="B88" i="3"/>
  <c r="AF88" i="3" s="1"/>
  <c r="C87" i="3"/>
  <c r="O89" i="7"/>
  <c r="P88" i="7"/>
  <c r="V87" i="7"/>
  <c r="K87" i="7" s="1"/>
  <c r="S87" i="7"/>
  <c r="R87" i="7"/>
  <c r="X87" i="7"/>
  <c r="Q87" i="7"/>
  <c r="W87" i="7"/>
  <c r="L87" i="7" s="1"/>
  <c r="K86" i="7"/>
  <c r="L86" i="7"/>
  <c r="O88" i="3" l="1"/>
  <c r="O88" i="13"/>
  <c r="O92" i="1"/>
  <c r="M93" i="1"/>
  <c r="P88" i="3"/>
  <c r="S88" i="3" s="1"/>
  <c r="P88" i="13"/>
  <c r="S88" i="13" s="1"/>
  <c r="N93" i="1"/>
  <c r="Q87" i="13"/>
  <c r="Q87" i="3"/>
  <c r="S94" i="1"/>
  <c r="Q95" i="1"/>
  <c r="B89" i="3"/>
  <c r="AF89" i="3" s="1"/>
  <c r="C88" i="3"/>
  <c r="R87" i="13"/>
  <c r="T87" i="13"/>
  <c r="B88" i="13"/>
  <c r="AF88" i="13" s="1"/>
  <c r="C87" i="13"/>
  <c r="Z87" i="7"/>
  <c r="H88" i="7"/>
  <c r="T92" i="1"/>
  <c r="V91" i="1"/>
  <c r="R87" i="3"/>
  <c r="T87" i="3"/>
  <c r="Y92" i="1"/>
  <c r="W93" i="1"/>
  <c r="M87" i="7"/>
  <c r="X88" i="7"/>
  <c r="S88" i="7"/>
  <c r="R88" i="7"/>
  <c r="V88" i="7"/>
  <c r="Q88" i="7"/>
  <c r="W88" i="7"/>
  <c r="P89" i="7"/>
  <c r="O90" i="7"/>
  <c r="O89" i="3" l="1"/>
  <c r="O89" i="13"/>
  <c r="O93" i="1"/>
  <c r="M94" i="1"/>
  <c r="W94" i="1"/>
  <c r="Y93" i="1"/>
  <c r="Q96" i="1"/>
  <c r="S95" i="1"/>
  <c r="P89" i="3"/>
  <c r="S89" i="3" s="1"/>
  <c r="P89" i="13"/>
  <c r="S89" i="13" s="1"/>
  <c r="N94" i="1"/>
  <c r="Q88" i="13"/>
  <c r="Q88" i="3"/>
  <c r="T93" i="1"/>
  <c r="V92" i="1"/>
  <c r="B89" i="13"/>
  <c r="AF89" i="13" s="1"/>
  <c r="C88" i="13"/>
  <c r="R88" i="13"/>
  <c r="T88" i="13"/>
  <c r="Z88" i="7"/>
  <c r="H89" i="7"/>
  <c r="B90" i="3"/>
  <c r="AF90" i="3" s="1"/>
  <c r="C89" i="3"/>
  <c r="R88" i="3"/>
  <c r="T88" i="3"/>
  <c r="K88" i="7"/>
  <c r="M88" i="7"/>
  <c r="P90" i="7"/>
  <c r="O91" i="7"/>
  <c r="L88" i="7"/>
  <c r="R89" i="7"/>
  <c r="W89" i="7"/>
  <c r="S89" i="7"/>
  <c r="V89" i="7"/>
  <c r="Q89" i="7"/>
  <c r="X89" i="7"/>
  <c r="B91" i="3" l="1"/>
  <c r="AF91" i="3" s="1"/>
  <c r="C90" i="3"/>
  <c r="P90" i="3"/>
  <c r="S90" i="3" s="1"/>
  <c r="P90" i="13"/>
  <c r="S90" i="13" s="1"/>
  <c r="N95" i="1"/>
  <c r="Q97" i="1"/>
  <c r="S96" i="1"/>
  <c r="Q89" i="3"/>
  <c r="Q89" i="13"/>
  <c r="O90" i="3"/>
  <c r="O90" i="13"/>
  <c r="O94" i="1"/>
  <c r="M95" i="1"/>
  <c r="Z89" i="7"/>
  <c r="H90" i="7"/>
  <c r="T94" i="1"/>
  <c r="V93" i="1"/>
  <c r="T89" i="13"/>
  <c r="R89" i="13"/>
  <c r="B90" i="13"/>
  <c r="AF90" i="13" s="1"/>
  <c r="C89" i="13"/>
  <c r="W95" i="1"/>
  <c r="Y94" i="1"/>
  <c r="R89" i="3"/>
  <c r="T89" i="3"/>
  <c r="K89" i="7"/>
  <c r="M89" i="7"/>
  <c r="L89" i="7"/>
  <c r="P91" i="7"/>
  <c r="O92" i="7"/>
  <c r="V90" i="7"/>
  <c r="K90" i="7" s="1"/>
  <c r="R90" i="7"/>
  <c r="X90" i="7"/>
  <c r="Q90" i="7"/>
  <c r="S90" i="7"/>
  <c r="W90" i="7"/>
  <c r="T90" i="13" l="1"/>
  <c r="R90" i="13"/>
  <c r="R90" i="3"/>
  <c r="T90" i="3"/>
  <c r="S97" i="1"/>
  <c r="Q98" i="1"/>
  <c r="W96" i="1"/>
  <c r="Y95" i="1"/>
  <c r="Z90" i="7"/>
  <c r="H91" i="7"/>
  <c r="C90" i="13"/>
  <c r="B91" i="13"/>
  <c r="AF91" i="13" s="1"/>
  <c r="O91" i="3"/>
  <c r="O91" i="13"/>
  <c r="M96" i="1"/>
  <c r="O95" i="1"/>
  <c r="P91" i="3"/>
  <c r="S91" i="3" s="1"/>
  <c r="P91" i="13"/>
  <c r="S91" i="13" s="1"/>
  <c r="N96" i="1"/>
  <c r="B92" i="3"/>
  <c r="AF92" i="3" s="1"/>
  <c r="C91" i="3"/>
  <c r="V94" i="1"/>
  <c r="T95" i="1"/>
  <c r="Q90" i="13"/>
  <c r="Q90" i="3"/>
  <c r="O93" i="7"/>
  <c r="P92" i="7"/>
  <c r="L90" i="7"/>
  <c r="S91" i="7"/>
  <c r="W91" i="7"/>
  <c r="V91" i="7"/>
  <c r="X91" i="7"/>
  <c r="Q91" i="7"/>
  <c r="R91" i="7"/>
  <c r="M90" i="7"/>
  <c r="L91" i="7"/>
  <c r="T96" i="1" l="1"/>
  <c r="V95" i="1"/>
  <c r="Q91" i="13"/>
  <c r="Q91" i="3"/>
  <c r="B92" i="13"/>
  <c r="AF92" i="13" s="1"/>
  <c r="C91" i="13"/>
  <c r="P92" i="3"/>
  <c r="S92" i="3" s="1"/>
  <c r="P92" i="13"/>
  <c r="S92" i="13" s="1"/>
  <c r="N97" i="1"/>
  <c r="O92" i="3"/>
  <c r="O92" i="13"/>
  <c r="O96" i="1"/>
  <c r="M97" i="1"/>
  <c r="R91" i="13"/>
  <c r="T91" i="13"/>
  <c r="Y96" i="1"/>
  <c r="W97" i="1"/>
  <c r="B93" i="3"/>
  <c r="AF93" i="3" s="1"/>
  <c r="C92" i="3"/>
  <c r="R91" i="3"/>
  <c r="T91" i="3"/>
  <c r="Z91" i="7"/>
  <c r="H92" i="7"/>
  <c r="S98" i="1"/>
  <c r="Q99" i="1"/>
  <c r="R92" i="7"/>
  <c r="W92" i="7"/>
  <c r="X92" i="7"/>
  <c r="Q92" i="7"/>
  <c r="V92" i="7"/>
  <c r="K92" i="7" s="1"/>
  <c r="S92" i="7"/>
  <c r="K91" i="7"/>
  <c r="P93" i="7"/>
  <c r="O94" i="7"/>
  <c r="M91" i="7"/>
  <c r="R92" i="13" l="1"/>
  <c r="T92" i="13"/>
  <c r="B94" i="3"/>
  <c r="AF94" i="3" s="1"/>
  <c r="C93" i="3"/>
  <c r="Q100" i="1"/>
  <c r="S99" i="1"/>
  <c r="R92" i="3"/>
  <c r="T92" i="3"/>
  <c r="W98" i="1"/>
  <c r="Y97" i="1"/>
  <c r="O93" i="3"/>
  <c r="O93" i="13"/>
  <c r="M98" i="1"/>
  <c r="O97" i="1"/>
  <c r="P93" i="3"/>
  <c r="S93" i="3" s="1"/>
  <c r="P93" i="13"/>
  <c r="S93" i="13" s="1"/>
  <c r="N98" i="1"/>
  <c r="B93" i="13"/>
  <c r="AF93" i="13" s="1"/>
  <c r="C92" i="13"/>
  <c r="Z92" i="7"/>
  <c r="H93" i="7"/>
  <c r="Q92" i="13"/>
  <c r="Q92" i="3"/>
  <c r="T97" i="1"/>
  <c r="V96" i="1"/>
  <c r="R93" i="7"/>
  <c r="W93" i="7"/>
  <c r="S93" i="7"/>
  <c r="V93" i="7"/>
  <c r="Q93" i="7"/>
  <c r="X93" i="7"/>
  <c r="M93" i="7" s="1"/>
  <c r="L92" i="7"/>
  <c r="P94" i="7"/>
  <c r="O95" i="7"/>
  <c r="M92" i="7"/>
  <c r="L93" i="7"/>
  <c r="B94" i="13" l="1"/>
  <c r="AF94" i="13" s="1"/>
  <c r="C93" i="13"/>
  <c r="R93" i="3"/>
  <c r="T93" i="3"/>
  <c r="B95" i="3"/>
  <c r="AF95" i="3" s="1"/>
  <c r="C94" i="3"/>
  <c r="Z93" i="7"/>
  <c r="H94" i="7"/>
  <c r="Q93" i="3"/>
  <c r="Q93" i="13"/>
  <c r="T98" i="1"/>
  <c r="V97" i="1"/>
  <c r="P94" i="3"/>
  <c r="S94" i="3" s="1"/>
  <c r="P94" i="13"/>
  <c r="S94" i="13" s="1"/>
  <c r="N99" i="1"/>
  <c r="O94" i="3"/>
  <c r="O94" i="13"/>
  <c r="O98" i="1"/>
  <c r="M99" i="1"/>
  <c r="W99" i="1"/>
  <c r="Y98" i="1"/>
  <c r="Q101" i="1"/>
  <c r="S100" i="1"/>
  <c r="T93" i="13"/>
  <c r="R93" i="13"/>
  <c r="S94" i="7"/>
  <c r="W94" i="7"/>
  <c r="X94" i="7"/>
  <c r="Q94" i="7"/>
  <c r="R94" i="7"/>
  <c r="V94" i="7"/>
  <c r="K94" i="7" s="1"/>
  <c r="M94" i="7"/>
  <c r="K93" i="7"/>
  <c r="O96" i="7"/>
  <c r="P95" i="7"/>
  <c r="Q102" i="1" l="1"/>
  <c r="S101" i="1"/>
  <c r="Q94" i="13"/>
  <c r="Q94" i="3"/>
  <c r="T94" i="13"/>
  <c r="R94" i="13"/>
  <c r="B96" i="3"/>
  <c r="AF96" i="3" s="1"/>
  <c r="C95" i="3"/>
  <c r="Y99" i="1"/>
  <c r="W100" i="1"/>
  <c r="R94" i="3"/>
  <c r="T94" i="3"/>
  <c r="Z94" i="7"/>
  <c r="H95" i="7"/>
  <c r="C94" i="13"/>
  <c r="B95" i="13"/>
  <c r="AF95" i="13" s="1"/>
  <c r="O95" i="3"/>
  <c r="O95" i="13"/>
  <c r="O99" i="1"/>
  <c r="M100" i="1"/>
  <c r="P95" i="3"/>
  <c r="S95" i="3" s="1"/>
  <c r="P95" i="13"/>
  <c r="S95" i="13" s="1"/>
  <c r="N100" i="1"/>
  <c r="V98" i="1"/>
  <c r="T99" i="1"/>
  <c r="P96" i="7"/>
  <c r="O97" i="7"/>
  <c r="L94" i="7"/>
  <c r="R95" i="7"/>
  <c r="X95" i="7"/>
  <c r="W95" i="7"/>
  <c r="Q95" i="7"/>
  <c r="S95" i="7"/>
  <c r="V95" i="7"/>
  <c r="R95" i="13" l="1"/>
  <c r="T95" i="13"/>
  <c r="B97" i="3"/>
  <c r="AF97" i="3" s="1"/>
  <c r="C96" i="3"/>
  <c r="T100" i="1"/>
  <c r="V99" i="1"/>
  <c r="R95" i="3"/>
  <c r="T95" i="3"/>
  <c r="Z95" i="7"/>
  <c r="H96" i="7"/>
  <c r="Y100" i="1"/>
  <c r="W101" i="1"/>
  <c r="O96" i="3"/>
  <c r="O96" i="13"/>
  <c r="O100" i="1"/>
  <c r="M101" i="1"/>
  <c r="B96" i="13"/>
  <c r="AF96" i="13" s="1"/>
  <c r="C95" i="13"/>
  <c r="P96" i="3"/>
  <c r="S96" i="3" s="1"/>
  <c r="P96" i="13"/>
  <c r="S96" i="13" s="1"/>
  <c r="N101" i="1"/>
  <c r="Q95" i="13"/>
  <c r="Q95" i="3"/>
  <c r="S102" i="1"/>
  <c r="Q103" i="1"/>
  <c r="L95" i="7"/>
  <c r="O98" i="7"/>
  <c r="P97" i="7"/>
  <c r="K95" i="7"/>
  <c r="M95" i="7"/>
  <c r="Q96" i="7"/>
  <c r="W96" i="7"/>
  <c r="X96" i="7"/>
  <c r="R96" i="7"/>
  <c r="V96" i="7"/>
  <c r="S96" i="7"/>
  <c r="B97" i="13" l="1"/>
  <c r="AF97" i="13" s="1"/>
  <c r="C96" i="13"/>
  <c r="Z96" i="7"/>
  <c r="H97" i="7"/>
  <c r="R96" i="3"/>
  <c r="T96" i="3"/>
  <c r="T101" i="1"/>
  <c r="V100" i="1"/>
  <c r="Q96" i="13"/>
  <c r="Q96" i="3"/>
  <c r="B98" i="3"/>
  <c r="AF98" i="3" s="1"/>
  <c r="C97" i="3"/>
  <c r="S103" i="1"/>
  <c r="Q104" i="1"/>
  <c r="P97" i="3"/>
  <c r="S97" i="3" s="1"/>
  <c r="P97" i="13"/>
  <c r="S97" i="13" s="1"/>
  <c r="N102" i="1"/>
  <c r="R96" i="13"/>
  <c r="T96" i="13"/>
  <c r="O97" i="3"/>
  <c r="O97" i="13"/>
  <c r="O101" i="1"/>
  <c r="M102" i="1"/>
  <c r="W102" i="1"/>
  <c r="Y101" i="1"/>
  <c r="M96" i="7"/>
  <c r="Q97" i="7"/>
  <c r="X97" i="7"/>
  <c r="W97" i="7"/>
  <c r="R97" i="7"/>
  <c r="V97" i="7"/>
  <c r="K97" i="7" s="1"/>
  <c r="S97" i="7"/>
  <c r="L97" i="7"/>
  <c r="K96" i="7"/>
  <c r="O99" i="7"/>
  <c r="P98" i="7"/>
  <c r="L96" i="7"/>
  <c r="Q97" i="3" l="1"/>
  <c r="Q97" i="13"/>
  <c r="Q105" i="1"/>
  <c r="S104" i="1"/>
  <c r="T102" i="1"/>
  <c r="V101" i="1"/>
  <c r="T97" i="13"/>
  <c r="R97" i="13"/>
  <c r="P98" i="3"/>
  <c r="S98" i="3" s="1"/>
  <c r="P98" i="13"/>
  <c r="S98" i="13" s="1"/>
  <c r="N103" i="1"/>
  <c r="W103" i="1"/>
  <c r="Y102" i="1"/>
  <c r="R97" i="3"/>
  <c r="T97" i="3"/>
  <c r="B98" i="13"/>
  <c r="AF98" i="13" s="1"/>
  <c r="C97" i="13"/>
  <c r="O98" i="3"/>
  <c r="O98" i="13"/>
  <c r="O102" i="1"/>
  <c r="M103" i="1"/>
  <c r="B99" i="3"/>
  <c r="AF99" i="3" s="1"/>
  <c r="C98" i="3"/>
  <c r="Z97" i="7"/>
  <c r="H98" i="7"/>
  <c r="Q98" i="7"/>
  <c r="W98" i="7"/>
  <c r="X98" i="7"/>
  <c r="M98" i="7" s="1"/>
  <c r="R98" i="7"/>
  <c r="S98" i="7"/>
  <c r="V98" i="7"/>
  <c r="M97" i="7"/>
  <c r="O100" i="7"/>
  <c r="P99" i="7"/>
  <c r="B100" i="3" l="1"/>
  <c r="AF100" i="3" s="1"/>
  <c r="C99" i="3"/>
  <c r="T98" i="13"/>
  <c r="R98" i="13"/>
  <c r="W104" i="1"/>
  <c r="Y103" i="1"/>
  <c r="Z98" i="7"/>
  <c r="H99" i="7"/>
  <c r="R98" i="3"/>
  <c r="T98" i="3"/>
  <c r="P99" i="3"/>
  <c r="S99" i="3" s="1"/>
  <c r="P99" i="13"/>
  <c r="S99" i="13" s="1"/>
  <c r="N104" i="1"/>
  <c r="Q106" i="1"/>
  <c r="S105" i="1"/>
  <c r="O99" i="3"/>
  <c r="M104" i="1"/>
  <c r="O103" i="1"/>
  <c r="O99" i="13"/>
  <c r="Q98" i="13"/>
  <c r="Q98" i="3"/>
  <c r="C98" i="13"/>
  <c r="B99" i="13"/>
  <c r="AF99" i="13" s="1"/>
  <c r="V102" i="1"/>
  <c r="T103" i="1"/>
  <c r="S99" i="7"/>
  <c r="W99" i="7"/>
  <c r="V99" i="7"/>
  <c r="X99" i="7"/>
  <c r="R99" i="7"/>
  <c r="Q99" i="7"/>
  <c r="O101" i="7"/>
  <c r="P100" i="7"/>
  <c r="K98" i="7"/>
  <c r="L98" i="7"/>
  <c r="L99" i="7"/>
  <c r="R99" i="13" l="1"/>
  <c r="T99" i="13"/>
  <c r="T104" i="1"/>
  <c r="V103" i="1"/>
  <c r="Q99" i="13"/>
  <c r="Q99" i="3"/>
  <c r="S106" i="1"/>
  <c r="Q107" i="1"/>
  <c r="O100" i="3"/>
  <c r="O100" i="13"/>
  <c r="O104" i="1"/>
  <c r="M105" i="1"/>
  <c r="P100" i="3"/>
  <c r="S100" i="3" s="1"/>
  <c r="P100" i="13"/>
  <c r="S100" i="13" s="1"/>
  <c r="N105" i="1"/>
  <c r="Y104" i="1"/>
  <c r="W105" i="1"/>
  <c r="B101" i="3"/>
  <c r="AF101" i="3" s="1"/>
  <c r="C100" i="3"/>
  <c r="B100" i="13"/>
  <c r="AF100" i="13" s="1"/>
  <c r="C99" i="13"/>
  <c r="R99" i="3"/>
  <c r="T99" i="3"/>
  <c r="Z99" i="7"/>
  <c r="H100" i="7"/>
  <c r="Q100" i="7"/>
  <c r="W100" i="7"/>
  <c r="X100" i="7"/>
  <c r="M100" i="7" s="1"/>
  <c r="R100" i="7"/>
  <c r="V100" i="7"/>
  <c r="S100" i="7"/>
  <c r="O102" i="7"/>
  <c r="P101" i="7"/>
  <c r="M99" i="7"/>
  <c r="K99" i="7"/>
  <c r="O101" i="3" l="1"/>
  <c r="O101" i="13"/>
  <c r="M106" i="1"/>
  <c r="O105" i="1"/>
  <c r="Q108" i="1"/>
  <c r="S107" i="1"/>
  <c r="Z100" i="7"/>
  <c r="H101" i="7"/>
  <c r="B102" i="3"/>
  <c r="AF102" i="3" s="1"/>
  <c r="C101" i="3"/>
  <c r="P101" i="3"/>
  <c r="S101" i="3" s="1"/>
  <c r="P101" i="13"/>
  <c r="S101" i="13" s="1"/>
  <c r="N106" i="1"/>
  <c r="Q100" i="13"/>
  <c r="Q100" i="3"/>
  <c r="T105" i="1"/>
  <c r="V104" i="1"/>
  <c r="B101" i="13"/>
  <c r="AF101" i="13" s="1"/>
  <c r="C100" i="13"/>
  <c r="R100" i="13"/>
  <c r="T100" i="13"/>
  <c r="W106" i="1"/>
  <c r="Y105" i="1"/>
  <c r="R100" i="3"/>
  <c r="T100" i="3"/>
  <c r="K100" i="7"/>
  <c r="S101" i="7"/>
  <c r="W101" i="7"/>
  <c r="Q101" i="7"/>
  <c r="V101" i="7"/>
  <c r="R101" i="7"/>
  <c r="X101" i="7"/>
  <c r="P102" i="7"/>
  <c r="O103" i="7"/>
  <c r="L100" i="7"/>
  <c r="W107" i="1" l="1"/>
  <c r="Y106" i="1"/>
  <c r="B102" i="13"/>
  <c r="AF102" i="13" s="1"/>
  <c r="C101" i="13"/>
  <c r="Z101" i="7"/>
  <c r="H102" i="7"/>
  <c r="Q101" i="3"/>
  <c r="Q101" i="13"/>
  <c r="O102" i="3"/>
  <c r="O102" i="13"/>
  <c r="O106" i="1"/>
  <c r="M107" i="1"/>
  <c r="P102" i="3"/>
  <c r="S102" i="3" s="1"/>
  <c r="P102" i="13"/>
  <c r="S102" i="13" s="1"/>
  <c r="N107" i="1"/>
  <c r="B103" i="3"/>
  <c r="AF103" i="3" s="1"/>
  <c r="C102" i="3"/>
  <c r="T101" i="13"/>
  <c r="R101" i="13"/>
  <c r="T106" i="1"/>
  <c r="V105" i="1"/>
  <c r="Q109" i="1"/>
  <c r="S108" i="1"/>
  <c r="R101" i="3"/>
  <c r="T101" i="3"/>
  <c r="R102" i="7"/>
  <c r="W102" i="7"/>
  <c r="S102" i="7"/>
  <c r="X102" i="7"/>
  <c r="M102" i="7" s="1"/>
  <c r="Q102" i="7"/>
  <c r="V102" i="7"/>
  <c r="O104" i="7"/>
  <c r="P103" i="7"/>
  <c r="M101" i="7"/>
  <c r="K101" i="7"/>
  <c r="L102" i="7"/>
  <c r="L101" i="7"/>
  <c r="S109" i="1" l="1"/>
  <c r="Q110" i="1"/>
  <c r="P103" i="3"/>
  <c r="S103" i="3" s="1"/>
  <c r="P103" i="13"/>
  <c r="S103" i="13" s="1"/>
  <c r="N108" i="1"/>
  <c r="Q102" i="13"/>
  <c r="Q102" i="3"/>
  <c r="C102" i="13"/>
  <c r="B103" i="13"/>
  <c r="AF103" i="13" s="1"/>
  <c r="V106" i="1"/>
  <c r="T107" i="1"/>
  <c r="B104" i="3"/>
  <c r="AF104" i="3" s="1"/>
  <c r="C103" i="3"/>
  <c r="R102" i="3"/>
  <c r="T102" i="3"/>
  <c r="T102" i="13"/>
  <c r="R102" i="13"/>
  <c r="Z102" i="7"/>
  <c r="H103" i="7"/>
  <c r="O103" i="3"/>
  <c r="O103" i="13"/>
  <c r="M108" i="1"/>
  <c r="O107" i="1"/>
  <c r="Y107" i="1"/>
  <c r="W108" i="1"/>
  <c r="K102" i="7"/>
  <c r="P104" i="7"/>
  <c r="O105" i="7"/>
  <c r="Q103" i="7"/>
  <c r="W103" i="7"/>
  <c r="L103" i="7" s="1"/>
  <c r="S103" i="7"/>
  <c r="V103" i="7"/>
  <c r="R103" i="7"/>
  <c r="X103" i="7"/>
  <c r="O104" i="3" l="1"/>
  <c r="O104" i="13"/>
  <c r="O108" i="1"/>
  <c r="M109" i="1"/>
  <c r="Y108" i="1"/>
  <c r="W109" i="1"/>
  <c r="R103" i="13"/>
  <c r="T103" i="13"/>
  <c r="R103" i="3"/>
  <c r="T103" i="3"/>
  <c r="B105" i="3"/>
  <c r="AF105" i="3" s="1"/>
  <c r="C104" i="3"/>
  <c r="B104" i="13"/>
  <c r="AF104" i="13" s="1"/>
  <c r="C103" i="13"/>
  <c r="S110" i="1"/>
  <c r="Q111" i="1"/>
  <c r="T108" i="1"/>
  <c r="V107" i="1"/>
  <c r="Q103" i="13"/>
  <c r="Q103" i="3"/>
  <c r="Z103" i="7"/>
  <c r="H104" i="7"/>
  <c r="P104" i="3"/>
  <c r="S104" i="3" s="1"/>
  <c r="P104" i="13"/>
  <c r="S104" i="13" s="1"/>
  <c r="N109" i="1"/>
  <c r="M103" i="7"/>
  <c r="P105" i="7"/>
  <c r="O106" i="7"/>
  <c r="X104" i="7"/>
  <c r="V104" i="7"/>
  <c r="S104" i="7"/>
  <c r="Q104" i="7"/>
  <c r="W104" i="7"/>
  <c r="L104" i="7" s="1"/>
  <c r="R104" i="7"/>
  <c r="K103" i="7"/>
  <c r="Z104" i="7" l="1"/>
  <c r="H105" i="7"/>
  <c r="B106" i="3"/>
  <c r="AF106" i="3" s="1"/>
  <c r="C105" i="3"/>
  <c r="O105" i="3"/>
  <c r="O105" i="13"/>
  <c r="O109" i="1"/>
  <c r="M110" i="1"/>
  <c r="T109" i="1"/>
  <c r="V108" i="1"/>
  <c r="Q104" i="13"/>
  <c r="Q104" i="3"/>
  <c r="P105" i="3"/>
  <c r="S105" i="3" s="1"/>
  <c r="P105" i="13"/>
  <c r="S105" i="13" s="1"/>
  <c r="N110" i="1"/>
  <c r="B105" i="13"/>
  <c r="AF105" i="13" s="1"/>
  <c r="C104" i="13"/>
  <c r="Q112" i="1"/>
  <c r="S111" i="1"/>
  <c r="W110" i="1"/>
  <c r="Y109" i="1"/>
  <c r="R104" i="13"/>
  <c r="T104" i="13"/>
  <c r="R104" i="3"/>
  <c r="T104" i="3"/>
  <c r="K104" i="7"/>
  <c r="P106" i="7"/>
  <c r="O107" i="7"/>
  <c r="M104" i="7"/>
  <c r="S105" i="7"/>
  <c r="W105" i="7"/>
  <c r="Q105" i="7"/>
  <c r="V105" i="7"/>
  <c r="R105" i="7"/>
  <c r="X105" i="7"/>
  <c r="M105" i="7"/>
  <c r="Q113" i="1" l="1"/>
  <c r="S112" i="1"/>
  <c r="P106" i="3"/>
  <c r="S106" i="3" s="1"/>
  <c r="P106" i="13"/>
  <c r="S106" i="13" s="1"/>
  <c r="N111" i="1"/>
  <c r="Q105" i="3"/>
  <c r="Q105" i="13"/>
  <c r="B107" i="3"/>
  <c r="AF107" i="3" s="1"/>
  <c r="C106" i="3"/>
  <c r="T105" i="13"/>
  <c r="R105" i="13"/>
  <c r="W111" i="1"/>
  <c r="Y110" i="1"/>
  <c r="B106" i="13"/>
  <c r="AF106" i="13" s="1"/>
  <c r="C105" i="13"/>
  <c r="T110" i="1"/>
  <c r="V109" i="1"/>
  <c r="R105" i="3"/>
  <c r="T105" i="3"/>
  <c r="Z105" i="7"/>
  <c r="H106" i="7"/>
  <c r="O106" i="3"/>
  <c r="O106" i="13"/>
  <c r="O110" i="1"/>
  <c r="M111" i="1"/>
  <c r="P107" i="7"/>
  <c r="O108" i="7"/>
  <c r="X106" i="7"/>
  <c r="V106" i="7"/>
  <c r="Q106" i="7"/>
  <c r="R106" i="7"/>
  <c r="S106" i="7"/>
  <c r="W106" i="7"/>
  <c r="L106" i="7" s="1"/>
  <c r="K105" i="7"/>
  <c r="L105" i="7"/>
  <c r="Z106" i="7" l="1"/>
  <c r="H107" i="7"/>
  <c r="R106" i="3"/>
  <c r="T106" i="3"/>
  <c r="C106" i="13"/>
  <c r="B107" i="13"/>
  <c r="AF107" i="13" s="1"/>
  <c r="O107" i="3"/>
  <c r="O107" i="13"/>
  <c r="M112" i="1"/>
  <c r="O111" i="1"/>
  <c r="Q106" i="13"/>
  <c r="Q106" i="3"/>
  <c r="V110" i="1"/>
  <c r="T111" i="1"/>
  <c r="T106" i="13"/>
  <c r="R106" i="13"/>
  <c r="W112" i="1"/>
  <c r="Y111" i="1"/>
  <c r="B108" i="3"/>
  <c r="AF108" i="3" s="1"/>
  <c r="C107" i="3"/>
  <c r="P107" i="3"/>
  <c r="S107" i="3" s="1"/>
  <c r="P107" i="13"/>
  <c r="S107" i="13" s="1"/>
  <c r="N112" i="1"/>
  <c r="S113" i="1"/>
  <c r="Q114" i="1"/>
  <c r="Q107" i="7"/>
  <c r="W107" i="7"/>
  <c r="S107" i="7"/>
  <c r="V107" i="7"/>
  <c r="K107" i="7" s="1"/>
  <c r="R107" i="7"/>
  <c r="X107" i="7"/>
  <c r="M106" i="7"/>
  <c r="K106" i="7"/>
  <c r="P108" i="7"/>
  <c r="O109" i="7"/>
  <c r="S114" i="1" l="1"/>
  <c r="Q115" i="1"/>
  <c r="T112" i="1"/>
  <c r="V111" i="1"/>
  <c r="Q107" i="13"/>
  <c r="Q107" i="3"/>
  <c r="B108" i="13"/>
  <c r="AF108" i="13" s="1"/>
  <c r="C107" i="13"/>
  <c r="R107" i="3"/>
  <c r="T107" i="3"/>
  <c r="Y112" i="1"/>
  <c r="W113" i="1"/>
  <c r="O108" i="3"/>
  <c r="O108" i="13"/>
  <c r="O112" i="1"/>
  <c r="M113" i="1"/>
  <c r="Z107" i="7"/>
  <c r="H108" i="7"/>
  <c r="P108" i="3"/>
  <c r="S108" i="3" s="1"/>
  <c r="P108" i="13"/>
  <c r="S108" i="13" s="1"/>
  <c r="N113" i="1"/>
  <c r="C108" i="3"/>
  <c r="B109" i="3"/>
  <c r="AF109" i="3" s="1"/>
  <c r="R107" i="13"/>
  <c r="T107" i="13"/>
  <c r="M107" i="7"/>
  <c r="Q108" i="7"/>
  <c r="W108" i="7"/>
  <c r="X108" i="7"/>
  <c r="R108" i="7"/>
  <c r="V108" i="7"/>
  <c r="S108" i="7"/>
  <c r="L107" i="7"/>
  <c r="O110" i="7"/>
  <c r="P109" i="7"/>
  <c r="T113" i="1" l="1"/>
  <c r="V112" i="1"/>
  <c r="Q108" i="13"/>
  <c r="Q108" i="3"/>
  <c r="B109" i="13"/>
  <c r="AF109" i="13" s="1"/>
  <c r="C108" i="13"/>
  <c r="Z108" i="7"/>
  <c r="H109" i="7"/>
  <c r="R108" i="13"/>
  <c r="T108" i="13"/>
  <c r="P109" i="3"/>
  <c r="S109" i="3" s="1"/>
  <c r="P109" i="13"/>
  <c r="S109" i="13" s="1"/>
  <c r="N114" i="1"/>
  <c r="R108" i="3"/>
  <c r="T108" i="3"/>
  <c r="Q116" i="1"/>
  <c r="S115" i="1"/>
  <c r="B110" i="3"/>
  <c r="AF110" i="3" s="1"/>
  <c r="C109" i="3"/>
  <c r="O109" i="3"/>
  <c r="O109" i="13"/>
  <c r="M114" i="1"/>
  <c r="O113" i="1"/>
  <c r="W114" i="1"/>
  <c r="Y113" i="1"/>
  <c r="P110" i="7"/>
  <c r="O111" i="7"/>
  <c r="L108" i="7"/>
  <c r="K108" i="7"/>
  <c r="M108" i="7"/>
  <c r="V109" i="7"/>
  <c r="K109" i="7" s="1"/>
  <c r="R109" i="7"/>
  <c r="W109" i="7"/>
  <c r="S109" i="7"/>
  <c r="X109" i="7"/>
  <c r="M109" i="7" s="1"/>
  <c r="Q109" i="7"/>
  <c r="O110" i="3" l="1"/>
  <c r="O110" i="13"/>
  <c r="O114" i="1"/>
  <c r="M115" i="1"/>
  <c r="T109" i="13"/>
  <c r="R109" i="13"/>
  <c r="W115" i="1"/>
  <c r="Y114" i="1"/>
  <c r="R109" i="3"/>
  <c r="T109" i="3"/>
  <c r="P110" i="3"/>
  <c r="S110" i="3" s="1"/>
  <c r="P110" i="13"/>
  <c r="S110" i="13" s="1"/>
  <c r="N115" i="1"/>
  <c r="B110" i="13"/>
  <c r="AF110" i="13" s="1"/>
  <c r="C109" i="13"/>
  <c r="B111" i="3"/>
  <c r="AF111" i="3" s="1"/>
  <c r="C110" i="3"/>
  <c r="Q109" i="3"/>
  <c r="Q109" i="13"/>
  <c r="Q117" i="1"/>
  <c r="S116" i="1"/>
  <c r="Z109" i="7"/>
  <c r="H110" i="7"/>
  <c r="T114" i="1"/>
  <c r="V113" i="1"/>
  <c r="O112" i="7"/>
  <c r="P111" i="7"/>
  <c r="L109" i="7"/>
  <c r="Q110" i="7"/>
  <c r="W110" i="7"/>
  <c r="X110" i="7"/>
  <c r="R110" i="7"/>
  <c r="S110" i="7"/>
  <c r="V110" i="7"/>
  <c r="K110" i="7" s="1"/>
  <c r="O111" i="3" l="1"/>
  <c r="O111" i="13"/>
  <c r="O115" i="1"/>
  <c r="M116" i="1"/>
  <c r="C110" i="13"/>
  <c r="B111" i="13"/>
  <c r="AF111" i="13" s="1"/>
  <c r="Y115" i="1"/>
  <c r="W116" i="1"/>
  <c r="Q110" i="13"/>
  <c r="Q110" i="3"/>
  <c r="V114" i="1"/>
  <c r="T115" i="1"/>
  <c r="Q118" i="1"/>
  <c r="S117" i="1"/>
  <c r="B112" i="3"/>
  <c r="AF112" i="3" s="1"/>
  <c r="C111" i="3"/>
  <c r="T110" i="13"/>
  <c r="R110" i="13"/>
  <c r="Z110" i="7"/>
  <c r="H111" i="7"/>
  <c r="P111" i="3"/>
  <c r="S111" i="3" s="1"/>
  <c r="P111" i="13"/>
  <c r="S111" i="13" s="1"/>
  <c r="N116" i="1"/>
  <c r="R110" i="3"/>
  <c r="T110" i="3"/>
  <c r="P112" i="7"/>
  <c r="O113" i="7"/>
  <c r="L110" i="7"/>
  <c r="M110" i="7"/>
  <c r="Q111" i="7"/>
  <c r="W111" i="7"/>
  <c r="V111" i="7"/>
  <c r="X111" i="7"/>
  <c r="R111" i="7"/>
  <c r="S111" i="7"/>
  <c r="O112" i="3" l="1"/>
  <c r="O112" i="13"/>
  <c r="O116" i="1"/>
  <c r="M117" i="1"/>
  <c r="B112" i="13"/>
  <c r="AF112" i="13" s="1"/>
  <c r="C111" i="13"/>
  <c r="Q111" i="13"/>
  <c r="Q111" i="3"/>
  <c r="Z111" i="7"/>
  <c r="H112" i="7"/>
  <c r="S118" i="1"/>
  <c r="Q119" i="1"/>
  <c r="R111" i="13"/>
  <c r="T111" i="13"/>
  <c r="P112" i="3"/>
  <c r="S112" i="3" s="1"/>
  <c r="P112" i="13"/>
  <c r="S112" i="13" s="1"/>
  <c r="N117" i="1"/>
  <c r="B113" i="3"/>
  <c r="AF113" i="3" s="1"/>
  <c r="C112" i="3"/>
  <c r="T116" i="1"/>
  <c r="V115" i="1"/>
  <c r="Y116" i="1"/>
  <c r="W117" i="1"/>
  <c r="R111" i="3"/>
  <c r="T111" i="3"/>
  <c r="M111" i="7"/>
  <c r="L111" i="7"/>
  <c r="O114" i="7"/>
  <c r="P113" i="7"/>
  <c r="K111" i="7"/>
  <c r="Q112" i="7"/>
  <c r="W112" i="7"/>
  <c r="X112" i="7"/>
  <c r="R112" i="7"/>
  <c r="V112" i="7"/>
  <c r="S112" i="7"/>
  <c r="B114" i="3" l="1"/>
  <c r="AF114" i="3" s="1"/>
  <c r="C113" i="3"/>
  <c r="O113" i="3"/>
  <c r="O113" i="13"/>
  <c r="O117" i="1"/>
  <c r="M118" i="1"/>
  <c r="Z112" i="7"/>
  <c r="H113" i="7"/>
  <c r="Q112" i="13"/>
  <c r="Q112" i="3"/>
  <c r="T117" i="1"/>
  <c r="V116" i="1"/>
  <c r="P113" i="3"/>
  <c r="S113" i="3" s="1"/>
  <c r="P113" i="13"/>
  <c r="S113" i="13" s="1"/>
  <c r="N118" i="1"/>
  <c r="B113" i="13"/>
  <c r="AF113" i="13" s="1"/>
  <c r="C112" i="13"/>
  <c r="R112" i="13"/>
  <c r="T112" i="13"/>
  <c r="W118" i="1"/>
  <c r="Y117" i="1"/>
  <c r="S119" i="1"/>
  <c r="Q120" i="1"/>
  <c r="R112" i="3"/>
  <c r="T112" i="3"/>
  <c r="K112" i="7"/>
  <c r="M112" i="7"/>
  <c r="S113" i="7"/>
  <c r="W113" i="7"/>
  <c r="V113" i="7"/>
  <c r="X113" i="7"/>
  <c r="M113" i="7" s="1"/>
  <c r="R113" i="7"/>
  <c r="Q113" i="7"/>
  <c r="O115" i="7"/>
  <c r="P114" i="7"/>
  <c r="L112" i="7"/>
  <c r="L113" i="7"/>
  <c r="P114" i="3" l="1"/>
  <c r="S114" i="3" s="1"/>
  <c r="P114" i="13"/>
  <c r="S114" i="13" s="1"/>
  <c r="N119" i="1"/>
  <c r="T118" i="1"/>
  <c r="V117" i="1"/>
  <c r="R113" i="3"/>
  <c r="T113" i="3"/>
  <c r="O114" i="3"/>
  <c r="O114" i="13"/>
  <c r="O118" i="1"/>
  <c r="M119" i="1"/>
  <c r="W119" i="1"/>
  <c r="Y118" i="1"/>
  <c r="B114" i="13"/>
  <c r="AF114" i="13" s="1"/>
  <c r="C113" i="13"/>
  <c r="Q113" i="3"/>
  <c r="Q113" i="13"/>
  <c r="B115" i="3"/>
  <c r="AF115" i="3" s="1"/>
  <c r="C114" i="3"/>
  <c r="Q121" i="1"/>
  <c r="S120" i="1"/>
  <c r="Z113" i="7"/>
  <c r="H114" i="7"/>
  <c r="T113" i="13"/>
  <c r="R113" i="13"/>
  <c r="V114" i="7"/>
  <c r="S114" i="7"/>
  <c r="X114" i="7"/>
  <c r="R114" i="7"/>
  <c r="Q114" i="7"/>
  <c r="W114" i="7"/>
  <c r="P115" i="7"/>
  <c r="O116" i="7"/>
  <c r="K113" i="7"/>
  <c r="B116" i="3" l="1"/>
  <c r="AF116" i="3" s="1"/>
  <c r="C115" i="3"/>
  <c r="R114" i="3"/>
  <c r="T114" i="3"/>
  <c r="C114" i="13"/>
  <c r="B115" i="13"/>
  <c r="AF115" i="13" s="1"/>
  <c r="O115" i="3"/>
  <c r="O115" i="13"/>
  <c r="M120" i="1"/>
  <c r="O119" i="1"/>
  <c r="P115" i="3"/>
  <c r="S115" i="3" s="1"/>
  <c r="P115" i="13"/>
  <c r="S115" i="13" s="1"/>
  <c r="N120" i="1"/>
  <c r="Q114" i="13"/>
  <c r="Q114" i="3"/>
  <c r="W120" i="1"/>
  <c r="Y119" i="1"/>
  <c r="V118" i="1"/>
  <c r="T119" i="1"/>
  <c r="Q122" i="1"/>
  <c r="S121" i="1"/>
  <c r="Z114" i="7"/>
  <c r="H115" i="7"/>
  <c r="T114" i="13"/>
  <c r="R114" i="13"/>
  <c r="K114" i="7"/>
  <c r="P116" i="7"/>
  <c r="O117" i="7"/>
  <c r="X115" i="7"/>
  <c r="M115" i="7" s="1"/>
  <c r="R115" i="7"/>
  <c r="W115" i="7"/>
  <c r="L115" i="7" s="1"/>
  <c r="S115" i="7"/>
  <c r="V115" i="7"/>
  <c r="Q115" i="7"/>
  <c r="M114" i="7"/>
  <c r="L114" i="7"/>
  <c r="Q115" i="13" l="1"/>
  <c r="Q115" i="3"/>
  <c r="P116" i="3"/>
  <c r="S116" i="3" s="1"/>
  <c r="P116" i="13"/>
  <c r="S116" i="13" s="1"/>
  <c r="N121" i="1"/>
  <c r="O116" i="3"/>
  <c r="O116" i="13"/>
  <c r="O120" i="1"/>
  <c r="M121" i="1"/>
  <c r="B116" i="13"/>
  <c r="AF116" i="13" s="1"/>
  <c r="C115" i="13"/>
  <c r="S122" i="1"/>
  <c r="Q123" i="1"/>
  <c r="Y120" i="1"/>
  <c r="W121" i="1"/>
  <c r="R115" i="13"/>
  <c r="T115" i="13"/>
  <c r="B117" i="3"/>
  <c r="AF117" i="3" s="1"/>
  <c r="C116" i="3"/>
  <c r="Z115" i="7"/>
  <c r="H116" i="7"/>
  <c r="T120" i="1"/>
  <c r="V119" i="1"/>
  <c r="R115" i="3"/>
  <c r="T115" i="3"/>
  <c r="O118" i="7"/>
  <c r="P117" i="7"/>
  <c r="K115" i="7"/>
  <c r="Q116" i="7"/>
  <c r="W116" i="7"/>
  <c r="X116" i="7"/>
  <c r="R116" i="7"/>
  <c r="V116" i="7"/>
  <c r="K116" i="7" s="1"/>
  <c r="S116" i="7"/>
  <c r="Z116" i="7" l="1"/>
  <c r="H117" i="7"/>
  <c r="B117" i="13"/>
  <c r="AF117" i="13" s="1"/>
  <c r="C116" i="13"/>
  <c r="R116" i="13"/>
  <c r="T116" i="13"/>
  <c r="R116" i="3"/>
  <c r="T116" i="3"/>
  <c r="T121" i="1"/>
  <c r="V120" i="1"/>
  <c r="B118" i="3"/>
  <c r="AF118" i="3" s="1"/>
  <c r="C117" i="3"/>
  <c r="W122" i="1"/>
  <c r="Y121" i="1"/>
  <c r="Q116" i="13"/>
  <c r="Q116" i="3"/>
  <c r="Q124" i="1"/>
  <c r="S123" i="1"/>
  <c r="O117" i="3"/>
  <c r="O117" i="13"/>
  <c r="M122" i="1"/>
  <c r="O121" i="1"/>
  <c r="P117" i="3"/>
  <c r="S117" i="3" s="1"/>
  <c r="N122" i="1"/>
  <c r="P117" i="13"/>
  <c r="S117" i="13" s="1"/>
  <c r="M116" i="7"/>
  <c r="V117" i="7"/>
  <c r="K117" i="7" s="1"/>
  <c r="R117" i="7"/>
  <c r="W117" i="7"/>
  <c r="S117" i="7"/>
  <c r="X117" i="7"/>
  <c r="Q117" i="7"/>
  <c r="L116" i="7"/>
  <c r="P118" i="7"/>
  <c r="O119" i="7"/>
  <c r="O118" i="3" l="1"/>
  <c r="O118" i="13"/>
  <c r="O122" i="1"/>
  <c r="M123" i="1"/>
  <c r="Q125" i="1"/>
  <c r="S124" i="1"/>
  <c r="W123" i="1"/>
  <c r="Y122" i="1"/>
  <c r="Q117" i="3"/>
  <c r="Q117" i="13"/>
  <c r="P118" i="3"/>
  <c r="S118" i="3" s="1"/>
  <c r="P118" i="13"/>
  <c r="S118" i="13" s="1"/>
  <c r="N123" i="1"/>
  <c r="T117" i="13"/>
  <c r="R117" i="13"/>
  <c r="T122" i="1"/>
  <c r="V121" i="1"/>
  <c r="Z117" i="7"/>
  <c r="H118" i="7"/>
  <c r="B118" i="13"/>
  <c r="AF118" i="13" s="1"/>
  <c r="C117" i="13"/>
  <c r="R117" i="3"/>
  <c r="T117" i="3"/>
  <c r="B119" i="3"/>
  <c r="AF119" i="3" s="1"/>
  <c r="C118" i="3"/>
  <c r="P119" i="7"/>
  <c r="O120" i="7"/>
  <c r="X118" i="7"/>
  <c r="M118" i="7" s="1"/>
  <c r="V118" i="7"/>
  <c r="S118" i="7"/>
  <c r="R118" i="7"/>
  <c r="Q118" i="7"/>
  <c r="W118" i="7"/>
  <c r="L117" i="7"/>
  <c r="M117" i="7"/>
  <c r="V122" i="1" l="1"/>
  <c r="T123" i="1"/>
  <c r="O119" i="3"/>
  <c r="O119" i="13"/>
  <c r="M124" i="1"/>
  <c r="O123" i="1"/>
  <c r="Z118" i="7"/>
  <c r="H119" i="7"/>
  <c r="Y123" i="1"/>
  <c r="W124" i="1"/>
  <c r="Q118" i="13"/>
  <c r="Q118" i="3"/>
  <c r="B120" i="3"/>
  <c r="AF120" i="3" s="1"/>
  <c r="C119" i="3"/>
  <c r="T118" i="13"/>
  <c r="R118" i="13"/>
  <c r="C118" i="13"/>
  <c r="B119" i="13"/>
  <c r="AF119" i="13" s="1"/>
  <c r="P119" i="3"/>
  <c r="S119" i="3" s="1"/>
  <c r="P119" i="13"/>
  <c r="S119" i="13" s="1"/>
  <c r="N124" i="1"/>
  <c r="S125" i="1"/>
  <c r="Q126" i="1"/>
  <c r="R118" i="3"/>
  <c r="T118" i="3"/>
  <c r="P120" i="7"/>
  <c r="O121" i="7"/>
  <c r="L118" i="7"/>
  <c r="K118" i="7"/>
  <c r="Q119" i="7"/>
  <c r="W119" i="7"/>
  <c r="S119" i="7"/>
  <c r="V119" i="7"/>
  <c r="R119" i="7"/>
  <c r="X119" i="7"/>
  <c r="M119" i="7"/>
  <c r="Z119" i="7" l="1"/>
  <c r="H120" i="7"/>
  <c r="P120" i="3"/>
  <c r="S120" i="3" s="1"/>
  <c r="P120" i="13"/>
  <c r="S120" i="13" s="1"/>
  <c r="N125" i="1"/>
  <c r="R119" i="3"/>
  <c r="T119" i="3"/>
  <c r="B121" i="3"/>
  <c r="AF121" i="3" s="1"/>
  <c r="C120" i="3"/>
  <c r="Y124" i="1"/>
  <c r="W125" i="1"/>
  <c r="Q119" i="13"/>
  <c r="Q119" i="3"/>
  <c r="T124" i="1"/>
  <c r="V123" i="1"/>
  <c r="B120" i="13"/>
  <c r="AF120" i="13" s="1"/>
  <c r="C119" i="13"/>
  <c r="R119" i="13"/>
  <c r="T119" i="13"/>
  <c r="S126" i="1"/>
  <c r="Q127" i="1"/>
  <c r="O120" i="3"/>
  <c r="O120" i="13"/>
  <c r="O124" i="1"/>
  <c r="M125" i="1"/>
  <c r="L119" i="7"/>
  <c r="P121" i="7"/>
  <c r="O122" i="7"/>
  <c r="K119" i="7"/>
  <c r="Q120" i="7"/>
  <c r="W120" i="7"/>
  <c r="S120" i="7"/>
  <c r="R120" i="7"/>
  <c r="X120" i="7"/>
  <c r="V120" i="7"/>
  <c r="R120" i="3" l="1"/>
  <c r="T120" i="3"/>
  <c r="W126" i="1"/>
  <c r="Y125" i="1"/>
  <c r="O121" i="3"/>
  <c r="O121" i="13"/>
  <c r="O125" i="1"/>
  <c r="M126" i="1"/>
  <c r="Q128" i="1"/>
  <c r="S127" i="1"/>
  <c r="Q120" i="13"/>
  <c r="Q120" i="3"/>
  <c r="B121" i="13"/>
  <c r="AF121" i="13" s="1"/>
  <c r="C120" i="13"/>
  <c r="Z120" i="7"/>
  <c r="H121" i="7"/>
  <c r="T125" i="1"/>
  <c r="V124" i="1"/>
  <c r="R120" i="13"/>
  <c r="T120" i="13"/>
  <c r="B122" i="3"/>
  <c r="AF122" i="3" s="1"/>
  <c r="C121" i="3"/>
  <c r="P121" i="3"/>
  <c r="S121" i="3" s="1"/>
  <c r="P121" i="13"/>
  <c r="S121" i="13" s="1"/>
  <c r="N126" i="1"/>
  <c r="S121" i="7"/>
  <c r="W121" i="7"/>
  <c r="L121" i="7" s="1"/>
  <c r="Q121" i="7"/>
  <c r="V121" i="7"/>
  <c r="K121" i="7" s="1"/>
  <c r="R121" i="7"/>
  <c r="X121" i="7"/>
  <c r="M121" i="7" s="1"/>
  <c r="M120" i="7"/>
  <c r="K120" i="7"/>
  <c r="L120" i="7"/>
  <c r="P122" i="7"/>
  <c r="O123" i="7"/>
  <c r="P122" i="3" l="1"/>
  <c r="S122" i="3" s="1"/>
  <c r="P122" i="13"/>
  <c r="S122" i="13" s="1"/>
  <c r="N127" i="1"/>
  <c r="B123" i="3"/>
  <c r="AF123" i="3" s="1"/>
  <c r="C122" i="3"/>
  <c r="Q121" i="3"/>
  <c r="Q121" i="13"/>
  <c r="W127" i="1"/>
  <c r="Y126" i="1"/>
  <c r="O122" i="3"/>
  <c r="O122" i="13"/>
  <c r="O126" i="1"/>
  <c r="M127" i="1"/>
  <c r="T126" i="1"/>
  <c r="V125" i="1"/>
  <c r="B122" i="13"/>
  <c r="AF122" i="13" s="1"/>
  <c r="C121" i="13"/>
  <c r="T121" i="13"/>
  <c r="R121" i="13"/>
  <c r="Z121" i="7"/>
  <c r="H122" i="7"/>
  <c r="Q129" i="1"/>
  <c r="S128" i="1"/>
  <c r="R121" i="3"/>
  <c r="T121" i="3"/>
  <c r="P123" i="7"/>
  <c r="O124" i="7"/>
  <c r="X122" i="7"/>
  <c r="V122" i="7"/>
  <c r="Q122" i="7"/>
  <c r="R122" i="7"/>
  <c r="S122" i="7"/>
  <c r="W122" i="7"/>
  <c r="S129" i="1" l="1"/>
  <c r="Q130" i="1"/>
  <c r="T122" i="13"/>
  <c r="R122" i="13"/>
  <c r="Z122" i="7"/>
  <c r="H123" i="7"/>
  <c r="V126" i="1"/>
  <c r="T127" i="1"/>
  <c r="R122" i="3"/>
  <c r="T122" i="3"/>
  <c r="P123" i="3"/>
  <c r="S123" i="3" s="1"/>
  <c r="P123" i="13"/>
  <c r="S123" i="13" s="1"/>
  <c r="N128" i="1"/>
  <c r="C122" i="13"/>
  <c r="B123" i="13"/>
  <c r="AF123" i="13" s="1"/>
  <c r="O123" i="3"/>
  <c r="O123" i="13"/>
  <c r="M128" i="1"/>
  <c r="O127" i="1"/>
  <c r="Q122" i="13"/>
  <c r="Q122" i="3"/>
  <c r="W128" i="1"/>
  <c r="Y127" i="1"/>
  <c r="B124" i="3"/>
  <c r="AF124" i="3" s="1"/>
  <c r="C123" i="3"/>
  <c r="M122" i="7"/>
  <c r="Q123" i="7"/>
  <c r="W123" i="7"/>
  <c r="L123" i="7" s="1"/>
  <c r="S123" i="7"/>
  <c r="V123" i="7"/>
  <c r="K123" i="7" s="1"/>
  <c r="R123" i="7"/>
  <c r="X123" i="7"/>
  <c r="L122" i="7"/>
  <c r="K122" i="7"/>
  <c r="P124" i="7"/>
  <c r="O125" i="7"/>
  <c r="Q123" i="13" l="1"/>
  <c r="Q123" i="3"/>
  <c r="B124" i="13"/>
  <c r="AF124" i="13" s="1"/>
  <c r="C123" i="13"/>
  <c r="T128" i="1"/>
  <c r="V127" i="1"/>
  <c r="Y128" i="1"/>
  <c r="W129" i="1"/>
  <c r="O124" i="3"/>
  <c r="O124" i="13"/>
  <c r="O128" i="1"/>
  <c r="M129" i="1"/>
  <c r="B125" i="3"/>
  <c r="AF125" i="3" s="1"/>
  <c r="C124" i="3"/>
  <c r="R123" i="13"/>
  <c r="T123" i="13"/>
  <c r="Z123" i="7"/>
  <c r="H124" i="7"/>
  <c r="S130" i="1"/>
  <c r="Q131" i="1"/>
  <c r="R123" i="3"/>
  <c r="T123" i="3"/>
  <c r="P124" i="3"/>
  <c r="S124" i="3" s="1"/>
  <c r="P124" i="13"/>
  <c r="S124" i="13" s="1"/>
  <c r="N129" i="1"/>
  <c r="M123" i="7"/>
  <c r="P125" i="7"/>
  <c r="O126" i="7"/>
  <c r="S124" i="7"/>
  <c r="Q124" i="7"/>
  <c r="V124" i="7"/>
  <c r="R124" i="7"/>
  <c r="W124" i="7"/>
  <c r="X124" i="7"/>
  <c r="Z124" i="7" l="1"/>
  <c r="H125" i="7"/>
  <c r="Q124" i="13"/>
  <c r="Q124" i="3"/>
  <c r="B125" i="13"/>
  <c r="AF125" i="13" s="1"/>
  <c r="C124" i="13"/>
  <c r="P125" i="3"/>
  <c r="S125" i="3" s="1"/>
  <c r="P125" i="13"/>
  <c r="S125" i="13" s="1"/>
  <c r="N130" i="1"/>
  <c r="B126" i="3"/>
  <c r="AF126" i="3" s="1"/>
  <c r="C125" i="3"/>
  <c r="R124" i="13"/>
  <c r="T124" i="13"/>
  <c r="Q132" i="1"/>
  <c r="S131" i="1"/>
  <c r="R124" i="3"/>
  <c r="T124" i="3"/>
  <c r="T129" i="1"/>
  <c r="V128" i="1"/>
  <c r="O125" i="3"/>
  <c r="O125" i="13"/>
  <c r="M130" i="1"/>
  <c r="O129" i="1"/>
  <c r="W130" i="1"/>
  <c r="Y129" i="1"/>
  <c r="P126" i="7"/>
  <c r="O127" i="7"/>
  <c r="L124" i="7"/>
  <c r="S125" i="7"/>
  <c r="W125" i="7"/>
  <c r="Q125" i="7"/>
  <c r="V125" i="7"/>
  <c r="K125" i="7" s="1"/>
  <c r="R125" i="7"/>
  <c r="X125" i="7"/>
  <c r="M125" i="7"/>
  <c r="K124" i="7"/>
  <c r="M124" i="7"/>
  <c r="O126" i="3" l="1"/>
  <c r="O126" i="13"/>
  <c r="O130" i="1"/>
  <c r="M131" i="1"/>
  <c r="T130" i="1"/>
  <c r="V129" i="1"/>
  <c r="Q133" i="1"/>
  <c r="S132" i="1"/>
  <c r="B127" i="3"/>
  <c r="AF127" i="3" s="1"/>
  <c r="C126" i="3"/>
  <c r="T125" i="13"/>
  <c r="R125" i="13"/>
  <c r="W131" i="1"/>
  <c r="Y130" i="1"/>
  <c r="R125" i="3"/>
  <c r="T125" i="3"/>
  <c r="P126" i="3"/>
  <c r="S126" i="3" s="1"/>
  <c r="P126" i="13"/>
  <c r="S126" i="13" s="1"/>
  <c r="N131" i="1"/>
  <c r="B126" i="13"/>
  <c r="AF126" i="13" s="1"/>
  <c r="C125" i="13"/>
  <c r="Z125" i="7"/>
  <c r="H126" i="7"/>
  <c r="Q125" i="3"/>
  <c r="Q125" i="13"/>
  <c r="L125" i="7"/>
  <c r="O128" i="7"/>
  <c r="P127" i="7"/>
  <c r="Q126" i="7"/>
  <c r="W126" i="7"/>
  <c r="X126" i="7"/>
  <c r="R126" i="7"/>
  <c r="S126" i="7"/>
  <c r="V126" i="7"/>
  <c r="P127" i="3" l="1"/>
  <c r="S127" i="3" s="1"/>
  <c r="P127" i="13"/>
  <c r="S127" i="13" s="1"/>
  <c r="N132" i="1"/>
  <c r="O127" i="3"/>
  <c r="O127" i="13"/>
  <c r="O131" i="1"/>
  <c r="M132" i="1"/>
  <c r="Z126" i="7"/>
  <c r="H127" i="7"/>
  <c r="Q134" i="1"/>
  <c r="S133" i="1"/>
  <c r="Q126" i="13"/>
  <c r="Q126" i="3"/>
  <c r="C126" i="13"/>
  <c r="B127" i="13"/>
  <c r="AF127" i="13" s="1"/>
  <c r="Y131" i="1"/>
  <c r="W132" i="1"/>
  <c r="B128" i="3"/>
  <c r="AF128" i="3" s="1"/>
  <c r="C127" i="3"/>
  <c r="T126" i="13"/>
  <c r="R126" i="13"/>
  <c r="V130" i="1"/>
  <c r="T131" i="1"/>
  <c r="R126" i="3"/>
  <c r="T126" i="3"/>
  <c r="M126" i="7"/>
  <c r="L126" i="7"/>
  <c r="K126" i="7"/>
  <c r="Q127" i="7"/>
  <c r="W127" i="7"/>
  <c r="V127" i="7"/>
  <c r="X127" i="7"/>
  <c r="M127" i="7" s="1"/>
  <c r="R127" i="7"/>
  <c r="S127" i="7"/>
  <c r="P128" i="7"/>
  <c r="O129" i="7"/>
  <c r="B129" i="3" l="1"/>
  <c r="AF129" i="3" s="1"/>
  <c r="C128" i="3"/>
  <c r="B128" i="13"/>
  <c r="AF128" i="13" s="1"/>
  <c r="C127" i="13"/>
  <c r="R127" i="3"/>
  <c r="T127" i="3"/>
  <c r="O128" i="3"/>
  <c r="O128" i="13"/>
  <c r="O132" i="1"/>
  <c r="M133" i="1"/>
  <c r="P128" i="3"/>
  <c r="S128" i="3" s="1"/>
  <c r="P128" i="13"/>
  <c r="S128" i="13" s="1"/>
  <c r="N133" i="1"/>
  <c r="Y132" i="1"/>
  <c r="W133" i="1"/>
  <c r="S134" i="1"/>
  <c r="Q135" i="1"/>
  <c r="Q127" i="13"/>
  <c r="Q127" i="3"/>
  <c r="T132" i="1"/>
  <c r="V131" i="1"/>
  <c r="Z127" i="7"/>
  <c r="H128" i="7"/>
  <c r="R127" i="13"/>
  <c r="T127" i="13"/>
  <c r="P129" i="7"/>
  <c r="O130" i="7"/>
  <c r="L127" i="7"/>
  <c r="Q128" i="7"/>
  <c r="W128" i="7"/>
  <c r="X128" i="7"/>
  <c r="R128" i="7"/>
  <c r="V128" i="7"/>
  <c r="K128" i="7" s="1"/>
  <c r="S128" i="7"/>
  <c r="K127" i="7"/>
  <c r="O129" i="3" l="1"/>
  <c r="O129" i="13"/>
  <c r="O133" i="1"/>
  <c r="M134" i="1"/>
  <c r="S135" i="1"/>
  <c r="Q136" i="1"/>
  <c r="P129" i="3"/>
  <c r="S129" i="3" s="1"/>
  <c r="P129" i="13"/>
  <c r="S129" i="13" s="1"/>
  <c r="N134" i="1"/>
  <c r="Q128" i="13"/>
  <c r="Q128" i="3"/>
  <c r="T133" i="1"/>
  <c r="V132" i="1"/>
  <c r="R128" i="13"/>
  <c r="T128" i="13"/>
  <c r="B130" i="3"/>
  <c r="AF130" i="3" s="1"/>
  <c r="C129" i="3"/>
  <c r="Z128" i="7"/>
  <c r="H129" i="7"/>
  <c r="W134" i="1"/>
  <c r="Y133" i="1"/>
  <c r="R128" i="3"/>
  <c r="T128" i="3"/>
  <c r="B129" i="13"/>
  <c r="AF129" i="13" s="1"/>
  <c r="C128" i="13"/>
  <c r="P130" i="7"/>
  <c r="O131" i="7"/>
  <c r="L128" i="7"/>
  <c r="S129" i="7"/>
  <c r="W129" i="7"/>
  <c r="V129" i="7"/>
  <c r="X129" i="7"/>
  <c r="R129" i="7"/>
  <c r="Q129" i="7"/>
  <c r="M128" i="7"/>
  <c r="Z129" i="7" l="1"/>
  <c r="H130" i="7"/>
  <c r="T134" i="1"/>
  <c r="V133" i="1"/>
  <c r="O130" i="3"/>
  <c r="O130" i="13"/>
  <c r="O134" i="1"/>
  <c r="M135" i="1"/>
  <c r="Q129" i="3"/>
  <c r="Q129" i="13"/>
  <c r="B130" i="13"/>
  <c r="AF130" i="13" s="1"/>
  <c r="C129" i="13"/>
  <c r="Q137" i="1"/>
  <c r="S136" i="1"/>
  <c r="T129" i="13"/>
  <c r="R129" i="13"/>
  <c r="W135" i="1"/>
  <c r="Y134" i="1"/>
  <c r="B131" i="3"/>
  <c r="AF131" i="3" s="1"/>
  <c r="C130" i="3"/>
  <c r="P130" i="3"/>
  <c r="S130" i="3" s="1"/>
  <c r="P130" i="13"/>
  <c r="S130" i="13" s="1"/>
  <c r="N135" i="1"/>
  <c r="R129" i="3"/>
  <c r="T129" i="3"/>
  <c r="K129" i="7"/>
  <c r="O132" i="7"/>
  <c r="P131" i="7"/>
  <c r="L129" i="7"/>
  <c r="Q130" i="7"/>
  <c r="W130" i="7"/>
  <c r="X130" i="7"/>
  <c r="R130" i="7"/>
  <c r="S130" i="7"/>
  <c r="V130" i="7"/>
  <c r="M129" i="7"/>
  <c r="C130" i="13" l="1"/>
  <c r="B131" i="13"/>
  <c r="AF131" i="13" s="1"/>
  <c r="O131" i="3"/>
  <c r="M136" i="1"/>
  <c r="O135" i="1"/>
  <c r="O131" i="13"/>
  <c r="Q130" i="13"/>
  <c r="Q130" i="3"/>
  <c r="V134" i="1"/>
  <c r="T135" i="1"/>
  <c r="W136" i="1"/>
  <c r="Y135" i="1"/>
  <c r="S137" i="1"/>
  <c r="Q138" i="1"/>
  <c r="T130" i="13"/>
  <c r="R130" i="13"/>
  <c r="Z130" i="7"/>
  <c r="H131" i="7"/>
  <c r="P131" i="3"/>
  <c r="S131" i="3" s="1"/>
  <c r="P131" i="13"/>
  <c r="S131" i="13" s="1"/>
  <c r="N136" i="1"/>
  <c r="B132" i="3"/>
  <c r="AF132" i="3" s="1"/>
  <c r="C131" i="3"/>
  <c r="R130" i="3"/>
  <c r="T130" i="3"/>
  <c r="K130" i="7"/>
  <c r="L130" i="7"/>
  <c r="S131" i="7"/>
  <c r="W131" i="7"/>
  <c r="V131" i="7"/>
  <c r="K131" i="7" s="1"/>
  <c r="X131" i="7"/>
  <c r="R131" i="7"/>
  <c r="Q131" i="7"/>
  <c r="P132" i="7"/>
  <c r="O133" i="7"/>
  <c r="M130" i="7"/>
  <c r="B133" i="3" l="1"/>
  <c r="AF133" i="3" s="1"/>
  <c r="C132" i="3"/>
  <c r="Y136" i="1"/>
  <c r="W137" i="1"/>
  <c r="R131" i="3"/>
  <c r="T131" i="3"/>
  <c r="Z131" i="7"/>
  <c r="H132" i="7"/>
  <c r="S138" i="1"/>
  <c r="Q139" i="1"/>
  <c r="T136" i="1"/>
  <c r="V135" i="1"/>
  <c r="R131" i="13"/>
  <c r="T131" i="13"/>
  <c r="B132" i="13"/>
  <c r="AF132" i="13" s="1"/>
  <c r="C131" i="13"/>
  <c r="P132" i="3"/>
  <c r="S132" i="3" s="1"/>
  <c r="P132" i="13"/>
  <c r="S132" i="13" s="1"/>
  <c r="N137" i="1"/>
  <c r="Q131" i="13"/>
  <c r="Q131" i="3"/>
  <c r="O132" i="3"/>
  <c r="O132" i="13"/>
  <c r="O136" i="1"/>
  <c r="M137" i="1"/>
  <c r="P133" i="7"/>
  <c r="O134" i="7"/>
  <c r="L131" i="7"/>
  <c r="M131" i="7"/>
  <c r="V132" i="7"/>
  <c r="S132" i="7"/>
  <c r="X132" i="7"/>
  <c r="Q132" i="7"/>
  <c r="W132" i="7"/>
  <c r="L132" i="7" s="1"/>
  <c r="R132" i="7"/>
  <c r="M132" i="7"/>
  <c r="R132" i="3" l="1"/>
  <c r="T132" i="3"/>
  <c r="T137" i="1"/>
  <c r="V136" i="1"/>
  <c r="O133" i="3"/>
  <c r="O133" i="13"/>
  <c r="M138" i="1"/>
  <c r="O137" i="1"/>
  <c r="Q140" i="1"/>
  <c r="S139" i="1"/>
  <c r="Q132" i="13"/>
  <c r="Q132" i="3"/>
  <c r="B134" i="3"/>
  <c r="AF134" i="3" s="1"/>
  <c r="C133" i="3"/>
  <c r="R132" i="13"/>
  <c r="T132" i="13"/>
  <c r="P133" i="3"/>
  <c r="S133" i="3" s="1"/>
  <c r="P133" i="13"/>
  <c r="S133" i="13" s="1"/>
  <c r="N138" i="1"/>
  <c r="B133" i="13"/>
  <c r="AF133" i="13" s="1"/>
  <c r="C132" i="13"/>
  <c r="Z132" i="7"/>
  <c r="H133" i="7"/>
  <c r="W138" i="1"/>
  <c r="Y137" i="1"/>
  <c r="K132" i="7"/>
  <c r="S133" i="7"/>
  <c r="W133" i="7"/>
  <c r="Q133" i="7"/>
  <c r="V133" i="7"/>
  <c r="R133" i="7"/>
  <c r="X133" i="7"/>
  <c r="P134" i="7"/>
  <c r="O135" i="7"/>
  <c r="P134" i="3" l="1"/>
  <c r="S134" i="3" s="1"/>
  <c r="P134" i="13"/>
  <c r="S134" i="13" s="1"/>
  <c r="N139" i="1"/>
  <c r="Q133" i="3"/>
  <c r="Q133" i="13"/>
  <c r="O134" i="3"/>
  <c r="O134" i="13"/>
  <c r="O138" i="1"/>
  <c r="M139" i="1"/>
  <c r="T138" i="1"/>
  <c r="V137" i="1"/>
  <c r="W139" i="1"/>
  <c r="Y138" i="1"/>
  <c r="B134" i="13"/>
  <c r="AF134" i="13" s="1"/>
  <c r="C133" i="13"/>
  <c r="B135" i="3"/>
  <c r="AF135" i="3" s="1"/>
  <c r="C134" i="3"/>
  <c r="T133" i="13"/>
  <c r="R133" i="13"/>
  <c r="Z133" i="7"/>
  <c r="H134" i="7"/>
  <c r="Q141" i="1"/>
  <c r="S140" i="1"/>
  <c r="R133" i="3"/>
  <c r="T133" i="3"/>
  <c r="O136" i="7"/>
  <c r="P135" i="7"/>
  <c r="K133" i="7"/>
  <c r="Q134" i="7"/>
  <c r="W134" i="7"/>
  <c r="S134" i="7"/>
  <c r="R134" i="7"/>
  <c r="V134" i="7"/>
  <c r="X134" i="7"/>
  <c r="M134" i="7" s="1"/>
  <c r="M133" i="7"/>
  <c r="L133" i="7"/>
  <c r="Z134" i="7" l="1"/>
  <c r="H135" i="7"/>
  <c r="S141" i="1"/>
  <c r="Q142" i="1"/>
  <c r="Y139" i="1"/>
  <c r="W140" i="1"/>
  <c r="Q134" i="13"/>
  <c r="Q134" i="3"/>
  <c r="C134" i="13"/>
  <c r="B135" i="13"/>
  <c r="AF135" i="13" s="1"/>
  <c r="T134" i="13"/>
  <c r="R134" i="13"/>
  <c r="P135" i="3"/>
  <c r="S135" i="3" s="1"/>
  <c r="P135" i="13"/>
  <c r="S135" i="13" s="1"/>
  <c r="N140" i="1"/>
  <c r="B136" i="3"/>
  <c r="AF136" i="3" s="1"/>
  <c r="C135" i="3"/>
  <c r="V138" i="1"/>
  <c r="T139" i="1"/>
  <c r="R134" i="3"/>
  <c r="T134" i="3"/>
  <c r="O135" i="3"/>
  <c r="O135" i="13"/>
  <c r="M140" i="1"/>
  <c r="O139" i="1"/>
  <c r="K134" i="7"/>
  <c r="Q135" i="7"/>
  <c r="W135" i="7"/>
  <c r="S135" i="7"/>
  <c r="V135" i="7"/>
  <c r="R135" i="7"/>
  <c r="X135" i="7"/>
  <c r="L134" i="7"/>
  <c r="K135" i="7"/>
  <c r="P136" i="7"/>
  <c r="O137" i="7"/>
  <c r="Q135" i="13" l="1"/>
  <c r="Q135" i="3"/>
  <c r="B136" i="13"/>
  <c r="AF136" i="13" s="1"/>
  <c r="C135" i="13"/>
  <c r="R135" i="3"/>
  <c r="T135" i="3"/>
  <c r="P136" i="3"/>
  <c r="S136" i="3" s="1"/>
  <c r="P136" i="13"/>
  <c r="S136" i="13" s="1"/>
  <c r="N141" i="1"/>
  <c r="S142" i="1"/>
  <c r="Q143" i="1"/>
  <c r="O136" i="3"/>
  <c r="O136" i="13"/>
  <c r="O140" i="1"/>
  <c r="M141" i="1"/>
  <c r="B137" i="3"/>
  <c r="AF137" i="3" s="1"/>
  <c r="C136" i="3"/>
  <c r="Y140" i="1"/>
  <c r="W141" i="1"/>
  <c r="Z135" i="7"/>
  <c r="H136" i="7"/>
  <c r="R135" i="13"/>
  <c r="T135" i="13"/>
  <c r="T140" i="1"/>
  <c r="V139" i="1"/>
  <c r="M135" i="7"/>
  <c r="L135" i="7"/>
  <c r="O138" i="7"/>
  <c r="P137" i="7"/>
  <c r="Q136" i="7"/>
  <c r="W136" i="7"/>
  <c r="S136" i="7"/>
  <c r="R136" i="7"/>
  <c r="X136" i="7"/>
  <c r="V136" i="7"/>
  <c r="O137" i="3" l="1"/>
  <c r="O137" i="13"/>
  <c r="O141" i="1"/>
  <c r="M142" i="1"/>
  <c r="Q144" i="1"/>
  <c r="S143" i="1"/>
  <c r="B137" i="13"/>
  <c r="AF137" i="13" s="1"/>
  <c r="C136" i="13"/>
  <c r="Z136" i="7"/>
  <c r="H137" i="7"/>
  <c r="Q136" i="13"/>
  <c r="Q136" i="3"/>
  <c r="T141" i="1"/>
  <c r="V140" i="1"/>
  <c r="B138" i="3"/>
  <c r="AF138" i="3" s="1"/>
  <c r="C137" i="3"/>
  <c r="R136" i="13"/>
  <c r="T136" i="13"/>
  <c r="P137" i="3"/>
  <c r="S137" i="3" s="1"/>
  <c r="P137" i="13"/>
  <c r="S137" i="13" s="1"/>
  <c r="N142" i="1"/>
  <c r="W142" i="1"/>
  <c r="Y141" i="1"/>
  <c r="R136" i="3"/>
  <c r="T136" i="3"/>
  <c r="R137" i="7"/>
  <c r="W137" i="7"/>
  <c r="S137" i="7"/>
  <c r="Q137" i="7"/>
  <c r="X137" i="7"/>
  <c r="V137" i="7"/>
  <c r="L137" i="7"/>
  <c r="M136" i="7"/>
  <c r="M137" i="7"/>
  <c r="K136" i="7"/>
  <c r="P138" i="7"/>
  <c r="O139" i="7"/>
  <c r="L136" i="7"/>
  <c r="W143" i="1" l="1"/>
  <c r="Y142" i="1"/>
  <c r="B138" i="13"/>
  <c r="AF138" i="13" s="1"/>
  <c r="C137" i="13"/>
  <c r="O138" i="3"/>
  <c r="O138" i="13"/>
  <c r="O142" i="1"/>
  <c r="M143" i="1"/>
  <c r="P138" i="3"/>
  <c r="S138" i="3" s="1"/>
  <c r="P138" i="13"/>
  <c r="S138" i="13" s="1"/>
  <c r="N143" i="1"/>
  <c r="Z137" i="7"/>
  <c r="H138" i="7"/>
  <c r="Q137" i="3"/>
  <c r="Q137" i="13"/>
  <c r="T142" i="1"/>
  <c r="V141" i="1"/>
  <c r="T137" i="13"/>
  <c r="R137" i="13"/>
  <c r="B139" i="3"/>
  <c r="AF139" i="3" s="1"/>
  <c r="C138" i="3"/>
  <c r="Q145" i="1"/>
  <c r="S144" i="1"/>
  <c r="R137" i="3"/>
  <c r="T137" i="3"/>
  <c r="P139" i="7"/>
  <c r="O140" i="7"/>
  <c r="K137" i="7"/>
  <c r="X138" i="7"/>
  <c r="V138" i="7"/>
  <c r="Q138" i="7"/>
  <c r="R138" i="7"/>
  <c r="S138" i="7"/>
  <c r="W138" i="7"/>
  <c r="S145" i="1" l="1"/>
  <c r="Q146" i="1"/>
  <c r="P139" i="3"/>
  <c r="S139" i="3" s="1"/>
  <c r="P139" i="13"/>
  <c r="S139" i="13" s="1"/>
  <c r="N144" i="1"/>
  <c r="Q138" i="13"/>
  <c r="Q138" i="3"/>
  <c r="C138" i="13"/>
  <c r="B139" i="13"/>
  <c r="AF139" i="13" s="1"/>
  <c r="T138" i="13"/>
  <c r="R138" i="13"/>
  <c r="B140" i="3"/>
  <c r="AF140" i="3" s="1"/>
  <c r="C139" i="3"/>
  <c r="H139" i="7"/>
  <c r="Z138" i="7"/>
  <c r="R138" i="3"/>
  <c r="T138" i="3"/>
  <c r="V142" i="1"/>
  <c r="T143" i="1"/>
  <c r="O139" i="3"/>
  <c r="O139" i="13"/>
  <c r="M144" i="1"/>
  <c r="O143" i="1"/>
  <c r="W144" i="1"/>
  <c r="Y143" i="1"/>
  <c r="P140" i="7"/>
  <c r="O141" i="7"/>
  <c r="Q139" i="7"/>
  <c r="W139" i="7"/>
  <c r="S139" i="7"/>
  <c r="V139" i="7"/>
  <c r="R139" i="7"/>
  <c r="X139" i="7"/>
  <c r="M139" i="7" s="1"/>
  <c r="M138" i="7"/>
  <c r="L138" i="7"/>
  <c r="K139" i="7"/>
  <c r="K138" i="7"/>
  <c r="O140" i="3" l="1"/>
  <c r="O140" i="13"/>
  <c r="O144" i="1"/>
  <c r="M145" i="1"/>
  <c r="Z139" i="7"/>
  <c r="H140" i="7"/>
  <c r="R139" i="13"/>
  <c r="T139" i="13"/>
  <c r="Y144" i="1"/>
  <c r="W145" i="1"/>
  <c r="R139" i="3"/>
  <c r="T139" i="3"/>
  <c r="B141" i="3"/>
  <c r="AF141" i="3" s="1"/>
  <c r="C140" i="3"/>
  <c r="B140" i="13"/>
  <c r="AF140" i="13" s="1"/>
  <c r="C139" i="13"/>
  <c r="S146" i="1"/>
  <c r="Q147" i="1"/>
  <c r="Q139" i="13"/>
  <c r="Q139" i="3"/>
  <c r="T144" i="1"/>
  <c r="V143" i="1"/>
  <c r="P140" i="3"/>
  <c r="S140" i="3" s="1"/>
  <c r="P140" i="13"/>
  <c r="S140" i="13" s="1"/>
  <c r="N145" i="1"/>
  <c r="Q140" i="7"/>
  <c r="W140" i="7"/>
  <c r="X140" i="7"/>
  <c r="R140" i="7"/>
  <c r="V140" i="7"/>
  <c r="S140" i="7"/>
  <c r="L139" i="7"/>
  <c r="P141" i="7"/>
  <c r="O142" i="7"/>
  <c r="Q148" i="1" l="1"/>
  <c r="S147" i="1"/>
  <c r="O141" i="3"/>
  <c r="O141" i="13"/>
  <c r="M146" i="1"/>
  <c r="O145" i="1"/>
  <c r="P141" i="3"/>
  <c r="S141" i="3" s="1"/>
  <c r="P141" i="13"/>
  <c r="S141" i="13" s="1"/>
  <c r="N146" i="1"/>
  <c r="T145" i="1"/>
  <c r="V144" i="1"/>
  <c r="Q140" i="13"/>
  <c r="Q140" i="3"/>
  <c r="B142" i="3"/>
  <c r="AF142" i="3" s="1"/>
  <c r="C141" i="3"/>
  <c r="W146" i="1"/>
  <c r="Y145" i="1"/>
  <c r="Z140" i="7"/>
  <c r="H141" i="7"/>
  <c r="R140" i="13"/>
  <c r="T140" i="13"/>
  <c r="B141" i="13"/>
  <c r="AF141" i="13" s="1"/>
  <c r="C140" i="13"/>
  <c r="R140" i="3"/>
  <c r="T140" i="3"/>
  <c r="K140" i="7"/>
  <c r="P142" i="7"/>
  <c r="O143" i="7"/>
  <c r="M140" i="7"/>
  <c r="S141" i="7"/>
  <c r="W141" i="7"/>
  <c r="L141" i="7" s="1"/>
  <c r="Q141" i="7"/>
  <c r="V141" i="7"/>
  <c r="R141" i="7"/>
  <c r="X141" i="7"/>
  <c r="L140" i="7"/>
  <c r="B142" i="13" l="1"/>
  <c r="AF142" i="13" s="1"/>
  <c r="C141" i="13"/>
  <c r="Z141" i="7"/>
  <c r="H142" i="7"/>
  <c r="T141" i="13"/>
  <c r="R141" i="13"/>
  <c r="B143" i="3"/>
  <c r="AF143" i="3" s="1"/>
  <c r="C142" i="3"/>
  <c r="R141" i="3"/>
  <c r="T141" i="3"/>
  <c r="T146" i="1"/>
  <c r="V145" i="1"/>
  <c r="Q141" i="3"/>
  <c r="Q141" i="13"/>
  <c r="W147" i="1"/>
  <c r="Y146" i="1"/>
  <c r="P142" i="3"/>
  <c r="S142" i="3" s="1"/>
  <c r="P142" i="13"/>
  <c r="S142" i="13" s="1"/>
  <c r="N147" i="1"/>
  <c r="O142" i="3"/>
  <c r="O142" i="13"/>
  <c r="O146" i="1"/>
  <c r="M147" i="1"/>
  <c r="Q149" i="1"/>
  <c r="S148" i="1"/>
  <c r="K141" i="7"/>
  <c r="P143" i="7"/>
  <c r="O144" i="7"/>
  <c r="M141" i="7"/>
  <c r="V142" i="7"/>
  <c r="S142" i="7"/>
  <c r="X142" i="7"/>
  <c r="R142" i="7"/>
  <c r="Q142" i="7"/>
  <c r="W142" i="7"/>
  <c r="Q142" i="13" l="1"/>
  <c r="Q142" i="3"/>
  <c r="T142" i="13"/>
  <c r="R142" i="13"/>
  <c r="Q150" i="1"/>
  <c r="S149" i="1"/>
  <c r="R142" i="3"/>
  <c r="T142" i="3"/>
  <c r="C142" i="13"/>
  <c r="B143" i="13"/>
  <c r="AF143" i="13" s="1"/>
  <c r="O143" i="3"/>
  <c r="O143" i="13"/>
  <c r="O147" i="1"/>
  <c r="M148" i="1"/>
  <c r="P143" i="3"/>
  <c r="S143" i="3" s="1"/>
  <c r="P143" i="13"/>
  <c r="S143" i="13" s="1"/>
  <c r="N148" i="1"/>
  <c r="Y147" i="1"/>
  <c r="W148" i="1"/>
  <c r="V146" i="1"/>
  <c r="T147" i="1"/>
  <c r="B144" i="3"/>
  <c r="AF144" i="3" s="1"/>
  <c r="C143" i="3"/>
  <c r="Z142" i="7"/>
  <c r="H143" i="7"/>
  <c r="P144" i="7"/>
  <c r="O145" i="7"/>
  <c r="K142" i="7"/>
  <c r="M142" i="7"/>
  <c r="Q143" i="7"/>
  <c r="W143" i="7"/>
  <c r="L143" i="7" s="1"/>
  <c r="V143" i="7"/>
  <c r="K143" i="7" s="1"/>
  <c r="X143" i="7"/>
  <c r="R143" i="7"/>
  <c r="S143" i="7"/>
  <c r="M143" i="7"/>
  <c r="L142" i="7"/>
  <c r="B145" i="3" l="1"/>
  <c r="AF145" i="3" s="1"/>
  <c r="C144" i="3"/>
  <c r="Y148" i="1"/>
  <c r="W149" i="1"/>
  <c r="R143" i="3"/>
  <c r="T143" i="3"/>
  <c r="Z143" i="7"/>
  <c r="H144" i="7"/>
  <c r="O144" i="3"/>
  <c r="O144" i="13"/>
  <c r="O148" i="1"/>
  <c r="M149" i="1"/>
  <c r="B144" i="13"/>
  <c r="AF144" i="13" s="1"/>
  <c r="C143" i="13"/>
  <c r="T148" i="1"/>
  <c r="V147" i="1"/>
  <c r="P144" i="3"/>
  <c r="S144" i="3" s="1"/>
  <c r="P144" i="13"/>
  <c r="S144" i="13" s="1"/>
  <c r="N149" i="1"/>
  <c r="Q143" i="13"/>
  <c r="Q143" i="3"/>
  <c r="R143" i="13"/>
  <c r="T143" i="13"/>
  <c r="S150" i="1"/>
  <c r="Q151" i="1"/>
  <c r="Q144" i="7"/>
  <c r="W144" i="7"/>
  <c r="X144" i="7"/>
  <c r="R144" i="7"/>
  <c r="V144" i="7"/>
  <c r="S144" i="7"/>
  <c r="O146" i="7"/>
  <c r="P145" i="7"/>
  <c r="Q144" i="13" l="1"/>
  <c r="Q144" i="3"/>
  <c r="S151" i="1"/>
  <c r="Q152" i="1"/>
  <c r="B145" i="13"/>
  <c r="AF145" i="13" s="1"/>
  <c r="C144" i="13"/>
  <c r="R144" i="13"/>
  <c r="T144" i="13"/>
  <c r="R144" i="3"/>
  <c r="T144" i="3"/>
  <c r="B146" i="3"/>
  <c r="AF146" i="3" s="1"/>
  <c r="C145" i="3"/>
  <c r="P145" i="3"/>
  <c r="S145" i="3" s="1"/>
  <c r="P145" i="13"/>
  <c r="S145" i="13" s="1"/>
  <c r="N150" i="1"/>
  <c r="T149" i="1"/>
  <c r="V148" i="1"/>
  <c r="O145" i="3"/>
  <c r="O145" i="13"/>
  <c r="O149" i="1"/>
  <c r="M150" i="1"/>
  <c r="Z144" i="7"/>
  <c r="H145" i="7"/>
  <c r="W150" i="1"/>
  <c r="Y149" i="1"/>
  <c r="P146" i="7"/>
  <c r="O147" i="7"/>
  <c r="X145" i="7"/>
  <c r="M145" i="7" s="1"/>
  <c r="R145" i="7"/>
  <c r="W145" i="7"/>
  <c r="L145" i="7" s="1"/>
  <c r="S145" i="7"/>
  <c r="Q145" i="7"/>
  <c r="V145" i="7"/>
  <c r="L144" i="7"/>
  <c r="K144" i="7"/>
  <c r="K145" i="7"/>
  <c r="M144" i="7"/>
  <c r="R145" i="3" l="1"/>
  <c r="T145" i="3"/>
  <c r="Q153" i="1"/>
  <c r="S152" i="1"/>
  <c r="O146" i="3"/>
  <c r="O146" i="13"/>
  <c r="O150" i="1"/>
  <c r="M151" i="1"/>
  <c r="W151" i="1"/>
  <c r="Y150" i="1"/>
  <c r="Q145" i="3"/>
  <c r="Q145" i="13"/>
  <c r="T150" i="1"/>
  <c r="V149" i="1"/>
  <c r="B146" i="13"/>
  <c r="AF146" i="13" s="1"/>
  <c r="C145" i="13"/>
  <c r="Z145" i="7"/>
  <c r="H146" i="7"/>
  <c r="T145" i="13"/>
  <c r="R145" i="13"/>
  <c r="P146" i="3"/>
  <c r="S146" i="3" s="1"/>
  <c r="P146" i="13"/>
  <c r="S146" i="13" s="1"/>
  <c r="N151" i="1"/>
  <c r="B147" i="3"/>
  <c r="AF147" i="3" s="1"/>
  <c r="C146" i="3"/>
  <c r="O148" i="7"/>
  <c r="P147" i="7"/>
  <c r="Q146" i="7"/>
  <c r="W146" i="7"/>
  <c r="X146" i="7"/>
  <c r="R146" i="7"/>
  <c r="S146" i="7"/>
  <c r="V146" i="7"/>
  <c r="P147" i="3" l="1"/>
  <c r="S147" i="3" s="1"/>
  <c r="P147" i="13"/>
  <c r="S147" i="13" s="1"/>
  <c r="N152" i="1"/>
  <c r="C146" i="13"/>
  <c r="B147" i="13"/>
  <c r="AF147" i="13" s="1"/>
  <c r="O147" i="3"/>
  <c r="O147" i="13"/>
  <c r="M152" i="1"/>
  <c r="O151" i="1"/>
  <c r="H147" i="7"/>
  <c r="Z146" i="7"/>
  <c r="Q146" i="13"/>
  <c r="Q146" i="3"/>
  <c r="Q154" i="1"/>
  <c r="S153" i="1"/>
  <c r="B148" i="3"/>
  <c r="AF148" i="3" s="1"/>
  <c r="C147" i="3"/>
  <c r="T146" i="13"/>
  <c r="R146" i="13"/>
  <c r="V150" i="1"/>
  <c r="T151" i="1"/>
  <c r="W152" i="1"/>
  <c r="Y151" i="1"/>
  <c r="R146" i="3"/>
  <c r="T146" i="3"/>
  <c r="S147" i="7"/>
  <c r="W147" i="7"/>
  <c r="V147" i="7"/>
  <c r="K147" i="7" s="1"/>
  <c r="X147" i="7"/>
  <c r="R147" i="7"/>
  <c r="Q147" i="7"/>
  <c r="M146" i="7"/>
  <c r="M147" i="7"/>
  <c r="K146" i="7"/>
  <c r="L147" i="7"/>
  <c r="L146" i="7"/>
  <c r="P148" i="7"/>
  <c r="O149" i="7"/>
  <c r="Y152" i="1" l="1"/>
  <c r="W153" i="1"/>
  <c r="R147" i="13"/>
  <c r="T147" i="13"/>
  <c r="T152" i="1"/>
  <c r="V151" i="1"/>
  <c r="S154" i="1"/>
  <c r="Q155" i="1"/>
  <c r="Z147" i="7"/>
  <c r="H148" i="7"/>
  <c r="R147" i="3"/>
  <c r="T147" i="3"/>
  <c r="P148" i="3"/>
  <c r="S148" i="3" s="1"/>
  <c r="P148" i="13"/>
  <c r="S148" i="13" s="1"/>
  <c r="N153" i="1"/>
  <c r="B149" i="3"/>
  <c r="AF149" i="3" s="1"/>
  <c r="C148" i="3"/>
  <c r="Q147" i="13"/>
  <c r="Q147" i="3"/>
  <c r="B148" i="13"/>
  <c r="AF148" i="13" s="1"/>
  <c r="C147" i="13"/>
  <c r="O148" i="3"/>
  <c r="O148" i="13"/>
  <c r="O152" i="1"/>
  <c r="M153" i="1"/>
  <c r="Q148" i="7"/>
  <c r="W148" i="7"/>
  <c r="X148" i="7"/>
  <c r="R148" i="7"/>
  <c r="V148" i="7"/>
  <c r="S148" i="7"/>
  <c r="O150" i="7"/>
  <c r="P149" i="7"/>
  <c r="R148" i="3" l="1"/>
  <c r="T148" i="3"/>
  <c r="Q156" i="1"/>
  <c r="S155" i="1"/>
  <c r="O149" i="3"/>
  <c r="O149" i="13"/>
  <c r="M154" i="1"/>
  <c r="O153" i="1"/>
  <c r="P149" i="3"/>
  <c r="S149" i="3" s="1"/>
  <c r="N154" i="1"/>
  <c r="P149" i="13"/>
  <c r="S149" i="13" s="1"/>
  <c r="Q148" i="13"/>
  <c r="Q148" i="3"/>
  <c r="B149" i="13"/>
  <c r="AF149" i="13" s="1"/>
  <c r="C148" i="13"/>
  <c r="Z148" i="7"/>
  <c r="H149" i="7"/>
  <c r="W154" i="1"/>
  <c r="Y153" i="1"/>
  <c r="R148" i="13"/>
  <c r="T148" i="13"/>
  <c r="B150" i="3"/>
  <c r="AF150" i="3" s="1"/>
  <c r="C149" i="3"/>
  <c r="T153" i="1"/>
  <c r="V152" i="1"/>
  <c r="P150" i="7"/>
  <c r="O151" i="7"/>
  <c r="M148" i="7"/>
  <c r="L148" i="7"/>
  <c r="V149" i="7"/>
  <c r="K149" i="7" s="1"/>
  <c r="R149" i="7"/>
  <c r="W149" i="7"/>
  <c r="S149" i="7"/>
  <c r="X149" i="7"/>
  <c r="Q149" i="7"/>
  <c r="K148" i="7"/>
  <c r="B151" i="3" l="1"/>
  <c r="AF151" i="3" s="1"/>
  <c r="C150" i="3"/>
  <c r="Q149" i="3"/>
  <c r="Q149" i="13"/>
  <c r="W155" i="1"/>
  <c r="Y154" i="1"/>
  <c r="B150" i="13"/>
  <c r="AF150" i="13" s="1"/>
  <c r="C149" i="13"/>
  <c r="O150" i="3"/>
  <c r="O150" i="13"/>
  <c r="O154" i="1"/>
  <c r="M155" i="1"/>
  <c r="Q157" i="1"/>
  <c r="S156" i="1"/>
  <c r="T154" i="1"/>
  <c r="V153" i="1"/>
  <c r="Z149" i="7"/>
  <c r="H150" i="7"/>
  <c r="P150" i="3"/>
  <c r="S150" i="3" s="1"/>
  <c r="P150" i="13"/>
  <c r="S150" i="13" s="1"/>
  <c r="N155" i="1"/>
  <c r="T149" i="13"/>
  <c r="R149" i="13"/>
  <c r="R149" i="3"/>
  <c r="T149" i="3"/>
  <c r="M149" i="7"/>
  <c r="P151" i="7"/>
  <c r="O152" i="7"/>
  <c r="L149" i="7"/>
  <c r="X150" i="7"/>
  <c r="M150" i="7" s="1"/>
  <c r="V150" i="7"/>
  <c r="S150" i="7"/>
  <c r="R150" i="7"/>
  <c r="Q150" i="7"/>
  <c r="W150" i="7"/>
  <c r="L150" i="7"/>
  <c r="Z150" i="7" l="1"/>
  <c r="H151" i="7"/>
  <c r="T150" i="13"/>
  <c r="R150" i="13"/>
  <c r="P151" i="3"/>
  <c r="S151" i="3" s="1"/>
  <c r="P151" i="13"/>
  <c r="S151" i="13" s="1"/>
  <c r="N156" i="1"/>
  <c r="S157" i="1"/>
  <c r="Q158" i="1"/>
  <c r="R150" i="3"/>
  <c r="T150" i="3"/>
  <c r="O151" i="3"/>
  <c r="O151" i="13"/>
  <c r="M156" i="1"/>
  <c r="O155" i="1"/>
  <c r="Y155" i="1"/>
  <c r="W156" i="1"/>
  <c r="B152" i="3"/>
  <c r="AF152" i="3" s="1"/>
  <c r="C151" i="3"/>
  <c r="V154" i="1"/>
  <c r="T155" i="1"/>
  <c r="Q150" i="13"/>
  <c r="Q150" i="3"/>
  <c r="C150" i="13"/>
  <c r="B151" i="13"/>
  <c r="AF151" i="13" s="1"/>
  <c r="P152" i="7"/>
  <c r="O153" i="7"/>
  <c r="Q151" i="7"/>
  <c r="W151" i="7"/>
  <c r="S151" i="7"/>
  <c r="V151" i="7"/>
  <c r="R151" i="7"/>
  <c r="X151" i="7"/>
  <c r="K150" i="7"/>
  <c r="B152" i="13" l="1"/>
  <c r="AF152" i="13" s="1"/>
  <c r="C151" i="13"/>
  <c r="B153" i="3"/>
  <c r="AF153" i="3" s="1"/>
  <c r="C152" i="3"/>
  <c r="Q151" i="13"/>
  <c r="Q151" i="3"/>
  <c r="P152" i="3"/>
  <c r="S152" i="3" s="1"/>
  <c r="P152" i="13"/>
  <c r="S152" i="13" s="1"/>
  <c r="N157" i="1"/>
  <c r="R151" i="3"/>
  <c r="T151" i="3"/>
  <c r="T156" i="1"/>
  <c r="V155" i="1"/>
  <c r="O152" i="3"/>
  <c r="O152" i="13"/>
  <c r="O156" i="1"/>
  <c r="M157" i="1"/>
  <c r="Z151" i="7"/>
  <c r="H152" i="7"/>
  <c r="Y156" i="1"/>
  <c r="W157" i="1"/>
  <c r="R151" i="13"/>
  <c r="T151" i="13"/>
  <c r="S158" i="1"/>
  <c r="Q159" i="1"/>
  <c r="O154" i="7"/>
  <c r="P153" i="7"/>
  <c r="M151" i="7"/>
  <c r="L151" i="7"/>
  <c r="Q152" i="7"/>
  <c r="W152" i="7"/>
  <c r="S152" i="7"/>
  <c r="R152" i="7"/>
  <c r="X152" i="7"/>
  <c r="V152" i="7"/>
  <c r="K151" i="7"/>
  <c r="R152" i="3" l="1"/>
  <c r="T152" i="3"/>
  <c r="Q160" i="1"/>
  <c r="S159" i="1"/>
  <c r="W158" i="1"/>
  <c r="Y157" i="1"/>
  <c r="O153" i="3"/>
  <c r="O153" i="13"/>
  <c r="O157" i="1"/>
  <c r="M158" i="1"/>
  <c r="P153" i="13"/>
  <c r="S153" i="13" s="1"/>
  <c r="P153" i="3"/>
  <c r="S153" i="3" s="1"/>
  <c r="N158" i="1"/>
  <c r="Q152" i="13"/>
  <c r="Q152" i="3"/>
  <c r="T157" i="1"/>
  <c r="V156" i="1"/>
  <c r="B153" i="13"/>
  <c r="AF153" i="13" s="1"/>
  <c r="C152" i="13"/>
  <c r="Z152" i="7"/>
  <c r="H153" i="7"/>
  <c r="R152" i="13"/>
  <c r="T152" i="13"/>
  <c r="B154" i="3"/>
  <c r="AF154" i="3" s="1"/>
  <c r="C153" i="3"/>
  <c r="M152" i="7"/>
  <c r="S153" i="7"/>
  <c r="W153" i="7"/>
  <c r="Q153" i="7"/>
  <c r="V153" i="7"/>
  <c r="R153" i="7"/>
  <c r="X153" i="7"/>
  <c r="K152" i="7"/>
  <c r="P154" i="7"/>
  <c r="O155" i="7"/>
  <c r="L153" i="7"/>
  <c r="L152" i="7"/>
  <c r="T158" i="1" l="1"/>
  <c r="V157" i="1"/>
  <c r="T153" i="13"/>
  <c r="R153" i="13"/>
  <c r="B154" i="13"/>
  <c r="AF154" i="13" s="1"/>
  <c r="C153" i="13"/>
  <c r="R153" i="3"/>
  <c r="T153" i="3"/>
  <c r="Q161" i="1"/>
  <c r="S160" i="1"/>
  <c r="B155" i="3"/>
  <c r="AF155" i="3" s="1"/>
  <c r="C154" i="3"/>
  <c r="Z153" i="7"/>
  <c r="H154" i="7"/>
  <c r="O154" i="3"/>
  <c r="O154" i="13"/>
  <c r="O158" i="1"/>
  <c r="M159" i="1"/>
  <c r="P154" i="3"/>
  <c r="S154" i="3" s="1"/>
  <c r="P154" i="13"/>
  <c r="S154" i="13" s="1"/>
  <c r="N159" i="1"/>
  <c r="Q153" i="3"/>
  <c r="Q153" i="13"/>
  <c r="W159" i="1"/>
  <c r="Y158" i="1"/>
  <c r="P155" i="7"/>
  <c r="O156" i="7"/>
  <c r="M153" i="7"/>
  <c r="X154" i="7"/>
  <c r="V154" i="7"/>
  <c r="Q154" i="7"/>
  <c r="R154" i="7"/>
  <c r="S154" i="7"/>
  <c r="W154" i="7"/>
  <c r="K153" i="7"/>
  <c r="O155" i="3" l="1"/>
  <c r="O155" i="13"/>
  <c r="M160" i="1"/>
  <c r="O159" i="1"/>
  <c r="H155" i="7"/>
  <c r="Z154" i="7"/>
  <c r="P155" i="3"/>
  <c r="S155" i="3" s="1"/>
  <c r="P155" i="13"/>
  <c r="S155" i="13" s="1"/>
  <c r="N160" i="1"/>
  <c r="Q154" i="13"/>
  <c r="Q154" i="3"/>
  <c r="W160" i="1"/>
  <c r="Y159" i="1"/>
  <c r="T154" i="13"/>
  <c r="R154" i="13"/>
  <c r="S161" i="1"/>
  <c r="Q162" i="1"/>
  <c r="C154" i="13"/>
  <c r="B155" i="13"/>
  <c r="AF155" i="13" s="1"/>
  <c r="R154" i="3"/>
  <c r="T154" i="3"/>
  <c r="B156" i="3"/>
  <c r="AF156" i="3" s="1"/>
  <c r="C155" i="3"/>
  <c r="V158" i="1"/>
  <c r="T159" i="1"/>
  <c r="K154" i="7"/>
  <c r="P156" i="7"/>
  <c r="O157" i="7"/>
  <c r="M154" i="7"/>
  <c r="Q155" i="7"/>
  <c r="W155" i="7"/>
  <c r="S155" i="7"/>
  <c r="V155" i="7"/>
  <c r="R155" i="7"/>
  <c r="X155" i="7"/>
  <c r="L154" i="7"/>
  <c r="B157" i="3" l="1"/>
  <c r="AF157" i="3" s="1"/>
  <c r="C156" i="3"/>
  <c r="B156" i="13"/>
  <c r="AF156" i="13" s="1"/>
  <c r="C155" i="13"/>
  <c r="Y160" i="1"/>
  <c r="W161" i="1"/>
  <c r="Q155" i="13"/>
  <c r="Q155" i="3"/>
  <c r="T160" i="1"/>
  <c r="V159" i="1"/>
  <c r="O156" i="3"/>
  <c r="O156" i="13"/>
  <c r="O160" i="1"/>
  <c r="M161" i="1"/>
  <c r="R155" i="13"/>
  <c r="T155" i="13"/>
  <c r="S162" i="1"/>
  <c r="Q163" i="1"/>
  <c r="P156" i="3"/>
  <c r="S156" i="3" s="1"/>
  <c r="P156" i="13"/>
  <c r="S156" i="13" s="1"/>
  <c r="N161" i="1"/>
  <c r="Z155" i="7"/>
  <c r="H156" i="7"/>
  <c r="R155" i="3"/>
  <c r="T155" i="3"/>
  <c r="K155" i="7"/>
  <c r="M155" i="7"/>
  <c r="L155" i="7"/>
  <c r="O158" i="7"/>
  <c r="P157" i="7"/>
  <c r="V156" i="7"/>
  <c r="S156" i="7"/>
  <c r="X156" i="7"/>
  <c r="Q156" i="7"/>
  <c r="W156" i="7"/>
  <c r="R156" i="7"/>
  <c r="Q164" i="1" l="1"/>
  <c r="S163" i="1"/>
  <c r="O157" i="3"/>
  <c r="O157" i="13"/>
  <c r="M162" i="1"/>
  <c r="O161" i="1"/>
  <c r="W162" i="1"/>
  <c r="Y161" i="1"/>
  <c r="P157" i="3"/>
  <c r="S157" i="3" s="1"/>
  <c r="P157" i="13"/>
  <c r="S157" i="13" s="1"/>
  <c r="N162" i="1"/>
  <c r="Q156" i="13"/>
  <c r="Q156" i="3"/>
  <c r="T161" i="1"/>
  <c r="V160" i="1"/>
  <c r="R156" i="13"/>
  <c r="T156" i="13"/>
  <c r="B158" i="3"/>
  <c r="AF158" i="3" s="1"/>
  <c r="C157" i="3"/>
  <c r="Z156" i="7"/>
  <c r="H157" i="7"/>
  <c r="R156" i="3"/>
  <c r="T156" i="3"/>
  <c r="B157" i="13"/>
  <c r="AF157" i="13" s="1"/>
  <c r="C156" i="13"/>
  <c r="K156" i="7"/>
  <c r="L156" i="7"/>
  <c r="V157" i="7"/>
  <c r="K157" i="7" s="1"/>
  <c r="R157" i="7"/>
  <c r="W157" i="7"/>
  <c r="S157" i="7"/>
  <c r="X157" i="7"/>
  <c r="Q157" i="7"/>
  <c r="M156" i="7"/>
  <c r="P158" i="7"/>
  <c r="O159" i="7"/>
  <c r="T157" i="13" l="1"/>
  <c r="R157" i="13"/>
  <c r="B159" i="3"/>
  <c r="AF159" i="3" s="1"/>
  <c r="C158" i="3"/>
  <c r="P158" i="3"/>
  <c r="S158" i="3" s="1"/>
  <c r="P158" i="13"/>
  <c r="S158" i="13" s="1"/>
  <c r="N163" i="1"/>
  <c r="W163" i="1"/>
  <c r="Y162" i="1"/>
  <c r="R157" i="3"/>
  <c r="T157" i="3"/>
  <c r="B158" i="13"/>
  <c r="AF158" i="13" s="1"/>
  <c r="C157" i="13"/>
  <c r="Z157" i="7"/>
  <c r="H158" i="7"/>
  <c r="T162" i="1"/>
  <c r="V161" i="1"/>
  <c r="Q157" i="3"/>
  <c r="Q157" i="13"/>
  <c r="O158" i="3"/>
  <c r="O158" i="13"/>
  <c r="O162" i="1"/>
  <c r="M163" i="1"/>
  <c r="Q165" i="1"/>
  <c r="S164" i="1"/>
  <c r="Q158" i="7"/>
  <c r="W158" i="7"/>
  <c r="X158" i="7"/>
  <c r="R158" i="7"/>
  <c r="S158" i="7"/>
  <c r="V158" i="7"/>
  <c r="M157" i="7"/>
  <c r="O160" i="7"/>
  <c r="P159" i="7"/>
  <c r="L158" i="7"/>
  <c r="M158" i="7"/>
  <c r="L157" i="7"/>
  <c r="T158" i="13" l="1"/>
  <c r="R158" i="13"/>
  <c r="Q166" i="1"/>
  <c r="S165" i="1"/>
  <c r="R158" i="3"/>
  <c r="T158" i="3"/>
  <c r="V162" i="1"/>
  <c r="T163" i="1"/>
  <c r="C158" i="13"/>
  <c r="B159" i="13"/>
  <c r="AF159" i="13" s="1"/>
  <c r="Q158" i="13"/>
  <c r="Q158" i="3"/>
  <c r="P159" i="13"/>
  <c r="S159" i="13" s="1"/>
  <c r="P159" i="3"/>
  <c r="S159" i="3" s="1"/>
  <c r="N164" i="1"/>
  <c r="B160" i="3"/>
  <c r="AF160" i="3" s="1"/>
  <c r="C159" i="3"/>
  <c r="O159" i="3"/>
  <c r="O159" i="13"/>
  <c r="O163" i="1"/>
  <c r="M164" i="1"/>
  <c r="Z158" i="7"/>
  <c r="H159" i="7"/>
  <c r="Y163" i="1"/>
  <c r="W164" i="1"/>
  <c r="Q159" i="7"/>
  <c r="W159" i="7"/>
  <c r="V159" i="7"/>
  <c r="K159" i="7" s="1"/>
  <c r="X159" i="7"/>
  <c r="R159" i="7"/>
  <c r="S159" i="7"/>
  <c r="K158" i="7"/>
  <c r="P160" i="7"/>
  <c r="O161" i="7"/>
  <c r="R159" i="3" l="1"/>
  <c r="T159" i="3"/>
  <c r="P160" i="3"/>
  <c r="S160" i="3" s="1"/>
  <c r="P160" i="13"/>
  <c r="S160" i="13" s="1"/>
  <c r="N165" i="1"/>
  <c r="T164" i="1"/>
  <c r="V163" i="1"/>
  <c r="Y164" i="1"/>
  <c r="W165" i="1"/>
  <c r="O160" i="3"/>
  <c r="O160" i="13"/>
  <c r="O164" i="1"/>
  <c r="M165" i="1"/>
  <c r="B160" i="13"/>
  <c r="AF160" i="13" s="1"/>
  <c r="C159" i="13"/>
  <c r="S166" i="1"/>
  <c r="Q167" i="1"/>
  <c r="Q159" i="13"/>
  <c r="Q159" i="3"/>
  <c r="B161" i="3"/>
  <c r="AF161" i="3" s="1"/>
  <c r="C160" i="3"/>
  <c r="Z159" i="7"/>
  <c r="H160" i="7"/>
  <c r="R159" i="13"/>
  <c r="T159" i="13"/>
  <c r="L159" i="7"/>
  <c r="O162" i="7"/>
  <c r="P161" i="7"/>
  <c r="Q160" i="7"/>
  <c r="W160" i="7"/>
  <c r="X160" i="7"/>
  <c r="R160" i="7"/>
  <c r="V160" i="7"/>
  <c r="S160" i="7"/>
  <c r="M159" i="7"/>
  <c r="M160" i="7"/>
  <c r="Q160" i="13" l="1"/>
  <c r="Q160" i="3"/>
  <c r="B161" i="13"/>
  <c r="AF161" i="13" s="1"/>
  <c r="C160" i="13"/>
  <c r="R160" i="13"/>
  <c r="T160" i="13"/>
  <c r="B162" i="3"/>
  <c r="AF162" i="3" s="1"/>
  <c r="C161" i="3"/>
  <c r="S167" i="1"/>
  <c r="Q168" i="1"/>
  <c r="R160" i="3"/>
  <c r="T160" i="3"/>
  <c r="T165" i="1"/>
  <c r="V164" i="1"/>
  <c r="Z160" i="7"/>
  <c r="H161" i="7"/>
  <c r="O161" i="3"/>
  <c r="O161" i="13"/>
  <c r="O165" i="1"/>
  <c r="M166" i="1"/>
  <c r="W166" i="1"/>
  <c r="Y165" i="1"/>
  <c r="P161" i="3"/>
  <c r="S161" i="3" s="1"/>
  <c r="P161" i="13"/>
  <c r="S161" i="13" s="1"/>
  <c r="N166" i="1"/>
  <c r="K160" i="7"/>
  <c r="S161" i="7"/>
  <c r="W161" i="7"/>
  <c r="V161" i="7"/>
  <c r="X161" i="7"/>
  <c r="R161" i="7"/>
  <c r="Q161" i="7"/>
  <c r="L160" i="7"/>
  <c r="K161" i="7"/>
  <c r="P162" i="7"/>
  <c r="O163" i="7"/>
  <c r="T161" i="13" l="1"/>
  <c r="R161" i="13"/>
  <c r="Q169" i="1"/>
  <c r="S168" i="1"/>
  <c r="B162" i="13"/>
  <c r="AF162" i="13" s="1"/>
  <c r="C161" i="13"/>
  <c r="P162" i="3"/>
  <c r="S162" i="3" s="1"/>
  <c r="P162" i="13"/>
  <c r="S162" i="13" s="1"/>
  <c r="N167" i="1"/>
  <c r="W167" i="1"/>
  <c r="Y166" i="1"/>
  <c r="R161" i="3"/>
  <c r="T161" i="3"/>
  <c r="T166" i="1"/>
  <c r="V165" i="1"/>
  <c r="O162" i="3"/>
  <c r="O162" i="13"/>
  <c r="O166" i="1"/>
  <c r="M167" i="1"/>
  <c r="Z161" i="7"/>
  <c r="H162" i="7"/>
  <c r="Q161" i="3"/>
  <c r="Q161" i="13"/>
  <c r="B163" i="3"/>
  <c r="AF163" i="3" s="1"/>
  <c r="C162" i="3"/>
  <c r="O164" i="7"/>
  <c r="P163" i="7"/>
  <c r="L161" i="7"/>
  <c r="Q162" i="7"/>
  <c r="W162" i="7"/>
  <c r="X162" i="7"/>
  <c r="R162" i="7"/>
  <c r="S162" i="7"/>
  <c r="V162" i="7"/>
  <c r="M161" i="7"/>
  <c r="O163" i="3" l="1"/>
  <c r="M168" i="1"/>
  <c r="O167" i="1"/>
  <c r="O163" i="13"/>
  <c r="Q162" i="13"/>
  <c r="Q162" i="3"/>
  <c r="V166" i="1"/>
  <c r="T167" i="1"/>
  <c r="W168" i="1"/>
  <c r="Y167" i="1"/>
  <c r="Q170" i="1"/>
  <c r="S169" i="1"/>
  <c r="B164" i="3"/>
  <c r="AF164" i="3" s="1"/>
  <c r="C163" i="3"/>
  <c r="H163" i="7"/>
  <c r="Z162" i="7"/>
  <c r="T162" i="13"/>
  <c r="R162" i="13"/>
  <c r="P163" i="3"/>
  <c r="S163" i="3" s="1"/>
  <c r="P163" i="13"/>
  <c r="S163" i="13" s="1"/>
  <c r="N168" i="1"/>
  <c r="C162" i="13"/>
  <c r="B163" i="13"/>
  <c r="AF163" i="13" s="1"/>
  <c r="R162" i="3"/>
  <c r="T162" i="3"/>
  <c r="M162" i="7"/>
  <c r="S163" i="7"/>
  <c r="W163" i="7"/>
  <c r="L163" i="7" s="1"/>
  <c r="V163" i="7"/>
  <c r="K163" i="7" s="1"/>
  <c r="X163" i="7"/>
  <c r="R163" i="7"/>
  <c r="Q163" i="7"/>
  <c r="P164" i="7"/>
  <c r="O165" i="7"/>
  <c r="K162" i="7"/>
  <c r="L162" i="7"/>
  <c r="Z163" i="7" l="1"/>
  <c r="H164" i="7"/>
  <c r="T168" i="1"/>
  <c r="V167" i="1"/>
  <c r="R163" i="13"/>
  <c r="T163" i="13"/>
  <c r="S170" i="1"/>
  <c r="Q171" i="1"/>
  <c r="Q163" i="13"/>
  <c r="Q163" i="3"/>
  <c r="P164" i="3"/>
  <c r="S164" i="3" s="1"/>
  <c r="P164" i="13"/>
  <c r="S164" i="13" s="1"/>
  <c r="N169" i="1"/>
  <c r="B165" i="3"/>
  <c r="AF165" i="3" s="1"/>
  <c r="C164" i="3"/>
  <c r="O164" i="3"/>
  <c r="O164" i="13"/>
  <c r="O168" i="1"/>
  <c r="M169" i="1"/>
  <c r="B164" i="13"/>
  <c r="AF164" i="13" s="1"/>
  <c r="C163" i="13"/>
  <c r="Y168" i="1"/>
  <c r="W169" i="1"/>
  <c r="R163" i="3"/>
  <c r="T163" i="3"/>
  <c r="O166" i="7"/>
  <c r="P165" i="7"/>
  <c r="M163" i="7"/>
  <c r="Q164" i="7"/>
  <c r="W164" i="7"/>
  <c r="X164" i="7"/>
  <c r="R164" i="7"/>
  <c r="V164" i="7"/>
  <c r="S164" i="7"/>
  <c r="Q164" i="13" l="1"/>
  <c r="Q164" i="3"/>
  <c r="T169" i="1"/>
  <c r="V168" i="1"/>
  <c r="O165" i="3"/>
  <c r="O165" i="13"/>
  <c r="M170" i="1"/>
  <c r="O169" i="1"/>
  <c r="Q172" i="1"/>
  <c r="S171" i="1"/>
  <c r="B166" i="3"/>
  <c r="AF166" i="3" s="1"/>
  <c r="C165" i="3"/>
  <c r="R164" i="13"/>
  <c r="T164" i="13"/>
  <c r="Z164" i="7"/>
  <c r="H165" i="7"/>
  <c r="B165" i="13"/>
  <c r="AF165" i="13" s="1"/>
  <c r="C164" i="13"/>
  <c r="W170" i="1"/>
  <c r="Y169" i="1"/>
  <c r="R164" i="3"/>
  <c r="T164" i="3"/>
  <c r="P165" i="3"/>
  <c r="S165" i="3" s="1"/>
  <c r="P165" i="13"/>
  <c r="S165" i="13" s="1"/>
  <c r="N170" i="1"/>
  <c r="K164" i="7"/>
  <c r="S165" i="7"/>
  <c r="W165" i="7"/>
  <c r="L165" i="7" s="1"/>
  <c r="Q165" i="7"/>
  <c r="V165" i="7"/>
  <c r="R165" i="7"/>
  <c r="X165" i="7"/>
  <c r="M165" i="7" s="1"/>
  <c r="P166" i="7"/>
  <c r="O167" i="7"/>
  <c r="M164" i="7"/>
  <c r="L164" i="7"/>
  <c r="B167" i="3" l="1"/>
  <c r="AF167" i="3" s="1"/>
  <c r="C166" i="3"/>
  <c r="P166" i="3"/>
  <c r="S166" i="3" s="1"/>
  <c r="P166" i="13"/>
  <c r="S166" i="13" s="1"/>
  <c r="N171" i="1"/>
  <c r="B166" i="13"/>
  <c r="AF166" i="13" s="1"/>
  <c r="C165" i="13"/>
  <c r="O166" i="3"/>
  <c r="O166" i="13"/>
  <c r="O170" i="1"/>
  <c r="M171" i="1"/>
  <c r="T170" i="1"/>
  <c r="V169" i="1"/>
  <c r="T165" i="13"/>
  <c r="R165" i="13"/>
  <c r="Q165" i="3"/>
  <c r="Q165" i="13"/>
  <c r="W171" i="1"/>
  <c r="Y170" i="1"/>
  <c r="Z165" i="7"/>
  <c r="H166" i="7"/>
  <c r="Q173" i="1"/>
  <c r="S172" i="1"/>
  <c r="R165" i="3"/>
  <c r="T165" i="3"/>
  <c r="P167" i="7"/>
  <c r="O168" i="7"/>
  <c r="X166" i="7"/>
  <c r="V166" i="7"/>
  <c r="S166" i="7"/>
  <c r="R166" i="7"/>
  <c r="Q166" i="7"/>
  <c r="W166" i="7"/>
  <c r="K165" i="7"/>
  <c r="S173" i="1" l="1"/>
  <c r="Q174" i="1"/>
  <c r="Y171" i="1"/>
  <c r="W172" i="1"/>
  <c r="Q166" i="13"/>
  <c r="Q166" i="3"/>
  <c r="C166" i="13"/>
  <c r="B167" i="13"/>
  <c r="AF167" i="13" s="1"/>
  <c r="Z166" i="7"/>
  <c r="H167" i="7"/>
  <c r="T166" i="13"/>
  <c r="R166" i="13"/>
  <c r="V170" i="1"/>
  <c r="T171" i="1"/>
  <c r="R166" i="3"/>
  <c r="T166" i="3"/>
  <c r="P167" i="13"/>
  <c r="S167" i="13" s="1"/>
  <c r="P167" i="3"/>
  <c r="S167" i="3" s="1"/>
  <c r="N172" i="1"/>
  <c r="B168" i="3"/>
  <c r="AF168" i="3" s="1"/>
  <c r="C167" i="3"/>
  <c r="O167" i="3"/>
  <c r="O167" i="13"/>
  <c r="M172" i="1"/>
  <c r="O171" i="1"/>
  <c r="L166" i="7"/>
  <c r="M166" i="7"/>
  <c r="P168" i="7"/>
  <c r="O169" i="7"/>
  <c r="K166" i="7"/>
  <c r="V167" i="7"/>
  <c r="Q167" i="7"/>
  <c r="W167" i="7"/>
  <c r="R167" i="7"/>
  <c r="S167" i="7"/>
  <c r="X167" i="7"/>
  <c r="R167" i="3" l="1"/>
  <c r="T167" i="3"/>
  <c r="P168" i="3"/>
  <c r="S168" i="3" s="1"/>
  <c r="P168" i="13"/>
  <c r="S168" i="13" s="1"/>
  <c r="N173" i="1"/>
  <c r="Y172" i="1"/>
  <c r="W173" i="1"/>
  <c r="Q167" i="13"/>
  <c r="Q167" i="3"/>
  <c r="T172" i="1"/>
  <c r="V171" i="1"/>
  <c r="Z167" i="7"/>
  <c r="H168" i="7"/>
  <c r="O168" i="3"/>
  <c r="O168" i="13"/>
  <c r="O172" i="1"/>
  <c r="M173" i="1"/>
  <c r="B169" i="3"/>
  <c r="AF169" i="3" s="1"/>
  <c r="C168" i="3"/>
  <c r="S174" i="1"/>
  <c r="Q175" i="1"/>
  <c r="R167" i="13"/>
  <c r="T167" i="13"/>
  <c r="B168" i="13"/>
  <c r="AF168" i="13" s="1"/>
  <c r="C167" i="13"/>
  <c r="R168" i="7"/>
  <c r="Q168" i="7"/>
  <c r="X168" i="7"/>
  <c r="M168" i="7" s="1"/>
  <c r="W168" i="7"/>
  <c r="V168" i="7"/>
  <c r="S168" i="7"/>
  <c r="K167" i="7"/>
  <c r="M167" i="7"/>
  <c r="L167" i="7"/>
  <c r="K168" i="7"/>
  <c r="L168" i="7"/>
  <c r="P169" i="7"/>
  <c r="O170" i="7"/>
  <c r="Q168" i="13" l="1"/>
  <c r="Q168" i="3"/>
  <c r="B170" i="3"/>
  <c r="AF170" i="3" s="1"/>
  <c r="C169" i="3"/>
  <c r="R168" i="13"/>
  <c r="T168" i="13"/>
  <c r="W174" i="1"/>
  <c r="Y173" i="1"/>
  <c r="B169" i="13"/>
  <c r="AF169" i="13" s="1"/>
  <c r="C168" i="13"/>
  <c r="Q176" i="1"/>
  <c r="S175" i="1"/>
  <c r="R168" i="3"/>
  <c r="T168" i="3"/>
  <c r="T173" i="1"/>
  <c r="V172" i="1"/>
  <c r="O169" i="3"/>
  <c r="O169" i="13"/>
  <c r="O173" i="1"/>
  <c r="M174" i="1"/>
  <c r="Z168" i="7"/>
  <c r="H169" i="7"/>
  <c r="P169" i="3"/>
  <c r="S169" i="3" s="1"/>
  <c r="P169" i="13"/>
  <c r="S169" i="13" s="1"/>
  <c r="N174" i="1"/>
  <c r="P170" i="7"/>
  <c r="O171" i="7"/>
  <c r="Q169" i="7"/>
  <c r="W169" i="7"/>
  <c r="V169" i="7"/>
  <c r="X169" i="7"/>
  <c r="S169" i="7"/>
  <c r="R169" i="7"/>
  <c r="Z169" i="7" l="1"/>
  <c r="H170" i="7"/>
  <c r="T169" i="13"/>
  <c r="R169" i="13"/>
  <c r="W175" i="1"/>
  <c r="Y174" i="1"/>
  <c r="B171" i="3"/>
  <c r="AF171" i="3" s="1"/>
  <c r="C170" i="3"/>
  <c r="P170" i="3"/>
  <c r="S170" i="3" s="1"/>
  <c r="P170" i="13"/>
  <c r="S170" i="13" s="1"/>
  <c r="N175" i="1"/>
  <c r="R169" i="3"/>
  <c r="T169" i="3"/>
  <c r="B170" i="13"/>
  <c r="AF170" i="13" s="1"/>
  <c r="C169" i="13"/>
  <c r="O170" i="3"/>
  <c r="O170" i="13"/>
  <c r="O174" i="1"/>
  <c r="M175" i="1"/>
  <c r="Q169" i="3"/>
  <c r="Q169" i="13"/>
  <c r="T174" i="1"/>
  <c r="V173" i="1"/>
  <c r="Q177" i="1"/>
  <c r="S176" i="1"/>
  <c r="K169" i="7"/>
  <c r="L169" i="7"/>
  <c r="O172" i="7"/>
  <c r="P171" i="7"/>
  <c r="R170" i="7"/>
  <c r="W170" i="7"/>
  <c r="S170" i="7"/>
  <c r="Q170" i="7"/>
  <c r="V170" i="7"/>
  <c r="X170" i="7"/>
  <c r="M170" i="7" s="1"/>
  <c r="M169" i="7"/>
  <c r="V174" i="1" l="1"/>
  <c r="T175" i="1"/>
  <c r="Q170" i="13"/>
  <c r="Q170" i="3"/>
  <c r="C170" i="13"/>
  <c r="B171" i="13"/>
  <c r="AF171" i="13" s="1"/>
  <c r="P171" i="3"/>
  <c r="S171" i="3" s="1"/>
  <c r="P171" i="13"/>
  <c r="S171" i="13" s="1"/>
  <c r="N176" i="1"/>
  <c r="B172" i="3"/>
  <c r="AF172" i="3" s="1"/>
  <c r="C171" i="3"/>
  <c r="T170" i="13"/>
  <c r="R170" i="13"/>
  <c r="S177" i="1"/>
  <c r="Q178" i="1"/>
  <c r="R170" i="3"/>
  <c r="T170" i="3"/>
  <c r="H171" i="7"/>
  <c r="Z170" i="7"/>
  <c r="O171" i="3"/>
  <c r="O171" i="13"/>
  <c r="M176" i="1"/>
  <c r="O175" i="1"/>
  <c r="W176" i="1"/>
  <c r="Y175" i="1"/>
  <c r="O173" i="7"/>
  <c r="P172" i="7"/>
  <c r="K170" i="7"/>
  <c r="R171" i="7"/>
  <c r="W171" i="7"/>
  <c r="S171" i="7"/>
  <c r="V171" i="7"/>
  <c r="Q171" i="7"/>
  <c r="X171" i="7"/>
  <c r="L170" i="7"/>
  <c r="O172" i="3" l="1"/>
  <c r="O172" i="13"/>
  <c r="O176" i="1"/>
  <c r="M177" i="1"/>
  <c r="Z171" i="7"/>
  <c r="H172" i="7"/>
  <c r="C172" i="3"/>
  <c r="B173" i="3"/>
  <c r="AF173" i="3" s="1"/>
  <c r="R171" i="13"/>
  <c r="T171" i="13"/>
  <c r="B172" i="13"/>
  <c r="AF172" i="13" s="1"/>
  <c r="C171" i="13"/>
  <c r="Y176" i="1"/>
  <c r="W177" i="1"/>
  <c r="R171" i="3"/>
  <c r="T171" i="3"/>
  <c r="P172" i="3"/>
  <c r="S172" i="3" s="1"/>
  <c r="P172" i="13"/>
  <c r="S172" i="13" s="1"/>
  <c r="N177" i="1"/>
  <c r="T176" i="1"/>
  <c r="V175" i="1"/>
  <c r="Q171" i="13"/>
  <c r="Q171" i="3"/>
  <c r="S178" i="1"/>
  <c r="Q179" i="1"/>
  <c r="X172" i="7"/>
  <c r="V172" i="7"/>
  <c r="Q172" i="7"/>
  <c r="S172" i="7"/>
  <c r="W172" i="7"/>
  <c r="L172" i="7" s="1"/>
  <c r="R172" i="7"/>
  <c r="K172" i="7"/>
  <c r="O174" i="7"/>
  <c r="P173" i="7"/>
  <c r="L171" i="7"/>
  <c r="M171" i="7"/>
  <c r="M172" i="7"/>
  <c r="K171" i="7"/>
  <c r="W178" i="1" l="1"/>
  <c r="Y177" i="1"/>
  <c r="Q180" i="1"/>
  <c r="S179" i="1"/>
  <c r="Q172" i="13"/>
  <c r="Q172" i="3"/>
  <c r="O173" i="3"/>
  <c r="O173" i="13"/>
  <c r="M178" i="1"/>
  <c r="O177" i="1"/>
  <c r="T177" i="1"/>
  <c r="V176" i="1"/>
  <c r="Z172" i="7"/>
  <c r="H173" i="7"/>
  <c r="R172" i="13"/>
  <c r="T172" i="13"/>
  <c r="P173" i="3"/>
  <c r="S173" i="3" s="1"/>
  <c r="P173" i="13"/>
  <c r="S173" i="13" s="1"/>
  <c r="N178" i="1"/>
  <c r="B173" i="13"/>
  <c r="AF173" i="13" s="1"/>
  <c r="C172" i="13"/>
  <c r="B174" i="3"/>
  <c r="AF174" i="3" s="1"/>
  <c r="C173" i="3"/>
  <c r="R172" i="3"/>
  <c r="T172" i="3"/>
  <c r="X173" i="7"/>
  <c r="S173" i="7"/>
  <c r="W173" i="7"/>
  <c r="L173" i="7" s="1"/>
  <c r="Q173" i="7"/>
  <c r="R173" i="7"/>
  <c r="V173" i="7"/>
  <c r="P174" i="7"/>
  <c r="O175" i="7"/>
  <c r="B175" i="3" l="1"/>
  <c r="AF175" i="3" s="1"/>
  <c r="C174" i="3"/>
  <c r="T173" i="13"/>
  <c r="R173" i="13"/>
  <c r="P174" i="3"/>
  <c r="S174" i="3" s="1"/>
  <c r="P174" i="13"/>
  <c r="S174" i="13" s="1"/>
  <c r="N179" i="1"/>
  <c r="T178" i="1"/>
  <c r="V177" i="1"/>
  <c r="R173" i="3"/>
  <c r="T173" i="3"/>
  <c r="Q181" i="1"/>
  <c r="S180" i="1"/>
  <c r="Z173" i="7"/>
  <c r="H174" i="7"/>
  <c r="Q173" i="3"/>
  <c r="Q173" i="13"/>
  <c r="B174" i="13"/>
  <c r="AF174" i="13" s="1"/>
  <c r="C173" i="13"/>
  <c r="O174" i="3"/>
  <c r="O174" i="13"/>
  <c r="O178" i="1"/>
  <c r="M179" i="1"/>
  <c r="W179" i="1"/>
  <c r="Y178" i="1"/>
  <c r="K173" i="7"/>
  <c r="O176" i="7"/>
  <c r="P175" i="7"/>
  <c r="M173" i="7"/>
  <c r="R174" i="7"/>
  <c r="W174" i="7"/>
  <c r="S174" i="7"/>
  <c r="Q174" i="7"/>
  <c r="V174" i="7"/>
  <c r="X174" i="7"/>
  <c r="Q174" i="13" l="1"/>
  <c r="Q174" i="3"/>
  <c r="C174" i="13"/>
  <c r="B175" i="13"/>
  <c r="AF175" i="13" s="1"/>
  <c r="Z174" i="7"/>
  <c r="H175" i="7"/>
  <c r="P175" i="13"/>
  <c r="S175" i="13" s="1"/>
  <c r="P175" i="3"/>
  <c r="S175" i="3" s="1"/>
  <c r="N180" i="1"/>
  <c r="T174" i="13"/>
  <c r="R174" i="13"/>
  <c r="Y179" i="1"/>
  <c r="W180" i="1"/>
  <c r="R174" i="3"/>
  <c r="T174" i="3"/>
  <c r="B176" i="3"/>
  <c r="AF176" i="3" s="1"/>
  <c r="C175" i="3"/>
  <c r="O175" i="3"/>
  <c r="O175" i="13"/>
  <c r="O179" i="1"/>
  <c r="M180" i="1"/>
  <c r="Q182" i="1"/>
  <c r="S181" i="1"/>
  <c r="V178" i="1"/>
  <c r="T179" i="1"/>
  <c r="P176" i="7"/>
  <c r="O177" i="7"/>
  <c r="L174" i="7"/>
  <c r="K174" i="7"/>
  <c r="M174" i="7"/>
  <c r="V175" i="7"/>
  <c r="Q175" i="7"/>
  <c r="W175" i="7"/>
  <c r="R175" i="7"/>
  <c r="S175" i="7"/>
  <c r="X175" i="7"/>
  <c r="S182" i="1" l="1"/>
  <c r="Q183" i="1"/>
  <c r="R175" i="3"/>
  <c r="T175" i="3"/>
  <c r="T180" i="1"/>
  <c r="V179" i="1"/>
  <c r="O176" i="3"/>
  <c r="O176" i="13"/>
  <c r="O180" i="1"/>
  <c r="M181" i="1"/>
  <c r="Z175" i="7"/>
  <c r="H176" i="7"/>
  <c r="Q175" i="13"/>
  <c r="Q175" i="3"/>
  <c r="B177" i="3"/>
  <c r="AF177" i="3" s="1"/>
  <c r="C176" i="3"/>
  <c r="Y180" i="1"/>
  <c r="W181" i="1"/>
  <c r="P176" i="3"/>
  <c r="S176" i="3" s="1"/>
  <c r="P176" i="13"/>
  <c r="S176" i="13" s="1"/>
  <c r="N181" i="1"/>
  <c r="R175" i="13"/>
  <c r="T175" i="13"/>
  <c r="B176" i="13"/>
  <c r="AF176" i="13" s="1"/>
  <c r="C175" i="13"/>
  <c r="P177" i="7"/>
  <c r="O178" i="7"/>
  <c r="S176" i="7"/>
  <c r="W176" i="7"/>
  <c r="Q176" i="7"/>
  <c r="R176" i="7"/>
  <c r="X176" i="7"/>
  <c r="V176" i="7"/>
  <c r="L175" i="7"/>
  <c r="M175" i="7"/>
  <c r="K175" i="7"/>
  <c r="B178" i="3" l="1"/>
  <c r="AF178" i="3" s="1"/>
  <c r="C177" i="3"/>
  <c r="Z176" i="7"/>
  <c r="H177" i="7"/>
  <c r="R176" i="13"/>
  <c r="T176" i="13"/>
  <c r="W182" i="1"/>
  <c r="Y181" i="1"/>
  <c r="R176" i="3"/>
  <c r="T176" i="3"/>
  <c r="B177" i="13"/>
  <c r="AF177" i="13" s="1"/>
  <c r="C176" i="13"/>
  <c r="P177" i="13"/>
  <c r="S177" i="13" s="1"/>
  <c r="P177" i="3"/>
  <c r="S177" i="3" s="1"/>
  <c r="N182" i="1"/>
  <c r="O177" i="3"/>
  <c r="O177" i="13"/>
  <c r="O181" i="1"/>
  <c r="M182" i="1"/>
  <c r="S183" i="1"/>
  <c r="Q184" i="1"/>
  <c r="Q176" i="13"/>
  <c r="Q176" i="3"/>
  <c r="T181" i="1"/>
  <c r="V180" i="1"/>
  <c r="K176" i="7"/>
  <c r="M176" i="7"/>
  <c r="O179" i="7"/>
  <c r="P178" i="7"/>
  <c r="X177" i="7"/>
  <c r="S177" i="7"/>
  <c r="W177" i="7"/>
  <c r="Q177" i="7"/>
  <c r="R177" i="7"/>
  <c r="V177" i="7"/>
  <c r="K177" i="7" s="1"/>
  <c r="L176" i="7"/>
  <c r="Q185" i="1" l="1"/>
  <c r="S184" i="1"/>
  <c r="T177" i="13"/>
  <c r="R177" i="13"/>
  <c r="Q177" i="3"/>
  <c r="Q177" i="13"/>
  <c r="W183" i="1"/>
  <c r="Y182" i="1"/>
  <c r="T182" i="1"/>
  <c r="V181" i="1"/>
  <c r="R177" i="3"/>
  <c r="T177" i="3"/>
  <c r="B179" i="3"/>
  <c r="AF179" i="3" s="1"/>
  <c r="C178" i="3"/>
  <c r="O178" i="3"/>
  <c r="O178" i="13"/>
  <c r="O182" i="1"/>
  <c r="M183" i="1"/>
  <c r="P178" i="3"/>
  <c r="S178" i="3" s="1"/>
  <c r="P178" i="13"/>
  <c r="S178" i="13" s="1"/>
  <c r="N183" i="1"/>
  <c r="B178" i="13"/>
  <c r="AF178" i="13" s="1"/>
  <c r="C177" i="13"/>
  <c r="Z177" i="7"/>
  <c r="H178" i="7"/>
  <c r="L177" i="7"/>
  <c r="X178" i="7"/>
  <c r="V178" i="7"/>
  <c r="S178" i="7"/>
  <c r="Q178" i="7"/>
  <c r="R178" i="7"/>
  <c r="W178" i="7"/>
  <c r="M177" i="7"/>
  <c r="P179" i="7"/>
  <c r="O180" i="7"/>
  <c r="B179" i="13" l="1"/>
  <c r="AF179" i="13" s="1"/>
  <c r="C178" i="13"/>
  <c r="R178" i="3"/>
  <c r="T178" i="3"/>
  <c r="H179" i="7"/>
  <c r="Z178" i="7"/>
  <c r="O179" i="3"/>
  <c r="O179" i="13"/>
  <c r="M184" i="1"/>
  <c r="O183" i="1"/>
  <c r="W184" i="1"/>
  <c r="Y183" i="1"/>
  <c r="P179" i="3"/>
  <c r="S179" i="3" s="1"/>
  <c r="P179" i="13"/>
  <c r="S179" i="13" s="1"/>
  <c r="N184" i="1"/>
  <c r="Q178" i="13"/>
  <c r="Q178" i="3"/>
  <c r="B180" i="3"/>
  <c r="AF180" i="3" s="1"/>
  <c r="C179" i="3"/>
  <c r="T178" i="13"/>
  <c r="R178" i="13"/>
  <c r="V182" i="1"/>
  <c r="T183" i="1"/>
  <c r="Q186" i="1"/>
  <c r="S185" i="1"/>
  <c r="L178" i="7"/>
  <c r="O181" i="7"/>
  <c r="P180" i="7"/>
  <c r="K178" i="7"/>
  <c r="M178" i="7"/>
  <c r="R179" i="7"/>
  <c r="W179" i="7"/>
  <c r="S179" i="7"/>
  <c r="V179" i="7"/>
  <c r="Q179" i="7"/>
  <c r="X179" i="7"/>
  <c r="B181" i="3" l="1"/>
  <c r="AF181" i="3" s="1"/>
  <c r="C180" i="3"/>
  <c r="P180" i="3"/>
  <c r="S180" i="3" s="1"/>
  <c r="P180" i="13"/>
  <c r="S180" i="13" s="1"/>
  <c r="N185" i="1"/>
  <c r="Y184" i="1"/>
  <c r="W185" i="1"/>
  <c r="R179" i="3"/>
  <c r="T179" i="3"/>
  <c r="Q179" i="13"/>
  <c r="Q179" i="3"/>
  <c r="S186" i="1"/>
  <c r="Q187" i="1"/>
  <c r="O180" i="3"/>
  <c r="O180" i="13"/>
  <c r="O184" i="1"/>
  <c r="M185" i="1"/>
  <c r="Z179" i="7"/>
  <c r="H180" i="7"/>
  <c r="B180" i="13"/>
  <c r="AF180" i="13" s="1"/>
  <c r="C179" i="13"/>
  <c r="T184" i="1"/>
  <c r="V183" i="1"/>
  <c r="R179" i="13"/>
  <c r="T179" i="13"/>
  <c r="M179" i="7"/>
  <c r="L179" i="7"/>
  <c r="X180" i="7"/>
  <c r="V180" i="7"/>
  <c r="Q180" i="7"/>
  <c r="S180" i="7"/>
  <c r="W180" i="7"/>
  <c r="R180" i="7"/>
  <c r="P181" i="7"/>
  <c r="O182" i="7"/>
  <c r="K179" i="7"/>
  <c r="T185" i="1" l="1"/>
  <c r="V184" i="1"/>
  <c r="H181" i="7"/>
  <c r="Z180" i="7"/>
  <c r="R180" i="13"/>
  <c r="T180" i="13"/>
  <c r="W186" i="1"/>
  <c r="Y185" i="1"/>
  <c r="R180" i="3"/>
  <c r="T180" i="3"/>
  <c r="B181" i="13"/>
  <c r="AF181" i="13" s="1"/>
  <c r="C180" i="13"/>
  <c r="O181" i="3"/>
  <c r="O181" i="13"/>
  <c r="M186" i="1"/>
  <c r="O185" i="1"/>
  <c r="Q188" i="1"/>
  <c r="S187" i="1"/>
  <c r="P181" i="3"/>
  <c r="S181" i="3" s="1"/>
  <c r="N186" i="1"/>
  <c r="P181" i="13"/>
  <c r="S181" i="13" s="1"/>
  <c r="B182" i="3"/>
  <c r="AF182" i="3" s="1"/>
  <c r="C181" i="3"/>
  <c r="Q180" i="13"/>
  <c r="Q180" i="3"/>
  <c r="X181" i="7"/>
  <c r="S181" i="7"/>
  <c r="W181" i="7"/>
  <c r="Q181" i="7"/>
  <c r="R181" i="7"/>
  <c r="V181" i="7"/>
  <c r="K181" i="7" s="1"/>
  <c r="L181" i="7"/>
  <c r="K180" i="7"/>
  <c r="M181" i="7"/>
  <c r="P182" i="7"/>
  <c r="O183" i="7"/>
  <c r="L180" i="7"/>
  <c r="M180" i="7"/>
  <c r="B183" i="3" l="1"/>
  <c r="AF183" i="3" s="1"/>
  <c r="C182" i="3"/>
  <c r="O182" i="3"/>
  <c r="O182" i="13"/>
  <c r="O186" i="1"/>
  <c r="M187" i="1"/>
  <c r="B182" i="13"/>
  <c r="AF182" i="13" s="1"/>
  <c r="C181" i="13"/>
  <c r="T181" i="13"/>
  <c r="R181" i="13"/>
  <c r="W187" i="1"/>
  <c r="Y186" i="1"/>
  <c r="Z181" i="7"/>
  <c r="H182" i="7"/>
  <c r="Q189" i="1"/>
  <c r="S188" i="1"/>
  <c r="R181" i="3"/>
  <c r="T181" i="3"/>
  <c r="P182" i="3"/>
  <c r="S182" i="3" s="1"/>
  <c r="P182" i="13"/>
  <c r="S182" i="13" s="1"/>
  <c r="N187" i="1"/>
  <c r="Q181" i="3"/>
  <c r="Q181" i="13"/>
  <c r="T186" i="1"/>
  <c r="V185" i="1"/>
  <c r="R182" i="7"/>
  <c r="W182" i="7"/>
  <c r="S182" i="7"/>
  <c r="Q182" i="7"/>
  <c r="V182" i="7"/>
  <c r="K182" i="7" s="1"/>
  <c r="X182" i="7"/>
  <c r="O184" i="7"/>
  <c r="P183" i="7"/>
  <c r="H183" i="7" l="1"/>
  <c r="Z182" i="7"/>
  <c r="R182" i="3"/>
  <c r="T182" i="3"/>
  <c r="P183" i="13"/>
  <c r="S183" i="13" s="1"/>
  <c r="P183" i="3"/>
  <c r="S183" i="3" s="1"/>
  <c r="N188" i="1"/>
  <c r="O183" i="3"/>
  <c r="O183" i="13"/>
  <c r="M188" i="1"/>
  <c r="O187" i="1"/>
  <c r="V186" i="1"/>
  <c r="T187" i="1"/>
  <c r="Q182" i="13"/>
  <c r="Q182" i="3"/>
  <c r="B184" i="3"/>
  <c r="AF184" i="3" s="1"/>
  <c r="C183" i="3"/>
  <c r="S189" i="1"/>
  <c r="Q190" i="1"/>
  <c r="Y187" i="1"/>
  <c r="W188" i="1"/>
  <c r="B183" i="13"/>
  <c r="AF183" i="13" s="1"/>
  <c r="C182" i="13"/>
  <c r="T182" i="13"/>
  <c r="R182" i="13"/>
  <c r="M182" i="7"/>
  <c r="L182" i="7"/>
  <c r="R183" i="7"/>
  <c r="W183" i="7"/>
  <c r="S183" i="7"/>
  <c r="V183" i="7"/>
  <c r="Q183" i="7"/>
  <c r="X183" i="7"/>
  <c r="O185" i="7"/>
  <c r="P184" i="7"/>
  <c r="B184" i="13" l="1"/>
  <c r="AF184" i="13" s="1"/>
  <c r="C183" i="13"/>
  <c r="S190" i="1"/>
  <c r="Q191" i="1"/>
  <c r="R183" i="3"/>
  <c r="T183" i="3"/>
  <c r="B185" i="3"/>
  <c r="AF185" i="3" s="1"/>
  <c r="C184" i="3"/>
  <c r="Z183" i="7"/>
  <c r="H184" i="7"/>
  <c r="Q183" i="13"/>
  <c r="Q183" i="3"/>
  <c r="P184" i="3"/>
  <c r="S184" i="3" s="1"/>
  <c r="P184" i="13"/>
  <c r="S184" i="13" s="1"/>
  <c r="N189" i="1"/>
  <c r="T188" i="1"/>
  <c r="V187" i="1"/>
  <c r="R183" i="13"/>
  <c r="T183" i="13"/>
  <c r="Y188" i="1"/>
  <c r="W189" i="1"/>
  <c r="O184" i="3"/>
  <c r="O184" i="13"/>
  <c r="O188" i="1"/>
  <c r="M189" i="1"/>
  <c r="M183" i="7"/>
  <c r="P185" i="7"/>
  <c r="O186" i="7"/>
  <c r="S184" i="7"/>
  <c r="W184" i="7"/>
  <c r="Q184" i="7"/>
  <c r="R184" i="7"/>
  <c r="X184" i="7"/>
  <c r="M184" i="7" s="1"/>
  <c r="V184" i="7"/>
  <c r="K183" i="7"/>
  <c r="L183" i="7"/>
  <c r="R184" i="3" l="1"/>
  <c r="T184" i="3"/>
  <c r="H185" i="7"/>
  <c r="Z184" i="7"/>
  <c r="O185" i="3"/>
  <c r="O185" i="13"/>
  <c r="O189" i="1"/>
  <c r="M190" i="1"/>
  <c r="W190" i="1"/>
  <c r="Y189" i="1"/>
  <c r="Q184" i="13"/>
  <c r="Q184" i="3"/>
  <c r="T189" i="1"/>
  <c r="V188" i="1"/>
  <c r="B185" i="13"/>
  <c r="AF185" i="13" s="1"/>
  <c r="C184" i="13"/>
  <c r="T184" i="13"/>
  <c r="R184" i="13"/>
  <c r="P185" i="3"/>
  <c r="S185" i="3" s="1"/>
  <c r="P185" i="13"/>
  <c r="S185" i="13" s="1"/>
  <c r="N190" i="1"/>
  <c r="B186" i="3"/>
  <c r="AF186" i="3" s="1"/>
  <c r="C185" i="3"/>
  <c r="Q192" i="1"/>
  <c r="S191" i="1"/>
  <c r="P186" i="7"/>
  <c r="O187" i="7"/>
  <c r="K184" i="7"/>
  <c r="X185" i="7"/>
  <c r="S185" i="7"/>
  <c r="W185" i="7"/>
  <c r="L185" i="7" s="1"/>
  <c r="Q185" i="7"/>
  <c r="R185" i="7"/>
  <c r="V185" i="7"/>
  <c r="K185" i="7" s="1"/>
  <c r="L184" i="7"/>
  <c r="B187" i="3" l="1"/>
  <c r="AF187" i="3" s="1"/>
  <c r="C186" i="3"/>
  <c r="B186" i="13"/>
  <c r="AF186" i="13" s="1"/>
  <c r="C185" i="13"/>
  <c r="O186" i="3"/>
  <c r="O186" i="13"/>
  <c r="O190" i="1"/>
  <c r="M191" i="1"/>
  <c r="Q185" i="3"/>
  <c r="Q185" i="13"/>
  <c r="Z185" i="7"/>
  <c r="H186" i="7"/>
  <c r="Q193" i="1"/>
  <c r="S192" i="1"/>
  <c r="P186" i="3"/>
  <c r="S186" i="3" s="1"/>
  <c r="N191" i="1"/>
  <c r="P186" i="13"/>
  <c r="S186" i="13" s="1"/>
  <c r="R185" i="13"/>
  <c r="T185" i="13"/>
  <c r="T190" i="1"/>
  <c r="V189" i="1"/>
  <c r="W191" i="1"/>
  <c r="Y190" i="1"/>
  <c r="R185" i="3"/>
  <c r="T185" i="3"/>
  <c r="M185" i="7"/>
  <c r="O188" i="7"/>
  <c r="P187" i="7"/>
  <c r="AB161" i="7" s="1"/>
  <c r="R186" i="7"/>
  <c r="W186" i="7"/>
  <c r="X186" i="7"/>
  <c r="Q186" i="7"/>
  <c r="S186" i="7"/>
  <c r="V186" i="7"/>
  <c r="AB7" i="7"/>
  <c r="AC7" i="7"/>
  <c r="AG7" i="7" s="1"/>
  <c r="AB8" i="7"/>
  <c r="AC8" i="7"/>
  <c r="AG8" i="7" s="1"/>
  <c r="AB9" i="7"/>
  <c r="AC10" i="7"/>
  <c r="AG10" i="7" s="1"/>
  <c r="AC9" i="7"/>
  <c r="AG9" i="7" s="1"/>
  <c r="AC11" i="7"/>
  <c r="AG11" i="7" s="1"/>
  <c r="AB10" i="7"/>
  <c r="AB11" i="7"/>
  <c r="AC12" i="7"/>
  <c r="AG12" i="7" s="1"/>
  <c r="AB12" i="7"/>
  <c r="AC13" i="7"/>
  <c r="AG13" i="7" s="1"/>
  <c r="AB14" i="7"/>
  <c r="AC14" i="7"/>
  <c r="AG14" i="7" s="1"/>
  <c r="AB13" i="7"/>
  <c r="AB15" i="7"/>
  <c r="AC15" i="7"/>
  <c r="AG15" i="7" s="1"/>
  <c r="AB16" i="7"/>
  <c r="AC16" i="7"/>
  <c r="AG16" i="7" s="1"/>
  <c r="AC18" i="7"/>
  <c r="AG18" i="7" s="1"/>
  <c r="AB17" i="7"/>
  <c r="AC17" i="7"/>
  <c r="AG17" i="7" s="1"/>
  <c r="AB18" i="7"/>
  <c r="AC19" i="7"/>
  <c r="AG19" i="7" s="1"/>
  <c r="AB19" i="7"/>
  <c r="AB20" i="7"/>
  <c r="AC20" i="7"/>
  <c r="AG20" i="7" s="1"/>
  <c r="AC22" i="7"/>
  <c r="AG22" i="7" s="1"/>
  <c r="AC21" i="7"/>
  <c r="AG21" i="7" s="1"/>
  <c r="AB22" i="7"/>
  <c r="AB21" i="7"/>
  <c r="AC23" i="7"/>
  <c r="AG23" i="7" s="1"/>
  <c r="AB24" i="7"/>
  <c r="AB23" i="7"/>
  <c r="AC24" i="7"/>
  <c r="AG24" i="7" s="1"/>
  <c r="AC25" i="7"/>
  <c r="AG25" i="7" s="1"/>
  <c r="AB25" i="7"/>
  <c r="AC27" i="7"/>
  <c r="AG27" i="7" s="1"/>
  <c r="AC26" i="7"/>
  <c r="AG26" i="7" s="1"/>
  <c r="AB27" i="7"/>
  <c r="AB26" i="7"/>
  <c r="AB28" i="7"/>
  <c r="AC28" i="7"/>
  <c r="AG28" i="7" s="1"/>
  <c r="AC29" i="7"/>
  <c r="AG29" i="7" s="1"/>
  <c r="AB29" i="7"/>
  <c r="AB30" i="7"/>
  <c r="AC30" i="7"/>
  <c r="AG30" i="7" s="1"/>
  <c r="AC32" i="7"/>
  <c r="AG32" i="7" s="1"/>
  <c r="AB31" i="7"/>
  <c r="AC31" i="7"/>
  <c r="AG31" i="7" s="1"/>
  <c r="AB32" i="7"/>
  <c r="AB34" i="7"/>
  <c r="AB33" i="7"/>
  <c r="AC33" i="7"/>
  <c r="AG33" i="7" s="1"/>
  <c r="AC34" i="7"/>
  <c r="AG34" i="7" s="1"/>
  <c r="AB35" i="7"/>
  <c r="AB36" i="7"/>
  <c r="AC35" i="7"/>
  <c r="AG35" i="7" s="1"/>
  <c r="AC36" i="7"/>
  <c r="AG36" i="7" s="1"/>
  <c r="AC38" i="7"/>
  <c r="AG38" i="7" s="1"/>
  <c r="AB37" i="7"/>
  <c r="AC37" i="7"/>
  <c r="AG37" i="7" s="1"/>
  <c r="AB38" i="7"/>
  <c r="AC39" i="7"/>
  <c r="AG39" i="7" s="1"/>
  <c r="AB39" i="7"/>
  <c r="AC40" i="7"/>
  <c r="AG40" i="7" s="1"/>
  <c r="AB41" i="7"/>
  <c r="AC41" i="7"/>
  <c r="AG41" i="7" s="1"/>
  <c r="AB40" i="7"/>
  <c r="AC42" i="7"/>
  <c r="AG42" i="7" s="1"/>
  <c r="AB42" i="7"/>
  <c r="AB43" i="7"/>
  <c r="AC43" i="7"/>
  <c r="AG43" i="7" s="1"/>
  <c r="AB45" i="7"/>
  <c r="AB44" i="7"/>
  <c r="AC44" i="7"/>
  <c r="AG44" i="7" s="1"/>
  <c r="AC45" i="7"/>
  <c r="AG45" i="7" s="1"/>
  <c r="AC46" i="7"/>
  <c r="AG46" i="7" s="1"/>
  <c r="AB46" i="7"/>
  <c r="AB47" i="7"/>
  <c r="AC47" i="7"/>
  <c r="AG47" i="7" s="1"/>
  <c r="AC48" i="7"/>
  <c r="AG48" i="7" s="1"/>
  <c r="AB49" i="7"/>
  <c r="AB48" i="7"/>
  <c r="AC49" i="7"/>
  <c r="AG49" i="7" s="1"/>
  <c r="AB50" i="7"/>
  <c r="AC51" i="7"/>
  <c r="AG51" i="7" s="1"/>
  <c r="AC50" i="7"/>
  <c r="AG50" i="7" s="1"/>
  <c r="AB51" i="7"/>
  <c r="AB52" i="7"/>
  <c r="AC53" i="7"/>
  <c r="AG53" i="7" s="1"/>
  <c r="AC52" i="7"/>
  <c r="AG52" i="7" s="1"/>
  <c r="AB54" i="7"/>
  <c r="AC54" i="7"/>
  <c r="AG54" i="7" s="1"/>
  <c r="AB53" i="7"/>
  <c r="AB55" i="7"/>
  <c r="AC56" i="7"/>
  <c r="AG56" i="7" s="1"/>
  <c r="AC55" i="7"/>
  <c r="AG55" i="7" s="1"/>
  <c r="AB56" i="7"/>
  <c r="AB57" i="7"/>
  <c r="AC57" i="7"/>
  <c r="AG57" i="7" s="1"/>
  <c r="AC58" i="7"/>
  <c r="AG58" i="7" s="1"/>
  <c r="AB58" i="7"/>
  <c r="AB60" i="7"/>
  <c r="AB59" i="7"/>
  <c r="AC59" i="7"/>
  <c r="AG59" i="7" s="1"/>
  <c r="AC60" i="7"/>
  <c r="AG60" i="7" s="1"/>
  <c r="AC61" i="7"/>
  <c r="AG61" i="7" s="1"/>
  <c r="AB61" i="7"/>
  <c r="AC62" i="7"/>
  <c r="AG62" i="7" s="1"/>
  <c r="AC63" i="7"/>
  <c r="AG63" i="7" s="1"/>
  <c r="AB62" i="7"/>
  <c r="AB63" i="7"/>
  <c r="AB64" i="7"/>
  <c r="AC64" i="7"/>
  <c r="AG64" i="7" s="1"/>
  <c r="AC65" i="7"/>
  <c r="AG65" i="7" s="1"/>
  <c r="AB65" i="7"/>
  <c r="AB66" i="7"/>
  <c r="AB67" i="7"/>
  <c r="AC66" i="7"/>
  <c r="AG66" i="7" s="1"/>
  <c r="AC67" i="7"/>
  <c r="AG67" i="7" s="1"/>
  <c r="AB69" i="7"/>
  <c r="AC69" i="7"/>
  <c r="AG69" i="7" s="1"/>
  <c r="AB68" i="7"/>
  <c r="AC68" i="7"/>
  <c r="AG68" i="7" s="1"/>
  <c r="AB70" i="7"/>
  <c r="AC70" i="7"/>
  <c r="AG70" i="7" s="1"/>
  <c r="AC72" i="7"/>
  <c r="AG72" i="7" s="1"/>
  <c r="AC71" i="7"/>
  <c r="AG71" i="7" s="1"/>
  <c r="AB71" i="7"/>
  <c r="AB72" i="7"/>
  <c r="AB74" i="7"/>
  <c r="AC73" i="7"/>
  <c r="AG73" i="7" s="1"/>
  <c r="AB73" i="7"/>
  <c r="AC74" i="7"/>
  <c r="AG74" i="7" s="1"/>
  <c r="AC75" i="7"/>
  <c r="AG75" i="7" s="1"/>
  <c r="AB75" i="7"/>
  <c r="AC76" i="7"/>
  <c r="AG76" i="7" s="1"/>
  <c r="AB76" i="7"/>
  <c r="AC77" i="7"/>
  <c r="AG77" i="7" s="1"/>
  <c r="AB77" i="7"/>
  <c r="AB78" i="7"/>
  <c r="AC78" i="7"/>
  <c r="AG78" i="7" s="1"/>
  <c r="AB80" i="7"/>
  <c r="AB79" i="7"/>
  <c r="AC79" i="7"/>
  <c r="AG79" i="7" s="1"/>
  <c r="AC80" i="7"/>
  <c r="AG80" i="7" s="1"/>
  <c r="AC81" i="7"/>
  <c r="AG81" i="7" s="1"/>
  <c r="AB81" i="7"/>
  <c r="AB82" i="7"/>
  <c r="AC82" i="7"/>
  <c r="AG82" i="7" s="1"/>
  <c r="AC84" i="7"/>
  <c r="AG84" i="7" s="1"/>
  <c r="AB83" i="7"/>
  <c r="AC83" i="7"/>
  <c r="AG83" i="7" s="1"/>
  <c r="AB84" i="7"/>
  <c r="AB85" i="7"/>
  <c r="AC86" i="7"/>
  <c r="AG86" i="7" s="1"/>
  <c r="AC85" i="7"/>
  <c r="AG85" i="7" s="1"/>
  <c r="AB86" i="7"/>
  <c r="AB87" i="7"/>
  <c r="AC87" i="7"/>
  <c r="AG87" i="7" s="1"/>
  <c r="AC88" i="7"/>
  <c r="AG88" i="7" s="1"/>
  <c r="AB88" i="7"/>
  <c r="AB89" i="7"/>
  <c r="AC89" i="7"/>
  <c r="AG89" i="7" s="1"/>
  <c r="AB91" i="7"/>
  <c r="AB90" i="7"/>
  <c r="AC90" i="7"/>
  <c r="AG90" i="7" s="1"/>
  <c r="AC91" i="7"/>
  <c r="AG91" i="7" s="1"/>
  <c r="AC93" i="7"/>
  <c r="AG93" i="7" s="1"/>
  <c r="AB93" i="7"/>
  <c r="AC92" i="7"/>
  <c r="AG92" i="7" s="1"/>
  <c r="AB92" i="7"/>
  <c r="AC94" i="7"/>
  <c r="AG94" i="7" s="1"/>
  <c r="AB94" i="7"/>
  <c r="AC95" i="7"/>
  <c r="AG95" i="7" s="1"/>
  <c r="AB95" i="7"/>
  <c r="AB97" i="7"/>
  <c r="AC96" i="7"/>
  <c r="AG96" i="7" s="1"/>
  <c r="AB96" i="7"/>
  <c r="AC98" i="7"/>
  <c r="AG98" i="7" s="1"/>
  <c r="AC97" i="7"/>
  <c r="AG97" i="7" s="1"/>
  <c r="AB98" i="7"/>
  <c r="AB99" i="7"/>
  <c r="AC100" i="7"/>
  <c r="AG100" i="7" s="1"/>
  <c r="AC99" i="7"/>
  <c r="AG99" i="7" s="1"/>
  <c r="AB100" i="7"/>
  <c r="AB102" i="7"/>
  <c r="AC102" i="7"/>
  <c r="AG102" i="7" s="1"/>
  <c r="AB101" i="7"/>
  <c r="AC101" i="7"/>
  <c r="AG101" i="7" s="1"/>
  <c r="AB103" i="7"/>
  <c r="AB104" i="7"/>
  <c r="AC103" i="7"/>
  <c r="AG103" i="7" s="1"/>
  <c r="AC104" i="7"/>
  <c r="AG104" i="7" s="1"/>
  <c r="AC105" i="7"/>
  <c r="AG105" i="7" s="1"/>
  <c r="AB105" i="7"/>
  <c r="AB106" i="7"/>
  <c r="AC106" i="7"/>
  <c r="AG106" i="7" s="1"/>
  <c r="AB107" i="7"/>
  <c r="AC107" i="7"/>
  <c r="AG107" i="7" s="1"/>
  <c r="AC109" i="7"/>
  <c r="AG109" i="7" s="1"/>
  <c r="AB108" i="7"/>
  <c r="AC108" i="7"/>
  <c r="AG108" i="7" s="1"/>
  <c r="AB109" i="7"/>
  <c r="AB110" i="7"/>
  <c r="AC110" i="7"/>
  <c r="AG110" i="7" s="1"/>
  <c r="AB111" i="7"/>
  <c r="AC111" i="7"/>
  <c r="AG111" i="7" s="1"/>
  <c r="AC113" i="7"/>
  <c r="AG113" i="7" s="1"/>
  <c r="AC112" i="7"/>
  <c r="AG112" i="7" s="1"/>
  <c r="AB113" i="7"/>
  <c r="AB112" i="7"/>
  <c r="AB114" i="7"/>
  <c r="AB115" i="7"/>
  <c r="AC115" i="7"/>
  <c r="AG115" i="7" s="1"/>
  <c r="AC114" i="7"/>
  <c r="AG114" i="7" s="1"/>
  <c r="AC116" i="7"/>
  <c r="AG116" i="7" s="1"/>
  <c r="AB116" i="7"/>
  <c r="AC117" i="7"/>
  <c r="AG117" i="7" s="1"/>
  <c r="AB117" i="7"/>
  <c r="AC118" i="7"/>
  <c r="AG118" i="7" s="1"/>
  <c r="AB118" i="7"/>
  <c r="AC119" i="7"/>
  <c r="AG119" i="7" s="1"/>
  <c r="AB119" i="7"/>
  <c r="AB121" i="7"/>
  <c r="AC120" i="7"/>
  <c r="AG120" i="7" s="1"/>
  <c r="AB120" i="7"/>
  <c r="AC121" i="7"/>
  <c r="AG121" i="7" s="1"/>
  <c r="AB123" i="7"/>
  <c r="AB122" i="7"/>
  <c r="AC122" i="7"/>
  <c r="AG122" i="7" s="1"/>
  <c r="AC123" i="7"/>
  <c r="AG123" i="7" s="1"/>
  <c r="AC124" i="7"/>
  <c r="AG124" i="7" s="1"/>
  <c r="AB124" i="7"/>
  <c r="AC125" i="7"/>
  <c r="AG125" i="7" s="1"/>
  <c r="AB125" i="7"/>
  <c r="AB126" i="7"/>
  <c r="AC126" i="7"/>
  <c r="AG126" i="7" s="1"/>
  <c r="AC127" i="7"/>
  <c r="AG127" i="7" s="1"/>
  <c r="AB127" i="7"/>
  <c r="AC128" i="7"/>
  <c r="AG128" i="7" s="1"/>
  <c r="AB128" i="7"/>
  <c r="AC129" i="7"/>
  <c r="AG129" i="7" s="1"/>
  <c r="AB129" i="7"/>
  <c r="AC130" i="7"/>
  <c r="AG130" i="7" s="1"/>
  <c r="AB130" i="7"/>
  <c r="AB131" i="7"/>
  <c r="AC132" i="7"/>
  <c r="AG132" i="7" s="1"/>
  <c r="AC131" i="7"/>
  <c r="AG131" i="7" s="1"/>
  <c r="AB132" i="7"/>
  <c r="AC134" i="7"/>
  <c r="AG134" i="7" s="1"/>
  <c r="AC133" i="7"/>
  <c r="AG133" i="7" s="1"/>
  <c r="AB133" i="7"/>
  <c r="AB134" i="7"/>
  <c r="AC135" i="7"/>
  <c r="AG135" i="7" s="1"/>
  <c r="AB135" i="7"/>
  <c r="AB136" i="7"/>
  <c r="AC137" i="7"/>
  <c r="AG137" i="7" s="1"/>
  <c r="AB137" i="7"/>
  <c r="AC136" i="7"/>
  <c r="AG136" i="7" s="1"/>
  <c r="AC138" i="7"/>
  <c r="AG138" i="7" s="1"/>
  <c r="AB138" i="7"/>
  <c r="AC139" i="7"/>
  <c r="AG139" i="7" s="1"/>
  <c r="AB139" i="7"/>
  <c r="AB140" i="7"/>
  <c r="AB141" i="7"/>
  <c r="AC140" i="7"/>
  <c r="AG140" i="7" s="1"/>
  <c r="AC141" i="7"/>
  <c r="AG141" i="7" s="1"/>
  <c r="AC142" i="7"/>
  <c r="AG142" i="7" s="1"/>
  <c r="AC143" i="7"/>
  <c r="AG143" i="7" s="1"/>
  <c r="AB142" i="7"/>
  <c r="AB143" i="7"/>
  <c r="AB145" i="7"/>
  <c r="AC145" i="7"/>
  <c r="AG145" i="7" s="1"/>
  <c r="AB144" i="7"/>
  <c r="AC144" i="7"/>
  <c r="AG144" i="7" s="1"/>
  <c r="AC146" i="7"/>
  <c r="AG146" i="7" s="1"/>
  <c r="AB147" i="7"/>
  <c r="AC147" i="7"/>
  <c r="AG147" i="7" s="1"/>
  <c r="AB146" i="7"/>
  <c r="AC148" i="7"/>
  <c r="AG148" i="7" s="1"/>
  <c r="AB148" i="7"/>
  <c r="AC150" i="7"/>
  <c r="AG150" i="7" s="1"/>
  <c r="AB149" i="7"/>
  <c r="AC149" i="7"/>
  <c r="AG149" i="7" s="1"/>
  <c r="AB150" i="7"/>
  <c r="AB151" i="7"/>
  <c r="AC151" i="7"/>
  <c r="AG151" i="7" s="1"/>
  <c r="AB152" i="7"/>
  <c r="AC152" i="7"/>
  <c r="AG152" i="7" s="1"/>
  <c r="AB153" i="7"/>
  <c r="AC153" i="7"/>
  <c r="AG153" i="7" s="1"/>
  <c r="AB154" i="7"/>
  <c r="AC154" i="7"/>
  <c r="AG154" i="7" s="1"/>
  <c r="AC155" i="7"/>
  <c r="AG155" i="7" s="1"/>
  <c r="AB155" i="7"/>
  <c r="AC156" i="7"/>
  <c r="AG156" i="7" s="1"/>
  <c r="AB156" i="7"/>
  <c r="AB157" i="7"/>
  <c r="AC158" i="7"/>
  <c r="AG158" i="7" s="1"/>
  <c r="AC157" i="7"/>
  <c r="AG157" i="7" s="1"/>
  <c r="AB158" i="7"/>
  <c r="AC160" i="7"/>
  <c r="AG160" i="7" s="1"/>
  <c r="AC159" i="7"/>
  <c r="AG159" i="7" s="1"/>
  <c r="AB159" i="7"/>
  <c r="AB160" i="7"/>
  <c r="AC161" i="7" l="1"/>
  <c r="AG161" i="7" s="1"/>
  <c r="G160" i="3" s="1"/>
  <c r="AD160" i="3" s="1"/>
  <c r="W192" i="1"/>
  <c r="Y191" i="1"/>
  <c r="R186" i="13"/>
  <c r="T186" i="13"/>
  <c r="S193" i="1"/>
  <c r="Q194" i="1"/>
  <c r="R186" i="3"/>
  <c r="T186" i="3"/>
  <c r="V190" i="1"/>
  <c r="T191" i="1"/>
  <c r="P187" i="3"/>
  <c r="S187" i="3" s="1"/>
  <c r="P187" i="13"/>
  <c r="S187" i="13" s="1"/>
  <c r="N192" i="1"/>
  <c r="H187" i="7"/>
  <c r="Z186" i="7"/>
  <c r="O187" i="3"/>
  <c r="O187" i="13"/>
  <c r="M192" i="1"/>
  <c r="O191" i="1"/>
  <c r="B188" i="3"/>
  <c r="AF188" i="3" s="1"/>
  <c r="C187" i="3"/>
  <c r="Q186" i="13"/>
  <c r="Q186" i="3"/>
  <c r="B187" i="13"/>
  <c r="AF187" i="13" s="1"/>
  <c r="C186" i="13"/>
  <c r="G158" i="3"/>
  <c r="AD158" i="3" s="1"/>
  <c r="G158" i="13"/>
  <c r="AD158" i="13" s="1"/>
  <c r="G157" i="3"/>
  <c r="AD157" i="3" s="1"/>
  <c r="G157" i="13"/>
  <c r="AD157" i="13" s="1"/>
  <c r="AD155" i="7"/>
  <c r="AH155" i="7" s="1"/>
  <c r="AF155" i="7"/>
  <c r="G152" i="3"/>
  <c r="AD152" i="3" s="1"/>
  <c r="G152" i="13"/>
  <c r="AD152" i="13" s="1"/>
  <c r="G150" i="3"/>
  <c r="AD150" i="3" s="1"/>
  <c r="G150" i="13"/>
  <c r="AD150" i="13" s="1"/>
  <c r="AF149" i="7"/>
  <c r="AD149" i="7"/>
  <c r="AH149" i="7" s="1"/>
  <c r="AD146" i="7"/>
  <c r="AH146" i="7" s="1"/>
  <c r="AF146" i="7"/>
  <c r="G143" i="3"/>
  <c r="AD143" i="3" s="1"/>
  <c r="G143" i="13"/>
  <c r="AD143" i="13" s="1"/>
  <c r="AD143" i="7"/>
  <c r="AH143" i="7" s="1"/>
  <c r="AF143" i="7"/>
  <c r="G140" i="3"/>
  <c r="AD140" i="3" s="1"/>
  <c r="G140" i="13"/>
  <c r="AD140" i="13" s="1"/>
  <c r="AF139" i="7"/>
  <c r="AD139" i="7"/>
  <c r="AH139" i="7" s="1"/>
  <c r="G135" i="3"/>
  <c r="AD135" i="3" s="1"/>
  <c r="G135" i="13"/>
  <c r="AD135" i="13" s="1"/>
  <c r="AF135" i="7"/>
  <c r="AD135" i="7"/>
  <c r="AH135" i="7" s="1"/>
  <c r="G132" i="3"/>
  <c r="AD132" i="3" s="1"/>
  <c r="G132" i="13"/>
  <c r="AD132" i="13" s="1"/>
  <c r="G131" i="3"/>
  <c r="AD131" i="3" s="1"/>
  <c r="G131" i="13"/>
  <c r="AD131" i="13" s="1"/>
  <c r="AF129" i="7"/>
  <c r="AD129" i="7"/>
  <c r="AH129" i="7" s="1"/>
  <c r="AD127" i="7"/>
  <c r="AH127" i="7" s="1"/>
  <c r="AF127" i="7"/>
  <c r="AF125" i="7"/>
  <c r="AD125" i="7"/>
  <c r="AH125" i="7" s="1"/>
  <c r="G122" i="3"/>
  <c r="AD122" i="3" s="1"/>
  <c r="G122" i="13"/>
  <c r="AD122" i="13" s="1"/>
  <c r="G120" i="3"/>
  <c r="AD120" i="3" s="1"/>
  <c r="G120" i="13"/>
  <c r="AD120" i="13" s="1"/>
  <c r="AF119" i="7"/>
  <c r="AD119" i="7"/>
  <c r="AH119" i="7" s="1"/>
  <c r="AD117" i="7"/>
  <c r="AH117" i="7" s="1"/>
  <c r="AF117" i="7"/>
  <c r="G113" i="13"/>
  <c r="AD113" i="13" s="1"/>
  <c r="G113" i="3"/>
  <c r="AD113" i="3" s="1"/>
  <c r="AF112" i="7"/>
  <c r="AD112" i="7"/>
  <c r="AH112" i="7" s="1"/>
  <c r="G110" i="3"/>
  <c r="AD110" i="3" s="1"/>
  <c r="G110" i="13"/>
  <c r="AD110" i="13" s="1"/>
  <c r="AF109" i="7"/>
  <c r="AD109" i="7"/>
  <c r="AH109" i="7" s="1"/>
  <c r="G106" i="3"/>
  <c r="AD106" i="3" s="1"/>
  <c r="G106" i="13"/>
  <c r="AD106" i="13" s="1"/>
  <c r="AD105" i="7"/>
  <c r="AH105" i="7" s="1"/>
  <c r="AF105" i="7"/>
  <c r="AF104" i="7"/>
  <c r="AD104" i="7"/>
  <c r="AH104" i="7" s="1"/>
  <c r="G101" i="3"/>
  <c r="AD101" i="3" s="1"/>
  <c r="G101" i="13"/>
  <c r="AD101" i="13" s="1"/>
  <c r="G99" i="3"/>
  <c r="AD99" i="3" s="1"/>
  <c r="G99" i="13"/>
  <c r="AD99" i="13" s="1"/>
  <c r="G97" i="13"/>
  <c r="AD97" i="13" s="1"/>
  <c r="G97" i="3"/>
  <c r="AD97" i="3" s="1"/>
  <c r="AD95" i="7"/>
  <c r="AH95" i="7" s="1"/>
  <c r="AF95" i="7"/>
  <c r="AF92" i="7"/>
  <c r="AD92" i="7"/>
  <c r="AH92" i="7" s="1"/>
  <c r="G90" i="3"/>
  <c r="AD90" i="3" s="1"/>
  <c r="G90" i="13"/>
  <c r="AD90" i="13" s="1"/>
  <c r="G88" i="3"/>
  <c r="AD88" i="3" s="1"/>
  <c r="G88" i="13"/>
  <c r="AD88" i="13" s="1"/>
  <c r="G86" i="3"/>
  <c r="AD86" i="3" s="1"/>
  <c r="G86" i="13"/>
  <c r="AD86" i="13" s="1"/>
  <c r="G85" i="13"/>
  <c r="AD85" i="13" s="1"/>
  <c r="G85" i="3"/>
  <c r="AD85" i="3" s="1"/>
  <c r="AD83" i="7"/>
  <c r="AH83" i="7" s="1"/>
  <c r="AF83" i="7"/>
  <c r="AF81" i="7"/>
  <c r="AD81" i="7"/>
  <c r="AH81" i="7" s="1"/>
  <c r="AD79" i="7"/>
  <c r="AH79" i="7" s="1"/>
  <c r="AF79" i="7"/>
  <c r="AF77" i="7"/>
  <c r="AD77" i="7"/>
  <c r="AH77" i="7" s="1"/>
  <c r="AD75" i="7"/>
  <c r="AH75" i="7" s="1"/>
  <c r="AF75" i="7"/>
  <c r="G72" i="3"/>
  <c r="AD72" i="3" s="1"/>
  <c r="G72" i="13"/>
  <c r="AD72" i="13" s="1"/>
  <c r="G70" i="3"/>
  <c r="AD70" i="3" s="1"/>
  <c r="G70" i="13"/>
  <c r="AD70" i="13" s="1"/>
  <c r="G67" i="3"/>
  <c r="AD67" i="3" s="1"/>
  <c r="G67" i="13"/>
  <c r="AD67" i="13" s="1"/>
  <c r="G66" i="3"/>
  <c r="AD66" i="3" s="1"/>
  <c r="G66" i="13"/>
  <c r="AD66" i="13" s="1"/>
  <c r="AF65" i="7"/>
  <c r="AD65" i="7"/>
  <c r="AH65" i="7" s="1"/>
  <c r="AD63" i="7"/>
  <c r="AH63" i="7" s="1"/>
  <c r="AF63" i="7"/>
  <c r="AF61" i="7"/>
  <c r="AD61" i="7"/>
  <c r="AH61" i="7" s="1"/>
  <c r="AD59" i="7"/>
  <c r="AH59" i="7" s="1"/>
  <c r="AF59" i="7"/>
  <c r="G56" i="3"/>
  <c r="AD56" i="3" s="1"/>
  <c r="G56" i="13"/>
  <c r="AD56" i="13" s="1"/>
  <c r="G55" i="3"/>
  <c r="AD55" i="3" s="1"/>
  <c r="G55" i="13"/>
  <c r="AD55" i="13" s="1"/>
  <c r="AD54" i="7"/>
  <c r="AH54" i="7" s="1"/>
  <c r="AF54" i="7"/>
  <c r="AD51" i="7"/>
  <c r="AH51" i="7" s="1"/>
  <c r="AF51" i="7"/>
  <c r="G48" i="3"/>
  <c r="AD48" i="3" s="1"/>
  <c r="G48" i="13"/>
  <c r="AD48" i="13" s="1"/>
  <c r="G46" i="3"/>
  <c r="AD46" i="3" s="1"/>
  <c r="G46" i="13"/>
  <c r="AD46" i="13" s="1"/>
  <c r="G44" i="3"/>
  <c r="AD44" i="3" s="1"/>
  <c r="G44" i="13"/>
  <c r="AD44" i="13" s="1"/>
  <c r="G42" i="3"/>
  <c r="AD42" i="3" s="1"/>
  <c r="G42" i="13"/>
  <c r="AD42" i="13" s="1"/>
  <c r="AF40" i="7"/>
  <c r="AD40" i="7"/>
  <c r="AH40" i="7" s="1"/>
  <c r="AD39" i="7"/>
  <c r="AH39" i="7" s="1"/>
  <c r="AF39" i="7"/>
  <c r="AF37" i="7"/>
  <c r="AD37" i="7"/>
  <c r="AH37" i="7" s="1"/>
  <c r="AF36" i="7"/>
  <c r="AD36" i="7"/>
  <c r="AH36" i="7" s="1"/>
  <c r="AF33" i="7"/>
  <c r="AD33" i="7"/>
  <c r="AH33" i="7" s="1"/>
  <c r="AD31" i="7"/>
  <c r="AH31" i="7" s="1"/>
  <c r="AF31" i="7"/>
  <c r="AF29" i="7"/>
  <c r="AD29" i="7"/>
  <c r="AH29" i="7" s="1"/>
  <c r="AD26" i="7"/>
  <c r="AH26" i="7" s="1"/>
  <c r="AF26" i="7"/>
  <c r="AF25" i="7"/>
  <c r="AD25" i="7"/>
  <c r="AH25" i="7" s="1"/>
  <c r="AF24" i="7"/>
  <c r="AD24" i="7"/>
  <c r="AH24" i="7" s="1"/>
  <c r="G20" i="3"/>
  <c r="AD20" i="3" s="1"/>
  <c r="G20" i="13"/>
  <c r="AD20" i="13" s="1"/>
  <c r="AD19" i="7"/>
  <c r="AH19" i="7" s="1"/>
  <c r="AF19" i="7"/>
  <c r="AF17" i="7"/>
  <c r="AD17" i="7"/>
  <c r="AH17" i="7" s="1"/>
  <c r="G14" i="3"/>
  <c r="AD14" i="3" s="1"/>
  <c r="G14" i="13"/>
  <c r="AD14" i="13" s="1"/>
  <c r="AD14" i="7"/>
  <c r="AH14" i="7" s="1"/>
  <c r="AF14" i="7"/>
  <c r="AD11" i="7"/>
  <c r="AH11" i="7" s="1"/>
  <c r="AF11" i="7"/>
  <c r="G9" i="3"/>
  <c r="AD9" i="3" s="1"/>
  <c r="G9" i="13"/>
  <c r="AD9" i="13" s="1"/>
  <c r="G6" i="3"/>
  <c r="AD6" i="3" s="1"/>
  <c r="G6" i="13"/>
  <c r="AD6" i="13" s="1"/>
  <c r="R187" i="7"/>
  <c r="W187" i="7"/>
  <c r="V187" i="7"/>
  <c r="X187" i="7"/>
  <c r="Q187" i="7"/>
  <c r="S187" i="7"/>
  <c r="AF161" i="7"/>
  <c r="AD161" i="7"/>
  <c r="AH161" i="7" s="1"/>
  <c r="G159" i="3"/>
  <c r="AD159" i="3" s="1"/>
  <c r="G159" i="13"/>
  <c r="AD159" i="13" s="1"/>
  <c r="AF157" i="7"/>
  <c r="AD157" i="7"/>
  <c r="AH157" i="7" s="1"/>
  <c r="G154" i="3"/>
  <c r="AD154" i="3" s="1"/>
  <c r="G154" i="13"/>
  <c r="AD154" i="13" s="1"/>
  <c r="AF153" i="7"/>
  <c r="AD153" i="7"/>
  <c r="AH153" i="7" s="1"/>
  <c r="AD151" i="7"/>
  <c r="AH151" i="7" s="1"/>
  <c r="AF151" i="7"/>
  <c r="G149" i="13"/>
  <c r="AD149" i="13" s="1"/>
  <c r="G149" i="3"/>
  <c r="AD149" i="3" s="1"/>
  <c r="G146" i="3"/>
  <c r="AD146" i="3" s="1"/>
  <c r="G146" i="13"/>
  <c r="AD146" i="13" s="1"/>
  <c r="AF144" i="7"/>
  <c r="AD144" i="7"/>
  <c r="AH144" i="7" s="1"/>
  <c r="AD142" i="7"/>
  <c r="AH142" i="7" s="1"/>
  <c r="AF142" i="7"/>
  <c r="G139" i="3"/>
  <c r="AD139" i="3" s="1"/>
  <c r="G139" i="13"/>
  <c r="AD139" i="13" s="1"/>
  <c r="G138" i="3"/>
  <c r="AD138" i="3" s="1"/>
  <c r="G138" i="13"/>
  <c r="AD138" i="13" s="1"/>
  <c r="AD137" i="7"/>
  <c r="AH137" i="7" s="1"/>
  <c r="AF137" i="7"/>
  <c r="G134" i="3"/>
  <c r="AD134" i="3" s="1"/>
  <c r="G134" i="13"/>
  <c r="AD134" i="13" s="1"/>
  <c r="G133" i="13"/>
  <c r="AD133" i="13" s="1"/>
  <c r="G133" i="3"/>
  <c r="AD133" i="3" s="1"/>
  <c r="AF131" i="7"/>
  <c r="AD131" i="7"/>
  <c r="AH131" i="7" s="1"/>
  <c r="G128" i="3"/>
  <c r="AD128" i="3" s="1"/>
  <c r="G128" i="13"/>
  <c r="AD128" i="13" s="1"/>
  <c r="G126" i="3"/>
  <c r="AD126" i="3" s="1"/>
  <c r="G126" i="13"/>
  <c r="AD126" i="13" s="1"/>
  <c r="G124" i="3"/>
  <c r="AD124" i="3" s="1"/>
  <c r="G124" i="13"/>
  <c r="AD124" i="13" s="1"/>
  <c r="G121" i="3"/>
  <c r="AD121" i="3" s="1"/>
  <c r="G121" i="13"/>
  <c r="AD121" i="13" s="1"/>
  <c r="AF120" i="7"/>
  <c r="AD120" i="7"/>
  <c r="AH120" i="7" s="1"/>
  <c r="G118" i="3"/>
  <c r="AD118" i="3" s="1"/>
  <c r="G118" i="13"/>
  <c r="AD118" i="13" s="1"/>
  <c r="G116" i="3"/>
  <c r="AD116" i="3" s="1"/>
  <c r="G116" i="13"/>
  <c r="AD116" i="13" s="1"/>
  <c r="G114" i="3"/>
  <c r="AD114" i="3" s="1"/>
  <c r="G114" i="13"/>
  <c r="AD114" i="13" s="1"/>
  <c r="AF113" i="7"/>
  <c r="AD113" i="7"/>
  <c r="AH113" i="7" s="1"/>
  <c r="AD111" i="7"/>
  <c r="AH111" i="7" s="1"/>
  <c r="AF111" i="7"/>
  <c r="G107" i="3"/>
  <c r="AD107" i="3" s="1"/>
  <c r="G107" i="13"/>
  <c r="AD107" i="13" s="1"/>
  <c r="AF107" i="7"/>
  <c r="AD107" i="7"/>
  <c r="AH107" i="7" s="1"/>
  <c r="G104" i="3"/>
  <c r="AD104" i="3" s="1"/>
  <c r="G104" i="13"/>
  <c r="AD104" i="13" s="1"/>
  <c r="AF103" i="7"/>
  <c r="AD103" i="7"/>
  <c r="AH103" i="7" s="1"/>
  <c r="AD102" i="7"/>
  <c r="AH102" i="7" s="1"/>
  <c r="AF102" i="7"/>
  <c r="AD99" i="7"/>
  <c r="AH99" i="7" s="1"/>
  <c r="AF99" i="7"/>
  <c r="AF96" i="7"/>
  <c r="AD96" i="7"/>
  <c r="AH96" i="7" s="1"/>
  <c r="G94" i="3"/>
  <c r="AD94" i="3" s="1"/>
  <c r="G94" i="13"/>
  <c r="AD94" i="13" s="1"/>
  <c r="G91" i="3"/>
  <c r="AD91" i="3" s="1"/>
  <c r="G91" i="13"/>
  <c r="AD91" i="13" s="1"/>
  <c r="G89" i="3"/>
  <c r="AD89" i="3" s="1"/>
  <c r="G89" i="13"/>
  <c r="AD89" i="13" s="1"/>
  <c r="AF89" i="7"/>
  <c r="AD89" i="7"/>
  <c r="AH89" i="7" s="1"/>
  <c r="AD87" i="7"/>
  <c r="AH87" i="7" s="1"/>
  <c r="AF87" i="7"/>
  <c r="AF85" i="7"/>
  <c r="AD85" i="7"/>
  <c r="AH85" i="7" s="1"/>
  <c r="G83" i="3"/>
  <c r="AD83" i="3" s="1"/>
  <c r="G83" i="13"/>
  <c r="AD83" i="13" s="1"/>
  <c r="G80" i="3"/>
  <c r="AD80" i="3" s="1"/>
  <c r="G80" i="13"/>
  <c r="AD80" i="13" s="1"/>
  <c r="AF80" i="7"/>
  <c r="AD80" i="7"/>
  <c r="AH80" i="7" s="1"/>
  <c r="G76" i="3"/>
  <c r="AD76" i="3" s="1"/>
  <c r="G76" i="13"/>
  <c r="AD76" i="13" s="1"/>
  <c r="G74" i="3"/>
  <c r="AD74" i="3" s="1"/>
  <c r="G74" i="13"/>
  <c r="AD74" i="13" s="1"/>
  <c r="AD74" i="7"/>
  <c r="AH74" i="7" s="1"/>
  <c r="AF74" i="7"/>
  <c r="G71" i="3"/>
  <c r="AD71" i="3" s="1"/>
  <c r="G71" i="13"/>
  <c r="AD71" i="13" s="1"/>
  <c r="AF68" i="7"/>
  <c r="AD68" i="7"/>
  <c r="AH68" i="7" s="1"/>
  <c r="G65" i="3"/>
  <c r="AD65" i="3" s="1"/>
  <c r="G65" i="13"/>
  <c r="AD65" i="13" s="1"/>
  <c r="G64" i="3"/>
  <c r="AD64" i="3" s="1"/>
  <c r="G64" i="13"/>
  <c r="AD64" i="13" s="1"/>
  <c r="AD62" i="7"/>
  <c r="AH62" i="7" s="1"/>
  <c r="AF62" i="7"/>
  <c r="G60" i="3"/>
  <c r="AD60" i="3" s="1"/>
  <c r="G60" i="13"/>
  <c r="AD60" i="13" s="1"/>
  <c r="AF60" i="7"/>
  <c r="AD60" i="7"/>
  <c r="AH60" i="7" s="1"/>
  <c r="AF57" i="7"/>
  <c r="AD57" i="7"/>
  <c r="AH57" i="7" s="1"/>
  <c r="AD55" i="7"/>
  <c r="AH55" i="7" s="1"/>
  <c r="AF55" i="7"/>
  <c r="G51" i="3"/>
  <c r="AD51" i="3" s="1"/>
  <c r="G51" i="13"/>
  <c r="AD51" i="13" s="1"/>
  <c r="G49" i="13"/>
  <c r="AD49" i="13" s="1"/>
  <c r="G49" i="3"/>
  <c r="AD49" i="3" s="1"/>
  <c r="AF48" i="7"/>
  <c r="AD48" i="7"/>
  <c r="AH48" i="7" s="1"/>
  <c r="AD47" i="7"/>
  <c r="AH47" i="7" s="1"/>
  <c r="AF47" i="7"/>
  <c r="G43" i="3"/>
  <c r="AD43" i="3" s="1"/>
  <c r="G43" i="13"/>
  <c r="AD43" i="13" s="1"/>
  <c r="AD43" i="7"/>
  <c r="AH43" i="7" s="1"/>
  <c r="AF43" i="7"/>
  <c r="G40" i="3"/>
  <c r="AD40" i="3" s="1"/>
  <c r="G40" i="13"/>
  <c r="AD40" i="13" s="1"/>
  <c r="G38" i="3"/>
  <c r="AD38" i="3" s="1"/>
  <c r="G38" i="13"/>
  <c r="AD38" i="13" s="1"/>
  <c r="G37" i="3"/>
  <c r="AD37" i="3" s="1"/>
  <c r="G37" i="13"/>
  <c r="AD37" i="13" s="1"/>
  <c r="AD35" i="7"/>
  <c r="AH35" i="7" s="1"/>
  <c r="AF35" i="7"/>
  <c r="AD34" i="7"/>
  <c r="AH34" i="7" s="1"/>
  <c r="AF34" i="7"/>
  <c r="G31" i="3"/>
  <c r="AD31" i="3" s="1"/>
  <c r="G31" i="13"/>
  <c r="AD31" i="13" s="1"/>
  <c r="G28" i="3"/>
  <c r="AD28" i="3" s="1"/>
  <c r="G28" i="13"/>
  <c r="AD28" i="13" s="1"/>
  <c r="AD27" i="7"/>
  <c r="AH27" i="7" s="1"/>
  <c r="AF27" i="7"/>
  <c r="G24" i="3"/>
  <c r="AD24" i="3" s="1"/>
  <c r="G24" i="13"/>
  <c r="AD24" i="13" s="1"/>
  <c r="G22" i="3"/>
  <c r="AD22" i="3" s="1"/>
  <c r="G22" i="13"/>
  <c r="AD22" i="13" s="1"/>
  <c r="G21" i="3"/>
  <c r="AD21" i="3" s="1"/>
  <c r="G21" i="13"/>
  <c r="AD21" i="13" s="1"/>
  <c r="G18" i="3"/>
  <c r="AD18" i="3" s="1"/>
  <c r="G18" i="13"/>
  <c r="AD18" i="13" s="1"/>
  <c r="G17" i="3"/>
  <c r="AD17" i="3" s="1"/>
  <c r="G17" i="13"/>
  <c r="AD17" i="13" s="1"/>
  <c r="AD15" i="7"/>
  <c r="AH15" i="7" s="1"/>
  <c r="AF15" i="7"/>
  <c r="G12" i="3"/>
  <c r="AD12" i="3" s="1"/>
  <c r="G12" i="13"/>
  <c r="AD12" i="13" s="1"/>
  <c r="AF10" i="7"/>
  <c r="AD10" i="7"/>
  <c r="AH10" i="7" s="1"/>
  <c r="AF9" i="7"/>
  <c r="AD9" i="7"/>
  <c r="AH9" i="7" s="1"/>
  <c r="AF7" i="7"/>
  <c r="AD7" i="7"/>
  <c r="AH7" i="7" s="1"/>
  <c r="M186" i="7"/>
  <c r="M187" i="7"/>
  <c r="O189" i="7"/>
  <c r="P188" i="7"/>
  <c r="AF160" i="7"/>
  <c r="AD160" i="7"/>
  <c r="AH160" i="7" s="1"/>
  <c r="AD158" i="7"/>
  <c r="AH158" i="7" s="1"/>
  <c r="AF158" i="7"/>
  <c r="AF156" i="7"/>
  <c r="AD156" i="7"/>
  <c r="AH156" i="7" s="1"/>
  <c r="G153" i="3"/>
  <c r="AD153" i="3" s="1"/>
  <c r="G153" i="13"/>
  <c r="AD153" i="13" s="1"/>
  <c r="G151" i="3"/>
  <c r="AD151" i="3" s="1"/>
  <c r="G151" i="13"/>
  <c r="AD151" i="13" s="1"/>
  <c r="AD150" i="7"/>
  <c r="AH150" i="7" s="1"/>
  <c r="AF150" i="7"/>
  <c r="AF148" i="7"/>
  <c r="AD148" i="7"/>
  <c r="AH148" i="7" s="1"/>
  <c r="AD147" i="7"/>
  <c r="AH147" i="7" s="1"/>
  <c r="AF147" i="7"/>
  <c r="G144" i="3"/>
  <c r="AD144" i="3" s="1"/>
  <c r="G144" i="13"/>
  <c r="AD144" i="13" s="1"/>
  <c r="G142" i="3"/>
  <c r="AD142" i="3" s="1"/>
  <c r="G142" i="13"/>
  <c r="AD142" i="13" s="1"/>
  <c r="AF141" i="7"/>
  <c r="AD141" i="7"/>
  <c r="AH141" i="7" s="1"/>
  <c r="AD138" i="7"/>
  <c r="AH138" i="7" s="1"/>
  <c r="AF138" i="7"/>
  <c r="G136" i="3"/>
  <c r="AD136" i="3" s="1"/>
  <c r="G136" i="13"/>
  <c r="AD136" i="13" s="1"/>
  <c r="AD134" i="7"/>
  <c r="AH134" i="7" s="1"/>
  <c r="AF134" i="7"/>
  <c r="AF132" i="7"/>
  <c r="AD132" i="7"/>
  <c r="AH132" i="7" s="1"/>
  <c r="AD130" i="7"/>
  <c r="AH130" i="7" s="1"/>
  <c r="AF130" i="7"/>
  <c r="AF128" i="7"/>
  <c r="AD128" i="7"/>
  <c r="AH128" i="7" s="1"/>
  <c r="G125" i="3"/>
  <c r="AD125" i="3" s="1"/>
  <c r="G125" i="13"/>
  <c r="AD125" i="13" s="1"/>
  <c r="AF124" i="7"/>
  <c r="AD124" i="7"/>
  <c r="AH124" i="7" s="1"/>
  <c r="AD122" i="7"/>
  <c r="AH122" i="7" s="1"/>
  <c r="AF122" i="7"/>
  <c r="G119" i="3"/>
  <c r="AD119" i="3" s="1"/>
  <c r="G119" i="13"/>
  <c r="AD119" i="13" s="1"/>
  <c r="AD118" i="7"/>
  <c r="AH118" i="7" s="1"/>
  <c r="AF118" i="7"/>
  <c r="AF116" i="7"/>
  <c r="AD116" i="7"/>
  <c r="AH116" i="7" s="1"/>
  <c r="AF115" i="7"/>
  <c r="AD115" i="7"/>
  <c r="AH115" i="7" s="1"/>
  <c r="G111" i="13"/>
  <c r="AD111" i="13" s="1"/>
  <c r="G111" i="3"/>
  <c r="AD111" i="3" s="1"/>
  <c r="G109" i="3"/>
  <c r="AD109" i="3" s="1"/>
  <c r="G109" i="13"/>
  <c r="AD109" i="13" s="1"/>
  <c r="AF108" i="7"/>
  <c r="AD108" i="7"/>
  <c r="AH108" i="7" s="1"/>
  <c r="G105" i="13"/>
  <c r="AD105" i="13" s="1"/>
  <c r="G105" i="3"/>
  <c r="AD105" i="3" s="1"/>
  <c r="G103" i="3"/>
  <c r="AD103" i="3" s="1"/>
  <c r="G103" i="13"/>
  <c r="AD103" i="13" s="1"/>
  <c r="G100" i="3"/>
  <c r="AD100" i="3" s="1"/>
  <c r="G100" i="13"/>
  <c r="AD100" i="13" s="1"/>
  <c r="AF100" i="7"/>
  <c r="AD100" i="7"/>
  <c r="AH100" i="7" s="1"/>
  <c r="AD98" i="7"/>
  <c r="AH98" i="7" s="1"/>
  <c r="AF98" i="7"/>
  <c r="G95" i="3"/>
  <c r="AD95" i="3" s="1"/>
  <c r="G95" i="13"/>
  <c r="AD95" i="13" s="1"/>
  <c r="AD94" i="7"/>
  <c r="AH94" i="7" s="1"/>
  <c r="AF94" i="7"/>
  <c r="AF93" i="7"/>
  <c r="AD93" i="7"/>
  <c r="AH93" i="7" s="1"/>
  <c r="AD90" i="7"/>
  <c r="AH90" i="7" s="1"/>
  <c r="AF90" i="7"/>
  <c r="AF88" i="7"/>
  <c r="AD88" i="7"/>
  <c r="AH88" i="7" s="1"/>
  <c r="AD86" i="7"/>
  <c r="AH86" i="7" s="1"/>
  <c r="AF86" i="7"/>
  <c r="AF84" i="7"/>
  <c r="AD84" i="7"/>
  <c r="AH84" i="7" s="1"/>
  <c r="G81" i="13"/>
  <c r="AD81" i="13" s="1"/>
  <c r="G81" i="3"/>
  <c r="AD81" i="3" s="1"/>
  <c r="G79" i="3"/>
  <c r="AD79" i="3" s="1"/>
  <c r="G79" i="13"/>
  <c r="AD79" i="13" s="1"/>
  <c r="G77" i="3"/>
  <c r="AD77" i="3" s="1"/>
  <c r="G77" i="13"/>
  <c r="AD77" i="13" s="1"/>
  <c r="AF76" i="7"/>
  <c r="AD76" i="7"/>
  <c r="AH76" i="7" s="1"/>
  <c r="G73" i="13"/>
  <c r="AD73" i="13" s="1"/>
  <c r="G73" i="3"/>
  <c r="AD73" i="3" s="1"/>
  <c r="AF72" i="7"/>
  <c r="AD72" i="7"/>
  <c r="AH72" i="7" s="1"/>
  <c r="G69" i="3"/>
  <c r="AD69" i="3" s="1"/>
  <c r="G69" i="13"/>
  <c r="AD69" i="13" s="1"/>
  <c r="G68" i="3"/>
  <c r="AD68" i="3" s="1"/>
  <c r="G68" i="13"/>
  <c r="AD68" i="13" s="1"/>
  <c r="AD67" i="7"/>
  <c r="AH67" i="7" s="1"/>
  <c r="AF67" i="7"/>
  <c r="G63" i="13"/>
  <c r="AD63" i="13" s="1"/>
  <c r="G63" i="3"/>
  <c r="AD63" i="3" s="1"/>
  <c r="G62" i="3"/>
  <c r="AD62" i="3" s="1"/>
  <c r="G62" i="13"/>
  <c r="AD62" i="13" s="1"/>
  <c r="G59" i="3"/>
  <c r="AD59" i="3" s="1"/>
  <c r="G59" i="13"/>
  <c r="AD59" i="13" s="1"/>
  <c r="AD58" i="7"/>
  <c r="AH58" i="7" s="1"/>
  <c r="AF58" i="7"/>
  <c r="AF56" i="7"/>
  <c r="AD56" i="7"/>
  <c r="AH56" i="7" s="1"/>
  <c r="AF53" i="7"/>
  <c r="AD53" i="7"/>
  <c r="AH53" i="7" s="1"/>
  <c r="G52" i="3"/>
  <c r="AD52" i="3" s="1"/>
  <c r="G52" i="13"/>
  <c r="AD52" i="13" s="1"/>
  <c r="G50" i="3"/>
  <c r="AD50" i="3" s="1"/>
  <c r="G50" i="13"/>
  <c r="AD50" i="13" s="1"/>
  <c r="AF49" i="7"/>
  <c r="AD49" i="7"/>
  <c r="AH49" i="7" s="1"/>
  <c r="AD46" i="7"/>
  <c r="AH46" i="7" s="1"/>
  <c r="AF46" i="7"/>
  <c r="AF44" i="7"/>
  <c r="AD44" i="7"/>
  <c r="AH44" i="7" s="1"/>
  <c r="AD42" i="7"/>
  <c r="AH42" i="7" s="1"/>
  <c r="AF42" i="7"/>
  <c r="AF41" i="7"/>
  <c r="AD41" i="7"/>
  <c r="AH41" i="7" s="1"/>
  <c r="AD38" i="7"/>
  <c r="AH38" i="7" s="1"/>
  <c r="AF38" i="7"/>
  <c r="G35" i="3"/>
  <c r="AD35" i="3" s="1"/>
  <c r="G35" i="13"/>
  <c r="AD35" i="13" s="1"/>
  <c r="G33" i="3"/>
  <c r="AD33" i="3" s="1"/>
  <c r="G33" i="13"/>
  <c r="AD33" i="13" s="1"/>
  <c r="AF32" i="7"/>
  <c r="AD32" i="7"/>
  <c r="AH32" i="7" s="1"/>
  <c r="G29" i="13"/>
  <c r="AD29" i="13" s="1"/>
  <c r="G29" i="3"/>
  <c r="AD29" i="3" s="1"/>
  <c r="G27" i="3"/>
  <c r="AD27" i="3" s="1"/>
  <c r="G27" i="13"/>
  <c r="AD27" i="13" s="1"/>
  <c r="G25" i="3"/>
  <c r="AD25" i="3" s="1"/>
  <c r="G25" i="13"/>
  <c r="AD25" i="13" s="1"/>
  <c r="G23" i="3"/>
  <c r="AD23" i="3" s="1"/>
  <c r="G23" i="13"/>
  <c r="AD23" i="13" s="1"/>
  <c r="AF21" i="7"/>
  <c r="AD21" i="7"/>
  <c r="AH21" i="7" s="1"/>
  <c r="G19" i="3"/>
  <c r="AD19" i="3" s="1"/>
  <c r="G19" i="13"/>
  <c r="AD19" i="13" s="1"/>
  <c r="AD18" i="7"/>
  <c r="AH18" i="7" s="1"/>
  <c r="AF18" i="7"/>
  <c r="G15" i="13"/>
  <c r="AD15" i="13" s="1"/>
  <c r="G15" i="3"/>
  <c r="AD15" i="3" s="1"/>
  <c r="AF13" i="7"/>
  <c r="AD13" i="7"/>
  <c r="AH13" i="7" s="1"/>
  <c r="AD12" i="7"/>
  <c r="AH12" i="7" s="1"/>
  <c r="AF12" i="7"/>
  <c r="G10" i="3"/>
  <c r="AD10" i="3" s="1"/>
  <c r="G10" i="13"/>
  <c r="AD10" i="13" s="1"/>
  <c r="G7" i="13"/>
  <c r="AD7" i="13" s="1"/>
  <c r="G7" i="3"/>
  <c r="AD7" i="3" s="1"/>
  <c r="K186" i="7"/>
  <c r="L186" i="7"/>
  <c r="L187" i="7"/>
  <c r="AD159" i="7"/>
  <c r="AH159" i="7" s="1"/>
  <c r="AF159" i="7"/>
  <c r="G156" i="3"/>
  <c r="AD156" i="3" s="1"/>
  <c r="G156" i="13"/>
  <c r="AD156" i="13" s="1"/>
  <c r="G155" i="13"/>
  <c r="AD155" i="13" s="1"/>
  <c r="G155" i="3"/>
  <c r="AD155" i="3" s="1"/>
  <c r="AD154" i="7"/>
  <c r="AH154" i="7" s="1"/>
  <c r="AF154" i="7"/>
  <c r="AF152" i="7"/>
  <c r="AD152" i="7"/>
  <c r="AH152" i="7" s="1"/>
  <c r="G148" i="3"/>
  <c r="AD148" i="3" s="1"/>
  <c r="G148" i="13"/>
  <c r="AD148" i="13" s="1"/>
  <c r="G147" i="3"/>
  <c r="AD147" i="3" s="1"/>
  <c r="G147" i="13"/>
  <c r="AD147" i="13" s="1"/>
  <c r="G145" i="3"/>
  <c r="AD145" i="3" s="1"/>
  <c r="G145" i="13"/>
  <c r="AD145" i="13" s="1"/>
  <c r="AF145" i="7"/>
  <c r="AD145" i="7"/>
  <c r="AH145" i="7" s="1"/>
  <c r="G141" i="3"/>
  <c r="AD141" i="3" s="1"/>
  <c r="G141" i="13"/>
  <c r="AD141" i="13" s="1"/>
  <c r="AF140" i="7"/>
  <c r="AD140" i="7"/>
  <c r="AH140" i="7" s="1"/>
  <c r="G137" i="3"/>
  <c r="AD137" i="3" s="1"/>
  <c r="G137" i="13"/>
  <c r="AD137" i="13" s="1"/>
  <c r="AF136" i="7"/>
  <c r="AD136" i="7"/>
  <c r="AH136" i="7" s="1"/>
  <c r="AD133" i="7"/>
  <c r="AH133" i="7" s="1"/>
  <c r="AF133" i="7"/>
  <c r="G130" i="3"/>
  <c r="AD130" i="3" s="1"/>
  <c r="G130" i="13"/>
  <c r="AD130" i="13" s="1"/>
  <c r="G129" i="3"/>
  <c r="AD129" i="3" s="1"/>
  <c r="G129" i="13"/>
  <c r="AD129" i="13" s="1"/>
  <c r="G127" i="3"/>
  <c r="AD127" i="3" s="1"/>
  <c r="G127" i="13"/>
  <c r="AD127" i="13" s="1"/>
  <c r="AD126" i="7"/>
  <c r="AH126" i="7" s="1"/>
  <c r="AF126" i="7"/>
  <c r="G123" i="13"/>
  <c r="AD123" i="13" s="1"/>
  <c r="G123" i="3"/>
  <c r="AD123" i="3" s="1"/>
  <c r="AD123" i="7"/>
  <c r="AH123" i="7" s="1"/>
  <c r="AF123" i="7"/>
  <c r="AD121" i="7"/>
  <c r="AH121" i="7" s="1"/>
  <c r="AF121" i="7"/>
  <c r="G117" i="13"/>
  <c r="AD117" i="13" s="1"/>
  <c r="G117" i="3"/>
  <c r="AD117" i="3" s="1"/>
  <c r="G115" i="3"/>
  <c r="AD115" i="3" s="1"/>
  <c r="G115" i="13"/>
  <c r="AD115" i="13" s="1"/>
  <c r="AD114" i="7"/>
  <c r="AH114" i="7" s="1"/>
  <c r="AF114" i="7"/>
  <c r="G112" i="3"/>
  <c r="AD112" i="3" s="1"/>
  <c r="G112" i="13"/>
  <c r="AD112" i="13" s="1"/>
  <c r="AD110" i="7"/>
  <c r="AH110" i="7" s="1"/>
  <c r="AF110" i="7"/>
  <c r="G108" i="3"/>
  <c r="AD108" i="3" s="1"/>
  <c r="G108" i="13"/>
  <c r="AD108" i="13" s="1"/>
  <c r="AD106" i="7"/>
  <c r="AH106" i="7" s="1"/>
  <c r="AF106" i="7"/>
  <c r="G102" i="3"/>
  <c r="AD102" i="3" s="1"/>
  <c r="G102" i="13"/>
  <c r="AD102" i="13" s="1"/>
  <c r="AF101" i="7"/>
  <c r="AD101" i="7"/>
  <c r="AH101" i="7" s="1"/>
  <c r="G98" i="3"/>
  <c r="AD98" i="3" s="1"/>
  <c r="G98" i="13"/>
  <c r="AD98" i="13" s="1"/>
  <c r="G96" i="3"/>
  <c r="AD96" i="3" s="1"/>
  <c r="G96" i="13"/>
  <c r="AD96" i="13" s="1"/>
  <c r="AF97" i="7"/>
  <c r="AD97" i="7"/>
  <c r="AH97" i="7" s="1"/>
  <c r="G93" i="13"/>
  <c r="AD93" i="13" s="1"/>
  <c r="G93" i="3"/>
  <c r="AD93" i="3" s="1"/>
  <c r="G92" i="3"/>
  <c r="AD92" i="3" s="1"/>
  <c r="G92" i="13"/>
  <c r="AD92" i="13" s="1"/>
  <c r="AD91" i="7"/>
  <c r="AH91" i="7" s="1"/>
  <c r="AF91" i="7"/>
  <c r="G87" i="3"/>
  <c r="AD87" i="3" s="1"/>
  <c r="G87" i="13"/>
  <c r="AD87" i="13" s="1"/>
  <c r="G84" i="3"/>
  <c r="AD84" i="3" s="1"/>
  <c r="G84" i="13"/>
  <c r="AD84" i="13" s="1"/>
  <c r="G82" i="3"/>
  <c r="AD82" i="3" s="1"/>
  <c r="G82" i="13"/>
  <c r="AD82" i="13" s="1"/>
  <c r="AD82" i="7"/>
  <c r="AH82" i="7" s="1"/>
  <c r="AF82" i="7"/>
  <c r="G78" i="3"/>
  <c r="AD78" i="3" s="1"/>
  <c r="G78" i="13"/>
  <c r="AD78" i="13" s="1"/>
  <c r="AD78" i="7"/>
  <c r="AH78" i="7" s="1"/>
  <c r="AF78" i="7"/>
  <c r="G75" i="3"/>
  <c r="AD75" i="3" s="1"/>
  <c r="G75" i="13"/>
  <c r="AD75" i="13" s="1"/>
  <c r="AF73" i="7"/>
  <c r="AD73" i="7"/>
  <c r="AH73" i="7" s="1"/>
  <c r="AD71" i="7"/>
  <c r="AH71" i="7" s="1"/>
  <c r="AF71" i="7"/>
  <c r="AD70" i="7"/>
  <c r="AH70" i="7" s="1"/>
  <c r="AF70" i="7"/>
  <c r="AF69" i="7"/>
  <c r="AD69" i="7"/>
  <c r="AH69" i="7" s="1"/>
  <c r="AD66" i="7"/>
  <c r="AH66" i="7" s="1"/>
  <c r="AF66" i="7"/>
  <c r="AF64" i="7"/>
  <c r="AD64" i="7"/>
  <c r="AH64" i="7" s="1"/>
  <c r="G61" i="3"/>
  <c r="AD61" i="3" s="1"/>
  <c r="G61" i="13"/>
  <c r="AD61" i="13" s="1"/>
  <c r="G58" i="3"/>
  <c r="AD58" i="3" s="1"/>
  <c r="G58" i="13"/>
  <c r="AD58" i="13" s="1"/>
  <c r="G57" i="3"/>
  <c r="AD57" i="3" s="1"/>
  <c r="G57" i="13"/>
  <c r="AD57" i="13" s="1"/>
  <c r="G54" i="3"/>
  <c r="AD54" i="3" s="1"/>
  <c r="G54" i="13"/>
  <c r="AD54" i="13" s="1"/>
  <c r="G53" i="3"/>
  <c r="AD53" i="3" s="1"/>
  <c r="G53" i="13"/>
  <c r="AD53" i="13" s="1"/>
  <c r="AF52" i="7"/>
  <c r="AD52" i="7"/>
  <c r="AH52" i="7" s="1"/>
  <c r="AD50" i="7"/>
  <c r="AH50" i="7" s="1"/>
  <c r="AF50" i="7"/>
  <c r="G47" i="13"/>
  <c r="AD47" i="13" s="1"/>
  <c r="G47" i="3"/>
  <c r="AD47" i="3" s="1"/>
  <c r="G45" i="3"/>
  <c r="AD45" i="3" s="1"/>
  <c r="G45" i="13"/>
  <c r="AD45" i="13" s="1"/>
  <c r="AF45" i="7"/>
  <c r="AD45" i="7"/>
  <c r="AH45" i="7" s="1"/>
  <c r="G41" i="3"/>
  <c r="AD41" i="3" s="1"/>
  <c r="G41" i="13"/>
  <c r="AD41" i="13" s="1"/>
  <c r="G39" i="13"/>
  <c r="AD39" i="13" s="1"/>
  <c r="G39" i="3"/>
  <c r="AD39" i="3" s="1"/>
  <c r="G36" i="3"/>
  <c r="AD36" i="3" s="1"/>
  <c r="G36" i="13"/>
  <c r="AD36" i="13" s="1"/>
  <c r="G34" i="3"/>
  <c r="AD34" i="3" s="1"/>
  <c r="G34" i="13"/>
  <c r="AD34" i="13" s="1"/>
  <c r="G32" i="3"/>
  <c r="AD32" i="3" s="1"/>
  <c r="G32" i="13"/>
  <c r="AD32" i="13" s="1"/>
  <c r="G30" i="3"/>
  <c r="AD30" i="3" s="1"/>
  <c r="G30" i="13"/>
  <c r="AD30" i="13" s="1"/>
  <c r="AD30" i="7"/>
  <c r="AH30" i="7" s="1"/>
  <c r="AF30" i="7"/>
  <c r="AF28" i="7"/>
  <c r="AD28" i="7"/>
  <c r="AH28" i="7" s="1"/>
  <c r="G26" i="3"/>
  <c r="AD26" i="3" s="1"/>
  <c r="G26" i="13"/>
  <c r="AD26" i="13" s="1"/>
  <c r="AD23" i="7"/>
  <c r="AH23" i="7" s="1"/>
  <c r="AF23" i="7"/>
  <c r="AD22" i="7"/>
  <c r="AH22" i="7" s="1"/>
  <c r="AF22" i="7"/>
  <c r="AF20" i="7"/>
  <c r="AD20" i="7"/>
  <c r="AH20" i="7" s="1"/>
  <c r="G16" i="3"/>
  <c r="AD16" i="3" s="1"/>
  <c r="G16" i="13"/>
  <c r="AD16" i="13" s="1"/>
  <c r="AF16" i="7"/>
  <c r="AD16" i="7"/>
  <c r="AH16" i="7" s="1"/>
  <c r="G13" i="3"/>
  <c r="AD13" i="3" s="1"/>
  <c r="G13" i="13"/>
  <c r="AD13" i="13" s="1"/>
  <c r="G11" i="3"/>
  <c r="AD11" i="3" s="1"/>
  <c r="G11" i="13"/>
  <c r="AD11" i="13" s="1"/>
  <c r="G8" i="3"/>
  <c r="AD8" i="3" s="1"/>
  <c r="G8" i="13"/>
  <c r="AD8" i="13" s="1"/>
  <c r="AF8" i="7"/>
  <c r="AD8" i="7"/>
  <c r="AH8" i="7" s="1"/>
  <c r="K187" i="7"/>
  <c r="G160" i="13" l="1"/>
  <c r="AD160" i="13" s="1"/>
  <c r="R187" i="3"/>
  <c r="T187" i="3"/>
  <c r="Q187" i="13"/>
  <c r="Q187" i="3"/>
  <c r="B188" i="13"/>
  <c r="AF188" i="13" s="1"/>
  <c r="C187" i="13"/>
  <c r="O188" i="3"/>
  <c r="O188" i="13"/>
  <c r="O192" i="1"/>
  <c r="M193" i="1"/>
  <c r="Z187" i="7"/>
  <c r="H188" i="7"/>
  <c r="T192" i="1"/>
  <c r="V191" i="1"/>
  <c r="S194" i="1"/>
  <c r="Q195" i="1"/>
  <c r="B189" i="3"/>
  <c r="AF189" i="3" s="1"/>
  <c r="C188" i="3"/>
  <c r="R187" i="13"/>
  <c r="T187" i="13"/>
  <c r="P188" i="3"/>
  <c r="S188" i="3" s="1"/>
  <c r="N193" i="1"/>
  <c r="P188" i="13"/>
  <c r="S188" i="13" s="1"/>
  <c r="Y192" i="1"/>
  <c r="W193" i="1"/>
  <c r="M7" i="13"/>
  <c r="M6" i="13"/>
  <c r="M7" i="3"/>
  <c r="M6" i="3"/>
  <c r="H15" i="3"/>
  <c r="H15" i="13"/>
  <c r="AL16" i="7"/>
  <c r="H21" i="3"/>
  <c r="H21" i="13"/>
  <c r="AL22" i="7"/>
  <c r="F29" i="3"/>
  <c r="AC29" i="3" s="1"/>
  <c r="F29" i="13"/>
  <c r="AC29" i="13" s="1"/>
  <c r="H44" i="3"/>
  <c r="AL45" i="7"/>
  <c r="H44" i="13"/>
  <c r="F49" i="3"/>
  <c r="AC49" i="3" s="1"/>
  <c r="F49" i="13"/>
  <c r="AC49" i="13" s="1"/>
  <c r="F63" i="3"/>
  <c r="AC63" i="3" s="1"/>
  <c r="F63" i="13"/>
  <c r="AC63" i="13" s="1"/>
  <c r="F68" i="3"/>
  <c r="AC68" i="3" s="1"/>
  <c r="F68" i="13"/>
  <c r="AC68" i="13" s="1"/>
  <c r="H70" i="3"/>
  <c r="AL71" i="7"/>
  <c r="H70" i="13"/>
  <c r="H81" i="3"/>
  <c r="H81" i="13"/>
  <c r="AL82" i="7"/>
  <c r="H105" i="3"/>
  <c r="H105" i="13"/>
  <c r="AL106" i="7"/>
  <c r="F109" i="3"/>
  <c r="AC109" i="3" s="1"/>
  <c r="F109" i="13"/>
  <c r="AC109" i="13" s="1"/>
  <c r="H122" i="3"/>
  <c r="H122" i="13"/>
  <c r="AL123" i="7"/>
  <c r="F125" i="3"/>
  <c r="AC125" i="3" s="1"/>
  <c r="F125" i="13"/>
  <c r="AC125" i="13" s="1"/>
  <c r="H132" i="3"/>
  <c r="H132" i="13"/>
  <c r="AL133" i="7"/>
  <c r="F144" i="3"/>
  <c r="AC144" i="3" s="1"/>
  <c r="F144" i="13"/>
  <c r="AC144" i="13" s="1"/>
  <c r="F153" i="3"/>
  <c r="AC153" i="3" s="1"/>
  <c r="F153" i="13"/>
  <c r="AC153" i="13" s="1"/>
  <c r="F158" i="3"/>
  <c r="AC158" i="3" s="1"/>
  <c r="F158" i="13"/>
  <c r="AC158" i="13" s="1"/>
  <c r="H11" i="3"/>
  <c r="H11" i="13"/>
  <c r="AL12" i="7"/>
  <c r="F20" i="3"/>
  <c r="AC20" i="3" s="1"/>
  <c r="F20" i="13"/>
  <c r="AC20" i="13" s="1"/>
  <c r="F40" i="3"/>
  <c r="AC40" i="3" s="1"/>
  <c r="F40" i="13"/>
  <c r="AC40" i="13" s="1"/>
  <c r="F43" i="3"/>
  <c r="AC43" i="3" s="1"/>
  <c r="F43" i="13"/>
  <c r="AC43" i="13" s="1"/>
  <c r="F48" i="3"/>
  <c r="AC48" i="3" s="1"/>
  <c r="F48" i="13"/>
  <c r="AC48" i="13" s="1"/>
  <c r="F52" i="3"/>
  <c r="AC52" i="3" s="1"/>
  <c r="F52" i="13"/>
  <c r="AC52" i="13" s="1"/>
  <c r="H57" i="3"/>
  <c r="H57" i="13"/>
  <c r="AL58" i="7"/>
  <c r="F75" i="3"/>
  <c r="AC75" i="3" s="1"/>
  <c r="F75" i="13"/>
  <c r="AC75" i="13" s="1"/>
  <c r="F85" i="3"/>
  <c r="AC85" i="3" s="1"/>
  <c r="F85" i="13"/>
  <c r="AC85" i="13" s="1"/>
  <c r="F89" i="3"/>
  <c r="AC89" i="3" s="1"/>
  <c r="F89" i="13"/>
  <c r="AC89" i="13" s="1"/>
  <c r="F93" i="3"/>
  <c r="AC93" i="3" s="1"/>
  <c r="F93" i="13"/>
  <c r="AC93" i="13" s="1"/>
  <c r="F99" i="3"/>
  <c r="AC99" i="3" s="1"/>
  <c r="F99" i="13"/>
  <c r="AC99" i="13" s="1"/>
  <c r="H115" i="3"/>
  <c r="H115" i="13"/>
  <c r="AL116" i="7"/>
  <c r="H121" i="3"/>
  <c r="AL122" i="7"/>
  <c r="H121" i="13"/>
  <c r="F129" i="3"/>
  <c r="AC129" i="3" s="1"/>
  <c r="F129" i="13"/>
  <c r="AC129" i="13" s="1"/>
  <c r="F133" i="3"/>
  <c r="AC133" i="3" s="1"/>
  <c r="F133" i="13"/>
  <c r="AC133" i="13" s="1"/>
  <c r="F140" i="3"/>
  <c r="AC140" i="3" s="1"/>
  <c r="F140" i="13"/>
  <c r="AC140" i="13" s="1"/>
  <c r="H146" i="3"/>
  <c r="H146" i="13"/>
  <c r="AL147" i="7"/>
  <c r="H149" i="3"/>
  <c r="AL150" i="7"/>
  <c r="H149" i="13"/>
  <c r="F155" i="3"/>
  <c r="AC155" i="3" s="1"/>
  <c r="F155" i="13"/>
  <c r="AC155" i="13" s="1"/>
  <c r="F159" i="3"/>
  <c r="AC159" i="3" s="1"/>
  <c r="F159" i="13"/>
  <c r="AC159" i="13" s="1"/>
  <c r="S188" i="7"/>
  <c r="W188" i="7"/>
  <c r="Q188" i="7"/>
  <c r="V188" i="7"/>
  <c r="X188" i="7"/>
  <c r="M188" i="7" s="1"/>
  <c r="R188" i="7"/>
  <c r="H6" i="3"/>
  <c r="N6" i="3" s="1"/>
  <c r="W6" i="3" s="1"/>
  <c r="H6" i="13"/>
  <c r="N6" i="13" s="1"/>
  <c r="W6" i="13" s="1"/>
  <c r="AL7" i="7"/>
  <c r="H9" i="3"/>
  <c r="AL10" i="7"/>
  <c r="H9" i="13"/>
  <c r="F34" i="3"/>
  <c r="AC34" i="3" s="1"/>
  <c r="F34" i="13"/>
  <c r="AC34" i="13" s="1"/>
  <c r="H42" i="3"/>
  <c r="AL43" i="7"/>
  <c r="H42" i="13"/>
  <c r="F46" i="3"/>
  <c r="AC46" i="3" s="1"/>
  <c r="F46" i="13"/>
  <c r="AC46" i="13" s="1"/>
  <c r="H56" i="3"/>
  <c r="AL57" i="7"/>
  <c r="H56" i="13"/>
  <c r="H61" i="3"/>
  <c r="AL62" i="7"/>
  <c r="H61" i="13"/>
  <c r="F67" i="3"/>
  <c r="AC67" i="3" s="1"/>
  <c r="F67" i="13"/>
  <c r="AC67" i="13" s="1"/>
  <c r="F73" i="3"/>
  <c r="AC73" i="3" s="1"/>
  <c r="F73" i="13"/>
  <c r="AC73" i="13" s="1"/>
  <c r="H79" i="3"/>
  <c r="H79" i="13"/>
  <c r="AL80" i="7"/>
  <c r="H84" i="3"/>
  <c r="H84" i="13"/>
  <c r="AL85" i="7"/>
  <c r="H88" i="3"/>
  <c r="AL89" i="7"/>
  <c r="H88" i="13"/>
  <c r="F95" i="3"/>
  <c r="AC95" i="3" s="1"/>
  <c r="F95" i="13"/>
  <c r="AC95" i="13" s="1"/>
  <c r="H101" i="3"/>
  <c r="H101" i="13"/>
  <c r="AL102" i="7"/>
  <c r="H110" i="3"/>
  <c r="H110" i="13"/>
  <c r="AL111" i="7"/>
  <c r="H119" i="3"/>
  <c r="AL120" i="7"/>
  <c r="H119" i="13"/>
  <c r="H143" i="3"/>
  <c r="AL144" i="7"/>
  <c r="H143" i="13"/>
  <c r="F150" i="3"/>
  <c r="AC150" i="3" s="1"/>
  <c r="F150" i="13"/>
  <c r="AC150" i="13" s="1"/>
  <c r="F156" i="3"/>
  <c r="AC156" i="3" s="1"/>
  <c r="F156" i="13"/>
  <c r="AC156" i="13" s="1"/>
  <c r="H160" i="3"/>
  <c r="AL161" i="7"/>
  <c r="H160" i="13"/>
  <c r="H10" i="3"/>
  <c r="AL11" i="7"/>
  <c r="H10" i="13"/>
  <c r="F18" i="3"/>
  <c r="AC18" i="3" s="1"/>
  <c r="F18" i="13"/>
  <c r="AC18" i="13" s="1"/>
  <c r="F24" i="3"/>
  <c r="AC24" i="3" s="1"/>
  <c r="F24" i="13"/>
  <c r="AC24" i="13" s="1"/>
  <c r="F28" i="13"/>
  <c r="AC28" i="13" s="1"/>
  <c r="F28" i="3"/>
  <c r="AC28" i="3" s="1"/>
  <c r="F32" i="3"/>
  <c r="AC32" i="3" s="1"/>
  <c r="F32" i="13"/>
  <c r="AC32" i="13" s="1"/>
  <c r="F36" i="3"/>
  <c r="AC36" i="3" s="1"/>
  <c r="F36" i="13"/>
  <c r="AC36" i="13" s="1"/>
  <c r="F39" i="3"/>
  <c r="AC39" i="3" s="1"/>
  <c r="F39" i="13"/>
  <c r="AC39" i="13" s="1"/>
  <c r="H53" i="3"/>
  <c r="AL54" i="7"/>
  <c r="H53" i="13"/>
  <c r="H58" i="3"/>
  <c r="AL59" i="7"/>
  <c r="H58" i="13"/>
  <c r="H62" i="3"/>
  <c r="H62" i="13"/>
  <c r="AL63" i="7"/>
  <c r="H74" i="3"/>
  <c r="AL75" i="7"/>
  <c r="H74" i="13"/>
  <c r="H78" i="3"/>
  <c r="H78" i="13"/>
  <c r="AL79" i="7"/>
  <c r="H82" i="3"/>
  <c r="H82" i="13"/>
  <c r="AL83" i="7"/>
  <c r="H94" i="3"/>
  <c r="AL95" i="7"/>
  <c r="H94" i="13"/>
  <c r="F104" i="3"/>
  <c r="AC104" i="3" s="1"/>
  <c r="F104" i="13"/>
  <c r="AC104" i="13" s="1"/>
  <c r="H116" i="3"/>
  <c r="AL117" i="7"/>
  <c r="H116" i="13"/>
  <c r="H126" i="3"/>
  <c r="AL127" i="7"/>
  <c r="H126" i="13"/>
  <c r="H142" i="3"/>
  <c r="AL143" i="7"/>
  <c r="H142" i="13"/>
  <c r="F145" i="3"/>
  <c r="AC145" i="3" s="1"/>
  <c r="F145" i="13"/>
  <c r="AC145" i="13" s="1"/>
  <c r="H7" i="3"/>
  <c r="N7" i="3" s="1"/>
  <c r="W7" i="3" s="1"/>
  <c r="AL8" i="7"/>
  <c r="H7" i="13"/>
  <c r="N7" i="13" s="1"/>
  <c r="W7" i="13" s="1"/>
  <c r="F15" i="3"/>
  <c r="AC15" i="3" s="1"/>
  <c r="F15" i="13"/>
  <c r="AC15" i="13" s="1"/>
  <c r="H19" i="3"/>
  <c r="AL20" i="7"/>
  <c r="H19" i="13"/>
  <c r="F22" i="3"/>
  <c r="AC22" i="3" s="1"/>
  <c r="F22" i="13"/>
  <c r="AC22" i="13" s="1"/>
  <c r="H29" i="3"/>
  <c r="H29" i="13"/>
  <c r="AL30" i="7"/>
  <c r="F44" i="3"/>
  <c r="AC44" i="3" s="1"/>
  <c r="F44" i="13"/>
  <c r="AC44" i="13" s="1"/>
  <c r="H49" i="3"/>
  <c r="H49" i="13"/>
  <c r="AL50" i="7"/>
  <c r="F65" i="3"/>
  <c r="AC65" i="3" s="1"/>
  <c r="F65" i="13"/>
  <c r="AC65" i="13" s="1"/>
  <c r="F69" i="3"/>
  <c r="AC69" i="3" s="1"/>
  <c r="F69" i="13"/>
  <c r="AC69" i="13" s="1"/>
  <c r="H72" i="3"/>
  <c r="H72" i="13"/>
  <c r="AL73" i="7"/>
  <c r="H109" i="3"/>
  <c r="H109" i="13"/>
  <c r="AL110" i="7"/>
  <c r="F113" i="3"/>
  <c r="AC113" i="3" s="1"/>
  <c r="F113" i="13"/>
  <c r="AC113" i="13" s="1"/>
  <c r="F120" i="3"/>
  <c r="AC120" i="3" s="1"/>
  <c r="F120" i="13"/>
  <c r="AC120" i="13" s="1"/>
  <c r="H125" i="3"/>
  <c r="H125" i="13"/>
  <c r="AL126" i="7"/>
  <c r="H135" i="3"/>
  <c r="AL136" i="7"/>
  <c r="H135" i="13"/>
  <c r="H153" i="3"/>
  <c r="AL154" i="7"/>
  <c r="H153" i="13"/>
  <c r="H158" i="3"/>
  <c r="AL159" i="7"/>
  <c r="H158" i="13"/>
  <c r="H12" i="3"/>
  <c r="H12" i="13"/>
  <c r="AL13" i="7"/>
  <c r="H31" i="3"/>
  <c r="H31" i="13"/>
  <c r="AL32" i="7"/>
  <c r="F37" i="3"/>
  <c r="AC37" i="3" s="1"/>
  <c r="F37" i="13"/>
  <c r="AC37" i="13" s="1"/>
  <c r="F41" i="3"/>
  <c r="AC41" i="3" s="1"/>
  <c r="F41" i="13"/>
  <c r="AC41" i="13" s="1"/>
  <c r="F45" i="3"/>
  <c r="AC45" i="3" s="1"/>
  <c r="F45" i="13"/>
  <c r="AC45" i="13" s="1"/>
  <c r="H55" i="3"/>
  <c r="AL56" i="7"/>
  <c r="H55" i="13"/>
  <c r="H85" i="3"/>
  <c r="AL86" i="7"/>
  <c r="H85" i="13"/>
  <c r="H89" i="3"/>
  <c r="AL90" i="7"/>
  <c r="H89" i="13"/>
  <c r="H93" i="3"/>
  <c r="H93" i="13"/>
  <c r="AL94" i="7"/>
  <c r="F97" i="3"/>
  <c r="AC97" i="3" s="1"/>
  <c r="F97" i="13"/>
  <c r="AC97" i="13" s="1"/>
  <c r="F115" i="3"/>
  <c r="AC115" i="3" s="1"/>
  <c r="F115" i="13"/>
  <c r="AC115" i="13" s="1"/>
  <c r="H123" i="3"/>
  <c r="H123" i="13"/>
  <c r="AL124" i="7"/>
  <c r="H129" i="3"/>
  <c r="H129" i="13"/>
  <c r="AL130" i="7"/>
  <c r="H133" i="3"/>
  <c r="H133" i="13"/>
  <c r="AL134" i="7"/>
  <c r="F137" i="3"/>
  <c r="AC137" i="3" s="1"/>
  <c r="F137" i="13"/>
  <c r="AC137" i="13" s="1"/>
  <c r="H147" i="3"/>
  <c r="H147" i="13"/>
  <c r="AL148" i="7"/>
  <c r="F157" i="3"/>
  <c r="AC157" i="3" s="1"/>
  <c r="F157" i="13"/>
  <c r="AC157" i="13" s="1"/>
  <c r="O190" i="7"/>
  <c r="P189" i="7"/>
  <c r="F6" i="3"/>
  <c r="AC6" i="3" s="1"/>
  <c r="F6" i="13"/>
  <c r="AC6" i="13" s="1"/>
  <c r="F9" i="3"/>
  <c r="AC9" i="3" s="1"/>
  <c r="F9" i="13"/>
  <c r="AC9" i="13" s="1"/>
  <c r="F14" i="3"/>
  <c r="AC14" i="3" s="1"/>
  <c r="F14" i="13"/>
  <c r="AC14" i="13" s="1"/>
  <c r="H34" i="3"/>
  <c r="H34" i="13"/>
  <c r="AL35" i="7"/>
  <c r="H46" i="3"/>
  <c r="AL47" i="7"/>
  <c r="H46" i="13"/>
  <c r="F56" i="3"/>
  <c r="AC56" i="3" s="1"/>
  <c r="F56" i="13"/>
  <c r="AC56" i="13" s="1"/>
  <c r="H73" i="3"/>
  <c r="H73" i="13"/>
  <c r="AL74" i="7"/>
  <c r="F79" i="3"/>
  <c r="AC79" i="3" s="1"/>
  <c r="F79" i="13"/>
  <c r="AC79" i="13" s="1"/>
  <c r="F84" i="3"/>
  <c r="AC84" i="3" s="1"/>
  <c r="F84" i="13"/>
  <c r="AC84" i="13" s="1"/>
  <c r="F88" i="3"/>
  <c r="AC88" i="3" s="1"/>
  <c r="F88" i="13"/>
  <c r="AC88" i="13" s="1"/>
  <c r="F98" i="3"/>
  <c r="AC98" i="3" s="1"/>
  <c r="F98" i="13"/>
  <c r="AC98" i="13" s="1"/>
  <c r="H102" i="3"/>
  <c r="H102" i="13"/>
  <c r="AL103" i="7"/>
  <c r="H112" i="3"/>
  <c r="H112" i="13"/>
  <c r="AL113" i="7"/>
  <c r="F119" i="3"/>
  <c r="AC119" i="3" s="1"/>
  <c r="F119" i="13"/>
  <c r="AC119" i="13" s="1"/>
  <c r="F143" i="3"/>
  <c r="AC143" i="3" s="1"/>
  <c r="F143" i="13"/>
  <c r="AC143" i="13" s="1"/>
  <c r="H150" i="3"/>
  <c r="H150" i="13"/>
  <c r="AL151" i="7"/>
  <c r="F160" i="3"/>
  <c r="AC160" i="3" s="1"/>
  <c r="F160" i="13"/>
  <c r="AC160" i="13" s="1"/>
  <c r="F13" i="3"/>
  <c r="AC13" i="3" s="1"/>
  <c r="F13" i="13"/>
  <c r="AC13" i="13" s="1"/>
  <c r="H18" i="3"/>
  <c r="H18" i="13"/>
  <c r="AL19" i="7"/>
  <c r="H23" i="3"/>
  <c r="H23" i="13"/>
  <c r="AL24" i="7"/>
  <c r="F25" i="3"/>
  <c r="AC25" i="3" s="1"/>
  <c r="F25" i="13"/>
  <c r="AC25" i="13" s="1"/>
  <c r="F30" i="3"/>
  <c r="AC30" i="3" s="1"/>
  <c r="F30" i="13"/>
  <c r="AC30" i="13" s="1"/>
  <c r="H35" i="3"/>
  <c r="H35" i="13"/>
  <c r="AL36" i="7"/>
  <c r="F38" i="3"/>
  <c r="AC38" i="3" s="1"/>
  <c r="F38" i="13"/>
  <c r="AC38" i="13" s="1"/>
  <c r="F50" i="3"/>
  <c r="AC50" i="3" s="1"/>
  <c r="F50" i="13"/>
  <c r="AC50" i="13" s="1"/>
  <c r="H60" i="3"/>
  <c r="H60" i="13"/>
  <c r="AL61" i="7"/>
  <c r="H64" i="3"/>
  <c r="AL65" i="7"/>
  <c r="H64" i="13"/>
  <c r="H76" i="3"/>
  <c r="AL77" i="7"/>
  <c r="H76" i="13"/>
  <c r="H80" i="3"/>
  <c r="H80" i="13"/>
  <c r="AL81" i="7"/>
  <c r="H91" i="3"/>
  <c r="H91" i="13"/>
  <c r="AL92" i="7"/>
  <c r="H104" i="3"/>
  <c r="AL105" i="7"/>
  <c r="H104" i="13"/>
  <c r="H108" i="3"/>
  <c r="H108" i="13"/>
  <c r="AL109" i="7"/>
  <c r="H118" i="3"/>
  <c r="H118" i="13"/>
  <c r="AL119" i="7"/>
  <c r="H124" i="3"/>
  <c r="H124" i="13"/>
  <c r="AL125" i="7"/>
  <c r="H128" i="3"/>
  <c r="H128" i="13"/>
  <c r="AL129" i="7"/>
  <c r="H134" i="3"/>
  <c r="AL135" i="7"/>
  <c r="H134" i="13"/>
  <c r="H145" i="3"/>
  <c r="H145" i="13"/>
  <c r="AL146" i="7"/>
  <c r="F7" i="3"/>
  <c r="AC7" i="3" s="1"/>
  <c r="F7" i="13"/>
  <c r="AC7" i="13" s="1"/>
  <c r="F19" i="3"/>
  <c r="AC19" i="3" s="1"/>
  <c r="F19" i="13"/>
  <c r="AC19" i="13" s="1"/>
  <c r="H22" i="3"/>
  <c r="H22" i="13"/>
  <c r="AL23" i="7"/>
  <c r="H27" i="3"/>
  <c r="H27" i="13"/>
  <c r="AL28" i="7"/>
  <c r="H51" i="3"/>
  <c r="H51" i="13"/>
  <c r="AL52" i="7"/>
  <c r="H65" i="3"/>
  <c r="H65" i="13"/>
  <c r="AL66" i="7"/>
  <c r="H69" i="3"/>
  <c r="H69" i="13"/>
  <c r="AL70" i="7"/>
  <c r="F72" i="3"/>
  <c r="AC72" i="3" s="1"/>
  <c r="F72" i="13"/>
  <c r="AC72" i="13" s="1"/>
  <c r="F77" i="3"/>
  <c r="AC77" i="3" s="1"/>
  <c r="F77" i="13"/>
  <c r="AC77" i="13" s="1"/>
  <c r="F90" i="3"/>
  <c r="AC90" i="3" s="1"/>
  <c r="F90" i="13"/>
  <c r="AC90" i="13" s="1"/>
  <c r="H96" i="3"/>
  <c r="H96" i="13"/>
  <c r="AL97" i="7"/>
  <c r="H100" i="3"/>
  <c r="H100" i="13"/>
  <c r="AL101" i="7"/>
  <c r="H113" i="3"/>
  <c r="H113" i="13"/>
  <c r="AL114" i="7"/>
  <c r="H120" i="3"/>
  <c r="H120" i="13"/>
  <c r="AL121" i="7"/>
  <c r="F135" i="3"/>
  <c r="AC135" i="3" s="1"/>
  <c r="F135" i="13"/>
  <c r="AC135" i="13" s="1"/>
  <c r="H139" i="3"/>
  <c r="AL140" i="7"/>
  <c r="H139" i="13"/>
  <c r="H151" i="3"/>
  <c r="H151" i="13"/>
  <c r="AL152" i="7"/>
  <c r="F12" i="3"/>
  <c r="AC12" i="3" s="1"/>
  <c r="F12" i="13"/>
  <c r="AC12" i="13" s="1"/>
  <c r="F17" i="3"/>
  <c r="AC17" i="3" s="1"/>
  <c r="F17" i="13"/>
  <c r="AC17" i="13" s="1"/>
  <c r="F31" i="3"/>
  <c r="AC31" i="3" s="1"/>
  <c r="F31" i="13"/>
  <c r="AC31" i="13" s="1"/>
  <c r="H37" i="3"/>
  <c r="AL38" i="7"/>
  <c r="H37" i="13"/>
  <c r="H41" i="3"/>
  <c r="H41" i="13"/>
  <c r="AL42" i="7"/>
  <c r="H45" i="3"/>
  <c r="AL46" i="7"/>
  <c r="H45" i="13"/>
  <c r="F55" i="3"/>
  <c r="AC55" i="3" s="1"/>
  <c r="F55" i="13"/>
  <c r="AC55" i="13" s="1"/>
  <c r="F66" i="3"/>
  <c r="AC66" i="3" s="1"/>
  <c r="F66" i="13"/>
  <c r="AC66" i="13" s="1"/>
  <c r="H71" i="3"/>
  <c r="H71" i="13"/>
  <c r="AL72" i="7"/>
  <c r="H83" i="3"/>
  <c r="AL84" i="7"/>
  <c r="H83" i="13"/>
  <c r="H87" i="3"/>
  <c r="AL88" i="7"/>
  <c r="H87" i="13"/>
  <c r="H92" i="3"/>
  <c r="AL93" i="7"/>
  <c r="H92" i="13"/>
  <c r="H97" i="3"/>
  <c r="H97" i="13"/>
  <c r="AL98" i="7"/>
  <c r="H107" i="3"/>
  <c r="H107" i="13"/>
  <c r="AL108" i="7"/>
  <c r="H114" i="3"/>
  <c r="H114" i="13"/>
  <c r="AL115" i="7"/>
  <c r="F117" i="3"/>
  <c r="AC117" i="3" s="1"/>
  <c r="F117" i="13"/>
  <c r="AC117" i="13" s="1"/>
  <c r="F123" i="3"/>
  <c r="AC123" i="3" s="1"/>
  <c r="F123" i="13"/>
  <c r="AC123" i="13" s="1"/>
  <c r="H127" i="3"/>
  <c r="AL128" i="7"/>
  <c r="H127" i="13"/>
  <c r="H131" i="3"/>
  <c r="H131" i="13"/>
  <c r="AL132" i="7"/>
  <c r="H137" i="3"/>
  <c r="AL138" i="7"/>
  <c r="H137" i="13"/>
  <c r="F147" i="3"/>
  <c r="AC147" i="3" s="1"/>
  <c r="F147" i="13"/>
  <c r="AC147" i="13" s="1"/>
  <c r="H157" i="3"/>
  <c r="AL158" i="7"/>
  <c r="H157" i="13"/>
  <c r="H8" i="3"/>
  <c r="AL9" i="7"/>
  <c r="H8" i="13"/>
  <c r="H14" i="3"/>
  <c r="H14" i="13"/>
  <c r="AL15" i="7"/>
  <c r="F26" i="3"/>
  <c r="AC26" i="3" s="1"/>
  <c r="F26" i="13"/>
  <c r="AC26" i="13" s="1"/>
  <c r="F33" i="3"/>
  <c r="AC33" i="3" s="1"/>
  <c r="F33" i="13"/>
  <c r="AC33" i="13" s="1"/>
  <c r="H47" i="3"/>
  <c r="H47" i="13"/>
  <c r="AL48" i="7"/>
  <c r="F54" i="3"/>
  <c r="AC54" i="3" s="1"/>
  <c r="F54" i="13"/>
  <c r="AC54" i="13" s="1"/>
  <c r="H59" i="3"/>
  <c r="H59" i="13"/>
  <c r="AL60" i="7"/>
  <c r="F86" i="3"/>
  <c r="AC86" i="3" s="1"/>
  <c r="F86" i="13"/>
  <c r="AC86" i="13" s="1"/>
  <c r="H98" i="3"/>
  <c r="AL99" i="7"/>
  <c r="H98" i="13"/>
  <c r="F102" i="3"/>
  <c r="AC102" i="3" s="1"/>
  <c r="F102" i="13"/>
  <c r="AC102" i="13" s="1"/>
  <c r="H106" i="3"/>
  <c r="AL107" i="7"/>
  <c r="H106" i="13"/>
  <c r="F112" i="3"/>
  <c r="AC112" i="3" s="1"/>
  <c r="F112" i="13"/>
  <c r="AC112" i="13" s="1"/>
  <c r="H130" i="3"/>
  <c r="H130" i="13"/>
  <c r="AL131" i="7"/>
  <c r="F136" i="3"/>
  <c r="AC136" i="3" s="1"/>
  <c r="F136" i="13"/>
  <c r="AC136" i="13" s="1"/>
  <c r="F141" i="3"/>
  <c r="AC141" i="3" s="1"/>
  <c r="F141" i="13"/>
  <c r="AC141" i="13" s="1"/>
  <c r="H152" i="3"/>
  <c r="H152" i="13"/>
  <c r="AL153" i="7"/>
  <c r="H13" i="3"/>
  <c r="H13" i="13"/>
  <c r="AL14" i="7"/>
  <c r="H16" i="3"/>
  <c r="AL17" i="7"/>
  <c r="H16" i="13"/>
  <c r="F23" i="3"/>
  <c r="AC23" i="3" s="1"/>
  <c r="F23" i="13"/>
  <c r="AC23" i="13" s="1"/>
  <c r="H25" i="3"/>
  <c r="H25" i="13"/>
  <c r="AL26" i="7"/>
  <c r="H30" i="3"/>
  <c r="AL31" i="7"/>
  <c r="H30" i="13"/>
  <c r="F35" i="3"/>
  <c r="AC35" i="3" s="1"/>
  <c r="F35" i="13"/>
  <c r="AC35" i="13" s="1"/>
  <c r="H38" i="3"/>
  <c r="AL39" i="7"/>
  <c r="H38" i="13"/>
  <c r="H50" i="3"/>
  <c r="AL51" i="7"/>
  <c r="H50" i="13"/>
  <c r="F60" i="3"/>
  <c r="AC60" i="3" s="1"/>
  <c r="F60" i="13"/>
  <c r="AC60" i="13" s="1"/>
  <c r="F64" i="3"/>
  <c r="AC64" i="3" s="1"/>
  <c r="F64" i="13"/>
  <c r="AC64" i="13" s="1"/>
  <c r="F76" i="3"/>
  <c r="AC76" i="3" s="1"/>
  <c r="F76" i="13"/>
  <c r="AC76" i="13" s="1"/>
  <c r="F80" i="3"/>
  <c r="AC80" i="3" s="1"/>
  <c r="F80" i="13"/>
  <c r="AC80" i="13" s="1"/>
  <c r="F91" i="3"/>
  <c r="AC91" i="3" s="1"/>
  <c r="F91" i="13"/>
  <c r="AC91" i="13" s="1"/>
  <c r="H103" i="3"/>
  <c r="AL104" i="7"/>
  <c r="H103" i="13"/>
  <c r="F108" i="3"/>
  <c r="AC108" i="3" s="1"/>
  <c r="F108" i="13"/>
  <c r="AC108" i="13" s="1"/>
  <c r="H111" i="3"/>
  <c r="H111" i="13"/>
  <c r="AL112" i="7"/>
  <c r="F118" i="3"/>
  <c r="AC118" i="3" s="1"/>
  <c r="F118" i="13"/>
  <c r="AC118" i="13" s="1"/>
  <c r="F124" i="3"/>
  <c r="AC124" i="3" s="1"/>
  <c r="F124" i="13"/>
  <c r="AC124" i="13" s="1"/>
  <c r="F128" i="3"/>
  <c r="AC128" i="3" s="1"/>
  <c r="F128" i="13"/>
  <c r="AC128" i="13" s="1"/>
  <c r="F134" i="3"/>
  <c r="AC134" i="3" s="1"/>
  <c r="F134" i="13"/>
  <c r="AC134" i="13" s="1"/>
  <c r="H138" i="3"/>
  <c r="AL139" i="7"/>
  <c r="H138" i="13"/>
  <c r="H148" i="3"/>
  <c r="AL149" i="7"/>
  <c r="H148" i="13"/>
  <c r="F154" i="3"/>
  <c r="AC154" i="3" s="1"/>
  <c r="F154" i="13"/>
  <c r="AC154" i="13" s="1"/>
  <c r="F21" i="3"/>
  <c r="AC21" i="3" s="1"/>
  <c r="F21" i="13"/>
  <c r="AC21" i="13" s="1"/>
  <c r="F27" i="3"/>
  <c r="AC27" i="3" s="1"/>
  <c r="F27" i="13"/>
  <c r="AC27" i="13" s="1"/>
  <c r="F51" i="3"/>
  <c r="AC51" i="3" s="1"/>
  <c r="F51" i="13"/>
  <c r="AC51" i="13" s="1"/>
  <c r="H63" i="3"/>
  <c r="H63" i="13"/>
  <c r="AL64" i="7"/>
  <c r="H68" i="3"/>
  <c r="AL69" i="7"/>
  <c r="H68" i="13"/>
  <c r="F70" i="3"/>
  <c r="AC70" i="3" s="1"/>
  <c r="F70" i="13"/>
  <c r="AC70" i="13" s="1"/>
  <c r="H77" i="3"/>
  <c r="AL78" i="7"/>
  <c r="H77" i="13"/>
  <c r="F81" i="3"/>
  <c r="AC81" i="3" s="1"/>
  <c r="F81" i="13"/>
  <c r="AC81" i="13" s="1"/>
  <c r="H90" i="3"/>
  <c r="AL91" i="7"/>
  <c r="H90" i="13"/>
  <c r="F96" i="3"/>
  <c r="AC96" i="3" s="1"/>
  <c r="F96" i="13"/>
  <c r="AC96" i="13" s="1"/>
  <c r="F100" i="3"/>
  <c r="AC100" i="3" s="1"/>
  <c r="F100" i="13"/>
  <c r="AC100" i="13" s="1"/>
  <c r="F105" i="3"/>
  <c r="AC105" i="3" s="1"/>
  <c r="F105" i="13"/>
  <c r="AC105" i="13" s="1"/>
  <c r="F122" i="3"/>
  <c r="AC122" i="3" s="1"/>
  <c r="F122" i="13"/>
  <c r="AC122" i="13" s="1"/>
  <c r="F132" i="3"/>
  <c r="AC132" i="3" s="1"/>
  <c r="F132" i="13"/>
  <c r="AC132" i="13" s="1"/>
  <c r="F139" i="3"/>
  <c r="AC139" i="3" s="1"/>
  <c r="F139" i="13"/>
  <c r="AC139" i="13" s="1"/>
  <c r="H144" i="3"/>
  <c r="AL145" i="7"/>
  <c r="H144" i="13"/>
  <c r="F151" i="3"/>
  <c r="AC151" i="3" s="1"/>
  <c r="F151" i="13"/>
  <c r="AC151" i="13" s="1"/>
  <c r="F11" i="3"/>
  <c r="AC11" i="3" s="1"/>
  <c r="F11" i="13"/>
  <c r="AC11" i="13" s="1"/>
  <c r="H17" i="3"/>
  <c r="H17" i="13"/>
  <c r="AL18" i="7"/>
  <c r="H20" i="3"/>
  <c r="H20" i="13"/>
  <c r="AL21" i="7"/>
  <c r="H40" i="3"/>
  <c r="AL41" i="7"/>
  <c r="H40" i="13"/>
  <c r="H43" i="3"/>
  <c r="AL44" i="7"/>
  <c r="H43" i="13"/>
  <c r="H48" i="3"/>
  <c r="AL49" i="7"/>
  <c r="H48" i="13"/>
  <c r="H52" i="3"/>
  <c r="AL53" i="7"/>
  <c r="H52" i="13"/>
  <c r="F57" i="3"/>
  <c r="AC57" i="3" s="1"/>
  <c r="F57" i="13"/>
  <c r="AC57" i="13" s="1"/>
  <c r="H66" i="3"/>
  <c r="H66" i="13"/>
  <c r="AL67" i="7"/>
  <c r="F71" i="3"/>
  <c r="AC71" i="3" s="1"/>
  <c r="F71" i="13"/>
  <c r="AC71" i="13" s="1"/>
  <c r="H75" i="3"/>
  <c r="AL76" i="7"/>
  <c r="H75" i="13"/>
  <c r="F83" i="3"/>
  <c r="AC83" i="3" s="1"/>
  <c r="F83" i="13"/>
  <c r="AC83" i="13" s="1"/>
  <c r="F87" i="3"/>
  <c r="AC87" i="3" s="1"/>
  <c r="F87" i="13"/>
  <c r="AC87" i="13" s="1"/>
  <c r="F92" i="3"/>
  <c r="AC92" i="3" s="1"/>
  <c r="F92" i="13"/>
  <c r="AC92" i="13" s="1"/>
  <c r="H99" i="3"/>
  <c r="AL100" i="7"/>
  <c r="H99" i="13"/>
  <c r="F107" i="3"/>
  <c r="AC107" i="3" s="1"/>
  <c r="F107" i="13"/>
  <c r="AC107" i="13" s="1"/>
  <c r="F114" i="3"/>
  <c r="AC114" i="3" s="1"/>
  <c r="F114" i="13"/>
  <c r="AC114" i="13" s="1"/>
  <c r="H117" i="3"/>
  <c r="AL118" i="7"/>
  <c r="H117" i="13"/>
  <c r="F121" i="3"/>
  <c r="AC121" i="3" s="1"/>
  <c r="F121" i="13"/>
  <c r="AC121" i="13" s="1"/>
  <c r="F127" i="3"/>
  <c r="AC127" i="3" s="1"/>
  <c r="F127" i="13"/>
  <c r="AC127" i="13" s="1"/>
  <c r="F131" i="3"/>
  <c r="AC131" i="3" s="1"/>
  <c r="F131" i="13"/>
  <c r="AC131" i="13" s="1"/>
  <c r="AL141" i="7"/>
  <c r="H140" i="3"/>
  <c r="H140" i="13"/>
  <c r="F146" i="3"/>
  <c r="AC146" i="3" s="1"/>
  <c r="F146" i="13"/>
  <c r="AC146" i="13" s="1"/>
  <c r="F149" i="3"/>
  <c r="AC149" i="3" s="1"/>
  <c r="F149" i="13"/>
  <c r="AC149" i="13" s="1"/>
  <c r="H155" i="3"/>
  <c r="AL156" i="7"/>
  <c r="H155" i="13"/>
  <c r="H159" i="3"/>
  <c r="H159" i="13"/>
  <c r="AL160" i="7"/>
  <c r="F8" i="3"/>
  <c r="AC8" i="3" s="1"/>
  <c r="F8" i="13"/>
  <c r="AC8" i="13" s="1"/>
  <c r="H26" i="3"/>
  <c r="H26" i="13"/>
  <c r="AL27" i="7"/>
  <c r="H33" i="3"/>
  <c r="AL34" i="7"/>
  <c r="H33" i="13"/>
  <c r="F42" i="3"/>
  <c r="AC42" i="3" s="1"/>
  <c r="F42" i="13"/>
  <c r="AC42" i="13" s="1"/>
  <c r="F47" i="3"/>
  <c r="AC47" i="3" s="1"/>
  <c r="F47" i="13"/>
  <c r="AC47" i="13" s="1"/>
  <c r="H54" i="3"/>
  <c r="H54" i="13"/>
  <c r="AL55" i="7"/>
  <c r="F59" i="3"/>
  <c r="AC59" i="3" s="1"/>
  <c r="F59" i="13"/>
  <c r="AC59" i="13" s="1"/>
  <c r="F61" i="3"/>
  <c r="AC61" i="3" s="1"/>
  <c r="F61" i="13"/>
  <c r="AC61" i="13" s="1"/>
  <c r="H67" i="3"/>
  <c r="H67" i="13"/>
  <c r="AL68" i="7"/>
  <c r="H86" i="3"/>
  <c r="H86" i="13"/>
  <c r="AL87" i="7"/>
  <c r="H95" i="3"/>
  <c r="AL96" i="7"/>
  <c r="H95" i="13"/>
  <c r="F101" i="3"/>
  <c r="AC101" i="3" s="1"/>
  <c r="F101" i="13"/>
  <c r="AC101" i="13" s="1"/>
  <c r="F106" i="3"/>
  <c r="AC106" i="3" s="1"/>
  <c r="F106" i="13"/>
  <c r="AC106" i="13" s="1"/>
  <c r="F110" i="3"/>
  <c r="AC110" i="3" s="1"/>
  <c r="F110" i="13"/>
  <c r="AC110" i="13" s="1"/>
  <c r="F130" i="3"/>
  <c r="AC130" i="3" s="1"/>
  <c r="F130" i="13"/>
  <c r="AC130" i="13" s="1"/>
  <c r="H136" i="3"/>
  <c r="AL137" i="7"/>
  <c r="H136" i="13"/>
  <c r="H141" i="3"/>
  <c r="AL142" i="7"/>
  <c r="H141" i="13"/>
  <c r="F152" i="3"/>
  <c r="AC152" i="3" s="1"/>
  <c r="F152" i="13"/>
  <c r="AC152" i="13" s="1"/>
  <c r="H156" i="3"/>
  <c r="AL157" i="7"/>
  <c r="H156" i="13"/>
  <c r="F10" i="3"/>
  <c r="AC10" i="3" s="1"/>
  <c r="F10" i="13"/>
  <c r="AC10" i="13" s="1"/>
  <c r="F16" i="3"/>
  <c r="AC16" i="3" s="1"/>
  <c r="F16" i="13"/>
  <c r="AC16" i="13" s="1"/>
  <c r="H24" i="3"/>
  <c r="H24" i="13"/>
  <c r="AL25" i="7"/>
  <c r="H28" i="3"/>
  <c r="AL29" i="7"/>
  <c r="H28" i="13"/>
  <c r="H32" i="3"/>
  <c r="H32" i="13"/>
  <c r="AL33" i="7"/>
  <c r="H36" i="3"/>
  <c r="AL37" i="7"/>
  <c r="H36" i="13"/>
  <c r="H39" i="3"/>
  <c r="AL40" i="7"/>
  <c r="H39" i="13"/>
  <c r="F53" i="3"/>
  <c r="AC53" i="3" s="1"/>
  <c r="F53" i="13"/>
  <c r="AC53" i="13" s="1"/>
  <c r="F58" i="3"/>
  <c r="AC58" i="3" s="1"/>
  <c r="F58" i="13"/>
  <c r="AC58" i="13" s="1"/>
  <c r="F62" i="3"/>
  <c r="AC62" i="3" s="1"/>
  <c r="F62" i="13"/>
  <c r="AC62" i="13" s="1"/>
  <c r="F74" i="3"/>
  <c r="AC74" i="3" s="1"/>
  <c r="F74" i="13"/>
  <c r="AC74" i="13" s="1"/>
  <c r="F78" i="3"/>
  <c r="AC78" i="3" s="1"/>
  <c r="F78" i="13"/>
  <c r="AC78" i="13" s="1"/>
  <c r="F82" i="3"/>
  <c r="AC82" i="3" s="1"/>
  <c r="F82" i="13"/>
  <c r="AC82" i="13" s="1"/>
  <c r="F94" i="3"/>
  <c r="AC94" i="3" s="1"/>
  <c r="F94" i="13"/>
  <c r="AC94" i="13" s="1"/>
  <c r="F103" i="3"/>
  <c r="AC103" i="3" s="1"/>
  <c r="F103" i="13"/>
  <c r="AC103" i="13" s="1"/>
  <c r="F111" i="3"/>
  <c r="AC111" i="3" s="1"/>
  <c r="F111" i="13"/>
  <c r="AC111" i="13" s="1"/>
  <c r="F116" i="3"/>
  <c r="AC116" i="3" s="1"/>
  <c r="F116" i="13"/>
  <c r="AC116" i="13" s="1"/>
  <c r="F126" i="3"/>
  <c r="AC126" i="3" s="1"/>
  <c r="F126" i="13"/>
  <c r="AC126" i="13" s="1"/>
  <c r="F138" i="3"/>
  <c r="AC138" i="3" s="1"/>
  <c r="F138" i="13"/>
  <c r="AC138" i="13" s="1"/>
  <c r="F142" i="3"/>
  <c r="AC142" i="3" s="1"/>
  <c r="F142" i="13"/>
  <c r="AC142" i="13" s="1"/>
  <c r="F148" i="3"/>
  <c r="AC148" i="3" s="1"/>
  <c r="F148" i="13"/>
  <c r="AC148" i="13" s="1"/>
  <c r="H154" i="3"/>
  <c r="AL155" i="7"/>
  <c r="H154" i="13"/>
  <c r="P189" i="3" l="1"/>
  <c r="S189" i="3" s="1"/>
  <c r="P189" i="13"/>
  <c r="S189" i="13" s="1"/>
  <c r="N194" i="1"/>
  <c r="R188" i="3"/>
  <c r="T188" i="3"/>
  <c r="W194" i="1"/>
  <c r="Y193" i="1"/>
  <c r="B190" i="3"/>
  <c r="AF190" i="3" s="1"/>
  <c r="C189" i="3"/>
  <c r="O189" i="3"/>
  <c r="O189" i="13"/>
  <c r="M194" i="1"/>
  <c r="O193" i="1"/>
  <c r="T193" i="1"/>
  <c r="V192" i="1"/>
  <c r="Q188" i="13"/>
  <c r="Q188" i="3"/>
  <c r="B189" i="13"/>
  <c r="AF189" i="13" s="1"/>
  <c r="C188" i="13"/>
  <c r="Q196" i="1"/>
  <c r="S195" i="1"/>
  <c r="H189" i="7"/>
  <c r="Z188" i="7"/>
  <c r="R188" i="13"/>
  <c r="T188" i="13"/>
  <c r="L7" i="3"/>
  <c r="V7" i="3" s="1"/>
  <c r="L6" i="3"/>
  <c r="V6" i="3" s="1"/>
  <c r="V189" i="7"/>
  <c r="K189" i="7" s="1"/>
  <c r="X189" i="7"/>
  <c r="M189" i="7" s="1"/>
  <c r="S189" i="7"/>
  <c r="Q189" i="7"/>
  <c r="W189" i="7"/>
  <c r="L189" i="7" s="1"/>
  <c r="R189" i="7"/>
  <c r="L188" i="7"/>
  <c r="O191" i="7"/>
  <c r="P190" i="7"/>
  <c r="L7" i="13"/>
  <c r="V7" i="13" s="1"/>
  <c r="L6" i="13"/>
  <c r="V6" i="13" s="1"/>
  <c r="K188" i="7"/>
  <c r="Z189" i="7" l="1"/>
  <c r="H190" i="7"/>
  <c r="B190" i="13"/>
  <c r="AF190" i="13" s="1"/>
  <c r="C189" i="13"/>
  <c r="R189" i="13"/>
  <c r="T189" i="13"/>
  <c r="T194" i="1"/>
  <c r="V193" i="1"/>
  <c r="R189" i="3"/>
  <c r="T189" i="3"/>
  <c r="P190" i="3"/>
  <c r="S190" i="3" s="1"/>
  <c r="P190" i="13"/>
  <c r="S190" i="13" s="1"/>
  <c r="N195" i="1"/>
  <c r="Q197" i="1"/>
  <c r="S196" i="1"/>
  <c r="Q189" i="3"/>
  <c r="Q189" i="13"/>
  <c r="W195" i="1"/>
  <c r="Y194" i="1"/>
  <c r="O190" i="3"/>
  <c r="O190" i="13"/>
  <c r="O194" i="1"/>
  <c r="M195" i="1"/>
  <c r="B191" i="3"/>
  <c r="AF191" i="3" s="1"/>
  <c r="C190" i="3"/>
  <c r="V190" i="7"/>
  <c r="S190" i="7"/>
  <c r="X190" i="7"/>
  <c r="Q190" i="7"/>
  <c r="W190" i="7"/>
  <c r="R190" i="7"/>
  <c r="P191" i="7"/>
  <c r="O192" i="7"/>
  <c r="V194" i="1" l="1"/>
  <c r="T195" i="1"/>
  <c r="Q190" i="13"/>
  <c r="Q190" i="3"/>
  <c r="Y195" i="1"/>
  <c r="W196" i="1"/>
  <c r="Q198" i="1"/>
  <c r="S197" i="1"/>
  <c r="B191" i="13"/>
  <c r="AF191" i="13" s="1"/>
  <c r="C190" i="13"/>
  <c r="B192" i="3"/>
  <c r="AF192" i="3" s="1"/>
  <c r="C191" i="3"/>
  <c r="R190" i="13"/>
  <c r="T190" i="13"/>
  <c r="P191" i="3"/>
  <c r="S191" i="3" s="1"/>
  <c r="P191" i="13"/>
  <c r="S191" i="13" s="1"/>
  <c r="N196" i="1"/>
  <c r="H191" i="7"/>
  <c r="Z190" i="7"/>
  <c r="O191" i="3"/>
  <c r="O191" i="13"/>
  <c r="M196" i="1"/>
  <c r="O195" i="1"/>
  <c r="R190" i="3"/>
  <c r="T190" i="3"/>
  <c r="V191" i="7"/>
  <c r="K191" i="7" s="1"/>
  <c r="Q191" i="7"/>
  <c r="W191" i="7"/>
  <c r="L191" i="7" s="1"/>
  <c r="R191" i="7"/>
  <c r="S191" i="7"/>
  <c r="X191" i="7"/>
  <c r="M191" i="7" s="1"/>
  <c r="M190" i="7"/>
  <c r="P192" i="7"/>
  <c r="O193" i="7"/>
  <c r="L190" i="7"/>
  <c r="K190" i="7"/>
  <c r="O192" i="3" l="1"/>
  <c r="O192" i="13"/>
  <c r="O196" i="1"/>
  <c r="M197" i="1"/>
  <c r="Z191" i="7"/>
  <c r="H192" i="7"/>
  <c r="R191" i="13"/>
  <c r="T191" i="13"/>
  <c r="P192" i="3"/>
  <c r="S192" i="3" s="1"/>
  <c r="N197" i="1"/>
  <c r="P192" i="13"/>
  <c r="S192" i="13" s="1"/>
  <c r="S198" i="1"/>
  <c r="Q199" i="1"/>
  <c r="R191" i="3"/>
  <c r="T191" i="3"/>
  <c r="B192" i="13"/>
  <c r="AF192" i="13" s="1"/>
  <c r="C191" i="13"/>
  <c r="Y196" i="1"/>
  <c r="W197" i="1"/>
  <c r="T196" i="1"/>
  <c r="V195" i="1"/>
  <c r="Q191" i="13"/>
  <c r="Q191" i="3"/>
  <c r="B193" i="3"/>
  <c r="AF193" i="3" s="1"/>
  <c r="C192" i="3"/>
  <c r="P193" i="7"/>
  <c r="O194" i="7"/>
  <c r="X192" i="7"/>
  <c r="M192" i="7" s="1"/>
  <c r="V192" i="7"/>
  <c r="R192" i="7"/>
  <c r="Q192" i="7"/>
  <c r="W192" i="7"/>
  <c r="S192" i="7"/>
  <c r="W198" i="1" l="1"/>
  <c r="Y197" i="1"/>
  <c r="O193" i="3"/>
  <c r="O193" i="13"/>
  <c r="M198" i="1"/>
  <c r="O197" i="1"/>
  <c r="Q192" i="13"/>
  <c r="Q192" i="3"/>
  <c r="B194" i="3"/>
  <c r="AF194" i="3" s="1"/>
  <c r="C193" i="3"/>
  <c r="P193" i="3"/>
  <c r="S193" i="3" s="1"/>
  <c r="P193" i="13"/>
  <c r="S193" i="13" s="1"/>
  <c r="N198" i="1"/>
  <c r="H193" i="7"/>
  <c r="Z192" i="7"/>
  <c r="R192" i="13"/>
  <c r="T192" i="13"/>
  <c r="T197" i="1"/>
  <c r="V196" i="1"/>
  <c r="B193" i="13"/>
  <c r="AF193" i="13" s="1"/>
  <c r="C192" i="13"/>
  <c r="S199" i="1"/>
  <c r="Q200" i="1"/>
  <c r="R192" i="3"/>
  <c r="T192" i="3"/>
  <c r="X193" i="7"/>
  <c r="Q193" i="7"/>
  <c r="W193" i="7"/>
  <c r="R193" i="7"/>
  <c r="V193" i="7"/>
  <c r="S193" i="7"/>
  <c r="K192" i="7"/>
  <c r="P194" i="7"/>
  <c r="O195" i="7"/>
  <c r="L192" i="7"/>
  <c r="L193" i="7"/>
  <c r="M193" i="7"/>
  <c r="R193" i="13" l="1"/>
  <c r="T193" i="13"/>
  <c r="T198" i="1"/>
  <c r="V197" i="1"/>
  <c r="Z193" i="7"/>
  <c r="H194" i="7"/>
  <c r="R193" i="3"/>
  <c r="T193" i="3"/>
  <c r="B194" i="13"/>
  <c r="AF194" i="13" s="1"/>
  <c r="C193" i="13"/>
  <c r="P194" i="3"/>
  <c r="S194" i="3" s="1"/>
  <c r="P194" i="13"/>
  <c r="S194" i="13" s="1"/>
  <c r="N199" i="1"/>
  <c r="B195" i="3"/>
  <c r="AF195" i="3" s="1"/>
  <c r="C194" i="3"/>
  <c r="Q193" i="3"/>
  <c r="Q193" i="13"/>
  <c r="Q201" i="1"/>
  <c r="S200" i="1"/>
  <c r="O194" i="3"/>
  <c r="O194" i="13"/>
  <c r="O198" i="1"/>
  <c r="M199" i="1"/>
  <c r="W199" i="1"/>
  <c r="Y198" i="1"/>
  <c r="P195" i="7"/>
  <c r="O196" i="7"/>
  <c r="V194" i="7"/>
  <c r="S194" i="7"/>
  <c r="X194" i="7"/>
  <c r="Q194" i="7"/>
  <c r="W194" i="7"/>
  <c r="R194" i="7"/>
  <c r="K193" i="7"/>
  <c r="Q194" i="13" l="1"/>
  <c r="Q194" i="3"/>
  <c r="S201" i="1"/>
  <c r="Q202" i="1"/>
  <c r="B196" i="3"/>
  <c r="AF196" i="3" s="1"/>
  <c r="C195" i="3"/>
  <c r="R194" i="13"/>
  <c r="T194" i="13"/>
  <c r="V198" i="1"/>
  <c r="T199" i="1"/>
  <c r="W200" i="1"/>
  <c r="Y199" i="1"/>
  <c r="R194" i="3"/>
  <c r="T194" i="3"/>
  <c r="P195" i="3"/>
  <c r="S195" i="3" s="1"/>
  <c r="P195" i="13"/>
  <c r="S195" i="13" s="1"/>
  <c r="N200" i="1"/>
  <c r="B195" i="13"/>
  <c r="AF195" i="13" s="1"/>
  <c r="C194" i="13"/>
  <c r="H195" i="7"/>
  <c r="Z194" i="7"/>
  <c r="O195" i="3"/>
  <c r="O195" i="13"/>
  <c r="M200" i="1"/>
  <c r="O199" i="1"/>
  <c r="M194" i="7"/>
  <c r="P196" i="7"/>
  <c r="O197" i="7"/>
  <c r="V195" i="7"/>
  <c r="K195" i="7" s="1"/>
  <c r="Q195" i="7"/>
  <c r="W195" i="7"/>
  <c r="R195" i="7"/>
  <c r="S195" i="7"/>
  <c r="X195" i="7"/>
  <c r="L195" i="7"/>
  <c r="L194" i="7"/>
  <c r="K194" i="7"/>
  <c r="R195" i="3" l="1"/>
  <c r="T195" i="3"/>
  <c r="B196" i="13"/>
  <c r="AF196" i="13" s="1"/>
  <c r="C195" i="13"/>
  <c r="Y200" i="1"/>
  <c r="W201" i="1"/>
  <c r="S202" i="1"/>
  <c r="Q203" i="1"/>
  <c r="Q195" i="13"/>
  <c r="Q195" i="3"/>
  <c r="T200" i="1"/>
  <c r="V199" i="1"/>
  <c r="O196" i="3"/>
  <c r="O196" i="13"/>
  <c r="O200" i="1"/>
  <c r="M201" i="1"/>
  <c r="Z195" i="7"/>
  <c r="H196" i="7"/>
  <c r="P196" i="3"/>
  <c r="S196" i="3" s="1"/>
  <c r="N201" i="1"/>
  <c r="P196" i="13"/>
  <c r="S196" i="13" s="1"/>
  <c r="B197" i="3"/>
  <c r="AF197" i="3" s="1"/>
  <c r="C196" i="3"/>
  <c r="R195" i="13"/>
  <c r="T195" i="13"/>
  <c r="X196" i="7"/>
  <c r="V196" i="7"/>
  <c r="K196" i="7" s="1"/>
  <c r="R196" i="7"/>
  <c r="Q196" i="7"/>
  <c r="W196" i="7"/>
  <c r="S196" i="7"/>
  <c r="M195" i="7"/>
  <c r="P197" i="7"/>
  <c r="O198" i="7"/>
  <c r="M196" i="7"/>
  <c r="B198" i="3" l="1"/>
  <c r="AF198" i="3" s="1"/>
  <c r="C197" i="3"/>
  <c r="Q196" i="13"/>
  <c r="Q196" i="3"/>
  <c r="T201" i="1"/>
  <c r="V200" i="1"/>
  <c r="B197" i="13"/>
  <c r="AF197" i="13" s="1"/>
  <c r="C196" i="13"/>
  <c r="R196" i="3"/>
  <c r="T196" i="3"/>
  <c r="H197" i="7"/>
  <c r="Z196" i="7"/>
  <c r="R196" i="13"/>
  <c r="T196" i="13"/>
  <c r="W202" i="1"/>
  <c r="Y201" i="1"/>
  <c r="P197" i="3"/>
  <c r="S197" i="3" s="1"/>
  <c r="P197" i="13"/>
  <c r="S197" i="13" s="1"/>
  <c r="N202" i="1"/>
  <c r="O197" i="3"/>
  <c r="O197" i="13"/>
  <c r="M202" i="1"/>
  <c r="O201" i="1"/>
  <c r="Q204" i="1"/>
  <c r="S203" i="1"/>
  <c r="P198" i="7"/>
  <c r="O199" i="7"/>
  <c r="R197" i="7"/>
  <c r="W197" i="7"/>
  <c r="X197" i="7"/>
  <c r="S197" i="7"/>
  <c r="Q197" i="7"/>
  <c r="V197" i="7"/>
  <c r="K197" i="7" s="1"/>
  <c r="L196" i="7"/>
  <c r="L197" i="7"/>
  <c r="O198" i="13" l="1"/>
  <c r="O202" i="1"/>
  <c r="O198" i="3"/>
  <c r="M203" i="1"/>
  <c r="R197" i="13"/>
  <c r="T197" i="13"/>
  <c r="Q205" i="1"/>
  <c r="S204" i="1"/>
  <c r="R197" i="3"/>
  <c r="T197" i="3"/>
  <c r="T202" i="1"/>
  <c r="V201" i="1"/>
  <c r="B199" i="3"/>
  <c r="AF199" i="3" s="1"/>
  <c r="C198" i="3"/>
  <c r="Q197" i="3"/>
  <c r="Q197" i="13"/>
  <c r="P198" i="3"/>
  <c r="S198" i="3" s="1"/>
  <c r="P198" i="13"/>
  <c r="S198" i="13" s="1"/>
  <c r="N203" i="1"/>
  <c r="W203" i="1"/>
  <c r="Y202" i="1"/>
  <c r="Z197" i="7"/>
  <c r="H198" i="7"/>
  <c r="B198" i="13"/>
  <c r="AF198" i="13" s="1"/>
  <c r="C197" i="13"/>
  <c r="M197" i="7"/>
  <c r="O200" i="7"/>
  <c r="P199" i="7"/>
  <c r="R198" i="7"/>
  <c r="W198" i="7"/>
  <c r="Q198" i="7"/>
  <c r="S198" i="7"/>
  <c r="V198" i="7"/>
  <c r="X198" i="7"/>
  <c r="H199" i="7" l="1"/>
  <c r="Z198" i="7"/>
  <c r="P199" i="3"/>
  <c r="S199" i="3" s="1"/>
  <c r="P199" i="13"/>
  <c r="S199" i="13" s="1"/>
  <c r="N204" i="1"/>
  <c r="O199" i="3"/>
  <c r="O199" i="13"/>
  <c r="M204" i="1"/>
  <c r="O203" i="1"/>
  <c r="V202" i="1"/>
  <c r="T203" i="1"/>
  <c r="S205" i="1"/>
  <c r="Q206" i="1"/>
  <c r="R198" i="3"/>
  <c r="T198" i="3"/>
  <c r="B199" i="13"/>
  <c r="AF199" i="13" s="1"/>
  <c r="C198" i="13"/>
  <c r="B200" i="3"/>
  <c r="AF200" i="3" s="1"/>
  <c r="C199" i="3"/>
  <c r="Q198" i="13"/>
  <c r="Q198" i="3"/>
  <c r="Y203" i="1"/>
  <c r="W204" i="1"/>
  <c r="R198" i="13"/>
  <c r="T198" i="13"/>
  <c r="L198" i="7"/>
  <c r="V199" i="7"/>
  <c r="K199" i="7" s="1"/>
  <c r="Q199" i="7"/>
  <c r="W199" i="7"/>
  <c r="R199" i="7"/>
  <c r="S199" i="7"/>
  <c r="X199" i="7"/>
  <c r="K198" i="7"/>
  <c r="O201" i="7"/>
  <c r="P200" i="7"/>
  <c r="M198" i="7"/>
  <c r="B201" i="3" l="1"/>
  <c r="AF201" i="3" s="1"/>
  <c r="C200" i="3"/>
  <c r="O200" i="3"/>
  <c r="O200" i="13"/>
  <c r="O204" i="1"/>
  <c r="M205" i="1"/>
  <c r="T204" i="1"/>
  <c r="V203" i="1"/>
  <c r="R199" i="13"/>
  <c r="T199" i="13"/>
  <c r="R199" i="3"/>
  <c r="T199" i="3"/>
  <c r="Y204" i="1"/>
  <c r="W205" i="1"/>
  <c r="C199" i="13"/>
  <c r="B200" i="13"/>
  <c r="AF200" i="13" s="1"/>
  <c r="S206" i="1"/>
  <c r="Q207" i="1"/>
  <c r="Q199" i="13"/>
  <c r="Q199" i="3"/>
  <c r="P200" i="3"/>
  <c r="S200" i="3" s="1"/>
  <c r="N205" i="1"/>
  <c r="P200" i="13"/>
  <c r="S200" i="13" s="1"/>
  <c r="Z199" i="7"/>
  <c r="H200" i="7"/>
  <c r="M199" i="7"/>
  <c r="L199" i="7"/>
  <c r="W200" i="7"/>
  <c r="R200" i="7"/>
  <c r="V200" i="7"/>
  <c r="Q200" i="7"/>
  <c r="X200" i="7"/>
  <c r="S200" i="7"/>
  <c r="K200" i="7"/>
  <c r="P201" i="7"/>
  <c r="O202" i="7"/>
  <c r="P201" i="3" l="1"/>
  <c r="S201" i="3" s="1"/>
  <c r="P201" i="13"/>
  <c r="S201" i="13" s="1"/>
  <c r="N206" i="1"/>
  <c r="Q208" i="1"/>
  <c r="S207" i="1"/>
  <c r="T205" i="1"/>
  <c r="V204" i="1"/>
  <c r="R200" i="3"/>
  <c r="T200" i="3"/>
  <c r="H201" i="7"/>
  <c r="Z200" i="7"/>
  <c r="W206" i="1"/>
  <c r="Y205" i="1"/>
  <c r="O201" i="3"/>
  <c r="O201" i="13"/>
  <c r="M206" i="1"/>
  <c r="O205" i="1"/>
  <c r="B201" i="13"/>
  <c r="AF201" i="13" s="1"/>
  <c r="C200" i="13"/>
  <c r="Q200" i="13"/>
  <c r="Q200" i="3"/>
  <c r="B202" i="3"/>
  <c r="AF202" i="3" s="1"/>
  <c r="C201" i="3"/>
  <c r="R200" i="13"/>
  <c r="T200" i="13"/>
  <c r="P202" i="7"/>
  <c r="O203" i="7"/>
  <c r="L200" i="7"/>
  <c r="W201" i="7"/>
  <c r="Q201" i="7"/>
  <c r="X201" i="7"/>
  <c r="R201" i="7"/>
  <c r="S201" i="7"/>
  <c r="V201" i="7"/>
  <c r="M200" i="7"/>
  <c r="M201" i="7"/>
  <c r="B203" i="3" l="1"/>
  <c r="AF203" i="3" s="1"/>
  <c r="C202" i="3"/>
  <c r="O202" i="3"/>
  <c r="O202" i="13"/>
  <c r="O206" i="1"/>
  <c r="M207" i="1"/>
  <c r="W207" i="1"/>
  <c r="Y206" i="1"/>
  <c r="Q209" i="1"/>
  <c r="S208" i="1"/>
  <c r="B202" i="13"/>
  <c r="AF202" i="13" s="1"/>
  <c r="C201" i="13"/>
  <c r="R201" i="13"/>
  <c r="T201" i="13"/>
  <c r="P202" i="3"/>
  <c r="S202" i="3" s="1"/>
  <c r="P202" i="13"/>
  <c r="S202" i="13" s="1"/>
  <c r="N207" i="1"/>
  <c r="R201" i="3"/>
  <c r="T201" i="3"/>
  <c r="Z201" i="7"/>
  <c r="H202" i="7"/>
  <c r="T206" i="1"/>
  <c r="V205" i="1"/>
  <c r="Q201" i="3"/>
  <c r="Q201" i="13"/>
  <c r="L201" i="7"/>
  <c r="K201" i="7"/>
  <c r="P203" i="7"/>
  <c r="O204" i="7"/>
  <c r="V202" i="7"/>
  <c r="S202" i="7"/>
  <c r="X202" i="7"/>
  <c r="Q202" i="7"/>
  <c r="W202" i="7"/>
  <c r="R202" i="7"/>
  <c r="V206" i="1" l="1"/>
  <c r="T207" i="1"/>
  <c r="W208" i="1"/>
  <c r="Y207" i="1"/>
  <c r="R202" i="3"/>
  <c r="T202" i="3"/>
  <c r="H203" i="7"/>
  <c r="Z202" i="7"/>
  <c r="P203" i="3"/>
  <c r="S203" i="3" s="1"/>
  <c r="P203" i="13"/>
  <c r="S203" i="13" s="1"/>
  <c r="N208" i="1"/>
  <c r="O203" i="3"/>
  <c r="O203" i="13"/>
  <c r="M208" i="1"/>
  <c r="O207" i="1"/>
  <c r="S209" i="1"/>
  <c r="Q210" i="1"/>
  <c r="Q202" i="13"/>
  <c r="Q202" i="3"/>
  <c r="B204" i="3"/>
  <c r="AF204" i="3" s="1"/>
  <c r="C203" i="3"/>
  <c r="B203" i="13"/>
  <c r="AF203" i="13" s="1"/>
  <c r="C202" i="13"/>
  <c r="R202" i="13"/>
  <c r="T202" i="13"/>
  <c r="L202" i="7"/>
  <c r="K202" i="7"/>
  <c r="M202" i="7"/>
  <c r="O205" i="7"/>
  <c r="P204" i="7"/>
  <c r="R203" i="7"/>
  <c r="X203" i="7"/>
  <c r="W203" i="7"/>
  <c r="V203" i="7"/>
  <c r="Q203" i="7"/>
  <c r="S203" i="7"/>
  <c r="C203" i="13" l="1"/>
  <c r="B204" i="13"/>
  <c r="AF204" i="13" s="1"/>
  <c r="R203" i="3"/>
  <c r="T203" i="3"/>
  <c r="Q203" i="13"/>
  <c r="Q203" i="3"/>
  <c r="P204" i="3"/>
  <c r="S204" i="3" s="1"/>
  <c r="N209" i="1"/>
  <c r="P204" i="13"/>
  <c r="S204" i="13" s="1"/>
  <c r="Z203" i="7"/>
  <c r="H204" i="7"/>
  <c r="Y208" i="1"/>
  <c r="W209" i="1"/>
  <c r="O204" i="3"/>
  <c r="O204" i="13"/>
  <c r="O208" i="1"/>
  <c r="M209" i="1"/>
  <c r="T208" i="1"/>
  <c r="V207" i="1"/>
  <c r="B205" i="3"/>
  <c r="AF205" i="3" s="1"/>
  <c r="C204" i="3"/>
  <c r="S210" i="1"/>
  <c r="Q211" i="1"/>
  <c r="R203" i="13"/>
  <c r="T203" i="13"/>
  <c r="K203" i="7"/>
  <c r="P205" i="7"/>
  <c r="O206" i="7"/>
  <c r="M203" i="7"/>
  <c r="L203" i="7"/>
  <c r="W204" i="7"/>
  <c r="L204" i="7" s="1"/>
  <c r="R204" i="7"/>
  <c r="V204" i="7"/>
  <c r="Q204" i="7"/>
  <c r="X204" i="7"/>
  <c r="S204" i="7"/>
  <c r="R204" i="13" l="1"/>
  <c r="T204" i="13"/>
  <c r="H205" i="7"/>
  <c r="Z204" i="7"/>
  <c r="T209" i="1"/>
  <c r="V208" i="1"/>
  <c r="B205" i="13"/>
  <c r="AF205" i="13" s="1"/>
  <c r="C204" i="13"/>
  <c r="B206" i="3"/>
  <c r="AF206" i="3" s="1"/>
  <c r="C205" i="3"/>
  <c r="O205" i="3"/>
  <c r="O205" i="13"/>
  <c r="M210" i="1"/>
  <c r="O209" i="1"/>
  <c r="W210" i="1"/>
  <c r="Y209" i="1"/>
  <c r="R204" i="3"/>
  <c r="T204" i="3"/>
  <c r="Q212" i="1"/>
  <c r="S211" i="1"/>
  <c r="Q204" i="13"/>
  <c r="Q204" i="3"/>
  <c r="P205" i="3"/>
  <c r="S205" i="3" s="1"/>
  <c r="P205" i="13"/>
  <c r="S205" i="13" s="1"/>
  <c r="N210" i="1"/>
  <c r="P206" i="7"/>
  <c r="O207" i="7"/>
  <c r="K204" i="7"/>
  <c r="R205" i="7"/>
  <c r="X205" i="7"/>
  <c r="W205" i="7"/>
  <c r="V205" i="7"/>
  <c r="K205" i="7" s="1"/>
  <c r="Q205" i="7"/>
  <c r="S205" i="7"/>
  <c r="M204" i="7"/>
  <c r="L205" i="7"/>
  <c r="Q205" i="3" l="1"/>
  <c r="Q205" i="13"/>
  <c r="B206" i="13"/>
  <c r="AF206" i="13" s="1"/>
  <c r="C205" i="13"/>
  <c r="P206" i="3"/>
  <c r="S206" i="3" s="1"/>
  <c r="P206" i="13"/>
  <c r="S206" i="13" s="1"/>
  <c r="N211" i="1"/>
  <c r="O206" i="3"/>
  <c r="O206" i="13"/>
  <c r="O210" i="1"/>
  <c r="M211" i="1"/>
  <c r="B207" i="3"/>
  <c r="AF207" i="3" s="1"/>
  <c r="C206" i="3"/>
  <c r="Z205" i="7"/>
  <c r="H206" i="7"/>
  <c r="R205" i="13"/>
  <c r="T205" i="13"/>
  <c r="Q213" i="1"/>
  <c r="S212" i="1"/>
  <c r="W211" i="1"/>
  <c r="Y210" i="1"/>
  <c r="R205" i="3"/>
  <c r="T205" i="3"/>
  <c r="T210" i="1"/>
  <c r="V209" i="1"/>
  <c r="P207" i="7"/>
  <c r="O208" i="7"/>
  <c r="V206" i="7"/>
  <c r="K206" i="7" s="1"/>
  <c r="S206" i="7"/>
  <c r="X206" i="7"/>
  <c r="Q206" i="7"/>
  <c r="W206" i="7"/>
  <c r="R206" i="7"/>
  <c r="M205" i="7"/>
  <c r="Q214" i="1" l="1"/>
  <c r="S213" i="1"/>
  <c r="O207" i="3"/>
  <c r="O207" i="13"/>
  <c r="M212" i="1"/>
  <c r="O211" i="1"/>
  <c r="P207" i="3"/>
  <c r="S207" i="3" s="1"/>
  <c r="P207" i="13"/>
  <c r="S207" i="13" s="1"/>
  <c r="N212" i="1"/>
  <c r="B207" i="13"/>
  <c r="AF207" i="13" s="1"/>
  <c r="C206" i="13"/>
  <c r="Q206" i="13"/>
  <c r="Q206" i="3"/>
  <c r="V210" i="1"/>
  <c r="T211" i="1"/>
  <c r="Y211" i="1"/>
  <c r="W212" i="1"/>
  <c r="B208" i="3"/>
  <c r="AF208" i="3" s="1"/>
  <c r="C207" i="3"/>
  <c r="R206" i="13"/>
  <c r="T206" i="13"/>
  <c r="H207" i="7"/>
  <c r="Z206" i="7"/>
  <c r="R206" i="3"/>
  <c r="T206" i="3"/>
  <c r="W207" i="7"/>
  <c r="L207" i="7" s="1"/>
  <c r="Q207" i="7"/>
  <c r="X207" i="7"/>
  <c r="R207" i="7"/>
  <c r="S207" i="7"/>
  <c r="V207" i="7"/>
  <c r="K207" i="7" s="1"/>
  <c r="M206" i="7"/>
  <c r="L206" i="7"/>
  <c r="P208" i="7"/>
  <c r="O209" i="7"/>
  <c r="Z207" i="7" l="1"/>
  <c r="H208" i="7"/>
  <c r="B209" i="3"/>
  <c r="AF209" i="3" s="1"/>
  <c r="C208" i="3"/>
  <c r="T212" i="1"/>
  <c r="V211" i="1"/>
  <c r="R207" i="13"/>
  <c r="T207" i="13"/>
  <c r="B208" i="13"/>
  <c r="AF208" i="13" s="1"/>
  <c r="C207" i="13"/>
  <c r="R207" i="3"/>
  <c r="T207" i="3"/>
  <c r="Y212" i="1"/>
  <c r="W213" i="1"/>
  <c r="Q207" i="13"/>
  <c r="Q207" i="3"/>
  <c r="P208" i="3"/>
  <c r="S208" i="3" s="1"/>
  <c r="N213" i="1"/>
  <c r="P208" i="13"/>
  <c r="S208" i="13" s="1"/>
  <c r="O208" i="3"/>
  <c r="O208" i="13"/>
  <c r="O212" i="1"/>
  <c r="M213" i="1"/>
  <c r="S214" i="1"/>
  <c r="Q215" i="1"/>
  <c r="P209" i="7"/>
  <c r="O210" i="7"/>
  <c r="W208" i="7"/>
  <c r="R208" i="7"/>
  <c r="V208" i="7"/>
  <c r="Q208" i="7"/>
  <c r="X208" i="7"/>
  <c r="M208" i="7" s="1"/>
  <c r="S208" i="7"/>
  <c r="M207" i="7"/>
  <c r="Q208" i="13" l="1"/>
  <c r="Q208" i="3"/>
  <c r="P209" i="3"/>
  <c r="S209" i="3" s="1"/>
  <c r="P209" i="13"/>
  <c r="S209" i="13" s="1"/>
  <c r="N214" i="1"/>
  <c r="W214" i="1"/>
  <c r="Y213" i="1"/>
  <c r="B210" i="3"/>
  <c r="AF210" i="3" s="1"/>
  <c r="C209" i="3"/>
  <c r="S215" i="1"/>
  <c r="Q216" i="1"/>
  <c r="R208" i="13"/>
  <c r="T208" i="13"/>
  <c r="B209" i="13"/>
  <c r="AF209" i="13" s="1"/>
  <c r="C208" i="13"/>
  <c r="R208" i="3"/>
  <c r="T208" i="3"/>
  <c r="T213" i="1"/>
  <c r="V212" i="1"/>
  <c r="H209" i="7"/>
  <c r="Z208" i="7"/>
  <c r="O209" i="3"/>
  <c r="O209" i="13"/>
  <c r="M214" i="1"/>
  <c r="O213" i="1"/>
  <c r="W209" i="7"/>
  <c r="Q209" i="7"/>
  <c r="X209" i="7"/>
  <c r="R209" i="7"/>
  <c r="S209" i="7"/>
  <c r="V209" i="7"/>
  <c r="L209" i="7"/>
  <c r="K208" i="7"/>
  <c r="L208" i="7"/>
  <c r="P210" i="7"/>
  <c r="O211" i="7"/>
  <c r="R209" i="3" l="1"/>
  <c r="T209" i="3"/>
  <c r="T214" i="1"/>
  <c r="V213" i="1"/>
  <c r="B210" i="13"/>
  <c r="AF210" i="13" s="1"/>
  <c r="C209" i="13"/>
  <c r="Q217" i="1"/>
  <c r="S216" i="1"/>
  <c r="Q209" i="3"/>
  <c r="Q209" i="13"/>
  <c r="O210" i="3"/>
  <c r="O210" i="13"/>
  <c r="O214" i="1"/>
  <c r="M215" i="1"/>
  <c r="Z209" i="7"/>
  <c r="H210" i="7"/>
  <c r="W215" i="1"/>
  <c r="Y214" i="1"/>
  <c r="R209" i="13"/>
  <c r="T209" i="13"/>
  <c r="B211" i="3"/>
  <c r="AF211" i="3" s="1"/>
  <c r="C210" i="3"/>
  <c r="P210" i="3"/>
  <c r="S210" i="3" s="1"/>
  <c r="P210" i="13"/>
  <c r="S210" i="13" s="1"/>
  <c r="N215" i="1"/>
  <c r="P211" i="7"/>
  <c r="O212" i="7"/>
  <c r="M209" i="7"/>
  <c r="V210" i="7"/>
  <c r="S210" i="7"/>
  <c r="X210" i="7"/>
  <c r="Q210" i="7"/>
  <c r="W210" i="7"/>
  <c r="R210" i="7"/>
  <c r="K209" i="7"/>
  <c r="H211" i="7" l="1"/>
  <c r="Z210" i="7"/>
  <c r="R210" i="13"/>
  <c r="T210" i="13"/>
  <c r="R210" i="3"/>
  <c r="T210" i="3"/>
  <c r="Q218" i="1"/>
  <c r="S217" i="1"/>
  <c r="P211" i="3"/>
  <c r="S211" i="3" s="1"/>
  <c r="P211" i="13"/>
  <c r="S211" i="13" s="1"/>
  <c r="N216" i="1"/>
  <c r="B212" i="3"/>
  <c r="AF212" i="3" s="1"/>
  <c r="C211" i="3"/>
  <c r="O211" i="3"/>
  <c r="O211" i="13"/>
  <c r="M216" i="1"/>
  <c r="O215" i="1"/>
  <c r="V214" i="1"/>
  <c r="T215" i="1"/>
  <c r="W216" i="1"/>
  <c r="Y215" i="1"/>
  <c r="Q210" i="13"/>
  <c r="Q210" i="3"/>
  <c r="B211" i="13"/>
  <c r="AF211" i="13" s="1"/>
  <c r="C210" i="13"/>
  <c r="L210" i="7"/>
  <c r="K210" i="7"/>
  <c r="M210" i="7"/>
  <c r="P212" i="7"/>
  <c r="O213" i="7"/>
  <c r="S211" i="7"/>
  <c r="V211" i="7"/>
  <c r="K211" i="7" s="1"/>
  <c r="X211" i="7"/>
  <c r="Q211" i="7"/>
  <c r="R211" i="7"/>
  <c r="W211" i="7"/>
  <c r="T216" i="1" l="1"/>
  <c r="V215" i="1"/>
  <c r="R211" i="13"/>
  <c r="T211" i="13"/>
  <c r="R211" i="3"/>
  <c r="T211" i="3"/>
  <c r="P212" i="3"/>
  <c r="S212" i="3" s="1"/>
  <c r="N217" i="1"/>
  <c r="P212" i="13"/>
  <c r="S212" i="13" s="1"/>
  <c r="S218" i="1"/>
  <c r="Q219" i="1"/>
  <c r="B212" i="13"/>
  <c r="AF212" i="13" s="1"/>
  <c r="C211" i="13"/>
  <c r="Q211" i="13"/>
  <c r="Q211" i="3"/>
  <c r="Y216" i="1"/>
  <c r="W217" i="1"/>
  <c r="O212" i="3"/>
  <c r="O212" i="13"/>
  <c r="O216" i="1"/>
  <c r="M217" i="1"/>
  <c r="B213" i="3"/>
  <c r="AF213" i="3" s="1"/>
  <c r="C212" i="3"/>
  <c r="Z211" i="7"/>
  <c r="H212" i="7"/>
  <c r="S212" i="7"/>
  <c r="X212" i="7"/>
  <c r="Q212" i="7"/>
  <c r="R212" i="7"/>
  <c r="W212" i="7"/>
  <c r="L212" i="7" s="1"/>
  <c r="V212" i="7"/>
  <c r="M212" i="7"/>
  <c r="M211" i="7"/>
  <c r="O214" i="7"/>
  <c r="P213" i="7"/>
  <c r="L211" i="7"/>
  <c r="B214" i="3" l="1"/>
  <c r="AF214" i="3" s="1"/>
  <c r="C213" i="3"/>
  <c r="R212" i="13"/>
  <c r="T212" i="13"/>
  <c r="P213" i="3"/>
  <c r="S213" i="3" s="1"/>
  <c r="P213" i="13"/>
  <c r="S213" i="13" s="1"/>
  <c r="N218" i="1"/>
  <c r="H213" i="7"/>
  <c r="Z212" i="7"/>
  <c r="R212" i="3"/>
  <c r="T212" i="3"/>
  <c r="Q220" i="1"/>
  <c r="S219" i="1"/>
  <c r="O213" i="3"/>
  <c r="O213" i="13"/>
  <c r="M218" i="1"/>
  <c r="O217" i="1"/>
  <c r="W218" i="1"/>
  <c r="Y217" i="1"/>
  <c r="Q212" i="13"/>
  <c r="Q212" i="3"/>
  <c r="B213" i="13"/>
  <c r="AF213" i="13" s="1"/>
  <c r="C212" i="13"/>
  <c r="T217" i="1"/>
  <c r="V216" i="1"/>
  <c r="O215" i="7"/>
  <c r="P214" i="7"/>
  <c r="W213" i="7"/>
  <c r="Q213" i="7"/>
  <c r="X213" i="7"/>
  <c r="R213" i="7"/>
  <c r="S213" i="7"/>
  <c r="V213" i="7"/>
  <c r="K212" i="7"/>
  <c r="B214" i="13" l="1"/>
  <c r="AF214" i="13" s="1"/>
  <c r="C213" i="13"/>
  <c r="R213" i="13"/>
  <c r="T213" i="13"/>
  <c r="P214" i="3"/>
  <c r="S214" i="3" s="1"/>
  <c r="P214" i="13"/>
  <c r="S214" i="13" s="1"/>
  <c r="N219" i="1"/>
  <c r="W219" i="1"/>
  <c r="Y218" i="1"/>
  <c r="R213" i="3"/>
  <c r="T213" i="3"/>
  <c r="T218" i="1"/>
  <c r="V217" i="1"/>
  <c r="Q213" i="3"/>
  <c r="Q213" i="13"/>
  <c r="B215" i="3"/>
  <c r="AF215" i="3" s="1"/>
  <c r="C214" i="3"/>
  <c r="O214" i="3"/>
  <c r="O214" i="13"/>
  <c r="O218" i="1"/>
  <c r="M219" i="1"/>
  <c r="Q221" i="1"/>
  <c r="S220" i="1"/>
  <c r="Z213" i="7"/>
  <c r="H214" i="7"/>
  <c r="M213" i="7"/>
  <c r="R214" i="7"/>
  <c r="W214" i="7"/>
  <c r="L214" i="7" s="1"/>
  <c r="Q214" i="7"/>
  <c r="S214" i="7"/>
  <c r="V214" i="7"/>
  <c r="K214" i="7" s="1"/>
  <c r="X214" i="7"/>
  <c r="M214" i="7" s="1"/>
  <c r="K213" i="7"/>
  <c r="O216" i="7"/>
  <c r="P215" i="7"/>
  <c r="L213" i="7"/>
  <c r="S221" i="1" l="1"/>
  <c r="Q222" i="1"/>
  <c r="R214" i="3"/>
  <c r="T214" i="3"/>
  <c r="P215" i="3"/>
  <c r="S215" i="3" s="1"/>
  <c r="P215" i="13"/>
  <c r="S215" i="13" s="1"/>
  <c r="N220" i="1"/>
  <c r="H215" i="7"/>
  <c r="Z214" i="7"/>
  <c r="O215" i="3"/>
  <c r="O215" i="13"/>
  <c r="M220" i="1"/>
  <c r="O219" i="1"/>
  <c r="Q214" i="13"/>
  <c r="Q214" i="3"/>
  <c r="B216" i="3"/>
  <c r="AF216" i="3" s="1"/>
  <c r="C215" i="3"/>
  <c r="B215" i="13"/>
  <c r="AF215" i="13" s="1"/>
  <c r="C214" i="13"/>
  <c r="R214" i="13"/>
  <c r="T214" i="13"/>
  <c r="V218" i="1"/>
  <c r="T219" i="1"/>
  <c r="Y219" i="1"/>
  <c r="W220" i="1"/>
  <c r="O217" i="7"/>
  <c r="P216" i="7"/>
  <c r="R215" i="7"/>
  <c r="X215" i="7"/>
  <c r="W215" i="7"/>
  <c r="V215" i="7"/>
  <c r="Q215" i="7"/>
  <c r="S215" i="7"/>
  <c r="Z215" i="7" l="1"/>
  <c r="H216" i="7"/>
  <c r="Y220" i="1"/>
  <c r="W221" i="1"/>
  <c r="R215" i="13"/>
  <c r="T215" i="13"/>
  <c r="P216" i="3"/>
  <c r="S216" i="3" s="1"/>
  <c r="N221" i="1"/>
  <c r="P216" i="13"/>
  <c r="S216" i="13" s="1"/>
  <c r="O216" i="3"/>
  <c r="O216" i="13"/>
  <c r="O220" i="1"/>
  <c r="M221" i="1"/>
  <c r="R215" i="3"/>
  <c r="T215" i="3"/>
  <c r="S222" i="1"/>
  <c r="Q223" i="1"/>
  <c r="B216" i="13"/>
  <c r="AF216" i="13" s="1"/>
  <c r="C215" i="13"/>
  <c r="T220" i="1"/>
  <c r="V219" i="1"/>
  <c r="B217" i="3"/>
  <c r="AF217" i="3" s="1"/>
  <c r="C216" i="3"/>
  <c r="Q215" i="13"/>
  <c r="Q215" i="3"/>
  <c r="P217" i="7"/>
  <c r="O218" i="7"/>
  <c r="M215" i="7"/>
  <c r="K215" i="7"/>
  <c r="L215" i="7"/>
  <c r="W216" i="7"/>
  <c r="R216" i="7"/>
  <c r="V216" i="7"/>
  <c r="Q216" i="7"/>
  <c r="X216" i="7"/>
  <c r="S216" i="7"/>
  <c r="B217" i="13" l="1"/>
  <c r="AF217" i="13" s="1"/>
  <c r="C216" i="13"/>
  <c r="R216" i="13"/>
  <c r="T216" i="13"/>
  <c r="R216" i="3"/>
  <c r="T216" i="3"/>
  <c r="H217" i="7"/>
  <c r="Z216" i="7"/>
  <c r="B218" i="3"/>
  <c r="AF218" i="3" s="1"/>
  <c r="C217" i="3"/>
  <c r="Q216" i="13"/>
  <c r="Q216" i="3"/>
  <c r="P217" i="3"/>
  <c r="S217" i="3" s="1"/>
  <c r="P217" i="13"/>
  <c r="S217" i="13" s="1"/>
  <c r="N222" i="1"/>
  <c r="W222" i="1"/>
  <c r="Y221" i="1"/>
  <c r="T221" i="1"/>
  <c r="V220" i="1"/>
  <c r="Q224" i="1"/>
  <c r="S223" i="1"/>
  <c r="O217" i="3"/>
  <c r="O217" i="13"/>
  <c r="M222" i="1"/>
  <c r="O221" i="1"/>
  <c r="P218" i="7"/>
  <c r="O219" i="7"/>
  <c r="K216" i="7"/>
  <c r="W217" i="7"/>
  <c r="Q217" i="7"/>
  <c r="X217" i="7"/>
  <c r="M217" i="7" s="1"/>
  <c r="R217" i="7"/>
  <c r="S217" i="7"/>
  <c r="V217" i="7"/>
  <c r="K217" i="7" s="1"/>
  <c r="L216" i="7"/>
  <c r="M216" i="7"/>
  <c r="R217" i="3" l="1"/>
  <c r="T217" i="3"/>
  <c r="T222" i="1"/>
  <c r="V221" i="1"/>
  <c r="Z217" i="7"/>
  <c r="H218" i="7"/>
  <c r="Q217" i="3"/>
  <c r="Q217" i="13"/>
  <c r="B219" i="3"/>
  <c r="AF219" i="3" s="1"/>
  <c r="C218" i="3"/>
  <c r="O218" i="3"/>
  <c r="O218" i="13"/>
  <c r="O222" i="1"/>
  <c r="M223" i="1"/>
  <c r="Q225" i="1"/>
  <c r="S224" i="1"/>
  <c r="W223" i="1"/>
  <c r="Y222" i="1"/>
  <c r="R217" i="13"/>
  <c r="T217" i="13"/>
  <c r="P218" i="3"/>
  <c r="S218" i="3" s="1"/>
  <c r="P218" i="13"/>
  <c r="S218" i="13" s="1"/>
  <c r="N223" i="1"/>
  <c r="B218" i="13"/>
  <c r="AF218" i="13" s="1"/>
  <c r="C217" i="13"/>
  <c r="V218" i="7"/>
  <c r="S218" i="7"/>
  <c r="X218" i="7"/>
  <c r="M218" i="7" s="1"/>
  <c r="Q218" i="7"/>
  <c r="W218" i="7"/>
  <c r="L218" i="7" s="1"/>
  <c r="R218" i="7"/>
  <c r="L217" i="7"/>
  <c r="K218" i="7"/>
  <c r="P219" i="7"/>
  <c r="O220" i="7"/>
  <c r="P219" i="3" l="1"/>
  <c r="S219" i="3" s="1"/>
  <c r="P219" i="13"/>
  <c r="S219" i="13" s="1"/>
  <c r="N224" i="1"/>
  <c r="Q226" i="1"/>
  <c r="S225" i="1"/>
  <c r="R218" i="3"/>
  <c r="T218" i="3"/>
  <c r="O219" i="3"/>
  <c r="O219" i="13"/>
  <c r="M224" i="1"/>
  <c r="O223" i="1"/>
  <c r="V222" i="1"/>
  <c r="T223" i="1"/>
  <c r="B219" i="13"/>
  <c r="AF219" i="13" s="1"/>
  <c r="C218" i="13"/>
  <c r="W224" i="1"/>
  <c r="Y223" i="1"/>
  <c r="Q218" i="13"/>
  <c r="Q218" i="3"/>
  <c r="B220" i="3"/>
  <c r="AF220" i="3" s="1"/>
  <c r="C219" i="3"/>
  <c r="H219" i="7"/>
  <c r="Z218" i="7"/>
  <c r="R218" i="13"/>
  <c r="T218" i="13"/>
  <c r="W219" i="7"/>
  <c r="Q219" i="7"/>
  <c r="X219" i="7"/>
  <c r="R219" i="7"/>
  <c r="S219" i="7"/>
  <c r="V219" i="7"/>
  <c r="P220" i="7"/>
  <c r="O221" i="7"/>
  <c r="Z219" i="7" l="1"/>
  <c r="H220" i="7"/>
  <c r="R219" i="3"/>
  <c r="T219" i="3"/>
  <c r="S226" i="1"/>
  <c r="Q227" i="1"/>
  <c r="B221" i="3"/>
  <c r="AF221" i="3" s="1"/>
  <c r="C220" i="3"/>
  <c r="B220" i="13"/>
  <c r="AF220" i="13" s="1"/>
  <c r="C219" i="13"/>
  <c r="Q219" i="13"/>
  <c r="Q219" i="3"/>
  <c r="P220" i="3"/>
  <c r="S220" i="3" s="1"/>
  <c r="N225" i="1"/>
  <c r="P220" i="13"/>
  <c r="S220" i="13" s="1"/>
  <c r="O220" i="3"/>
  <c r="O220" i="13"/>
  <c r="O224" i="1"/>
  <c r="M225" i="1"/>
  <c r="Y224" i="1"/>
  <c r="W225" i="1"/>
  <c r="T224" i="1"/>
  <c r="V223" i="1"/>
  <c r="R219" i="13"/>
  <c r="T219" i="13"/>
  <c r="P221" i="7"/>
  <c r="O222" i="7"/>
  <c r="K219" i="7"/>
  <c r="W220" i="7"/>
  <c r="L220" i="7" s="1"/>
  <c r="R220" i="7"/>
  <c r="V220" i="7"/>
  <c r="Q220" i="7"/>
  <c r="X220" i="7"/>
  <c r="M220" i="7" s="1"/>
  <c r="S220" i="7"/>
  <c r="L219" i="7"/>
  <c r="M219" i="7"/>
  <c r="T225" i="1" l="1"/>
  <c r="V224" i="1"/>
  <c r="Q220" i="13"/>
  <c r="Q220" i="3"/>
  <c r="P221" i="3"/>
  <c r="S221" i="3" s="1"/>
  <c r="P221" i="13"/>
  <c r="S221" i="13" s="1"/>
  <c r="N226" i="1"/>
  <c r="B222" i="3"/>
  <c r="AF222" i="3" s="1"/>
  <c r="C221" i="3"/>
  <c r="W226" i="1"/>
  <c r="Y225" i="1"/>
  <c r="R220" i="13"/>
  <c r="T220" i="13"/>
  <c r="B221" i="13"/>
  <c r="AF221" i="13" s="1"/>
  <c r="C220" i="13"/>
  <c r="R220" i="3"/>
  <c r="T220" i="3"/>
  <c r="S227" i="1"/>
  <c r="Q228" i="1"/>
  <c r="H221" i="7"/>
  <c r="Z220" i="7"/>
  <c r="O221" i="3"/>
  <c r="O221" i="13"/>
  <c r="M226" i="1"/>
  <c r="O225" i="1"/>
  <c r="W221" i="7"/>
  <c r="Q221" i="7"/>
  <c r="X221" i="7"/>
  <c r="M221" i="7" s="1"/>
  <c r="R221" i="7"/>
  <c r="S221" i="7"/>
  <c r="V221" i="7"/>
  <c r="K221" i="7" s="1"/>
  <c r="P222" i="7"/>
  <c r="O223" i="7"/>
  <c r="K220" i="7"/>
  <c r="R221" i="3" l="1"/>
  <c r="T221" i="3"/>
  <c r="B222" i="13"/>
  <c r="AF222" i="13" s="1"/>
  <c r="C221" i="13"/>
  <c r="Q221" i="3"/>
  <c r="Q221" i="13"/>
  <c r="W227" i="1"/>
  <c r="Y226" i="1"/>
  <c r="P222" i="3"/>
  <c r="S222" i="3" s="1"/>
  <c r="P222" i="13"/>
  <c r="S222" i="13" s="1"/>
  <c r="N227" i="1"/>
  <c r="O222" i="3"/>
  <c r="O222" i="13"/>
  <c r="O226" i="1"/>
  <c r="M227" i="1"/>
  <c r="Z221" i="7"/>
  <c r="H222" i="7"/>
  <c r="R221" i="13"/>
  <c r="T221" i="13"/>
  <c r="Q229" i="1"/>
  <c r="S228" i="1"/>
  <c r="B223" i="3"/>
  <c r="AF223" i="3" s="1"/>
  <c r="C222" i="3"/>
  <c r="T226" i="1"/>
  <c r="V225" i="1"/>
  <c r="V222" i="7"/>
  <c r="S222" i="7"/>
  <c r="X222" i="7"/>
  <c r="M222" i="7" s="1"/>
  <c r="Q222" i="7"/>
  <c r="W222" i="7"/>
  <c r="L222" i="7" s="1"/>
  <c r="R222" i="7"/>
  <c r="L221" i="7"/>
  <c r="P223" i="7"/>
  <c r="O224" i="7"/>
  <c r="B224" i="3" l="1"/>
  <c r="AF224" i="3" s="1"/>
  <c r="C223" i="3"/>
  <c r="O223" i="3"/>
  <c r="O223" i="13"/>
  <c r="M228" i="1"/>
  <c r="O227" i="1"/>
  <c r="P223" i="3"/>
  <c r="S223" i="3" s="1"/>
  <c r="P223" i="13"/>
  <c r="S223" i="13" s="1"/>
  <c r="N228" i="1"/>
  <c r="Y227" i="1"/>
  <c r="W228" i="1"/>
  <c r="B223" i="13"/>
  <c r="AF223" i="13" s="1"/>
  <c r="C222" i="13"/>
  <c r="Q222" i="13"/>
  <c r="Q222" i="3"/>
  <c r="V226" i="1"/>
  <c r="T227" i="1"/>
  <c r="H223" i="7"/>
  <c r="Z222" i="7"/>
  <c r="R222" i="13"/>
  <c r="T222" i="13"/>
  <c r="Q230" i="1"/>
  <c r="S229" i="1"/>
  <c r="R222" i="3"/>
  <c r="T222" i="3"/>
  <c r="K222" i="7"/>
  <c r="W223" i="7"/>
  <c r="Q223" i="7"/>
  <c r="X223" i="7"/>
  <c r="R223" i="7"/>
  <c r="S223" i="7"/>
  <c r="V223" i="7"/>
  <c r="P224" i="7"/>
  <c r="O225" i="7"/>
  <c r="M223" i="7"/>
  <c r="S230" i="1" l="1"/>
  <c r="Q231" i="1"/>
  <c r="Z223" i="7"/>
  <c r="H224" i="7"/>
  <c r="Y228" i="1"/>
  <c r="W229" i="1"/>
  <c r="R223" i="3"/>
  <c r="T223" i="3"/>
  <c r="T228" i="1"/>
  <c r="V227" i="1"/>
  <c r="Q223" i="13"/>
  <c r="Q223" i="3"/>
  <c r="B224" i="13"/>
  <c r="AF224" i="13" s="1"/>
  <c r="C223" i="13"/>
  <c r="P224" i="3"/>
  <c r="S224" i="3" s="1"/>
  <c r="N229" i="1"/>
  <c r="P224" i="13"/>
  <c r="S224" i="13" s="1"/>
  <c r="O224" i="3"/>
  <c r="O224" i="13"/>
  <c r="O228" i="1"/>
  <c r="M229" i="1"/>
  <c r="B225" i="3"/>
  <c r="AF225" i="3" s="1"/>
  <c r="C224" i="3"/>
  <c r="R223" i="13"/>
  <c r="T223" i="13"/>
  <c r="P225" i="7"/>
  <c r="O226" i="7"/>
  <c r="L223" i="7"/>
  <c r="W224" i="7"/>
  <c r="R224" i="7"/>
  <c r="V224" i="7"/>
  <c r="Q224" i="7"/>
  <c r="X224" i="7"/>
  <c r="M224" i="7" s="1"/>
  <c r="S224" i="7"/>
  <c r="K223" i="7"/>
  <c r="B226" i="3" l="1"/>
  <c r="AF226" i="3" s="1"/>
  <c r="C225" i="3"/>
  <c r="R224" i="13"/>
  <c r="T224" i="13"/>
  <c r="H225" i="7"/>
  <c r="Z224" i="7"/>
  <c r="R224" i="3"/>
  <c r="T224" i="3"/>
  <c r="O225" i="3"/>
  <c r="O225" i="13"/>
  <c r="M230" i="1"/>
  <c r="O229" i="1"/>
  <c r="B225" i="13"/>
  <c r="AF225" i="13" s="1"/>
  <c r="C224" i="13"/>
  <c r="W230" i="1"/>
  <c r="Y229" i="1"/>
  <c r="S231" i="1"/>
  <c r="Q232" i="1"/>
  <c r="Q224" i="13"/>
  <c r="Q224" i="3"/>
  <c r="P225" i="3"/>
  <c r="S225" i="3" s="1"/>
  <c r="P225" i="13"/>
  <c r="S225" i="13" s="1"/>
  <c r="N230" i="1"/>
  <c r="T229" i="1"/>
  <c r="V228" i="1"/>
  <c r="O227" i="7"/>
  <c r="P226" i="7"/>
  <c r="L224" i="7"/>
  <c r="W225" i="7"/>
  <c r="Q225" i="7"/>
  <c r="X225" i="7"/>
  <c r="R225" i="7"/>
  <c r="S225" i="7"/>
  <c r="V225" i="7"/>
  <c r="K224" i="7"/>
  <c r="K225" i="7"/>
  <c r="Q233" i="1" l="1"/>
  <c r="S232" i="1"/>
  <c r="O226" i="3"/>
  <c r="O226" i="13"/>
  <c r="O230" i="1"/>
  <c r="M231" i="1"/>
  <c r="B226" i="13"/>
  <c r="AF226" i="13" s="1"/>
  <c r="C225" i="13"/>
  <c r="R225" i="13"/>
  <c r="T225" i="13"/>
  <c r="T230" i="1"/>
  <c r="V229" i="1"/>
  <c r="R225" i="3"/>
  <c r="T225" i="3"/>
  <c r="Z225" i="7"/>
  <c r="H226" i="7"/>
  <c r="B227" i="3"/>
  <c r="AF227" i="3" s="1"/>
  <c r="C226" i="3"/>
  <c r="P226" i="3"/>
  <c r="S226" i="3" s="1"/>
  <c r="P226" i="13"/>
  <c r="S226" i="13" s="1"/>
  <c r="N231" i="1"/>
  <c r="W231" i="1"/>
  <c r="Y230" i="1"/>
  <c r="Q225" i="3"/>
  <c r="Q225" i="13"/>
  <c r="M225" i="7"/>
  <c r="L225" i="7"/>
  <c r="R226" i="7"/>
  <c r="W226" i="7"/>
  <c r="Q226" i="7"/>
  <c r="S226" i="7"/>
  <c r="V226" i="7"/>
  <c r="X226" i="7"/>
  <c r="O228" i="7"/>
  <c r="P227" i="7"/>
  <c r="W232" i="1" l="1"/>
  <c r="Y231" i="1"/>
  <c r="V230" i="1"/>
  <c r="T231" i="1"/>
  <c r="B227" i="13"/>
  <c r="AF227" i="13" s="1"/>
  <c r="C226" i="13"/>
  <c r="R226" i="13"/>
  <c r="T226" i="13"/>
  <c r="P227" i="3"/>
  <c r="S227" i="3" s="1"/>
  <c r="P227" i="13"/>
  <c r="S227" i="13" s="1"/>
  <c r="N232" i="1"/>
  <c r="B228" i="3"/>
  <c r="AF228" i="3" s="1"/>
  <c r="C227" i="3"/>
  <c r="R226" i="3"/>
  <c r="T226" i="3"/>
  <c r="O227" i="3"/>
  <c r="O227" i="13"/>
  <c r="M232" i="1"/>
  <c r="O231" i="1"/>
  <c r="H227" i="7"/>
  <c r="Z226" i="7"/>
  <c r="Q226" i="13"/>
  <c r="Q226" i="3"/>
  <c r="S233" i="1"/>
  <c r="Q234" i="1"/>
  <c r="P228" i="7"/>
  <c r="O229" i="7"/>
  <c r="M226" i="7"/>
  <c r="K226" i="7"/>
  <c r="L226" i="7"/>
  <c r="R227" i="7"/>
  <c r="X227" i="7"/>
  <c r="W227" i="7"/>
  <c r="V227" i="7"/>
  <c r="K227" i="7" s="1"/>
  <c r="Q227" i="7"/>
  <c r="S227" i="7"/>
  <c r="O228" i="3" l="1"/>
  <c r="O228" i="13"/>
  <c r="O232" i="1"/>
  <c r="M233" i="1"/>
  <c r="P228" i="3"/>
  <c r="S228" i="3" s="1"/>
  <c r="N233" i="1"/>
  <c r="P228" i="13"/>
  <c r="S228" i="13" s="1"/>
  <c r="T232" i="1"/>
  <c r="V231" i="1"/>
  <c r="S234" i="1"/>
  <c r="Q235" i="1"/>
  <c r="R227" i="13"/>
  <c r="T227" i="13"/>
  <c r="Z227" i="7"/>
  <c r="H228" i="7"/>
  <c r="R227" i="3"/>
  <c r="T227" i="3"/>
  <c r="B229" i="3"/>
  <c r="AF229" i="3" s="1"/>
  <c r="C228" i="3"/>
  <c r="B228" i="13"/>
  <c r="AF228" i="13" s="1"/>
  <c r="C227" i="13"/>
  <c r="Q227" i="13"/>
  <c r="Q227" i="3"/>
  <c r="Y232" i="1"/>
  <c r="W233" i="1"/>
  <c r="M227" i="7"/>
  <c r="P229" i="7"/>
  <c r="O230" i="7"/>
  <c r="W228" i="7"/>
  <c r="R228" i="7"/>
  <c r="V228" i="7"/>
  <c r="Q228" i="7"/>
  <c r="X228" i="7"/>
  <c r="M228" i="7" s="1"/>
  <c r="S228" i="7"/>
  <c r="L227" i="7"/>
  <c r="B230" i="3" l="1"/>
  <c r="AF230" i="3" s="1"/>
  <c r="C229" i="3"/>
  <c r="H229" i="7"/>
  <c r="Z228" i="7"/>
  <c r="Q236" i="1"/>
  <c r="S235" i="1"/>
  <c r="Q228" i="13"/>
  <c r="Q228" i="3"/>
  <c r="T233" i="1"/>
  <c r="V232" i="1"/>
  <c r="O229" i="3"/>
  <c r="O229" i="13"/>
  <c r="M234" i="1"/>
  <c r="O233" i="1"/>
  <c r="W234" i="1"/>
  <c r="Y233" i="1"/>
  <c r="B229" i="13"/>
  <c r="AF229" i="13" s="1"/>
  <c r="C228" i="13"/>
  <c r="P229" i="3"/>
  <c r="S229" i="3" s="1"/>
  <c r="P229" i="13"/>
  <c r="S229" i="13" s="1"/>
  <c r="N234" i="1"/>
  <c r="R228" i="13"/>
  <c r="T228" i="13"/>
  <c r="R228" i="3"/>
  <c r="T228" i="3"/>
  <c r="K228" i="7"/>
  <c r="R229" i="7"/>
  <c r="X229" i="7"/>
  <c r="W229" i="7"/>
  <c r="V229" i="7"/>
  <c r="Q229" i="7"/>
  <c r="S229" i="7"/>
  <c r="L229" i="7"/>
  <c r="L228" i="7"/>
  <c r="O231" i="7"/>
  <c r="P230" i="7"/>
  <c r="Z229" i="7" l="1"/>
  <c r="H230" i="7"/>
  <c r="W235" i="1"/>
  <c r="Y234" i="1"/>
  <c r="R229" i="3"/>
  <c r="T229" i="3"/>
  <c r="P230" i="3"/>
  <c r="S230" i="3" s="1"/>
  <c r="P230" i="13"/>
  <c r="S230" i="13" s="1"/>
  <c r="N235" i="1"/>
  <c r="B230" i="13"/>
  <c r="AF230" i="13" s="1"/>
  <c r="C229" i="13"/>
  <c r="Q229" i="3"/>
  <c r="Q229" i="13"/>
  <c r="O230" i="3"/>
  <c r="O230" i="13"/>
  <c r="O234" i="1"/>
  <c r="M235" i="1"/>
  <c r="T234" i="1"/>
  <c r="V233" i="1"/>
  <c r="Q237" i="1"/>
  <c r="S236" i="1"/>
  <c r="B231" i="3"/>
  <c r="AF231" i="3" s="1"/>
  <c r="C230" i="3"/>
  <c r="R229" i="13"/>
  <c r="T229" i="13"/>
  <c r="R230" i="7"/>
  <c r="W230" i="7"/>
  <c r="Q230" i="7"/>
  <c r="S230" i="7"/>
  <c r="V230" i="7"/>
  <c r="K230" i="7" s="1"/>
  <c r="X230" i="7"/>
  <c r="O232" i="7"/>
  <c r="P231" i="7"/>
  <c r="M229" i="7"/>
  <c r="L230" i="7"/>
  <c r="K229" i="7"/>
  <c r="B232" i="3" l="1"/>
  <c r="AF232" i="3" s="1"/>
  <c r="C231" i="3"/>
  <c r="R230" i="13"/>
  <c r="T230" i="13"/>
  <c r="V234" i="1"/>
  <c r="T235" i="1"/>
  <c r="R230" i="3"/>
  <c r="T230" i="3"/>
  <c r="B231" i="13"/>
  <c r="AF231" i="13" s="1"/>
  <c r="C230" i="13"/>
  <c r="Y235" i="1"/>
  <c r="W236" i="1"/>
  <c r="O231" i="3"/>
  <c r="O231" i="13"/>
  <c r="M236" i="1"/>
  <c r="O235" i="1"/>
  <c r="H231" i="7"/>
  <c r="Z230" i="7"/>
  <c r="S237" i="1"/>
  <c r="Q238" i="1"/>
  <c r="Q230" i="13"/>
  <c r="Q230" i="3"/>
  <c r="P231" i="3"/>
  <c r="S231" i="3" s="1"/>
  <c r="P231" i="13"/>
  <c r="S231" i="13" s="1"/>
  <c r="N236" i="1"/>
  <c r="R231" i="7"/>
  <c r="X231" i="7"/>
  <c r="W231" i="7"/>
  <c r="V231" i="7"/>
  <c r="K231" i="7" s="1"/>
  <c r="Q231" i="7"/>
  <c r="S231" i="7"/>
  <c r="M230" i="7"/>
  <c r="O233" i="7"/>
  <c r="P232" i="7"/>
  <c r="R231" i="13" l="1"/>
  <c r="T231" i="13"/>
  <c r="P232" i="3"/>
  <c r="S232" i="3" s="1"/>
  <c r="N237" i="1"/>
  <c r="P232" i="13"/>
  <c r="S232" i="13" s="1"/>
  <c r="Z231" i="7"/>
  <c r="H232" i="7"/>
  <c r="R231" i="3"/>
  <c r="T231" i="3"/>
  <c r="C231" i="13"/>
  <c r="B232" i="13"/>
  <c r="AF232" i="13" s="1"/>
  <c r="T236" i="1"/>
  <c r="V235" i="1"/>
  <c r="S238" i="1"/>
  <c r="Q239" i="1"/>
  <c r="Q231" i="13"/>
  <c r="Q231" i="3"/>
  <c r="Y236" i="1"/>
  <c r="W237" i="1"/>
  <c r="B233" i="3"/>
  <c r="AF233" i="3" s="1"/>
  <c r="C232" i="3"/>
  <c r="O232" i="3"/>
  <c r="O232" i="13"/>
  <c r="O236" i="1"/>
  <c r="M237" i="1"/>
  <c r="M231" i="7"/>
  <c r="W232" i="7"/>
  <c r="R232" i="7"/>
  <c r="V232" i="7"/>
  <c r="Q232" i="7"/>
  <c r="X232" i="7"/>
  <c r="S232" i="7"/>
  <c r="L231" i="7"/>
  <c r="P233" i="7"/>
  <c r="O234" i="7"/>
  <c r="K232" i="7"/>
  <c r="R232" i="3" l="1"/>
  <c r="T232" i="3"/>
  <c r="W238" i="1"/>
  <c r="Y237" i="1"/>
  <c r="Q240" i="1"/>
  <c r="S239" i="1"/>
  <c r="B233" i="13"/>
  <c r="AF233" i="13" s="1"/>
  <c r="C232" i="13"/>
  <c r="P233" i="3"/>
  <c r="S233" i="3" s="1"/>
  <c r="P233" i="13"/>
  <c r="S233" i="13" s="1"/>
  <c r="N238" i="1"/>
  <c r="O233" i="3"/>
  <c r="O233" i="13"/>
  <c r="M238" i="1"/>
  <c r="O237" i="1"/>
  <c r="H233" i="7"/>
  <c r="Z232" i="7"/>
  <c r="Q232" i="13"/>
  <c r="Q232" i="3"/>
  <c r="B234" i="3"/>
  <c r="AF234" i="3" s="1"/>
  <c r="C233" i="3"/>
  <c r="R232" i="13"/>
  <c r="T232" i="13"/>
  <c r="T237" i="1"/>
  <c r="V236" i="1"/>
  <c r="P234" i="7"/>
  <c r="O235" i="7"/>
  <c r="M232" i="7"/>
  <c r="W233" i="7"/>
  <c r="Q233" i="7"/>
  <c r="X233" i="7"/>
  <c r="R233" i="7"/>
  <c r="S233" i="7"/>
  <c r="V233" i="7"/>
  <c r="L232" i="7"/>
  <c r="Q233" i="3" l="1"/>
  <c r="Q233" i="13"/>
  <c r="P234" i="3"/>
  <c r="S234" i="3" s="1"/>
  <c r="P234" i="13"/>
  <c r="S234" i="13" s="1"/>
  <c r="N239" i="1"/>
  <c r="B234" i="13"/>
  <c r="AF234" i="13" s="1"/>
  <c r="C233" i="13"/>
  <c r="O234" i="3"/>
  <c r="O234" i="13"/>
  <c r="O238" i="1"/>
  <c r="M239" i="1"/>
  <c r="W239" i="1"/>
  <c r="Y238" i="1"/>
  <c r="T238" i="1"/>
  <c r="V237" i="1"/>
  <c r="B235" i="3"/>
  <c r="AF235" i="3" s="1"/>
  <c r="C234" i="3"/>
  <c r="R233" i="13"/>
  <c r="T233" i="13"/>
  <c r="Z233" i="7"/>
  <c r="H234" i="7"/>
  <c r="R233" i="3"/>
  <c r="T233" i="3"/>
  <c r="Q241" i="1"/>
  <c r="S240" i="1"/>
  <c r="K233" i="7"/>
  <c r="P235" i="7"/>
  <c r="O236" i="7"/>
  <c r="L233" i="7"/>
  <c r="M233" i="7"/>
  <c r="V234" i="7"/>
  <c r="S234" i="7"/>
  <c r="X234" i="7"/>
  <c r="Q234" i="7"/>
  <c r="W234" i="7"/>
  <c r="R234" i="7"/>
  <c r="H235" i="7" l="1"/>
  <c r="Z234" i="7"/>
  <c r="V238" i="1"/>
  <c r="T239" i="1"/>
  <c r="Q234" i="13"/>
  <c r="Q234" i="3"/>
  <c r="B235" i="13"/>
  <c r="AF235" i="13" s="1"/>
  <c r="C234" i="13"/>
  <c r="O235" i="3"/>
  <c r="O235" i="13"/>
  <c r="M240" i="1"/>
  <c r="O239" i="1"/>
  <c r="Q242" i="1"/>
  <c r="S241" i="1"/>
  <c r="B236" i="3"/>
  <c r="AF236" i="3" s="1"/>
  <c r="C235" i="3"/>
  <c r="R234" i="13"/>
  <c r="T234" i="13"/>
  <c r="W240" i="1"/>
  <c r="Y239" i="1"/>
  <c r="R234" i="3"/>
  <c r="T234" i="3"/>
  <c r="P235" i="3"/>
  <c r="S235" i="3" s="1"/>
  <c r="P235" i="13"/>
  <c r="S235" i="13" s="1"/>
  <c r="N240" i="1"/>
  <c r="L234" i="7"/>
  <c r="K234" i="7"/>
  <c r="P236" i="7"/>
  <c r="O237" i="7"/>
  <c r="M234" i="7"/>
  <c r="W235" i="7"/>
  <c r="Q235" i="7"/>
  <c r="X235" i="7"/>
  <c r="R235" i="7"/>
  <c r="S235" i="7"/>
  <c r="V235" i="7"/>
  <c r="O236" i="3" l="1"/>
  <c r="O236" i="13"/>
  <c r="O240" i="1"/>
  <c r="M241" i="1"/>
  <c r="B236" i="13"/>
  <c r="AF236" i="13" s="1"/>
  <c r="C235" i="13"/>
  <c r="T240" i="1"/>
  <c r="V239" i="1"/>
  <c r="P236" i="3"/>
  <c r="S236" i="3" s="1"/>
  <c r="N241" i="1"/>
  <c r="P236" i="13"/>
  <c r="S236" i="13" s="1"/>
  <c r="R235" i="13"/>
  <c r="T235" i="13"/>
  <c r="S242" i="1"/>
  <c r="Q243" i="1"/>
  <c r="R235" i="3"/>
  <c r="T235" i="3"/>
  <c r="Y240" i="1"/>
  <c r="W241" i="1"/>
  <c r="B237" i="3"/>
  <c r="AF237" i="3" s="1"/>
  <c r="C236" i="3"/>
  <c r="Q235" i="13"/>
  <c r="Q235" i="3"/>
  <c r="Z235" i="7"/>
  <c r="H236" i="7"/>
  <c r="S236" i="7"/>
  <c r="X236" i="7"/>
  <c r="M236" i="7" s="1"/>
  <c r="Q236" i="7"/>
  <c r="R236" i="7"/>
  <c r="W236" i="7"/>
  <c r="V236" i="7"/>
  <c r="M235" i="7"/>
  <c r="O238" i="7"/>
  <c r="P237" i="7"/>
  <c r="K236" i="7"/>
  <c r="K235" i="7"/>
  <c r="L235" i="7"/>
  <c r="W242" i="1" l="1"/>
  <c r="Y241" i="1"/>
  <c r="S243" i="1"/>
  <c r="Q244" i="1"/>
  <c r="T241" i="1"/>
  <c r="V240" i="1"/>
  <c r="O237" i="3"/>
  <c r="O237" i="13"/>
  <c r="M242" i="1"/>
  <c r="O241" i="1"/>
  <c r="H237" i="7"/>
  <c r="Z236" i="7"/>
  <c r="P237" i="3"/>
  <c r="S237" i="3" s="1"/>
  <c r="P237" i="13"/>
  <c r="S237" i="13" s="1"/>
  <c r="N242" i="1"/>
  <c r="Q236" i="13"/>
  <c r="Q236" i="3"/>
  <c r="B238" i="3"/>
  <c r="AF238" i="3" s="1"/>
  <c r="C237" i="3"/>
  <c r="B237" i="13"/>
  <c r="AF237" i="13" s="1"/>
  <c r="C236" i="13"/>
  <c r="R236" i="13"/>
  <c r="T236" i="13"/>
  <c r="R236" i="3"/>
  <c r="T236" i="3"/>
  <c r="P238" i="7"/>
  <c r="O239" i="7"/>
  <c r="L236" i="7"/>
  <c r="W237" i="7"/>
  <c r="Q237" i="7"/>
  <c r="X237" i="7"/>
  <c r="R237" i="7"/>
  <c r="S237" i="7"/>
  <c r="V237" i="7"/>
  <c r="R237" i="13" l="1"/>
  <c r="T237" i="13"/>
  <c r="Q245" i="1"/>
  <c r="S244" i="1"/>
  <c r="B239" i="3"/>
  <c r="AF239" i="3" s="1"/>
  <c r="C238" i="3"/>
  <c r="P238" i="3"/>
  <c r="S238" i="3" s="1"/>
  <c r="P238" i="13"/>
  <c r="S238" i="13" s="1"/>
  <c r="N243" i="1"/>
  <c r="Z237" i="7"/>
  <c r="H238" i="7"/>
  <c r="R237" i="3"/>
  <c r="T237" i="3"/>
  <c r="B238" i="13"/>
  <c r="AF238" i="13" s="1"/>
  <c r="C237" i="13"/>
  <c r="Q237" i="3"/>
  <c r="Q237" i="13"/>
  <c r="O238" i="3"/>
  <c r="O238" i="13"/>
  <c r="O242" i="1"/>
  <c r="M243" i="1"/>
  <c r="T242" i="1"/>
  <c r="V241" i="1"/>
  <c r="W243" i="1"/>
  <c r="Y242" i="1"/>
  <c r="M237" i="7"/>
  <c r="O240" i="7"/>
  <c r="P239" i="7"/>
  <c r="L237" i="7"/>
  <c r="K237" i="7"/>
  <c r="R238" i="7"/>
  <c r="W238" i="7"/>
  <c r="Q238" i="7"/>
  <c r="S238" i="7"/>
  <c r="V238" i="7"/>
  <c r="X238" i="7"/>
  <c r="V242" i="1" l="1"/>
  <c r="T243" i="1"/>
  <c r="R238" i="3"/>
  <c r="T238" i="3"/>
  <c r="B239" i="13"/>
  <c r="AF239" i="13" s="1"/>
  <c r="C238" i="13"/>
  <c r="H239" i="7"/>
  <c r="Z238" i="7"/>
  <c r="O239" i="3"/>
  <c r="O239" i="13"/>
  <c r="M244" i="1"/>
  <c r="O243" i="1"/>
  <c r="Q246" i="1"/>
  <c r="S245" i="1"/>
  <c r="Y243" i="1"/>
  <c r="W244" i="1"/>
  <c r="Q238" i="13"/>
  <c r="Q238" i="3"/>
  <c r="P239" i="3"/>
  <c r="S239" i="3" s="1"/>
  <c r="P239" i="13"/>
  <c r="S239" i="13" s="1"/>
  <c r="N244" i="1"/>
  <c r="B240" i="3"/>
  <c r="AF240" i="3" s="1"/>
  <c r="C239" i="3"/>
  <c r="R238" i="13"/>
  <c r="T238" i="13"/>
  <c r="P240" i="7"/>
  <c r="O241" i="7"/>
  <c r="M238" i="7"/>
  <c r="K238" i="7"/>
  <c r="L238" i="7"/>
  <c r="W239" i="7"/>
  <c r="Q239" i="7"/>
  <c r="X239" i="7"/>
  <c r="M239" i="7" s="1"/>
  <c r="R239" i="7"/>
  <c r="S239" i="7"/>
  <c r="V239" i="7"/>
  <c r="B241" i="3" l="1"/>
  <c r="AF241" i="3" s="1"/>
  <c r="C240" i="3"/>
  <c r="O240" i="3"/>
  <c r="O240" i="13"/>
  <c r="O244" i="1"/>
  <c r="M245" i="1"/>
  <c r="Z239" i="7"/>
  <c r="H240" i="7"/>
  <c r="R239" i="13"/>
  <c r="T239" i="13"/>
  <c r="P240" i="3"/>
  <c r="S240" i="3" s="1"/>
  <c r="N245" i="1"/>
  <c r="P240" i="13"/>
  <c r="S240" i="13" s="1"/>
  <c r="S246" i="1"/>
  <c r="Q247" i="1"/>
  <c r="R239" i="3"/>
  <c r="T239" i="3"/>
  <c r="B240" i="13"/>
  <c r="AF240" i="13" s="1"/>
  <c r="C239" i="13"/>
  <c r="T244" i="1"/>
  <c r="V243" i="1"/>
  <c r="Y244" i="1"/>
  <c r="W245" i="1"/>
  <c r="Q239" i="13"/>
  <c r="Q239" i="3"/>
  <c r="W240" i="7"/>
  <c r="L240" i="7" s="1"/>
  <c r="R240" i="7"/>
  <c r="V240" i="7"/>
  <c r="Q240" i="7"/>
  <c r="X240" i="7"/>
  <c r="S240" i="7"/>
  <c r="L239" i="7"/>
  <c r="O242" i="7"/>
  <c r="P241" i="7"/>
  <c r="K239" i="7"/>
  <c r="O241" i="3" l="1"/>
  <c r="O241" i="13"/>
  <c r="M246" i="1"/>
  <c r="O245" i="1"/>
  <c r="S247" i="1"/>
  <c r="Q248" i="1"/>
  <c r="R240" i="3"/>
  <c r="T240" i="3"/>
  <c r="T245" i="1"/>
  <c r="V244" i="1"/>
  <c r="Q240" i="13"/>
  <c r="Q240" i="3"/>
  <c r="B242" i="3"/>
  <c r="AF242" i="3" s="1"/>
  <c r="C241" i="3"/>
  <c r="B241" i="13"/>
  <c r="AF241" i="13" s="1"/>
  <c r="C240" i="13"/>
  <c r="W246" i="1"/>
  <c r="Y245" i="1"/>
  <c r="P241" i="3"/>
  <c r="S241" i="3" s="1"/>
  <c r="P241" i="13"/>
  <c r="S241" i="13" s="1"/>
  <c r="N246" i="1"/>
  <c r="H241" i="7"/>
  <c r="Z240" i="7"/>
  <c r="R240" i="13"/>
  <c r="T240" i="13"/>
  <c r="R241" i="7"/>
  <c r="X241" i="7"/>
  <c r="W241" i="7"/>
  <c r="V241" i="7"/>
  <c r="K241" i="7" s="1"/>
  <c r="Q241" i="7"/>
  <c r="S241" i="7"/>
  <c r="K240" i="7"/>
  <c r="P242" i="7"/>
  <c r="O243" i="7"/>
  <c r="M240" i="7"/>
  <c r="P242" i="3" l="1"/>
  <c r="S242" i="3" s="1"/>
  <c r="P242" i="13"/>
  <c r="S242" i="13" s="1"/>
  <c r="N247" i="1"/>
  <c r="W247" i="1"/>
  <c r="Y246" i="1"/>
  <c r="O242" i="3"/>
  <c r="O242" i="13"/>
  <c r="O246" i="1"/>
  <c r="M247" i="1"/>
  <c r="Z241" i="7"/>
  <c r="H242" i="7"/>
  <c r="Q241" i="3"/>
  <c r="Q241" i="13"/>
  <c r="B243" i="3"/>
  <c r="AF243" i="3" s="1"/>
  <c r="C242" i="3"/>
  <c r="Q249" i="1"/>
  <c r="S248" i="1"/>
  <c r="R241" i="13"/>
  <c r="T241" i="13"/>
  <c r="B242" i="13"/>
  <c r="AF242" i="13" s="1"/>
  <c r="C241" i="13"/>
  <c r="T246" i="1"/>
  <c r="V245" i="1"/>
  <c r="R241" i="3"/>
  <c r="T241" i="3"/>
  <c r="V242" i="7"/>
  <c r="S242" i="7"/>
  <c r="X242" i="7"/>
  <c r="Q242" i="7"/>
  <c r="W242" i="7"/>
  <c r="L242" i="7" s="1"/>
  <c r="R242" i="7"/>
  <c r="L241" i="7"/>
  <c r="P243" i="7"/>
  <c r="O244" i="7"/>
  <c r="M241" i="7"/>
  <c r="B244" i="3" l="1"/>
  <c r="AF244" i="3" s="1"/>
  <c r="C243" i="3"/>
  <c r="H243" i="7"/>
  <c r="Z242" i="7"/>
  <c r="R242" i="13"/>
  <c r="T242" i="13"/>
  <c r="P243" i="3"/>
  <c r="S243" i="3" s="1"/>
  <c r="P243" i="13"/>
  <c r="S243" i="13" s="1"/>
  <c r="N248" i="1"/>
  <c r="B243" i="13"/>
  <c r="AF243" i="13" s="1"/>
  <c r="C242" i="13"/>
  <c r="R242" i="3"/>
  <c r="T242" i="3"/>
  <c r="V246" i="1"/>
  <c r="T247" i="1"/>
  <c r="Q242" i="13"/>
  <c r="Q242" i="3"/>
  <c r="W248" i="1"/>
  <c r="Y247" i="1"/>
  <c r="Q250" i="1"/>
  <c r="S249" i="1"/>
  <c r="O243" i="3"/>
  <c r="O243" i="13"/>
  <c r="M248" i="1"/>
  <c r="O247" i="1"/>
  <c r="W243" i="7"/>
  <c r="Q243" i="7"/>
  <c r="X243" i="7"/>
  <c r="R243" i="7"/>
  <c r="S243" i="7"/>
  <c r="V243" i="7"/>
  <c r="K242" i="7"/>
  <c r="P244" i="7"/>
  <c r="O245" i="7"/>
  <c r="M242" i="7"/>
  <c r="M243" i="7"/>
  <c r="R243" i="3" l="1"/>
  <c r="T243" i="3"/>
  <c r="Y248" i="1"/>
  <c r="W249" i="1"/>
  <c r="B244" i="13"/>
  <c r="AF244" i="13" s="1"/>
  <c r="C243" i="13"/>
  <c r="Z243" i="7"/>
  <c r="H244" i="7"/>
  <c r="Q243" i="13"/>
  <c r="Q243" i="3"/>
  <c r="O244" i="3"/>
  <c r="O244" i="13"/>
  <c r="O248" i="1"/>
  <c r="M249" i="1"/>
  <c r="S250" i="1"/>
  <c r="Q251" i="1"/>
  <c r="P244" i="3"/>
  <c r="S244" i="3" s="1"/>
  <c r="N249" i="1"/>
  <c r="P244" i="13"/>
  <c r="S244" i="13" s="1"/>
  <c r="B245" i="3"/>
  <c r="AF245" i="3" s="1"/>
  <c r="C244" i="3"/>
  <c r="R243" i="13"/>
  <c r="T243" i="13"/>
  <c r="T248" i="1"/>
  <c r="V247" i="1"/>
  <c r="Q244" i="7"/>
  <c r="X244" i="7"/>
  <c r="W244" i="7"/>
  <c r="L244" i="7" s="1"/>
  <c r="S244" i="7"/>
  <c r="R244" i="7"/>
  <c r="V244" i="7"/>
  <c r="K244" i="7" s="1"/>
  <c r="K243" i="7"/>
  <c r="L243" i="7"/>
  <c r="O246" i="7"/>
  <c r="P245" i="7"/>
  <c r="W250" i="1" l="1"/>
  <c r="Y249" i="1"/>
  <c r="P245" i="3"/>
  <c r="S245" i="3" s="1"/>
  <c r="P245" i="13"/>
  <c r="S245" i="13" s="1"/>
  <c r="N250" i="1"/>
  <c r="O245" i="3"/>
  <c r="O245" i="13"/>
  <c r="M250" i="1"/>
  <c r="O249" i="1"/>
  <c r="R244" i="3"/>
  <c r="T244" i="3"/>
  <c r="T249" i="1"/>
  <c r="V248" i="1"/>
  <c r="B246" i="3"/>
  <c r="AF246" i="3" s="1"/>
  <c r="C245" i="3"/>
  <c r="Q244" i="13"/>
  <c r="Q244" i="3"/>
  <c r="B245" i="13"/>
  <c r="AF245" i="13" s="1"/>
  <c r="C244" i="13"/>
  <c r="Q252" i="1"/>
  <c r="S251" i="1"/>
  <c r="R244" i="13"/>
  <c r="T244" i="13"/>
  <c r="H245" i="7"/>
  <c r="Z244" i="7"/>
  <c r="W245" i="7"/>
  <c r="S245" i="7"/>
  <c r="X245" i="7"/>
  <c r="M245" i="7" s="1"/>
  <c r="Q245" i="7"/>
  <c r="R245" i="7"/>
  <c r="V245" i="7"/>
  <c r="P246" i="7"/>
  <c r="O247" i="7"/>
  <c r="M244" i="7"/>
  <c r="B246" i="13" l="1"/>
  <c r="AF246" i="13" s="1"/>
  <c r="C245" i="13"/>
  <c r="T250" i="1"/>
  <c r="V249" i="1"/>
  <c r="O246" i="3"/>
  <c r="O246" i="13"/>
  <c r="O250" i="1"/>
  <c r="M251" i="1"/>
  <c r="B247" i="3"/>
  <c r="AF247" i="3" s="1"/>
  <c r="C246" i="3"/>
  <c r="R245" i="13"/>
  <c r="T245" i="13"/>
  <c r="Z245" i="7"/>
  <c r="H246" i="7"/>
  <c r="Q253" i="1"/>
  <c r="S252" i="1"/>
  <c r="R245" i="3"/>
  <c r="T245" i="3"/>
  <c r="Q245" i="3"/>
  <c r="Q245" i="13"/>
  <c r="P246" i="3"/>
  <c r="S246" i="3" s="1"/>
  <c r="P246" i="13"/>
  <c r="S246" i="13" s="1"/>
  <c r="N251" i="1"/>
  <c r="W251" i="1"/>
  <c r="Y250" i="1"/>
  <c r="Q246" i="7"/>
  <c r="W246" i="7"/>
  <c r="S246" i="7"/>
  <c r="R246" i="7"/>
  <c r="V246" i="7"/>
  <c r="K246" i="7" s="1"/>
  <c r="X246" i="7"/>
  <c r="K245" i="7"/>
  <c r="O248" i="7"/>
  <c r="P247" i="7"/>
  <c r="L245" i="7"/>
  <c r="H247" i="7" l="1"/>
  <c r="Z246" i="7"/>
  <c r="Q246" i="13"/>
  <c r="Q246" i="3"/>
  <c r="V250" i="1"/>
  <c r="T251" i="1"/>
  <c r="B248" i="3"/>
  <c r="AF248" i="3" s="1"/>
  <c r="C247" i="3"/>
  <c r="R246" i="13"/>
  <c r="T246" i="13"/>
  <c r="Y251" i="1"/>
  <c r="W252" i="1"/>
  <c r="R246" i="3"/>
  <c r="T246" i="3"/>
  <c r="B247" i="13"/>
  <c r="AF247" i="13" s="1"/>
  <c r="C246" i="13"/>
  <c r="P247" i="3"/>
  <c r="S247" i="3" s="1"/>
  <c r="P247" i="13"/>
  <c r="S247" i="13" s="1"/>
  <c r="N252" i="1"/>
  <c r="S253" i="1"/>
  <c r="Q254" i="1"/>
  <c r="O247" i="3"/>
  <c r="O247" i="13"/>
  <c r="M252" i="1"/>
  <c r="O251" i="1"/>
  <c r="M246" i="7"/>
  <c r="L246" i="7"/>
  <c r="P248" i="7"/>
  <c r="O249" i="7"/>
  <c r="W247" i="7"/>
  <c r="S247" i="7"/>
  <c r="X247" i="7"/>
  <c r="Q247" i="7"/>
  <c r="R247" i="7"/>
  <c r="V247" i="7"/>
  <c r="R247" i="3" l="1"/>
  <c r="T247" i="3"/>
  <c r="B249" i="3"/>
  <c r="AF249" i="3" s="1"/>
  <c r="C248" i="3"/>
  <c r="Q247" i="13"/>
  <c r="Q247" i="3"/>
  <c r="S254" i="1"/>
  <c r="Q255" i="1"/>
  <c r="O248" i="3"/>
  <c r="O248" i="13"/>
  <c r="O252" i="1"/>
  <c r="M253" i="1"/>
  <c r="T252" i="1"/>
  <c r="V251" i="1"/>
  <c r="R247" i="13"/>
  <c r="T247" i="13"/>
  <c r="P248" i="3"/>
  <c r="S248" i="3" s="1"/>
  <c r="N253" i="1"/>
  <c r="P248" i="13"/>
  <c r="S248" i="13" s="1"/>
  <c r="B248" i="13"/>
  <c r="AF248" i="13" s="1"/>
  <c r="C247" i="13"/>
  <c r="Y252" i="1"/>
  <c r="W253" i="1"/>
  <c r="Z247" i="7"/>
  <c r="H248" i="7"/>
  <c r="K247" i="7"/>
  <c r="P249" i="7"/>
  <c r="O250" i="7"/>
  <c r="L247" i="7"/>
  <c r="W248" i="7"/>
  <c r="L248" i="7" s="1"/>
  <c r="R248" i="7"/>
  <c r="V248" i="7"/>
  <c r="S248" i="7"/>
  <c r="X248" i="7"/>
  <c r="M248" i="7" s="1"/>
  <c r="Q248" i="7"/>
  <c r="M247" i="7"/>
  <c r="Q248" i="13" l="1"/>
  <c r="Q248" i="3"/>
  <c r="B250" i="3"/>
  <c r="AF250" i="3" s="1"/>
  <c r="C249" i="3"/>
  <c r="H249" i="7"/>
  <c r="Z248" i="7"/>
  <c r="P249" i="3"/>
  <c r="S249" i="3" s="1"/>
  <c r="P249" i="13"/>
  <c r="S249" i="13" s="1"/>
  <c r="N254" i="1"/>
  <c r="R248" i="13"/>
  <c r="T248" i="13"/>
  <c r="B249" i="13"/>
  <c r="AF249" i="13" s="1"/>
  <c r="C248" i="13"/>
  <c r="T253" i="1"/>
  <c r="V252" i="1"/>
  <c r="R248" i="3"/>
  <c r="T248" i="3"/>
  <c r="W254" i="1"/>
  <c r="Y253" i="1"/>
  <c r="O249" i="3"/>
  <c r="O249" i="13"/>
  <c r="M254" i="1"/>
  <c r="O253" i="1"/>
  <c r="Q256" i="1"/>
  <c r="S255" i="1"/>
  <c r="K248" i="7"/>
  <c r="P250" i="7"/>
  <c r="O251" i="7"/>
  <c r="W249" i="7"/>
  <c r="S249" i="7"/>
  <c r="X249" i="7"/>
  <c r="Q249" i="7"/>
  <c r="R249" i="7"/>
  <c r="V249" i="7"/>
  <c r="K249" i="7" s="1"/>
  <c r="O250" i="3" l="1"/>
  <c r="O250" i="13"/>
  <c r="O254" i="1"/>
  <c r="M255" i="1"/>
  <c r="W255" i="1"/>
  <c r="Y254" i="1"/>
  <c r="T254" i="1"/>
  <c r="V253" i="1"/>
  <c r="B251" i="3"/>
  <c r="AF251" i="3" s="1"/>
  <c r="C250" i="3"/>
  <c r="R249" i="13"/>
  <c r="T249" i="13"/>
  <c r="Q257" i="1"/>
  <c r="S256" i="1"/>
  <c r="R249" i="3"/>
  <c r="T249" i="3"/>
  <c r="B250" i="13"/>
  <c r="AF250" i="13" s="1"/>
  <c r="C249" i="13"/>
  <c r="P250" i="3"/>
  <c r="S250" i="3" s="1"/>
  <c r="P250" i="13"/>
  <c r="S250" i="13" s="1"/>
  <c r="N255" i="1"/>
  <c r="Z249" i="7"/>
  <c r="H250" i="7"/>
  <c r="Q249" i="3"/>
  <c r="Q249" i="13"/>
  <c r="M249" i="7"/>
  <c r="V250" i="7"/>
  <c r="K250" i="7" s="1"/>
  <c r="R250" i="7"/>
  <c r="X250" i="7"/>
  <c r="S250" i="7"/>
  <c r="W250" i="7"/>
  <c r="Q250" i="7"/>
  <c r="P251" i="7"/>
  <c r="O252" i="7"/>
  <c r="L250" i="7"/>
  <c r="L249" i="7"/>
  <c r="O251" i="3" l="1"/>
  <c r="O251" i="13"/>
  <c r="M256" i="1"/>
  <c r="O255" i="1"/>
  <c r="P251" i="3"/>
  <c r="S251" i="3" s="1"/>
  <c r="P251" i="13"/>
  <c r="S251" i="13" s="1"/>
  <c r="N256" i="1"/>
  <c r="B251" i="13"/>
  <c r="AF251" i="13" s="1"/>
  <c r="C250" i="13"/>
  <c r="V254" i="1"/>
  <c r="T255" i="1"/>
  <c r="Q250" i="13"/>
  <c r="Q250" i="3"/>
  <c r="Q258" i="1"/>
  <c r="S257" i="1"/>
  <c r="B252" i="3"/>
  <c r="AF252" i="3" s="1"/>
  <c r="C251" i="3"/>
  <c r="R250" i="13"/>
  <c r="T250" i="13"/>
  <c r="H251" i="7"/>
  <c r="Z250" i="7"/>
  <c r="W256" i="1"/>
  <c r="Y255" i="1"/>
  <c r="R250" i="3"/>
  <c r="T250" i="3"/>
  <c r="M250" i="7"/>
  <c r="W251" i="7"/>
  <c r="S251" i="7"/>
  <c r="X251" i="7"/>
  <c r="Q251" i="7"/>
  <c r="R251" i="7"/>
  <c r="V251" i="7"/>
  <c r="P252" i="7"/>
  <c r="O253" i="7"/>
  <c r="Q251" i="13" l="1"/>
  <c r="Q251" i="3"/>
  <c r="Y256" i="1"/>
  <c r="W257" i="1"/>
  <c r="T256" i="1"/>
  <c r="V255" i="1"/>
  <c r="S258" i="1"/>
  <c r="Q259" i="1"/>
  <c r="P252" i="3"/>
  <c r="S252" i="3" s="1"/>
  <c r="N257" i="1"/>
  <c r="P252" i="13"/>
  <c r="S252" i="13" s="1"/>
  <c r="O252" i="3"/>
  <c r="O252" i="13"/>
  <c r="O256" i="1"/>
  <c r="M257" i="1"/>
  <c r="Z251" i="7"/>
  <c r="H252" i="7"/>
  <c r="B253" i="3"/>
  <c r="AF253" i="3" s="1"/>
  <c r="C252" i="3"/>
  <c r="R251" i="13"/>
  <c r="T251" i="13"/>
  <c r="B252" i="13"/>
  <c r="AF252" i="13" s="1"/>
  <c r="C251" i="13"/>
  <c r="R251" i="3"/>
  <c r="T251" i="3"/>
  <c r="W252" i="7"/>
  <c r="L252" i="7" s="1"/>
  <c r="R252" i="7"/>
  <c r="V252" i="7"/>
  <c r="K252" i="7" s="1"/>
  <c r="S252" i="7"/>
  <c r="X252" i="7"/>
  <c r="M252" i="7" s="1"/>
  <c r="Q252" i="7"/>
  <c r="L251" i="7"/>
  <c r="K251" i="7"/>
  <c r="P253" i="7"/>
  <c r="O254" i="7"/>
  <c r="M251" i="7"/>
  <c r="B254" i="3" l="1"/>
  <c r="AF254" i="3" s="1"/>
  <c r="C253" i="3"/>
  <c r="O253" i="3"/>
  <c r="O253" i="13"/>
  <c r="M258" i="1"/>
  <c r="O257" i="1"/>
  <c r="B253" i="13"/>
  <c r="AF253" i="13" s="1"/>
  <c r="C252" i="13"/>
  <c r="R252" i="3"/>
  <c r="T252" i="3"/>
  <c r="S259" i="1"/>
  <c r="Q260" i="1"/>
  <c r="W258" i="1"/>
  <c r="Y257" i="1"/>
  <c r="Q252" i="13"/>
  <c r="Q252" i="3"/>
  <c r="P253" i="3"/>
  <c r="S253" i="3" s="1"/>
  <c r="P253" i="13"/>
  <c r="S253" i="13" s="1"/>
  <c r="N258" i="1"/>
  <c r="H253" i="7"/>
  <c r="Z252" i="7"/>
  <c r="R252" i="13"/>
  <c r="T252" i="13"/>
  <c r="T257" i="1"/>
  <c r="V256" i="1"/>
  <c r="W253" i="7"/>
  <c r="S253" i="7"/>
  <c r="X253" i="7"/>
  <c r="Q253" i="7"/>
  <c r="R253" i="7"/>
  <c r="V253" i="7"/>
  <c r="O255" i="7"/>
  <c r="P254" i="7"/>
  <c r="R253" i="3" l="1"/>
  <c r="T253" i="3"/>
  <c r="W259" i="1"/>
  <c r="Y258" i="1"/>
  <c r="Q253" i="3"/>
  <c r="Q253" i="13"/>
  <c r="T258" i="1"/>
  <c r="V257" i="1"/>
  <c r="Z253" i="7"/>
  <c r="H254" i="7"/>
  <c r="Q261" i="1"/>
  <c r="S260" i="1"/>
  <c r="O254" i="3"/>
  <c r="O254" i="13"/>
  <c r="O258" i="1"/>
  <c r="M259" i="1"/>
  <c r="B255" i="3"/>
  <c r="AF255" i="3" s="1"/>
  <c r="C254" i="3"/>
  <c r="P254" i="3"/>
  <c r="S254" i="3" s="1"/>
  <c r="P254" i="13"/>
  <c r="S254" i="13" s="1"/>
  <c r="N259" i="1"/>
  <c r="B254" i="13"/>
  <c r="AF254" i="13" s="1"/>
  <c r="C253" i="13"/>
  <c r="R253" i="13"/>
  <c r="T253" i="13"/>
  <c r="V254" i="7"/>
  <c r="K254" i="7" s="1"/>
  <c r="R254" i="7"/>
  <c r="X254" i="7"/>
  <c r="S254" i="7"/>
  <c r="W254" i="7"/>
  <c r="L254" i="7" s="1"/>
  <c r="Q254" i="7"/>
  <c r="P255" i="7"/>
  <c r="O256" i="7"/>
  <c r="K253" i="7"/>
  <c r="L253" i="7"/>
  <c r="M253" i="7"/>
  <c r="B255" i="13" l="1"/>
  <c r="AF255" i="13" s="1"/>
  <c r="C254" i="13"/>
  <c r="O255" i="3"/>
  <c r="O255" i="13"/>
  <c r="M260" i="1"/>
  <c r="O259" i="1"/>
  <c r="Q254" i="13"/>
  <c r="Q254" i="3"/>
  <c r="Q262" i="1"/>
  <c r="S261" i="1"/>
  <c r="V258" i="1"/>
  <c r="T259" i="1"/>
  <c r="Y259" i="1"/>
  <c r="W260" i="1"/>
  <c r="P255" i="3"/>
  <c r="S255" i="3" s="1"/>
  <c r="P255" i="13"/>
  <c r="S255" i="13" s="1"/>
  <c r="N260" i="1"/>
  <c r="B256" i="3"/>
  <c r="AF256" i="3" s="1"/>
  <c r="C255" i="3"/>
  <c r="R254" i="13"/>
  <c r="T254" i="13"/>
  <c r="H255" i="7"/>
  <c r="Z254" i="7"/>
  <c r="R254" i="3"/>
  <c r="T254" i="3"/>
  <c r="W255" i="7"/>
  <c r="S255" i="7"/>
  <c r="X255" i="7"/>
  <c r="Q255" i="7"/>
  <c r="R255" i="7"/>
  <c r="V255" i="7"/>
  <c r="P256" i="7"/>
  <c r="O257" i="7"/>
  <c r="M254" i="7"/>
  <c r="Z255" i="7" l="1"/>
  <c r="H256" i="7"/>
  <c r="B257" i="3"/>
  <c r="AF257" i="3" s="1"/>
  <c r="C256" i="3"/>
  <c r="R255" i="3"/>
  <c r="T255" i="3"/>
  <c r="Y260" i="1"/>
  <c r="W261" i="1"/>
  <c r="Q255" i="13"/>
  <c r="Q255" i="3"/>
  <c r="P256" i="3"/>
  <c r="S256" i="3" s="1"/>
  <c r="N261" i="1"/>
  <c r="P256" i="13"/>
  <c r="S256" i="13" s="1"/>
  <c r="S262" i="1"/>
  <c r="Q263" i="1"/>
  <c r="O256" i="3"/>
  <c r="O256" i="13"/>
  <c r="O260" i="1"/>
  <c r="M261" i="1"/>
  <c r="B256" i="13"/>
  <c r="AF256" i="13" s="1"/>
  <c r="C255" i="13"/>
  <c r="T260" i="1"/>
  <c r="V259" i="1"/>
  <c r="R255" i="13"/>
  <c r="T255" i="13"/>
  <c r="W256" i="7"/>
  <c r="L256" i="7" s="1"/>
  <c r="R256" i="7"/>
  <c r="V256" i="7"/>
  <c r="S256" i="7"/>
  <c r="X256" i="7"/>
  <c r="Q256" i="7"/>
  <c r="K255" i="7"/>
  <c r="O258" i="7"/>
  <c r="P257" i="7"/>
  <c r="M255" i="7"/>
  <c r="M256" i="7"/>
  <c r="L255" i="7"/>
  <c r="T261" i="1" l="1"/>
  <c r="V260" i="1"/>
  <c r="O257" i="3"/>
  <c r="O257" i="13"/>
  <c r="M262" i="1"/>
  <c r="O261" i="1"/>
  <c r="S263" i="1"/>
  <c r="Q264" i="1"/>
  <c r="B258" i="3"/>
  <c r="AF258" i="3" s="1"/>
  <c r="C257" i="3"/>
  <c r="B257" i="13"/>
  <c r="AF257" i="13" s="1"/>
  <c r="C256" i="13"/>
  <c r="R256" i="13"/>
  <c r="T256" i="13"/>
  <c r="H257" i="7"/>
  <c r="Z256" i="7"/>
  <c r="Q256" i="13"/>
  <c r="Q256" i="3"/>
  <c r="R256" i="3"/>
  <c r="T256" i="3"/>
  <c r="P257" i="3"/>
  <c r="S257" i="3" s="1"/>
  <c r="P257" i="13"/>
  <c r="S257" i="13" s="1"/>
  <c r="N262" i="1"/>
  <c r="W262" i="1"/>
  <c r="Y261" i="1"/>
  <c r="Q257" i="7"/>
  <c r="X257" i="7"/>
  <c r="W257" i="7"/>
  <c r="V257" i="7"/>
  <c r="S257" i="7"/>
  <c r="R257" i="7"/>
  <c r="K256" i="7"/>
  <c r="K257" i="7"/>
  <c r="O259" i="7"/>
  <c r="P258" i="7"/>
  <c r="Q265" i="1" l="1"/>
  <c r="S264" i="1"/>
  <c r="R257" i="13"/>
  <c r="T257" i="13"/>
  <c r="R257" i="3"/>
  <c r="T257" i="3"/>
  <c r="W263" i="1"/>
  <c r="Y262" i="1"/>
  <c r="B259" i="3"/>
  <c r="AF259" i="3" s="1"/>
  <c r="C258" i="3"/>
  <c r="Q257" i="3"/>
  <c r="Q257" i="13"/>
  <c r="P258" i="3"/>
  <c r="S258" i="3" s="1"/>
  <c r="P258" i="13"/>
  <c r="S258" i="13" s="1"/>
  <c r="N263" i="1"/>
  <c r="Z257" i="7"/>
  <c r="H258" i="7"/>
  <c r="B258" i="13"/>
  <c r="AF258" i="13" s="1"/>
  <c r="C257" i="13"/>
  <c r="O258" i="3"/>
  <c r="O258" i="13"/>
  <c r="O262" i="1"/>
  <c r="M263" i="1"/>
  <c r="T262" i="1"/>
  <c r="V261" i="1"/>
  <c r="P259" i="7"/>
  <c r="O260" i="7"/>
  <c r="M257" i="7"/>
  <c r="L257" i="7"/>
  <c r="V258" i="7"/>
  <c r="R258" i="7"/>
  <c r="X258" i="7"/>
  <c r="S258" i="7"/>
  <c r="W258" i="7"/>
  <c r="Q258" i="7"/>
  <c r="L258" i="7"/>
  <c r="Q258" i="13" l="1"/>
  <c r="Q258" i="3"/>
  <c r="B259" i="13"/>
  <c r="AF259" i="13" s="1"/>
  <c r="C258" i="13"/>
  <c r="P259" i="3"/>
  <c r="S259" i="3" s="1"/>
  <c r="P259" i="13"/>
  <c r="S259" i="13" s="1"/>
  <c r="N264" i="1"/>
  <c r="R258" i="13"/>
  <c r="T258" i="13"/>
  <c r="W264" i="1"/>
  <c r="Y263" i="1"/>
  <c r="V262" i="1"/>
  <c r="T263" i="1"/>
  <c r="R258" i="3"/>
  <c r="T258" i="3"/>
  <c r="H259" i="7"/>
  <c r="Z258" i="7"/>
  <c r="B260" i="3"/>
  <c r="AF260" i="3" s="1"/>
  <c r="C259" i="3"/>
  <c r="O259" i="3"/>
  <c r="O259" i="13"/>
  <c r="M264" i="1"/>
  <c r="O263" i="1"/>
  <c r="S265" i="1"/>
  <c r="Q266" i="1"/>
  <c r="P260" i="7"/>
  <c r="O261" i="7"/>
  <c r="K258" i="7"/>
  <c r="M258" i="7"/>
  <c r="W259" i="7"/>
  <c r="S259" i="7"/>
  <c r="X259" i="7"/>
  <c r="Q259" i="7"/>
  <c r="R259" i="7"/>
  <c r="V259" i="7"/>
  <c r="O260" i="3" l="1"/>
  <c r="O260" i="13"/>
  <c r="O264" i="1"/>
  <c r="M265" i="1"/>
  <c r="B261" i="3"/>
  <c r="AF261" i="3" s="1"/>
  <c r="C260" i="3"/>
  <c r="P260" i="3"/>
  <c r="S260" i="3" s="1"/>
  <c r="N265" i="1"/>
  <c r="P260" i="13"/>
  <c r="S260" i="13" s="1"/>
  <c r="B260" i="13"/>
  <c r="AF260" i="13" s="1"/>
  <c r="C259" i="13"/>
  <c r="S266" i="1"/>
  <c r="Q267" i="1"/>
  <c r="R259" i="13"/>
  <c r="T259" i="13"/>
  <c r="Y264" i="1"/>
  <c r="W265" i="1"/>
  <c r="R259" i="3"/>
  <c r="T259" i="3"/>
  <c r="T264" i="1"/>
  <c r="V263" i="1"/>
  <c r="Q259" i="13"/>
  <c r="Q259" i="3"/>
  <c r="Z259" i="7"/>
  <c r="H260" i="7"/>
  <c r="K259" i="7"/>
  <c r="Q260" i="7"/>
  <c r="X260" i="7"/>
  <c r="S260" i="7"/>
  <c r="R260" i="7"/>
  <c r="W260" i="7"/>
  <c r="V260" i="7"/>
  <c r="K260" i="7" s="1"/>
  <c r="L259" i="7"/>
  <c r="M259" i="7"/>
  <c r="O262" i="7"/>
  <c r="P261" i="7"/>
  <c r="B261" i="13" l="1"/>
  <c r="AF261" i="13" s="1"/>
  <c r="C260" i="13"/>
  <c r="O261" i="3"/>
  <c r="O261" i="13"/>
  <c r="M266" i="1"/>
  <c r="O265" i="1"/>
  <c r="H261" i="7"/>
  <c r="Z260" i="7"/>
  <c r="W266" i="1"/>
  <c r="Y265" i="1"/>
  <c r="Q268" i="1"/>
  <c r="S267" i="1"/>
  <c r="Q260" i="13"/>
  <c r="Q260" i="3"/>
  <c r="T265" i="1"/>
  <c r="V264" i="1"/>
  <c r="B262" i="3"/>
  <c r="AF262" i="3" s="1"/>
  <c r="C261" i="3"/>
  <c r="R260" i="13"/>
  <c r="T260" i="13"/>
  <c r="P261" i="3"/>
  <c r="S261" i="3" s="1"/>
  <c r="P261" i="13"/>
  <c r="S261" i="13" s="1"/>
  <c r="N266" i="1"/>
  <c r="R260" i="3"/>
  <c r="T260" i="3"/>
  <c r="W261" i="7"/>
  <c r="S261" i="7"/>
  <c r="X261" i="7"/>
  <c r="Q261" i="7"/>
  <c r="R261" i="7"/>
  <c r="V261" i="7"/>
  <c r="K261" i="7" s="1"/>
  <c r="P262" i="7"/>
  <c r="O263" i="7"/>
  <c r="L260" i="7"/>
  <c r="M260" i="7"/>
  <c r="T266" i="1" l="1"/>
  <c r="V265" i="1"/>
  <c r="Q269" i="1"/>
  <c r="S268" i="1"/>
  <c r="Z261" i="7"/>
  <c r="H262" i="7"/>
  <c r="R261" i="3"/>
  <c r="T261" i="3"/>
  <c r="B263" i="3"/>
  <c r="AF263" i="3" s="1"/>
  <c r="C262" i="3"/>
  <c r="Q261" i="3"/>
  <c r="Q261" i="13"/>
  <c r="W267" i="1"/>
  <c r="Y266" i="1"/>
  <c r="O262" i="3"/>
  <c r="O262" i="13"/>
  <c r="O266" i="1"/>
  <c r="M267" i="1"/>
  <c r="B262" i="13"/>
  <c r="AF262" i="13" s="1"/>
  <c r="C261" i="13"/>
  <c r="P262" i="3"/>
  <c r="S262" i="3" s="1"/>
  <c r="P262" i="13"/>
  <c r="S262" i="13" s="1"/>
  <c r="N267" i="1"/>
  <c r="R261" i="13"/>
  <c r="T261" i="13"/>
  <c r="L261" i="7"/>
  <c r="V262" i="7"/>
  <c r="R262" i="7"/>
  <c r="X262" i="7"/>
  <c r="S262" i="7"/>
  <c r="W262" i="7"/>
  <c r="Q262" i="7"/>
  <c r="P263" i="7"/>
  <c r="O264" i="7"/>
  <c r="M261" i="7"/>
  <c r="K262" i="7"/>
  <c r="R262" i="3" l="1"/>
  <c r="T262" i="3"/>
  <c r="O263" i="3"/>
  <c r="O263" i="13"/>
  <c r="M268" i="1"/>
  <c r="O267" i="1"/>
  <c r="S269" i="1"/>
  <c r="Q270" i="1"/>
  <c r="Q262" i="13"/>
  <c r="Q262" i="3"/>
  <c r="Y267" i="1"/>
  <c r="W268" i="1"/>
  <c r="B264" i="3"/>
  <c r="AF264" i="3" s="1"/>
  <c r="C263" i="3"/>
  <c r="H263" i="7"/>
  <c r="Z262" i="7"/>
  <c r="P263" i="3"/>
  <c r="S263" i="3" s="1"/>
  <c r="P263" i="13"/>
  <c r="S263" i="13" s="1"/>
  <c r="N268" i="1"/>
  <c r="B263" i="13"/>
  <c r="AF263" i="13" s="1"/>
  <c r="C262" i="13"/>
  <c r="R262" i="13"/>
  <c r="T262" i="13"/>
  <c r="V266" i="1"/>
  <c r="T267" i="1"/>
  <c r="O265" i="7"/>
  <c r="P264" i="7"/>
  <c r="Q263" i="7"/>
  <c r="X263" i="7"/>
  <c r="W263" i="7"/>
  <c r="V263" i="7"/>
  <c r="S263" i="7"/>
  <c r="R263" i="7"/>
  <c r="M262" i="7"/>
  <c r="L262" i="7"/>
  <c r="P264" i="3" l="1"/>
  <c r="S264" i="3" s="1"/>
  <c r="N269" i="1"/>
  <c r="P264" i="13"/>
  <c r="S264" i="13" s="1"/>
  <c r="Z263" i="7"/>
  <c r="H264" i="7"/>
  <c r="Y268" i="1"/>
  <c r="W269" i="1"/>
  <c r="S270" i="1"/>
  <c r="Q271" i="1"/>
  <c r="R263" i="13"/>
  <c r="T263" i="13"/>
  <c r="T268" i="1"/>
  <c r="V267" i="1"/>
  <c r="R263" i="3"/>
  <c r="T263" i="3"/>
  <c r="C263" i="13"/>
  <c r="B264" i="13"/>
  <c r="AF264" i="13" s="1"/>
  <c r="B265" i="3"/>
  <c r="AF265" i="3" s="1"/>
  <c r="C264" i="3"/>
  <c r="Q263" i="13"/>
  <c r="Q263" i="3"/>
  <c r="O264" i="3"/>
  <c r="O264" i="13"/>
  <c r="O268" i="1"/>
  <c r="M269" i="1"/>
  <c r="M263" i="7"/>
  <c r="K263" i="7"/>
  <c r="P265" i="7"/>
  <c r="O266" i="7"/>
  <c r="L263" i="7"/>
  <c r="W264" i="7"/>
  <c r="R264" i="7"/>
  <c r="V264" i="7"/>
  <c r="K264" i="7" s="1"/>
  <c r="S264" i="7"/>
  <c r="X264" i="7"/>
  <c r="Q264" i="7"/>
  <c r="R264" i="3" l="1"/>
  <c r="T264" i="3"/>
  <c r="B266" i="3"/>
  <c r="AF266" i="3" s="1"/>
  <c r="C265" i="3"/>
  <c r="T269" i="1"/>
  <c r="V268" i="1"/>
  <c r="O265" i="3"/>
  <c r="O265" i="13"/>
  <c r="M270" i="1"/>
  <c r="O269" i="1"/>
  <c r="W270" i="1"/>
  <c r="Y269" i="1"/>
  <c r="Q264" i="13"/>
  <c r="Q264" i="3"/>
  <c r="B265" i="13"/>
  <c r="AF265" i="13" s="1"/>
  <c r="C264" i="13"/>
  <c r="P265" i="3"/>
  <c r="S265" i="3" s="1"/>
  <c r="P265" i="13"/>
  <c r="S265" i="13" s="1"/>
  <c r="N270" i="1"/>
  <c r="R264" i="13"/>
  <c r="T264" i="13"/>
  <c r="Q272" i="1"/>
  <c r="S271" i="1"/>
  <c r="H265" i="7"/>
  <c r="Z264" i="7"/>
  <c r="P266" i="7"/>
  <c r="O267" i="7"/>
  <c r="R265" i="7"/>
  <c r="W265" i="7"/>
  <c r="L265" i="7" s="1"/>
  <c r="X265" i="7"/>
  <c r="S265" i="7"/>
  <c r="Q265" i="7"/>
  <c r="V265" i="7"/>
  <c r="L264" i="7"/>
  <c r="M264" i="7"/>
  <c r="Q273" i="1" l="1"/>
  <c r="S272" i="1"/>
  <c r="W271" i="1"/>
  <c r="Y270" i="1"/>
  <c r="R265" i="3"/>
  <c r="T265" i="3"/>
  <c r="B267" i="3"/>
  <c r="AF267" i="3" s="1"/>
  <c r="C266" i="3"/>
  <c r="Q265" i="3"/>
  <c r="Q265" i="13"/>
  <c r="Z265" i="7"/>
  <c r="H266" i="7"/>
  <c r="O266" i="3"/>
  <c r="O266" i="13"/>
  <c r="O270" i="1"/>
  <c r="M271" i="1"/>
  <c r="T270" i="1"/>
  <c r="V269" i="1"/>
  <c r="P266" i="3"/>
  <c r="S266" i="3" s="1"/>
  <c r="P266" i="13"/>
  <c r="S266" i="13" s="1"/>
  <c r="N271" i="1"/>
  <c r="B266" i="13"/>
  <c r="AF266" i="13" s="1"/>
  <c r="C265" i="13"/>
  <c r="R265" i="13"/>
  <c r="T265" i="13"/>
  <c r="M265" i="7"/>
  <c r="K265" i="7"/>
  <c r="P267" i="7"/>
  <c r="O268" i="7"/>
  <c r="V266" i="7"/>
  <c r="R266" i="7"/>
  <c r="X266" i="7"/>
  <c r="S266" i="7"/>
  <c r="W266" i="7"/>
  <c r="Q266" i="7"/>
  <c r="B267" i="13" l="1"/>
  <c r="AF267" i="13" s="1"/>
  <c r="C266" i="13"/>
  <c r="Q266" i="13"/>
  <c r="Q266" i="3"/>
  <c r="B268" i="3"/>
  <c r="AF268" i="3" s="1"/>
  <c r="C267" i="3"/>
  <c r="R266" i="13"/>
  <c r="T266" i="13"/>
  <c r="W272" i="1"/>
  <c r="Y271" i="1"/>
  <c r="P267" i="3"/>
  <c r="S267" i="3" s="1"/>
  <c r="P267" i="13"/>
  <c r="S267" i="13" s="1"/>
  <c r="N272" i="1"/>
  <c r="V270" i="1"/>
  <c r="T271" i="1"/>
  <c r="R266" i="3"/>
  <c r="T266" i="3"/>
  <c r="O267" i="3"/>
  <c r="O267" i="13"/>
  <c r="M272" i="1"/>
  <c r="O271" i="1"/>
  <c r="H267" i="7"/>
  <c r="Z266" i="7"/>
  <c r="Q274" i="1"/>
  <c r="S273" i="1"/>
  <c r="M266" i="7"/>
  <c r="P268" i="7"/>
  <c r="O269" i="7"/>
  <c r="W267" i="7"/>
  <c r="L267" i="7" s="1"/>
  <c r="S267" i="7"/>
  <c r="X267" i="7"/>
  <c r="Q267" i="7"/>
  <c r="R267" i="7"/>
  <c r="V267" i="7"/>
  <c r="K267" i="7" s="1"/>
  <c r="L266" i="7"/>
  <c r="K266" i="7"/>
  <c r="R267" i="3" l="1"/>
  <c r="T267" i="3"/>
  <c r="Q267" i="13"/>
  <c r="Q267" i="3"/>
  <c r="P268" i="3"/>
  <c r="S268" i="3" s="1"/>
  <c r="N273" i="1"/>
  <c r="P268" i="13"/>
  <c r="S268" i="13" s="1"/>
  <c r="Y272" i="1"/>
  <c r="W273" i="1"/>
  <c r="B269" i="3"/>
  <c r="AF269" i="3" s="1"/>
  <c r="C268" i="3"/>
  <c r="S274" i="1"/>
  <c r="Q275" i="1"/>
  <c r="O268" i="3"/>
  <c r="O268" i="13"/>
  <c r="O272" i="1"/>
  <c r="M273" i="1"/>
  <c r="B268" i="13"/>
  <c r="AF268" i="13" s="1"/>
  <c r="C267" i="13"/>
  <c r="Z267" i="7"/>
  <c r="H268" i="7"/>
  <c r="R267" i="13"/>
  <c r="T267" i="13"/>
  <c r="T272" i="1"/>
  <c r="V271" i="1"/>
  <c r="O270" i="7"/>
  <c r="P269" i="7"/>
  <c r="R268" i="7"/>
  <c r="Q268" i="7"/>
  <c r="W268" i="7"/>
  <c r="V268" i="7"/>
  <c r="X268" i="7"/>
  <c r="M268" i="7" s="1"/>
  <c r="S268" i="7"/>
  <c r="M267" i="7"/>
  <c r="B269" i="13" l="1"/>
  <c r="AF269" i="13" s="1"/>
  <c r="C268" i="13"/>
  <c r="R268" i="13"/>
  <c r="T268" i="13"/>
  <c r="H269" i="7"/>
  <c r="Z268" i="7"/>
  <c r="R268" i="3"/>
  <c r="T268" i="3"/>
  <c r="B270" i="3"/>
  <c r="AF270" i="3" s="1"/>
  <c r="C269" i="3"/>
  <c r="T273" i="1"/>
  <c r="V272" i="1"/>
  <c r="O269" i="3"/>
  <c r="O269" i="13"/>
  <c r="M274" i="1"/>
  <c r="O273" i="1"/>
  <c r="S275" i="1"/>
  <c r="Q276" i="1"/>
  <c r="P269" i="3"/>
  <c r="S269" i="3" s="1"/>
  <c r="P269" i="13"/>
  <c r="S269" i="13" s="1"/>
  <c r="N274" i="1"/>
  <c r="Q268" i="13"/>
  <c r="Q268" i="3"/>
  <c r="W274" i="1"/>
  <c r="Y273" i="1"/>
  <c r="O271" i="7"/>
  <c r="P270" i="7"/>
  <c r="L269" i="7"/>
  <c r="L268" i="7"/>
  <c r="W269" i="7"/>
  <c r="S269" i="7"/>
  <c r="X269" i="7"/>
  <c r="Q269" i="7"/>
  <c r="R269" i="7"/>
  <c r="V269" i="7"/>
  <c r="M269" i="7"/>
  <c r="K268" i="7"/>
  <c r="Q277" i="1" l="1"/>
  <c r="S276" i="1"/>
  <c r="R269" i="13"/>
  <c r="T269" i="13"/>
  <c r="P270" i="3"/>
  <c r="S270" i="3" s="1"/>
  <c r="P270" i="13"/>
  <c r="S270" i="13" s="1"/>
  <c r="N275" i="1"/>
  <c r="R269" i="3"/>
  <c r="T269" i="3"/>
  <c r="B271" i="3"/>
  <c r="AF271" i="3" s="1"/>
  <c r="C270" i="3"/>
  <c r="W275" i="1"/>
  <c r="Y274" i="1"/>
  <c r="Q269" i="3"/>
  <c r="Q269" i="13"/>
  <c r="Z269" i="7"/>
  <c r="H270" i="7"/>
  <c r="B270" i="13"/>
  <c r="AF270" i="13" s="1"/>
  <c r="C269" i="13"/>
  <c r="O270" i="3"/>
  <c r="O270" i="13"/>
  <c r="O274" i="1"/>
  <c r="M275" i="1"/>
  <c r="T274" i="1"/>
  <c r="V273" i="1"/>
  <c r="P271" i="7"/>
  <c r="O272" i="7"/>
  <c r="K269" i="7"/>
  <c r="V270" i="7"/>
  <c r="K270" i="7" s="1"/>
  <c r="R270" i="7"/>
  <c r="X270" i="7"/>
  <c r="S270" i="7"/>
  <c r="W270" i="7"/>
  <c r="Q270" i="7"/>
  <c r="Q270" i="13" l="1"/>
  <c r="Q270" i="3"/>
  <c r="B271" i="13"/>
  <c r="AF271" i="13" s="1"/>
  <c r="C270" i="13"/>
  <c r="R270" i="13"/>
  <c r="T270" i="13"/>
  <c r="B272" i="3"/>
  <c r="AF272" i="3" s="1"/>
  <c r="C271" i="3"/>
  <c r="P271" i="3"/>
  <c r="S271" i="3" s="1"/>
  <c r="P271" i="13"/>
  <c r="S271" i="13" s="1"/>
  <c r="N276" i="1"/>
  <c r="V274" i="1"/>
  <c r="T275" i="1"/>
  <c r="R270" i="3"/>
  <c r="T270" i="3"/>
  <c r="H271" i="7"/>
  <c r="Z270" i="7"/>
  <c r="O271" i="3"/>
  <c r="O271" i="13"/>
  <c r="M276" i="1"/>
  <c r="O275" i="1"/>
  <c r="Y275" i="1"/>
  <c r="W276" i="1"/>
  <c r="Q278" i="1"/>
  <c r="S277" i="1"/>
  <c r="W271" i="7"/>
  <c r="S271" i="7"/>
  <c r="X271" i="7"/>
  <c r="Q271" i="7"/>
  <c r="R271" i="7"/>
  <c r="V271" i="7"/>
  <c r="M271" i="7"/>
  <c r="K271" i="7"/>
  <c r="L270" i="7"/>
  <c r="M270" i="7"/>
  <c r="P272" i="7"/>
  <c r="O273" i="7"/>
  <c r="R271" i="3" l="1"/>
  <c r="T271" i="3"/>
  <c r="B272" i="13"/>
  <c r="AF272" i="13" s="1"/>
  <c r="C271" i="13"/>
  <c r="Q271" i="13"/>
  <c r="Q271" i="3"/>
  <c r="T276" i="1"/>
  <c r="V275" i="1"/>
  <c r="S278" i="1"/>
  <c r="Q279" i="1"/>
  <c r="O272" i="3"/>
  <c r="O272" i="13"/>
  <c r="O276" i="1"/>
  <c r="M277" i="1"/>
  <c r="Z271" i="7"/>
  <c r="H272" i="7"/>
  <c r="Y276" i="1"/>
  <c r="W277" i="1"/>
  <c r="R271" i="13"/>
  <c r="T271" i="13"/>
  <c r="P272" i="3"/>
  <c r="S272" i="3" s="1"/>
  <c r="N277" i="1"/>
  <c r="P272" i="13"/>
  <c r="S272" i="13" s="1"/>
  <c r="B273" i="3"/>
  <c r="AF273" i="3" s="1"/>
  <c r="C272" i="3"/>
  <c r="L271" i="7"/>
  <c r="P273" i="7"/>
  <c r="O274" i="7"/>
  <c r="W272" i="7"/>
  <c r="R272" i="7"/>
  <c r="V272" i="7"/>
  <c r="S272" i="7"/>
  <c r="X272" i="7"/>
  <c r="Q272" i="7"/>
  <c r="K272" i="7"/>
  <c r="R272" i="3" l="1"/>
  <c r="T272" i="3"/>
  <c r="T277" i="1"/>
  <c r="V276" i="1"/>
  <c r="B273" i="13"/>
  <c r="AF273" i="13" s="1"/>
  <c r="C272" i="13"/>
  <c r="B274" i="3"/>
  <c r="AF274" i="3" s="1"/>
  <c r="C273" i="3"/>
  <c r="Q272" i="13"/>
  <c r="Q272" i="3"/>
  <c r="P273" i="3"/>
  <c r="S273" i="3" s="1"/>
  <c r="P273" i="13"/>
  <c r="S273" i="13" s="1"/>
  <c r="N278" i="1"/>
  <c r="W278" i="1"/>
  <c r="Y277" i="1"/>
  <c r="O273" i="3"/>
  <c r="O273" i="13"/>
  <c r="M278" i="1"/>
  <c r="O277" i="1"/>
  <c r="S279" i="1"/>
  <c r="Q280" i="1"/>
  <c r="H273" i="7"/>
  <c r="Z272" i="7"/>
  <c r="R272" i="13"/>
  <c r="T272" i="13"/>
  <c r="Q273" i="7"/>
  <c r="X273" i="7"/>
  <c r="W273" i="7"/>
  <c r="L273" i="7" s="1"/>
  <c r="V273" i="7"/>
  <c r="K273" i="7" s="1"/>
  <c r="S273" i="7"/>
  <c r="R273" i="7"/>
  <c r="M272" i="7"/>
  <c r="M273" i="7"/>
  <c r="O275" i="7"/>
  <c r="P274" i="7"/>
  <c r="L272" i="7"/>
  <c r="Z273" i="7" l="1"/>
  <c r="H274" i="7"/>
  <c r="O274" i="3"/>
  <c r="O274" i="13"/>
  <c r="O278" i="1"/>
  <c r="M279" i="1"/>
  <c r="W279" i="1"/>
  <c r="Y278" i="1"/>
  <c r="Q281" i="1"/>
  <c r="S280" i="1"/>
  <c r="R273" i="13"/>
  <c r="T273" i="13"/>
  <c r="P274" i="3"/>
  <c r="S274" i="3" s="1"/>
  <c r="P274" i="13"/>
  <c r="S274" i="13" s="1"/>
  <c r="N279" i="1"/>
  <c r="T278" i="1"/>
  <c r="V277" i="1"/>
  <c r="B274" i="13"/>
  <c r="AF274" i="13" s="1"/>
  <c r="C273" i="13"/>
  <c r="R273" i="3"/>
  <c r="T273" i="3"/>
  <c r="Q273" i="3"/>
  <c r="Q273" i="13"/>
  <c r="B275" i="3"/>
  <c r="AF275" i="3" s="1"/>
  <c r="C274" i="3"/>
  <c r="V274" i="7"/>
  <c r="R274" i="7"/>
  <c r="X274" i="7"/>
  <c r="S274" i="7"/>
  <c r="Q274" i="7"/>
  <c r="W274" i="7"/>
  <c r="P275" i="7"/>
  <c r="O276" i="7"/>
  <c r="V278" i="1" l="1"/>
  <c r="T279" i="1"/>
  <c r="R274" i="13"/>
  <c r="T274" i="13"/>
  <c r="B275" i="13"/>
  <c r="AF275" i="13" s="1"/>
  <c r="C274" i="13"/>
  <c r="P275" i="3"/>
  <c r="S275" i="3" s="1"/>
  <c r="P275" i="13"/>
  <c r="S275" i="13" s="1"/>
  <c r="N280" i="1"/>
  <c r="W280" i="1"/>
  <c r="Y279" i="1"/>
  <c r="R274" i="3"/>
  <c r="T274" i="3"/>
  <c r="O275" i="3"/>
  <c r="O275" i="13"/>
  <c r="M280" i="1"/>
  <c r="O279" i="1"/>
  <c r="H275" i="7"/>
  <c r="Z274" i="7"/>
  <c r="B276" i="3"/>
  <c r="AF276" i="3" s="1"/>
  <c r="C275" i="3"/>
  <c r="Q282" i="1"/>
  <c r="S281" i="1"/>
  <c r="Q274" i="13"/>
  <c r="Q274" i="3"/>
  <c r="K274" i="7"/>
  <c r="S275" i="7"/>
  <c r="X275" i="7"/>
  <c r="R275" i="7"/>
  <c r="V275" i="7"/>
  <c r="K275" i="7" s="1"/>
  <c r="W275" i="7"/>
  <c r="Q275" i="7"/>
  <c r="O277" i="7"/>
  <c r="P276" i="7"/>
  <c r="M274" i="7"/>
  <c r="M275" i="7"/>
  <c r="L274" i="7"/>
  <c r="S282" i="1" l="1"/>
  <c r="Q283" i="1"/>
  <c r="R275" i="13"/>
  <c r="T275" i="13"/>
  <c r="Z275" i="7"/>
  <c r="H276" i="7"/>
  <c r="R275" i="3"/>
  <c r="T275" i="3"/>
  <c r="Y280" i="1"/>
  <c r="W281" i="1"/>
  <c r="B277" i="3"/>
  <c r="AF277" i="3" s="1"/>
  <c r="C276" i="3"/>
  <c r="Q275" i="13"/>
  <c r="Q275" i="3"/>
  <c r="P276" i="3"/>
  <c r="S276" i="3" s="1"/>
  <c r="N281" i="1"/>
  <c r="P276" i="13"/>
  <c r="S276" i="13" s="1"/>
  <c r="B276" i="13"/>
  <c r="AF276" i="13" s="1"/>
  <c r="C275" i="13"/>
  <c r="T280" i="1"/>
  <c r="V279" i="1"/>
  <c r="O276" i="3"/>
  <c r="O276" i="13"/>
  <c r="O280" i="1"/>
  <c r="M281" i="1"/>
  <c r="O278" i="7"/>
  <c r="P277" i="7"/>
  <c r="K276" i="7"/>
  <c r="W276" i="7"/>
  <c r="R276" i="7"/>
  <c r="V276" i="7"/>
  <c r="X276" i="7"/>
  <c r="Q276" i="7"/>
  <c r="S276" i="7"/>
  <c r="AC183" i="7"/>
  <c r="AG183" i="7" s="1"/>
  <c r="AC162" i="7"/>
  <c r="AG162" i="7" s="1"/>
  <c r="AB165" i="7"/>
  <c r="AC166" i="7"/>
  <c r="AG166" i="7" s="1"/>
  <c r="AC167" i="7"/>
  <c r="AG167" i="7" s="1"/>
  <c r="AC169" i="7"/>
  <c r="AG169" i="7" s="1"/>
  <c r="AC171" i="7"/>
  <c r="AG171" i="7" s="1"/>
  <c r="AC174" i="7"/>
  <c r="AG174" i="7" s="1"/>
  <c r="AB176" i="7"/>
  <c r="AC178" i="7"/>
  <c r="AG178" i="7" s="1"/>
  <c r="AB181" i="7"/>
  <c r="AC182" i="7"/>
  <c r="AG182" i="7" s="1"/>
  <c r="AC184" i="7"/>
  <c r="AG184" i="7" s="1"/>
  <c r="AB163" i="7"/>
  <c r="AC165" i="7"/>
  <c r="AG165" i="7" s="1"/>
  <c r="AB166" i="7"/>
  <c r="AB168" i="7"/>
  <c r="AB170" i="7"/>
  <c r="AC172" i="7"/>
  <c r="AG172" i="7" s="1"/>
  <c r="AB174" i="7"/>
  <c r="AC176" i="7"/>
  <c r="AG176" i="7" s="1"/>
  <c r="AB178" i="7"/>
  <c r="AB180" i="7"/>
  <c r="AB182" i="7"/>
  <c r="AB183" i="7"/>
  <c r="AB162" i="7"/>
  <c r="AC164" i="7"/>
  <c r="AG164" i="7" s="1"/>
  <c r="AC168" i="7"/>
  <c r="AG168" i="7" s="1"/>
  <c r="AC170" i="7"/>
  <c r="AG170" i="7" s="1"/>
  <c r="AB171" i="7"/>
  <c r="AB173" i="7"/>
  <c r="AC175" i="7"/>
  <c r="AG175" i="7" s="1"/>
  <c r="AC177" i="7"/>
  <c r="AG177" i="7" s="1"/>
  <c r="AB179" i="7"/>
  <c r="AC181" i="7"/>
  <c r="AG181" i="7" s="1"/>
  <c r="AB184" i="7"/>
  <c r="AB185" i="7"/>
  <c r="AC163" i="7"/>
  <c r="AG163" i="7" s="1"/>
  <c r="AB164" i="7"/>
  <c r="AB167" i="7"/>
  <c r="AB169" i="7"/>
  <c r="AB172" i="7"/>
  <c r="AC173" i="7"/>
  <c r="AG173" i="7" s="1"/>
  <c r="AB175" i="7"/>
  <c r="AB177" i="7"/>
  <c r="AC179" i="7"/>
  <c r="AG179" i="7" s="1"/>
  <c r="AC180" i="7"/>
  <c r="AG180" i="7" s="1"/>
  <c r="AC185" i="7"/>
  <c r="AG185" i="7" s="1"/>
  <c r="AB187" i="7"/>
  <c r="AC187" i="7"/>
  <c r="AG187" i="7" s="1"/>
  <c r="AC186" i="7"/>
  <c r="AG186" i="7" s="1"/>
  <c r="AB186" i="7"/>
  <c r="AC188" i="7"/>
  <c r="AG188" i="7" s="1"/>
  <c r="AC189" i="7"/>
  <c r="AG189" i="7" s="1"/>
  <c r="AB188" i="7"/>
  <c r="AB189" i="7"/>
  <c r="AC191" i="7"/>
  <c r="AG191" i="7" s="1"/>
  <c r="AB190" i="7"/>
  <c r="AB191" i="7"/>
  <c r="AC190" i="7"/>
  <c r="AG190" i="7" s="1"/>
  <c r="AC192" i="7"/>
  <c r="AG192" i="7" s="1"/>
  <c r="AB193" i="7"/>
  <c r="AC193" i="7"/>
  <c r="AG193" i="7" s="1"/>
  <c r="AB192" i="7"/>
  <c r="AB194" i="7"/>
  <c r="AC194" i="7"/>
  <c r="AG194" i="7" s="1"/>
  <c r="AB195" i="7"/>
  <c r="AC196" i="7"/>
  <c r="AG196" i="7" s="1"/>
  <c r="AC195" i="7"/>
  <c r="AG195" i="7" s="1"/>
  <c r="AB197" i="7"/>
  <c r="AB196" i="7"/>
  <c r="AC197" i="7"/>
  <c r="AG197" i="7" s="1"/>
  <c r="AC198" i="7"/>
  <c r="AG198" i="7" s="1"/>
  <c r="AB198" i="7"/>
  <c r="AC199" i="7"/>
  <c r="AG199" i="7" s="1"/>
  <c r="AB199" i="7"/>
  <c r="AC201" i="7"/>
  <c r="AG201" i="7" s="1"/>
  <c r="AC200" i="7"/>
  <c r="AG200" i="7" s="1"/>
  <c r="AB200" i="7"/>
  <c r="AB201" i="7"/>
  <c r="AC202" i="7"/>
  <c r="AG202" i="7" s="1"/>
  <c r="AB202" i="7"/>
  <c r="AB204" i="7"/>
  <c r="AC203" i="7"/>
  <c r="AG203" i="7" s="1"/>
  <c r="AB203" i="7"/>
  <c r="AB205" i="7"/>
  <c r="AC204" i="7"/>
  <c r="AG204" i="7" s="1"/>
  <c r="AC205" i="7"/>
  <c r="AG205" i="7" s="1"/>
  <c r="AB207" i="7"/>
  <c r="AB206" i="7"/>
  <c r="AC206" i="7"/>
  <c r="AG206" i="7" s="1"/>
  <c r="AC207" i="7"/>
  <c r="AG207" i="7" s="1"/>
  <c r="AC208" i="7"/>
  <c r="AG208" i="7" s="1"/>
  <c r="AB208" i="7"/>
  <c r="AB209" i="7"/>
  <c r="AC209" i="7"/>
  <c r="AG209" i="7" s="1"/>
  <c r="AB210" i="7"/>
  <c r="AC210" i="7"/>
  <c r="AG210" i="7" s="1"/>
  <c r="AC211" i="7"/>
  <c r="AG211" i="7" s="1"/>
  <c r="AB212" i="7"/>
  <c r="AB211" i="7"/>
  <c r="AC212" i="7"/>
  <c r="AG212" i="7" s="1"/>
  <c r="AB214" i="7"/>
  <c r="AC214" i="7"/>
  <c r="AG214" i="7" s="1"/>
  <c r="AB213" i="7"/>
  <c r="AC213" i="7"/>
  <c r="AG213" i="7" s="1"/>
  <c r="AB215" i="7"/>
  <c r="AC215" i="7"/>
  <c r="AG215" i="7" s="1"/>
  <c r="AC217" i="7"/>
  <c r="AG217" i="7" s="1"/>
  <c r="AC216" i="7"/>
  <c r="AG216" i="7" s="1"/>
  <c r="AB216" i="7"/>
  <c r="AB217" i="7"/>
  <c r="AB218" i="7"/>
  <c r="AC218" i="7"/>
  <c r="AG218" i="7" s="1"/>
  <c r="AB219" i="7"/>
  <c r="AB220" i="7"/>
  <c r="AC219" i="7"/>
  <c r="AG219" i="7" s="1"/>
  <c r="AC220" i="7"/>
  <c r="AG220" i="7" s="1"/>
  <c r="AC221" i="7"/>
  <c r="AG221" i="7" s="1"/>
  <c r="AC222" i="7"/>
  <c r="AG222" i="7" s="1"/>
  <c r="AB221" i="7"/>
  <c r="AB222" i="7"/>
  <c r="AC223" i="7"/>
  <c r="AG223" i="7" s="1"/>
  <c r="AB223" i="7"/>
  <c r="AC224" i="7"/>
  <c r="AG224" i="7" s="1"/>
  <c r="AB224" i="7"/>
  <c r="AB225" i="7"/>
  <c r="AC225" i="7"/>
  <c r="AG225" i="7" s="1"/>
  <c r="AB226" i="7"/>
  <c r="AC226" i="7"/>
  <c r="AG226" i="7" s="1"/>
  <c r="AB227" i="7"/>
  <c r="AC228" i="7"/>
  <c r="AG228" i="7" s="1"/>
  <c r="AC227" i="7"/>
  <c r="AG227" i="7" s="1"/>
  <c r="AB228" i="7"/>
  <c r="AB229" i="7"/>
  <c r="AB230" i="7"/>
  <c r="AC229" i="7"/>
  <c r="AG229" i="7" s="1"/>
  <c r="AC230" i="7"/>
  <c r="AG230" i="7" s="1"/>
  <c r="AB231" i="7"/>
  <c r="AC231" i="7"/>
  <c r="AG231" i="7" s="1"/>
  <c r="AB232" i="7"/>
  <c r="AC232" i="7"/>
  <c r="AG232" i="7" s="1"/>
  <c r="AB233" i="7"/>
  <c r="AC233" i="7"/>
  <c r="AG233" i="7" s="1"/>
  <c r="AC234" i="7"/>
  <c r="AG234" i="7" s="1"/>
  <c r="AB234" i="7"/>
  <c r="AB235" i="7"/>
  <c r="AC235" i="7"/>
  <c r="AG235" i="7" s="1"/>
  <c r="AC236" i="7"/>
  <c r="AG236" i="7" s="1"/>
  <c r="AB236" i="7"/>
  <c r="AB237" i="7"/>
  <c r="AC237" i="7"/>
  <c r="AG237" i="7" s="1"/>
  <c r="AC239" i="7"/>
  <c r="AG239" i="7" s="1"/>
  <c r="AB238" i="7"/>
  <c r="AC238" i="7"/>
  <c r="AG238" i="7" s="1"/>
  <c r="AB240" i="7"/>
  <c r="AB239" i="7"/>
  <c r="AC240" i="7"/>
  <c r="AG240" i="7" s="1"/>
  <c r="AB241" i="7"/>
  <c r="AB242" i="7"/>
  <c r="AC241" i="7"/>
  <c r="AG241" i="7" s="1"/>
  <c r="AC243" i="7"/>
  <c r="AG243" i="7" s="1"/>
  <c r="AC242" i="7"/>
  <c r="AG242" i="7" s="1"/>
  <c r="AB243" i="7"/>
  <c r="AB244" i="7"/>
  <c r="AC245" i="7"/>
  <c r="AG245" i="7" s="1"/>
  <c r="AC244" i="7"/>
  <c r="AG244" i="7" s="1"/>
  <c r="AB245" i="7"/>
  <c r="AB246" i="7"/>
  <c r="AC246" i="7"/>
  <c r="AG246" i="7" s="1"/>
  <c r="AC248" i="7"/>
  <c r="AG248" i="7" s="1"/>
  <c r="AB248" i="7"/>
  <c r="AC247" i="7"/>
  <c r="AG247" i="7" s="1"/>
  <c r="AB247" i="7"/>
  <c r="AB249" i="7"/>
  <c r="AB250" i="7"/>
  <c r="AC249" i="7"/>
  <c r="AG249" i="7" s="1"/>
  <c r="AC250" i="7"/>
  <c r="AG250" i="7" s="1"/>
  <c r="L275" i="7"/>
  <c r="R276" i="3" l="1"/>
  <c r="T276" i="3"/>
  <c r="B277" i="13"/>
  <c r="AF277" i="13" s="1"/>
  <c r="C276" i="13"/>
  <c r="B278" i="3"/>
  <c r="AF278" i="3" s="1"/>
  <c r="C277" i="3"/>
  <c r="O277" i="3"/>
  <c r="O277" i="13"/>
  <c r="M282" i="1"/>
  <c r="O281" i="1"/>
  <c r="Q276" i="13"/>
  <c r="Q276" i="3"/>
  <c r="T281" i="1"/>
  <c r="V280" i="1"/>
  <c r="W282" i="1"/>
  <c r="Y281" i="1"/>
  <c r="H277" i="7"/>
  <c r="Z276" i="7"/>
  <c r="Q284" i="1"/>
  <c r="S283" i="1"/>
  <c r="R276" i="13"/>
  <c r="T276" i="13"/>
  <c r="P277" i="3"/>
  <c r="S277" i="3" s="1"/>
  <c r="P277" i="13"/>
  <c r="S277" i="13" s="1"/>
  <c r="N282" i="1"/>
  <c r="AD245" i="7"/>
  <c r="AH245" i="7" s="1"/>
  <c r="AF245" i="7"/>
  <c r="AF240" i="7"/>
  <c r="AD240" i="7"/>
  <c r="AH240" i="7" s="1"/>
  <c r="G232" i="3"/>
  <c r="AD232" i="3" s="1"/>
  <c r="G232" i="13"/>
  <c r="AD232" i="13" s="1"/>
  <c r="G227" i="3"/>
  <c r="AD227" i="3" s="1"/>
  <c r="G227" i="13"/>
  <c r="AD227" i="13" s="1"/>
  <c r="G221" i="13"/>
  <c r="AD221" i="13" s="1"/>
  <c r="G221" i="3"/>
  <c r="AD221" i="3" s="1"/>
  <c r="G213" i="3"/>
  <c r="AD213" i="3" s="1"/>
  <c r="G213" i="13"/>
  <c r="AD213" i="13" s="1"/>
  <c r="G206" i="3"/>
  <c r="AD206" i="3" s="1"/>
  <c r="G206" i="13"/>
  <c r="AD206" i="13" s="1"/>
  <c r="AF201" i="7"/>
  <c r="AD201" i="7"/>
  <c r="AH201" i="7" s="1"/>
  <c r="G195" i="3"/>
  <c r="AD195" i="3" s="1"/>
  <c r="G195" i="13"/>
  <c r="AD195" i="13" s="1"/>
  <c r="AF189" i="7"/>
  <c r="AD189" i="7"/>
  <c r="AH189" i="7" s="1"/>
  <c r="AD175" i="7"/>
  <c r="AH175" i="7" s="1"/>
  <c r="AF175" i="7"/>
  <c r="S277" i="7"/>
  <c r="V277" i="7"/>
  <c r="K277" i="7" s="1"/>
  <c r="W277" i="7"/>
  <c r="X277" i="7"/>
  <c r="Q277" i="7"/>
  <c r="R277" i="7"/>
  <c r="AF249" i="7"/>
  <c r="AD249" i="7"/>
  <c r="AH249" i="7" s="1"/>
  <c r="G247" i="3"/>
  <c r="AD247" i="3" s="1"/>
  <c r="G247" i="13"/>
  <c r="AD247" i="13" s="1"/>
  <c r="G243" i="13"/>
  <c r="AD243" i="13" s="1"/>
  <c r="G243" i="3"/>
  <c r="AD243" i="3" s="1"/>
  <c r="G241" i="3"/>
  <c r="AD241" i="3" s="1"/>
  <c r="G241" i="13"/>
  <c r="AD241" i="13" s="1"/>
  <c r="AD241" i="7"/>
  <c r="AH241" i="7" s="1"/>
  <c r="AF241" i="7"/>
  <c r="G237" i="13"/>
  <c r="AD237" i="13" s="1"/>
  <c r="G237" i="3"/>
  <c r="AD237" i="3" s="1"/>
  <c r="AF237" i="7"/>
  <c r="AD237" i="7"/>
  <c r="AH237" i="7" s="1"/>
  <c r="AD235" i="7"/>
  <c r="AH235" i="7" s="1"/>
  <c r="AF235" i="7"/>
  <c r="AF233" i="7"/>
  <c r="AD233" i="7"/>
  <c r="AH233" i="7" s="1"/>
  <c r="AD231" i="7"/>
  <c r="AH231" i="7" s="1"/>
  <c r="AF231" i="7"/>
  <c r="AF229" i="7"/>
  <c r="AD229" i="7"/>
  <c r="AH229" i="7" s="1"/>
  <c r="AD227" i="7"/>
  <c r="AH227" i="7" s="1"/>
  <c r="AF227" i="7"/>
  <c r="AF225" i="7"/>
  <c r="AD225" i="7"/>
  <c r="AH225" i="7" s="1"/>
  <c r="G222" i="3"/>
  <c r="AD222" i="3" s="1"/>
  <c r="G222" i="13"/>
  <c r="AD222" i="13" s="1"/>
  <c r="G220" i="3"/>
  <c r="AD220" i="3" s="1"/>
  <c r="G220" i="13"/>
  <c r="AD220" i="13" s="1"/>
  <c r="AD219" i="7"/>
  <c r="AH219" i="7" s="1"/>
  <c r="AF219" i="7"/>
  <c r="AF216" i="7"/>
  <c r="AD216" i="7"/>
  <c r="AH216" i="7" s="1"/>
  <c r="AD215" i="7"/>
  <c r="AH215" i="7" s="1"/>
  <c r="AF215" i="7"/>
  <c r="AD214" i="7"/>
  <c r="AH214" i="7" s="1"/>
  <c r="AF214" i="7"/>
  <c r="G210" i="3"/>
  <c r="AD210" i="3" s="1"/>
  <c r="G210" i="13"/>
  <c r="AD210" i="13" s="1"/>
  <c r="AF209" i="7"/>
  <c r="AD209" i="7"/>
  <c r="AH209" i="7" s="1"/>
  <c r="G205" i="13"/>
  <c r="AD205" i="13" s="1"/>
  <c r="G205" i="3"/>
  <c r="AD205" i="3" s="1"/>
  <c r="G203" i="3"/>
  <c r="AD203" i="3" s="1"/>
  <c r="G203" i="13"/>
  <c r="AD203" i="13" s="1"/>
  <c r="AF204" i="7"/>
  <c r="AD204" i="7"/>
  <c r="AH204" i="7" s="1"/>
  <c r="AF200" i="7"/>
  <c r="AD200" i="7"/>
  <c r="AH200" i="7" s="1"/>
  <c r="G198" i="3"/>
  <c r="AD198" i="3" s="1"/>
  <c r="G198" i="13"/>
  <c r="AD198" i="13" s="1"/>
  <c r="AF196" i="7"/>
  <c r="AD196" i="7"/>
  <c r="AH196" i="7" s="1"/>
  <c r="AD195" i="7"/>
  <c r="AH195" i="7" s="1"/>
  <c r="AF195" i="7"/>
  <c r="G192" i="3"/>
  <c r="AD192" i="3" s="1"/>
  <c r="G192" i="13"/>
  <c r="AD192" i="13" s="1"/>
  <c r="AD191" i="7"/>
  <c r="AH191" i="7" s="1"/>
  <c r="AF191" i="7"/>
  <c r="AF188" i="7"/>
  <c r="AD188" i="7"/>
  <c r="AH188" i="7" s="1"/>
  <c r="G185" i="3"/>
  <c r="AD185" i="3" s="1"/>
  <c r="G185" i="13"/>
  <c r="AD185" i="13" s="1"/>
  <c r="G179" i="13"/>
  <c r="AD179" i="13" s="1"/>
  <c r="G179" i="3"/>
  <c r="AD179" i="3" s="1"/>
  <c r="G172" i="3"/>
  <c r="AD172" i="3" s="1"/>
  <c r="G172" i="13"/>
  <c r="AD172" i="13" s="1"/>
  <c r="AF164" i="7"/>
  <c r="AD164" i="7"/>
  <c r="AH164" i="7" s="1"/>
  <c r="G180" i="3"/>
  <c r="AD180" i="3" s="1"/>
  <c r="G180" i="13"/>
  <c r="AD180" i="13" s="1"/>
  <c r="AF173" i="7"/>
  <c r="AD173" i="7"/>
  <c r="AH173" i="7" s="1"/>
  <c r="G163" i="3"/>
  <c r="AD163" i="3" s="1"/>
  <c r="G163" i="13"/>
  <c r="AD163" i="13" s="1"/>
  <c r="AF180" i="7"/>
  <c r="AD180" i="7"/>
  <c r="AH180" i="7" s="1"/>
  <c r="G171" i="3"/>
  <c r="AD171" i="3" s="1"/>
  <c r="G171" i="13"/>
  <c r="AD171" i="13" s="1"/>
  <c r="G164" i="3"/>
  <c r="AD164" i="3" s="1"/>
  <c r="G164" i="13"/>
  <c r="AD164" i="13" s="1"/>
  <c r="AF181" i="7"/>
  <c r="AD181" i="7"/>
  <c r="AH181" i="7" s="1"/>
  <c r="G170" i="3"/>
  <c r="AD170" i="3" s="1"/>
  <c r="G170" i="13"/>
  <c r="AD170" i="13" s="1"/>
  <c r="AF165" i="7"/>
  <c r="AD165" i="7"/>
  <c r="AH165" i="7" s="1"/>
  <c r="P278" i="7"/>
  <c r="O279" i="7"/>
  <c r="AD250" i="7"/>
  <c r="AH250" i="7" s="1"/>
  <c r="AF250" i="7"/>
  <c r="AF243" i="7"/>
  <c r="AD243" i="7"/>
  <c r="AH243" i="7" s="1"/>
  <c r="G236" i="3"/>
  <c r="AD236" i="3" s="1"/>
  <c r="G236" i="13"/>
  <c r="AD236" i="13" s="1"/>
  <c r="G230" i="3"/>
  <c r="AD230" i="3" s="1"/>
  <c r="G230" i="13"/>
  <c r="AD230" i="13" s="1"/>
  <c r="G224" i="3"/>
  <c r="AD224" i="3" s="1"/>
  <c r="G224" i="13"/>
  <c r="AD224" i="13" s="1"/>
  <c r="AF220" i="7"/>
  <c r="AD220" i="7"/>
  <c r="AH220" i="7" s="1"/>
  <c r="G214" i="3"/>
  <c r="AD214" i="3" s="1"/>
  <c r="G214" i="13"/>
  <c r="AD214" i="13" s="1"/>
  <c r="G208" i="3"/>
  <c r="AD208" i="3" s="1"/>
  <c r="G208" i="13"/>
  <c r="AD208" i="13" s="1"/>
  <c r="G202" i="3"/>
  <c r="AD202" i="3" s="1"/>
  <c r="G202" i="13"/>
  <c r="AD202" i="13" s="1"/>
  <c r="G196" i="3"/>
  <c r="AD196" i="3" s="1"/>
  <c r="G196" i="13"/>
  <c r="AD196" i="13" s="1"/>
  <c r="AF192" i="7"/>
  <c r="AD192" i="7"/>
  <c r="AH192" i="7" s="1"/>
  <c r="AD186" i="7"/>
  <c r="AH186" i="7" s="1"/>
  <c r="AF186" i="7"/>
  <c r="AD167" i="7"/>
  <c r="AH167" i="7" s="1"/>
  <c r="AF167" i="7"/>
  <c r="G174" i="3"/>
  <c r="AD174" i="3" s="1"/>
  <c r="G174" i="13"/>
  <c r="AD174" i="13" s="1"/>
  <c r="AD182" i="7"/>
  <c r="AH182" i="7" s="1"/>
  <c r="AF182" i="7"/>
  <c r="AD166" i="7"/>
  <c r="AH166" i="7" s="1"/>
  <c r="AF166" i="7"/>
  <c r="G173" i="3"/>
  <c r="AD173" i="3" s="1"/>
  <c r="G173" i="13"/>
  <c r="AD173" i="13" s="1"/>
  <c r="AC251" i="7"/>
  <c r="AG251" i="7" s="1"/>
  <c r="G249" i="13"/>
  <c r="AD249" i="13" s="1"/>
  <c r="G249" i="3"/>
  <c r="AD249" i="3" s="1"/>
  <c r="AF247" i="7"/>
  <c r="AD247" i="7"/>
  <c r="AH247" i="7" s="1"/>
  <c r="G245" i="3"/>
  <c r="AD245" i="3" s="1"/>
  <c r="G245" i="13"/>
  <c r="AD245" i="13" s="1"/>
  <c r="G244" i="3"/>
  <c r="AD244" i="3" s="1"/>
  <c r="G244" i="13"/>
  <c r="AD244" i="13" s="1"/>
  <c r="G242" i="3"/>
  <c r="AD242" i="3" s="1"/>
  <c r="G242" i="13"/>
  <c r="AD242" i="13" s="1"/>
  <c r="G239" i="3"/>
  <c r="AD239" i="3" s="1"/>
  <c r="G239" i="13"/>
  <c r="AD239" i="13" s="1"/>
  <c r="AD238" i="7"/>
  <c r="AH238" i="7" s="1"/>
  <c r="AF238" i="7"/>
  <c r="AF236" i="7"/>
  <c r="AD236" i="7"/>
  <c r="AH236" i="7" s="1"/>
  <c r="AD234" i="7"/>
  <c r="AH234" i="7" s="1"/>
  <c r="AF234" i="7"/>
  <c r="G231" i="3"/>
  <c r="AD231" i="3" s="1"/>
  <c r="G231" i="13"/>
  <c r="AD231" i="13" s="1"/>
  <c r="G229" i="3"/>
  <c r="AD229" i="3" s="1"/>
  <c r="G229" i="13"/>
  <c r="AD229" i="13" s="1"/>
  <c r="AF228" i="7"/>
  <c r="AD228" i="7"/>
  <c r="AH228" i="7" s="1"/>
  <c r="G225" i="3"/>
  <c r="AD225" i="3" s="1"/>
  <c r="G225" i="13"/>
  <c r="AD225" i="13" s="1"/>
  <c r="AF224" i="7"/>
  <c r="AD224" i="7"/>
  <c r="AH224" i="7" s="1"/>
  <c r="AD222" i="7"/>
  <c r="AH222" i="7" s="1"/>
  <c r="AF222" i="7"/>
  <c r="G219" i="3"/>
  <c r="AD219" i="3" s="1"/>
  <c r="G219" i="13"/>
  <c r="AD219" i="13" s="1"/>
  <c r="G217" i="3"/>
  <c r="AD217" i="3" s="1"/>
  <c r="G217" i="13"/>
  <c r="AD217" i="13" s="1"/>
  <c r="G215" i="3"/>
  <c r="AD215" i="3" s="1"/>
  <c r="G215" i="13"/>
  <c r="AD215" i="13" s="1"/>
  <c r="G212" i="3"/>
  <c r="AD212" i="3" s="1"/>
  <c r="G212" i="13"/>
  <c r="AD212" i="13" s="1"/>
  <c r="G211" i="3"/>
  <c r="AD211" i="3" s="1"/>
  <c r="G211" i="13"/>
  <c r="AD211" i="13" s="1"/>
  <c r="G209" i="13"/>
  <c r="AD209" i="13" s="1"/>
  <c r="G209" i="3"/>
  <c r="AD209" i="3" s="1"/>
  <c r="AF208" i="7"/>
  <c r="AD208" i="7"/>
  <c r="AH208" i="7" s="1"/>
  <c r="AD206" i="7"/>
  <c r="AH206" i="7" s="1"/>
  <c r="AF206" i="7"/>
  <c r="AF205" i="7"/>
  <c r="AD205" i="7"/>
  <c r="AH205" i="7" s="1"/>
  <c r="AD202" i="7"/>
  <c r="AH202" i="7" s="1"/>
  <c r="AF202" i="7"/>
  <c r="G199" i="3"/>
  <c r="AD199" i="3" s="1"/>
  <c r="G199" i="13"/>
  <c r="AD199" i="13" s="1"/>
  <c r="AD198" i="7"/>
  <c r="AH198" i="7" s="1"/>
  <c r="AF198" i="7"/>
  <c r="AF197" i="7"/>
  <c r="AD197" i="7"/>
  <c r="AH197" i="7" s="1"/>
  <c r="G193" i="3"/>
  <c r="AD193" i="3" s="1"/>
  <c r="G193" i="13"/>
  <c r="AD193" i="13" s="1"/>
  <c r="AF193" i="7"/>
  <c r="AD193" i="7"/>
  <c r="AH193" i="7" s="1"/>
  <c r="AD190" i="7"/>
  <c r="AH190" i="7" s="1"/>
  <c r="AF190" i="7"/>
  <c r="G188" i="3"/>
  <c r="AD188" i="3" s="1"/>
  <c r="G188" i="13"/>
  <c r="AD188" i="13" s="1"/>
  <c r="G186" i="3"/>
  <c r="AD186" i="3" s="1"/>
  <c r="G186" i="13"/>
  <c r="AD186" i="13" s="1"/>
  <c r="G178" i="3"/>
  <c r="AD178" i="3" s="1"/>
  <c r="G178" i="13"/>
  <c r="AD178" i="13" s="1"/>
  <c r="AF172" i="7"/>
  <c r="AD172" i="7"/>
  <c r="AH172" i="7" s="1"/>
  <c r="G162" i="3"/>
  <c r="AD162" i="3" s="1"/>
  <c r="G162" i="13"/>
  <c r="AD162" i="13" s="1"/>
  <c r="AD179" i="7"/>
  <c r="AH179" i="7" s="1"/>
  <c r="AF179" i="7"/>
  <c r="AD171" i="7"/>
  <c r="AH171" i="7" s="1"/>
  <c r="AF171" i="7"/>
  <c r="AD162" i="7"/>
  <c r="AH162" i="7" s="1"/>
  <c r="AF162" i="7"/>
  <c r="AD178" i="7"/>
  <c r="AH178" i="7" s="1"/>
  <c r="AF178" i="7"/>
  <c r="AD170" i="7"/>
  <c r="AH170" i="7" s="1"/>
  <c r="AF170" i="7"/>
  <c r="AD163" i="7"/>
  <c r="AH163" i="7" s="1"/>
  <c r="AF163" i="7"/>
  <c r="G177" i="3"/>
  <c r="AD177" i="3" s="1"/>
  <c r="G177" i="13"/>
  <c r="AD177" i="13" s="1"/>
  <c r="G168" i="3"/>
  <c r="AD168" i="3" s="1"/>
  <c r="G168" i="13"/>
  <c r="AD168" i="13" s="1"/>
  <c r="G161" i="13"/>
  <c r="AD161" i="13" s="1"/>
  <c r="G161" i="3"/>
  <c r="AD161" i="3" s="1"/>
  <c r="M277" i="7"/>
  <c r="M276" i="7"/>
  <c r="L276" i="7"/>
  <c r="AF248" i="7"/>
  <c r="AD248" i="7"/>
  <c r="AH248" i="7" s="1"/>
  <c r="AD242" i="7"/>
  <c r="AH242" i="7" s="1"/>
  <c r="AF242" i="7"/>
  <c r="G234" i="3"/>
  <c r="AD234" i="3" s="1"/>
  <c r="G234" i="13"/>
  <c r="AD234" i="13" s="1"/>
  <c r="AD230" i="7"/>
  <c r="AH230" i="7" s="1"/>
  <c r="AF230" i="7"/>
  <c r="AD223" i="7"/>
  <c r="AH223" i="7" s="1"/>
  <c r="AF223" i="7"/>
  <c r="AF217" i="7"/>
  <c r="AD217" i="7"/>
  <c r="AH217" i="7" s="1"/>
  <c r="AF212" i="7"/>
  <c r="AD212" i="7"/>
  <c r="AH212" i="7" s="1"/>
  <c r="G204" i="3"/>
  <c r="AD204" i="3" s="1"/>
  <c r="G204" i="13"/>
  <c r="AD204" i="13" s="1"/>
  <c r="AD199" i="7"/>
  <c r="AH199" i="7" s="1"/>
  <c r="AF199" i="7"/>
  <c r="G189" i="3"/>
  <c r="AD189" i="3" s="1"/>
  <c r="G189" i="13"/>
  <c r="AD189" i="13" s="1"/>
  <c r="G184" i="3"/>
  <c r="AD184" i="3" s="1"/>
  <c r="G184" i="13"/>
  <c r="AD184" i="13" s="1"/>
  <c r="AF184" i="7"/>
  <c r="AD184" i="7"/>
  <c r="AH184" i="7" s="1"/>
  <c r="G167" i="3"/>
  <c r="AD167" i="3" s="1"/>
  <c r="G167" i="13"/>
  <c r="AD167" i="13" s="1"/>
  <c r="AD174" i="7"/>
  <c r="AH174" i="7" s="1"/>
  <c r="AF174" i="7"/>
  <c r="G181" i="13"/>
  <c r="AD181" i="13" s="1"/>
  <c r="G181" i="3"/>
  <c r="AD181" i="3" s="1"/>
  <c r="G165" i="3"/>
  <c r="AD165" i="3" s="1"/>
  <c r="G165" i="13"/>
  <c r="AD165" i="13" s="1"/>
  <c r="AB251" i="7"/>
  <c r="G248" i="3"/>
  <c r="AD248" i="3" s="1"/>
  <c r="G248" i="13"/>
  <c r="AD248" i="13" s="1"/>
  <c r="G246" i="3"/>
  <c r="AD246" i="3" s="1"/>
  <c r="G246" i="13"/>
  <c r="AD246" i="13" s="1"/>
  <c r="AD246" i="7"/>
  <c r="AH246" i="7" s="1"/>
  <c r="AF246" i="7"/>
  <c r="AF244" i="7"/>
  <c r="AD244" i="7"/>
  <c r="AH244" i="7" s="1"/>
  <c r="G240" i="3"/>
  <c r="AD240" i="3" s="1"/>
  <c r="G240" i="13"/>
  <c r="AD240" i="13" s="1"/>
  <c r="AF239" i="7"/>
  <c r="AD239" i="7"/>
  <c r="AH239" i="7" s="1"/>
  <c r="G238" i="3"/>
  <c r="AD238" i="3" s="1"/>
  <c r="G238" i="13"/>
  <c r="AD238" i="13" s="1"/>
  <c r="G235" i="3"/>
  <c r="AD235" i="3" s="1"/>
  <c r="G235" i="13"/>
  <c r="AD235" i="13" s="1"/>
  <c r="G233" i="13"/>
  <c r="AD233" i="13" s="1"/>
  <c r="G233" i="3"/>
  <c r="AD233" i="3" s="1"/>
  <c r="AF232" i="7"/>
  <c r="AD232" i="7"/>
  <c r="AH232" i="7" s="1"/>
  <c r="G228" i="3"/>
  <c r="AD228" i="3" s="1"/>
  <c r="G228" i="13"/>
  <c r="AD228" i="13" s="1"/>
  <c r="G226" i="3"/>
  <c r="AD226" i="3" s="1"/>
  <c r="G226" i="13"/>
  <c r="AD226" i="13" s="1"/>
  <c r="AD226" i="7"/>
  <c r="AH226" i="7" s="1"/>
  <c r="AF226" i="7"/>
  <c r="G223" i="3"/>
  <c r="AD223" i="3" s="1"/>
  <c r="G223" i="13"/>
  <c r="AD223" i="13" s="1"/>
  <c r="AF221" i="7"/>
  <c r="AD221" i="7"/>
  <c r="AH221" i="7" s="1"/>
  <c r="G218" i="3"/>
  <c r="AD218" i="3" s="1"/>
  <c r="G218" i="13"/>
  <c r="AD218" i="13" s="1"/>
  <c r="AD218" i="7"/>
  <c r="AH218" i="7" s="1"/>
  <c r="AF218" i="7"/>
  <c r="G216" i="3"/>
  <c r="AD216" i="3" s="1"/>
  <c r="G216" i="13"/>
  <c r="AD216" i="13" s="1"/>
  <c r="AF213" i="7"/>
  <c r="AD213" i="7"/>
  <c r="AH213" i="7" s="1"/>
  <c r="AD211" i="7"/>
  <c r="AH211" i="7" s="1"/>
  <c r="AF211" i="7"/>
  <c r="AD210" i="7"/>
  <c r="AH210" i="7" s="1"/>
  <c r="AF210" i="7"/>
  <c r="G207" i="3"/>
  <c r="AD207" i="3" s="1"/>
  <c r="G207" i="13"/>
  <c r="AD207" i="13" s="1"/>
  <c r="AD207" i="7"/>
  <c r="AH207" i="7" s="1"/>
  <c r="AF207" i="7"/>
  <c r="AD203" i="7"/>
  <c r="AH203" i="7" s="1"/>
  <c r="AF203" i="7"/>
  <c r="G201" i="3"/>
  <c r="AD201" i="3" s="1"/>
  <c r="G201" i="13"/>
  <c r="AD201" i="13" s="1"/>
  <c r="G200" i="3"/>
  <c r="AD200" i="3" s="1"/>
  <c r="G200" i="13"/>
  <c r="AD200" i="13" s="1"/>
  <c r="G197" i="13"/>
  <c r="AD197" i="13" s="1"/>
  <c r="G197" i="3"/>
  <c r="AD197" i="3" s="1"/>
  <c r="G194" i="3"/>
  <c r="AD194" i="3" s="1"/>
  <c r="G194" i="13"/>
  <c r="AD194" i="13" s="1"/>
  <c r="AD194" i="7"/>
  <c r="AH194" i="7" s="1"/>
  <c r="AF194" i="7"/>
  <c r="G191" i="3"/>
  <c r="AD191" i="3" s="1"/>
  <c r="G191" i="13"/>
  <c r="AD191" i="13" s="1"/>
  <c r="G190" i="3"/>
  <c r="AD190" i="3" s="1"/>
  <c r="G190" i="13"/>
  <c r="AD190" i="13" s="1"/>
  <c r="G187" i="13"/>
  <c r="AD187" i="13" s="1"/>
  <c r="G187" i="3"/>
  <c r="AD187" i="3" s="1"/>
  <c r="AD187" i="7"/>
  <c r="AH187" i="7" s="1"/>
  <c r="AF187" i="7"/>
  <c r="AF177" i="7"/>
  <c r="AD177" i="7"/>
  <c r="AH177" i="7" s="1"/>
  <c r="AF169" i="7"/>
  <c r="AD169" i="7"/>
  <c r="AH169" i="7" s="1"/>
  <c r="AF185" i="7"/>
  <c r="AD185" i="7"/>
  <c r="AH185" i="7" s="1"/>
  <c r="G176" i="3"/>
  <c r="AD176" i="3" s="1"/>
  <c r="G176" i="13"/>
  <c r="AD176" i="13" s="1"/>
  <c r="G169" i="3"/>
  <c r="AD169" i="3" s="1"/>
  <c r="G169" i="13"/>
  <c r="AD169" i="13" s="1"/>
  <c r="AD183" i="7"/>
  <c r="AH183" i="7" s="1"/>
  <c r="AF183" i="7"/>
  <c r="G175" i="3"/>
  <c r="AD175" i="3" s="1"/>
  <c r="G175" i="13"/>
  <c r="AD175" i="13" s="1"/>
  <c r="AF168" i="7"/>
  <c r="AD168" i="7"/>
  <c r="AH168" i="7" s="1"/>
  <c r="G183" i="13"/>
  <c r="AD183" i="13" s="1"/>
  <c r="G183" i="3"/>
  <c r="AD183" i="3" s="1"/>
  <c r="AF176" i="7"/>
  <c r="AD176" i="7"/>
  <c r="AH176" i="7" s="1"/>
  <c r="G166" i="3"/>
  <c r="AD166" i="3" s="1"/>
  <c r="G166" i="13"/>
  <c r="AD166" i="13" s="1"/>
  <c r="G182" i="3"/>
  <c r="AD182" i="3" s="1"/>
  <c r="G182" i="13"/>
  <c r="AD182" i="13" s="1"/>
  <c r="L277" i="7"/>
  <c r="Q277" i="3" l="1"/>
  <c r="Q277" i="13"/>
  <c r="B278" i="13"/>
  <c r="AF278" i="13" s="1"/>
  <c r="C277" i="13"/>
  <c r="P278" i="3"/>
  <c r="S278" i="3" s="1"/>
  <c r="P278" i="13"/>
  <c r="S278" i="13" s="1"/>
  <c r="N283" i="1"/>
  <c r="Z277" i="7"/>
  <c r="H278" i="7"/>
  <c r="T282" i="1"/>
  <c r="V281" i="1"/>
  <c r="O278" i="3"/>
  <c r="O278" i="13"/>
  <c r="O282" i="1"/>
  <c r="M283" i="1"/>
  <c r="B279" i="3"/>
  <c r="AF279" i="3" s="1"/>
  <c r="C278" i="3"/>
  <c r="R277" i="13"/>
  <c r="T277" i="13"/>
  <c r="Q285" i="1"/>
  <c r="S284" i="1"/>
  <c r="W283" i="1"/>
  <c r="Y282" i="1"/>
  <c r="R277" i="3"/>
  <c r="T277" i="3"/>
  <c r="H175" i="3"/>
  <c r="H175" i="13"/>
  <c r="AL176" i="7"/>
  <c r="F186" i="3"/>
  <c r="AC186" i="3" s="1"/>
  <c r="F186" i="13"/>
  <c r="AC186" i="13" s="1"/>
  <c r="H193" i="3"/>
  <c r="AL194" i="7"/>
  <c r="H193" i="13"/>
  <c r="H212" i="3"/>
  <c r="AL213" i="7"/>
  <c r="H212" i="13"/>
  <c r="H225" i="3"/>
  <c r="H225" i="13"/>
  <c r="AL226" i="7"/>
  <c r="F231" i="3"/>
  <c r="AC231" i="3" s="1"/>
  <c r="F231" i="13"/>
  <c r="AC231" i="13" s="1"/>
  <c r="F243" i="3"/>
  <c r="AC243" i="3" s="1"/>
  <c r="F243" i="13"/>
  <c r="AC243" i="13" s="1"/>
  <c r="H168" i="3"/>
  <c r="H168" i="13"/>
  <c r="AL169" i="7"/>
  <c r="H206" i="3"/>
  <c r="AL207" i="7"/>
  <c r="H206" i="13"/>
  <c r="F209" i="3"/>
  <c r="AC209" i="3" s="1"/>
  <c r="F209" i="13"/>
  <c r="AC209" i="13" s="1"/>
  <c r="F211" i="3"/>
  <c r="AC211" i="3" s="1"/>
  <c r="F211" i="13"/>
  <c r="AC211" i="13" s="1"/>
  <c r="H222" i="3"/>
  <c r="H222" i="13"/>
  <c r="AL223" i="7"/>
  <c r="H247" i="3"/>
  <c r="H247" i="13"/>
  <c r="AL248" i="7"/>
  <c r="H161" i="3"/>
  <c r="H161" i="13"/>
  <c r="AL162" i="7"/>
  <c r="F172" i="3"/>
  <c r="AC172" i="3" s="1"/>
  <c r="F172" i="13"/>
  <c r="AC172" i="13" s="1"/>
  <c r="H163" i="3"/>
  <c r="H163" i="13"/>
  <c r="AL164" i="7"/>
  <c r="F187" i="3"/>
  <c r="AC187" i="3" s="1"/>
  <c r="F187" i="13"/>
  <c r="AC187" i="13" s="1"/>
  <c r="H195" i="3"/>
  <c r="AL196" i="7"/>
  <c r="H195" i="13"/>
  <c r="F203" i="3"/>
  <c r="AC203" i="3" s="1"/>
  <c r="F203" i="13"/>
  <c r="AC203" i="13" s="1"/>
  <c r="F208" i="3"/>
  <c r="AC208" i="3" s="1"/>
  <c r="F208" i="13"/>
  <c r="AC208" i="13" s="1"/>
  <c r="F213" i="3"/>
  <c r="AC213" i="3" s="1"/>
  <c r="F213" i="13"/>
  <c r="AC213" i="13" s="1"/>
  <c r="H215" i="3"/>
  <c r="H215" i="13"/>
  <c r="AL216" i="7"/>
  <c r="F226" i="3"/>
  <c r="AC226" i="3" s="1"/>
  <c r="F226" i="13"/>
  <c r="AC226" i="13" s="1"/>
  <c r="F230" i="3"/>
  <c r="AC230" i="3" s="1"/>
  <c r="F230" i="13"/>
  <c r="AC230" i="13" s="1"/>
  <c r="F234" i="3"/>
  <c r="AC234" i="3" s="1"/>
  <c r="F234" i="13"/>
  <c r="AC234" i="13" s="1"/>
  <c r="H240" i="3"/>
  <c r="H240" i="13"/>
  <c r="AL241" i="7"/>
  <c r="H188" i="3"/>
  <c r="AL189" i="7"/>
  <c r="H188" i="13"/>
  <c r="F244" i="3"/>
  <c r="AC244" i="3" s="1"/>
  <c r="F244" i="13"/>
  <c r="AC244" i="13" s="1"/>
  <c r="F175" i="3"/>
  <c r="AC175" i="3" s="1"/>
  <c r="F175" i="13"/>
  <c r="AC175" i="13" s="1"/>
  <c r="H167" i="3"/>
  <c r="H167" i="13"/>
  <c r="AL168" i="7"/>
  <c r="F168" i="3"/>
  <c r="AC168" i="3" s="1"/>
  <c r="F168" i="13"/>
  <c r="AC168" i="13" s="1"/>
  <c r="H186" i="3"/>
  <c r="AL187" i="7"/>
  <c r="H186" i="13"/>
  <c r="F202" i="3"/>
  <c r="AC202" i="3" s="1"/>
  <c r="F202" i="13"/>
  <c r="AC202" i="13" s="1"/>
  <c r="H209" i="3"/>
  <c r="H209" i="13"/>
  <c r="AL210" i="7"/>
  <c r="F212" i="3"/>
  <c r="AC212" i="3" s="1"/>
  <c r="F212" i="13"/>
  <c r="AC212" i="13" s="1"/>
  <c r="F217" i="3"/>
  <c r="AC217" i="3" s="1"/>
  <c r="F217" i="13"/>
  <c r="AC217" i="13" s="1"/>
  <c r="F245" i="3"/>
  <c r="AC245" i="3" s="1"/>
  <c r="F245" i="13"/>
  <c r="AC245" i="13" s="1"/>
  <c r="AD251" i="7"/>
  <c r="AH251" i="7" s="1"/>
  <c r="AF251" i="7"/>
  <c r="F173" i="3"/>
  <c r="AC173" i="3" s="1"/>
  <c r="F173" i="13"/>
  <c r="AC173" i="13" s="1"/>
  <c r="H216" i="3"/>
  <c r="AL217" i="7"/>
  <c r="H216" i="13"/>
  <c r="F229" i="3"/>
  <c r="AC229" i="3" s="1"/>
  <c r="F229" i="13"/>
  <c r="AC229" i="13" s="1"/>
  <c r="F247" i="3"/>
  <c r="AC247" i="3" s="1"/>
  <c r="F247" i="13"/>
  <c r="AC247" i="13" s="1"/>
  <c r="F162" i="3"/>
  <c r="AC162" i="3" s="1"/>
  <c r="F162" i="13"/>
  <c r="AC162" i="13" s="1"/>
  <c r="F177" i="3"/>
  <c r="AC177" i="3" s="1"/>
  <c r="F177" i="13"/>
  <c r="AC177" i="13" s="1"/>
  <c r="F170" i="3"/>
  <c r="AC170" i="3" s="1"/>
  <c r="F170" i="13"/>
  <c r="AC170" i="13" s="1"/>
  <c r="F171" i="3"/>
  <c r="AC171" i="3" s="1"/>
  <c r="F171" i="13"/>
  <c r="AC171" i="13" s="1"/>
  <c r="H192" i="3"/>
  <c r="H192" i="13"/>
  <c r="AL193" i="7"/>
  <c r="H197" i="3"/>
  <c r="H197" i="13"/>
  <c r="AL198" i="7"/>
  <c r="F201" i="3"/>
  <c r="AC201" i="3" s="1"/>
  <c r="F201" i="13"/>
  <c r="AC201" i="13" s="1"/>
  <c r="F205" i="3"/>
  <c r="AC205" i="3" s="1"/>
  <c r="F205" i="13"/>
  <c r="AC205" i="13" s="1"/>
  <c r="H223" i="3"/>
  <c r="H223" i="13"/>
  <c r="AL224" i="7"/>
  <c r="F235" i="3"/>
  <c r="AC235" i="3" s="1"/>
  <c r="F235" i="13"/>
  <c r="AC235" i="13" s="1"/>
  <c r="F246" i="3"/>
  <c r="AC246" i="3" s="1"/>
  <c r="F246" i="13"/>
  <c r="AC246" i="13" s="1"/>
  <c r="G250" i="3"/>
  <c r="AD250" i="3" s="1"/>
  <c r="G250" i="13"/>
  <c r="AD250" i="13" s="1"/>
  <c r="H181" i="3"/>
  <c r="AL182" i="7"/>
  <c r="H181" i="13"/>
  <c r="F166" i="3"/>
  <c r="AC166" i="3" s="1"/>
  <c r="F166" i="13"/>
  <c r="AC166" i="13" s="1"/>
  <c r="H191" i="3"/>
  <c r="H191" i="13"/>
  <c r="AL192" i="7"/>
  <c r="H249" i="3"/>
  <c r="H249" i="13"/>
  <c r="AL250" i="7"/>
  <c r="Q278" i="7"/>
  <c r="W278" i="7"/>
  <c r="X278" i="7"/>
  <c r="S278" i="7"/>
  <c r="R278" i="7"/>
  <c r="V278" i="7"/>
  <c r="H164" i="3"/>
  <c r="H164" i="13"/>
  <c r="AL165" i="7"/>
  <c r="F163" i="3"/>
  <c r="AC163" i="3" s="1"/>
  <c r="F163" i="13"/>
  <c r="AC163" i="13" s="1"/>
  <c r="F190" i="3"/>
  <c r="AC190" i="3" s="1"/>
  <c r="F190" i="13"/>
  <c r="AC190" i="13" s="1"/>
  <c r="F195" i="3"/>
  <c r="AC195" i="3" s="1"/>
  <c r="F195" i="13"/>
  <c r="AC195" i="13" s="1"/>
  <c r="H199" i="3"/>
  <c r="H199" i="13"/>
  <c r="AL200" i="7"/>
  <c r="H213" i="3"/>
  <c r="AL214" i="7"/>
  <c r="H213" i="13"/>
  <c r="F215" i="3"/>
  <c r="AC215" i="3" s="1"/>
  <c r="F215" i="13"/>
  <c r="AC215" i="13" s="1"/>
  <c r="H226" i="3"/>
  <c r="AL227" i="7"/>
  <c r="H226" i="13"/>
  <c r="H230" i="3"/>
  <c r="AL231" i="7"/>
  <c r="H230" i="13"/>
  <c r="H234" i="3"/>
  <c r="AL235" i="7"/>
  <c r="H234" i="13"/>
  <c r="F188" i="3"/>
  <c r="AC188" i="3" s="1"/>
  <c r="F188" i="13"/>
  <c r="AC188" i="13" s="1"/>
  <c r="H200" i="3"/>
  <c r="AL201" i="7"/>
  <c r="H200" i="13"/>
  <c r="H244" i="3"/>
  <c r="H244" i="13"/>
  <c r="AL245" i="7"/>
  <c r="H169" i="3"/>
  <c r="H169" i="13"/>
  <c r="AL170" i="7"/>
  <c r="H178" i="3"/>
  <c r="H178" i="13"/>
  <c r="AL179" i="7"/>
  <c r="H189" i="3"/>
  <c r="AL190" i="7"/>
  <c r="H189" i="13"/>
  <c r="F204" i="3"/>
  <c r="AC204" i="3" s="1"/>
  <c r="F204" i="13"/>
  <c r="AC204" i="13" s="1"/>
  <c r="F207" i="3"/>
  <c r="AC207" i="3" s="1"/>
  <c r="F207" i="13"/>
  <c r="AC207" i="13" s="1"/>
  <c r="H221" i="3"/>
  <c r="AL222" i="7"/>
  <c r="H221" i="13"/>
  <c r="H235" i="3"/>
  <c r="AL236" i="7"/>
  <c r="H235" i="13"/>
  <c r="H246" i="3"/>
  <c r="AL247" i="7"/>
  <c r="H246" i="13"/>
  <c r="F181" i="3"/>
  <c r="AC181" i="3" s="1"/>
  <c r="F181" i="13"/>
  <c r="AC181" i="13" s="1"/>
  <c r="H185" i="3"/>
  <c r="H185" i="13"/>
  <c r="AL186" i="7"/>
  <c r="F219" i="3"/>
  <c r="AC219" i="3" s="1"/>
  <c r="F219" i="13"/>
  <c r="AC219" i="13" s="1"/>
  <c r="F249" i="3"/>
  <c r="AC249" i="3" s="1"/>
  <c r="F249" i="13"/>
  <c r="AC249" i="13" s="1"/>
  <c r="P279" i="7"/>
  <c r="O280" i="7"/>
  <c r="F167" i="3"/>
  <c r="AC167" i="3" s="1"/>
  <c r="F167" i="13"/>
  <c r="AC167" i="13" s="1"/>
  <c r="F182" i="3"/>
  <c r="AC182" i="3" s="1"/>
  <c r="F182" i="13"/>
  <c r="AC182" i="13" s="1"/>
  <c r="H184" i="3"/>
  <c r="AL185" i="7"/>
  <c r="H184" i="13"/>
  <c r="H176" i="3"/>
  <c r="H176" i="13"/>
  <c r="AL177" i="7"/>
  <c r="H202" i="3"/>
  <c r="AL203" i="7"/>
  <c r="H202" i="13"/>
  <c r="F210" i="3"/>
  <c r="AC210" i="3" s="1"/>
  <c r="F210" i="13"/>
  <c r="AC210" i="13" s="1"/>
  <c r="H217" i="3"/>
  <c r="H217" i="13"/>
  <c r="AL218" i="7"/>
  <c r="H220" i="3"/>
  <c r="H220" i="13"/>
  <c r="AL221" i="7"/>
  <c r="H238" i="3"/>
  <c r="H238" i="13"/>
  <c r="AL239" i="7"/>
  <c r="H245" i="3"/>
  <c r="AL246" i="7"/>
  <c r="H245" i="13"/>
  <c r="H173" i="3"/>
  <c r="H173" i="13"/>
  <c r="AL174" i="7"/>
  <c r="H183" i="3"/>
  <c r="AL184" i="7"/>
  <c r="H183" i="13"/>
  <c r="F198" i="3"/>
  <c r="AC198" i="3" s="1"/>
  <c r="F198" i="13"/>
  <c r="AC198" i="13" s="1"/>
  <c r="F216" i="3"/>
  <c r="AC216" i="3" s="1"/>
  <c r="F216" i="13"/>
  <c r="AC216" i="13" s="1"/>
  <c r="H229" i="3"/>
  <c r="H229" i="13"/>
  <c r="AL230" i="7"/>
  <c r="F241" i="3"/>
  <c r="AC241" i="3" s="1"/>
  <c r="F241" i="13"/>
  <c r="AC241" i="13" s="1"/>
  <c r="H162" i="3"/>
  <c r="H162" i="13"/>
  <c r="AL163" i="7"/>
  <c r="H177" i="3"/>
  <c r="H177" i="13"/>
  <c r="AL178" i="7"/>
  <c r="H170" i="3"/>
  <c r="AL171" i="7"/>
  <c r="H170" i="13"/>
  <c r="F192" i="3"/>
  <c r="AC192" i="3" s="1"/>
  <c r="F192" i="13"/>
  <c r="AC192" i="13" s="1"/>
  <c r="H196" i="3"/>
  <c r="AL197" i="7"/>
  <c r="H196" i="13"/>
  <c r="H201" i="3"/>
  <c r="H201" i="13"/>
  <c r="AL202" i="7"/>
  <c r="H205" i="3"/>
  <c r="AL206" i="7"/>
  <c r="H205" i="13"/>
  <c r="F223" i="3"/>
  <c r="AC223" i="3" s="1"/>
  <c r="F223" i="13"/>
  <c r="AC223" i="13" s="1"/>
  <c r="H227" i="3"/>
  <c r="H227" i="13"/>
  <c r="AL228" i="7"/>
  <c r="F233" i="3"/>
  <c r="AC233" i="3" s="1"/>
  <c r="F233" i="13"/>
  <c r="AC233" i="13" s="1"/>
  <c r="F237" i="3"/>
  <c r="AC237" i="3" s="1"/>
  <c r="F237" i="13"/>
  <c r="AC237" i="13" s="1"/>
  <c r="F165" i="3"/>
  <c r="AC165" i="3" s="1"/>
  <c r="F165" i="13"/>
  <c r="AC165" i="13" s="1"/>
  <c r="H166" i="3"/>
  <c r="H166" i="13"/>
  <c r="AL167" i="7"/>
  <c r="F191" i="3"/>
  <c r="AC191" i="3" s="1"/>
  <c r="F191" i="13"/>
  <c r="AC191" i="13" s="1"/>
  <c r="H242" i="3"/>
  <c r="AL243" i="7"/>
  <c r="H242" i="13"/>
  <c r="F164" i="3"/>
  <c r="AC164" i="3" s="1"/>
  <c r="F164" i="13"/>
  <c r="AC164" i="13" s="1"/>
  <c r="H180" i="3"/>
  <c r="H180" i="13"/>
  <c r="AL181" i="7"/>
  <c r="H179" i="3"/>
  <c r="H179" i="13"/>
  <c r="AL180" i="7"/>
  <c r="H190" i="3"/>
  <c r="H190" i="13"/>
  <c r="AL191" i="7"/>
  <c r="F194" i="3"/>
  <c r="AC194" i="3" s="1"/>
  <c r="F194" i="13"/>
  <c r="AC194" i="13" s="1"/>
  <c r="F199" i="3"/>
  <c r="AC199" i="3" s="1"/>
  <c r="F199" i="13"/>
  <c r="AC199" i="13" s="1"/>
  <c r="F214" i="3"/>
  <c r="AC214" i="3" s="1"/>
  <c r="F214" i="13"/>
  <c r="AC214" i="13" s="1"/>
  <c r="F218" i="3"/>
  <c r="AC218" i="3" s="1"/>
  <c r="F218" i="13"/>
  <c r="AC218" i="13" s="1"/>
  <c r="H224" i="3"/>
  <c r="H224" i="13"/>
  <c r="AL225" i="7"/>
  <c r="H228" i="3"/>
  <c r="AL229" i="7"/>
  <c r="H228" i="13"/>
  <c r="H232" i="3"/>
  <c r="H232" i="13"/>
  <c r="AL233" i="7"/>
  <c r="H236" i="3"/>
  <c r="H236" i="13"/>
  <c r="AL237" i="7"/>
  <c r="AL249" i="7"/>
  <c r="H248" i="3"/>
  <c r="H248" i="13"/>
  <c r="F174" i="3"/>
  <c r="AC174" i="3" s="1"/>
  <c r="F174" i="13"/>
  <c r="AC174" i="13" s="1"/>
  <c r="F200" i="3"/>
  <c r="AC200" i="3" s="1"/>
  <c r="F200" i="13"/>
  <c r="AC200" i="13" s="1"/>
  <c r="H239" i="3"/>
  <c r="H239" i="13"/>
  <c r="AL240" i="7"/>
  <c r="H171" i="3"/>
  <c r="H171" i="13"/>
  <c r="AL172" i="7"/>
  <c r="F197" i="3"/>
  <c r="AC197" i="3" s="1"/>
  <c r="F197" i="13"/>
  <c r="AC197" i="13" s="1"/>
  <c r="H182" i="3"/>
  <c r="H182" i="13"/>
  <c r="AL183" i="7"/>
  <c r="F184" i="3"/>
  <c r="AC184" i="3" s="1"/>
  <c r="F184" i="13"/>
  <c r="AC184" i="13" s="1"/>
  <c r="F176" i="3"/>
  <c r="AC176" i="3" s="1"/>
  <c r="F176" i="13"/>
  <c r="AC176" i="13" s="1"/>
  <c r="F193" i="3"/>
  <c r="AC193" i="3" s="1"/>
  <c r="F193" i="13"/>
  <c r="AC193" i="13" s="1"/>
  <c r="F206" i="3"/>
  <c r="AC206" i="3" s="1"/>
  <c r="F206" i="13"/>
  <c r="AC206" i="13" s="1"/>
  <c r="H210" i="3"/>
  <c r="AL211" i="7"/>
  <c r="H210" i="13"/>
  <c r="F220" i="3"/>
  <c r="AC220" i="3" s="1"/>
  <c r="F220" i="13"/>
  <c r="AC220" i="13" s="1"/>
  <c r="F225" i="3"/>
  <c r="AC225" i="3" s="1"/>
  <c r="F225" i="13"/>
  <c r="AC225" i="13" s="1"/>
  <c r="H231" i="3"/>
  <c r="AL232" i="7"/>
  <c r="H231" i="13"/>
  <c r="F238" i="3"/>
  <c r="AC238" i="3" s="1"/>
  <c r="F238" i="13"/>
  <c r="AC238" i="13" s="1"/>
  <c r="H243" i="3"/>
  <c r="H243" i="13"/>
  <c r="AL244" i="7"/>
  <c r="F183" i="3"/>
  <c r="AC183" i="3" s="1"/>
  <c r="F183" i="13"/>
  <c r="AC183" i="13" s="1"/>
  <c r="H198" i="3"/>
  <c r="AL199" i="7"/>
  <c r="H198" i="13"/>
  <c r="H211" i="3"/>
  <c r="AL212" i="7"/>
  <c r="H211" i="13"/>
  <c r="F222" i="3"/>
  <c r="AC222" i="3" s="1"/>
  <c r="F222" i="13"/>
  <c r="AC222" i="13" s="1"/>
  <c r="H241" i="3"/>
  <c r="H241" i="13"/>
  <c r="AL242" i="7"/>
  <c r="F169" i="3"/>
  <c r="AC169" i="3" s="1"/>
  <c r="F169" i="13"/>
  <c r="AC169" i="13" s="1"/>
  <c r="F161" i="3"/>
  <c r="AC161" i="3" s="1"/>
  <c r="F161" i="13"/>
  <c r="AC161" i="13" s="1"/>
  <c r="F178" i="3"/>
  <c r="AC178" i="3" s="1"/>
  <c r="F178" i="13"/>
  <c r="AC178" i="13" s="1"/>
  <c r="F189" i="13"/>
  <c r="AC189" i="13" s="1"/>
  <c r="F189" i="3"/>
  <c r="AC189" i="3" s="1"/>
  <c r="F196" i="3"/>
  <c r="AC196" i="3" s="1"/>
  <c r="F196" i="13"/>
  <c r="AC196" i="13" s="1"/>
  <c r="H204" i="3"/>
  <c r="AL205" i="7"/>
  <c r="H204" i="13"/>
  <c r="H207" i="3"/>
  <c r="H207" i="13"/>
  <c r="AL208" i="7"/>
  <c r="F221" i="3"/>
  <c r="AC221" i="3" s="1"/>
  <c r="F221" i="13"/>
  <c r="AC221" i="13" s="1"/>
  <c r="F227" i="3"/>
  <c r="AC227" i="3" s="1"/>
  <c r="F227" i="13"/>
  <c r="AC227" i="13" s="1"/>
  <c r="H233" i="3"/>
  <c r="H233" i="13"/>
  <c r="AL234" i="7"/>
  <c r="H237" i="3"/>
  <c r="AL238" i="7"/>
  <c r="H237" i="13"/>
  <c r="H165" i="3"/>
  <c r="AL166" i="7"/>
  <c r="H165" i="13"/>
  <c r="F185" i="3"/>
  <c r="AC185" i="3" s="1"/>
  <c r="F185" i="13"/>
  <c r="AC185" i="13" s="1"/>
  <c r="H219" i="3"/>
  <c r="H219" i="13"/>
  <c r="AL220" i="7"/>
  <c r="F242" i="3"/>
  <c r="AC242" i="3" s="1"/>
  <c r="F242" i="13"/>
  <c r="AC242" i="13" s="1"/>
  <c r="F180" i="3"/>
  <c r="AC180" i="3" s="1"/>
  <c r="F180" i="13"/>
  <c r="AC180" i="13" s="1"/>
  <c r="F179" i="3"/>
  <c r="AC179" i="3" s="1"/>
  <c r="F179" i="13"/>
  <c r="AC179" i="13" s="1"/>
  <c r="H172" i="3"/>
  <c r="AL173" i="7"/>
  <c r="H172" i="13"/>
  <c r="H187" i="3"/>
  <c r="AL188" i="7"/>
  <c r="H187" i="13"/>
  <c r="H194" i="3"/>
  <c r="H194" i="13"/>
  <c r="AL195" i="7"/>
  <c r="H203" i="3"/>
  <c r="AL204" i="7"/>
  <c r="H203" i="13"/>
  <c r="H208" i="3"/>
  <c r="H208" i="13"/>
  <c r="AL209" i="7"/>
  <c r="H214" i="3"/>
  <c r="AL215" i="7"/>
  <c r="H214" i="13"/>
  <c r="H218" i="3"/>
  <c r="H218" i="13"/>
  <c r="AL219" i="7"/>
  <c r="F224" i="3"/>
  <c r="AC224" i="3" s="1"/>
  <c r="F224" i="13"/>
  <c r="AC224" i="13" s="1"/>
  <c r="F228" i="13"/>
  <c r="AC228" i="13" s="1"/>
  <c r="F228" i="3"/>
  <c r="AC228" i="3" s="1"/>
  <c r="F232" i="3"/>
  <c r="AC232" i="3" s="1"/>
  <c r="F232" i="13"/>
  <c r="AC232" i="13" s="1"/>
  <c r="F236" i="3"/>
  <c r="AC236" i="3" s="1"/>
  <c r="F236" i="13"/>
  <c r="AC236" i="13" s="1"/>
  <c r="F240" i="3"/>
  <c r="AC240" i="3" s="1"/>
  <c r="F240" i="13"/>
  <c r="AC240" i="13" s="1"/>
  <c r="F248" i="3"/>
  <c r="AC248" i="3" s="1"/>
  <c r="F248" i="13"/>
  <c r="AC248" i="13" s="1"/>
  <c r="H174" i="3"/>
  <c r="H174" i="13"/>
  <c r="AL175" i="7"/>
  <c r="F239" i="3"/>
  <c r="AC239" i="3" s="1"/>
  <c r="F239" i="13"/>
  <c r="AC239" i="13" s="1"/>
  <c r="Y283" i="1" l="1"/>
  <c r="W284" i="1"/>
  <c r="O279" i="3"/>
  <c r="O279" i="13"/>
  <c r="M284" i="1"/>
  <c r="O283" i="1"/>
  <c r="P279" i="3"/>
  <c r="S279" i="3" s="1"/>
  <c r="P279" i="13"/>
  <c r="S279" i="13" s="1"/>
  <c r="N284" i="1"/>
  <c r="B279" i="13"/>
  <c r="AF279" i="13" s="1"/>
  <c r="C278" i="13"/>
  <c r="Q278" i="13"/>
  <c r="Q278" i="3"/>
  <c r="V282" i="1"/>
  <c r="T283" i="1"/>
  <c r="S285" i="1"/>
  <c r="Q286" i="1"/>
  <c r="B280" i="3"/>
  <c r="AF280" i="3" s="1"/>
  <c r="C279" i="3"/>
  <c r="R278" i="13"/>
  <c r="T278" i="13"/>
  <c r="H279" i="7"/>
  <c r="Z278" i="7"/>
  <c r="R278" i="3"/>
  <c r="T278" i="3"/>
  <c r="P280" i="7"/>
  <c r="O281" i="7"/>
  <c r="W279" i="7"/>
  <c r="L279" i="7" s="1"/>
  <c r="R279" i="7"/>
  <c r="V279" i="7"/>
  <c r="X279" i="7"/>
  <c r="Q279" i="7"/>
  <c r="S279" i="7"/>
  <c r="M278" i="7"/>
  <c r="F250" i="3"/>
  <c r="AC250" i="3" s="1"/>
  <c r="F250" i="13"/>
  <c r="AC250" i="13" s="1"/>
  <c r="K278" i="7"/>
  <c r="L278" i="7"/>
  <c r="H250" i="3"/>
  <c r="AL251" i="7"/>
  <c r="H250" i="13"/>
  <c r="Z279" i="7" l="1"/>
  <c r="H280" i="7"/>
  <c r="B281" i="3"/>
  <c r="AF281" i="3" s="1"/>
  <c r="C280" i="3"/>
  <c r="T284" i="1"/>
  <c r="V283" i="1"/>
  <c r="R279" i="13"/>
  <c r="T279" i="13"/>
  <c r="B280" i="13"/>
  <c r="AF280" i="13" s="1"/>
  <c r="C279" i="13"/>
  <c r="R279" i="3"/>
  <c r="T279" i="3"/>
  <c r="S286" i="1"/>
  <c r="Q287" i="1"/>
  <c r="Q279" i="13"/>
  <c r="Q279" i="3"/>
  <c r="Y284" i="1"/>
  <c r="W285" i="1"/>
  <c r="P280" i="3"/>
  <c r="S280" i="3" s="1"/>
  <c r="N285" i="1"/>
  <c r="P280" i="13"/>
  <c r="S280" i="13" s="1"/>
  <c r="O280" i="3"/>
  <c r="O280" i="13"/>
  <c r="O284" i="1"/>
  <c r="M285" i="1"/>
  <c r="P281" i="7"/>
  <c r="O282" i="7"/>
  <c r="M279" i="7"/>
  <c r="W280" i="7"/>
  <c r="S280" i="7"/>
  <c r="X280" i="7"/>
  <c r="Q280" i="7"/>
  <c r="V280" i="7"/>
  <c r="R280" i="7"/>
  <c r="K279" i="7"/>
  <c r="R280" i="3" l="1"/>
  <c r="T280" i="3"/>
  <c r="W286" i="1"/>
  <c r="Y285" i="1"/>
  <c r="Q288" i="1"/>
  <c r="S287" i="1"/>
  <c r="B282" i="3"/>
  <c r="AF282" i="3" s="1"/>
  <c r="C281" i="3"/>
  <c r="O281" i="3"/>
  <c r="O281" i="13"/>
  <c r="M286" i="1"/>
  <c r="O285" i="1"/>
  <c r="B281" i="13"/>
  <c r="AF281" i="13" s="1"/>
  <c r="C280" i="13"/>
  <c r="Q280" i="13"/>
  <c r="Q280" i="3"/>
  <c r="P281" i="3"/>
  <c r="S281" i="3" s="1"/>
  <c r="P281" i="13"/>
  <c r="S281" i="13" s="1"/>
  <c r="N286" i="1"/>
  <c r="T285" i="1"/>
  <c r="V284" i="1"/>
  <c r="H281" i="7"/>
  <c r="Z280" i="7"/>
  <c r="R280" i="13"/>
  <c r="T280" i="13"/>
  <c r="W281" i="7"/>
  <c r="L281" i="7" s="1"/>
  <c r="R281" i="7"/>
  <c r="V281" i="7"/>
  <c r="S281" i="7"/>
  <c r="Q281" i="7"/>
  <c r="X281" i="7"/>
  <c r="L280" i="7"/>
  <c r="P282" i="7"/>
  <c r="O283" i="7"/>
  <c r="K280" i="7"/>
  <c r="M280" i="7"/>
  <c r="T286" i="1" l="1"/>
  <c r="V285" i="1"/>
  <c r="R281" i="3"/>
  <c r="T281" i="3"/>
  <c r="Z281" i="7"/>
  <c r="H282" i="7"/>
  <c r="O282" i="3"/>
  <c r="O282" i="13"/>
  <c r="O286" i="1"/>
  <c r="M287" i="1"/>
  <c r="B283" i="3"/>
  <c r="AF283" i="3" s="1"/>
  <c r="C282" i="3"/>
  <c r="B282" i="13"/>
  <c r="AF282" i="13" s="1"/>
  <c r="C281" i="13"/>
  <c r="R281" i="13"/>
  <c r="T281" i="13"/>
  <c r="W287" i="1"/>
  <c r="Y286" i="1"/>
  <c r="P282" i="3"/>
  <c r="S282" i="3" s="1"/>
  <c r="P282" i="13"/>
  <c r="S282" i="13" s="1"/>
  <c r="N287" i="1"/>
  <c r="Q281" i="3"/>
  <c r="Q281" i="13"/>
  <c r="Q289" i="1"/>
  <c r="S288" i="1"/>
  <c r="M281" i="7"/>
  <c r="S282" i="7"/>
  <c r="X282" i="7"/>
  <c r="R282" i="7"/>
  <c r="V282" i="7"/>
  <c r="K282" i="7" s="1"/>
  <c r="W282" i="7"/>
  <c r="Q282" i="7"/>
  <c r="O284" i="7"/>
  <c r="P283" i="7"/>
  <c r="K281" i="7"/>
  <c r="B284" i="3" l="1"/>
  <c r="AF284" i="3" s="1"/>
  <c r="C283" i="3"/>
  <c r="R282" i="13"/>
  <c r="T282" i="13"/>
  <c r="P283" i="3"/>
  <c r="S283" i="3" s="1"/>
  <c r="P283" i="13"/>
  <c r="S283" i="13" s="1"/>
  <c r="N288" i="1"/>
  <c r="W288" i="1"/>
  <c r="Y287" i="1"/>
  <c r="B283" i="13"/>
  <c r="AF283" i="13" s="1"/>
  <c r="C282" i="13"/>
  <c r="R282" i="3"/>
  <c r="T282" i="3"/>
  <c r="Q290" i="1"/>
  <c r="S289" i="1"/>
  <c r="O283" i="3"/>
  <c r="O283" i="13"/>
  <c r="M288" i="1"/>
  <c r="O287" i="1"/>
  <c r="H283" i="7"/>
  <c r="Z282" i="7"/>
  <c r="Q282" i="13"/>
  <c r="Q282" i="3"/>
  <c r="V286" i="1"/>
  <c r="T287" i="1"/>
  <c r="O285" i="7"/>
  <c r="P284" i="7"/>
  <c r="L282" i="7"/>
  <c r="M282" i="7"/>
  <c r="Q283" i="7"/>
  <c r="X283" i="7"/>
  <c r="S283" i="7"/>
  <c r="R283" i="7"/>
  <c r="W283" i="7"/>
  <c r="V283" i="7"/>
  <c r="T288" i="1" l="1"/>
  <c r="V287" i="1"/>
  <c r="R283" i="13"/>
  <c r="T283" i="13"/>
  <c r="Z283" i="7"/>
  <c r="H284" i="7"/>
  <c r="R283" i="3"/>
  <c r="T283" i="3"/>
  <c r="B285" i="3"/>
  <c r="AF285" i="3" s="1"/>
  <c r="C284" i="3"/>
  <c r="O284" i="3"/>
  <c r="O284" i="13"/>
  <c r="O288" i="1"/>
  <c r="M289" i="1"/>
  <c r="S290" i="1"/>
  <c r="Q291" i="1"/>
  <c r="B284" i="13"/>
  <c r="AF284" i="13" s="1"/>
  <c r="C283" i="13"/>
  <c r="P284" i="3"/>
  <c r="S284" i="3" s="1"/>
  <c r="N289" i="1"/>
  <c r="P284" i="13"/>
  <c r="S284" i="13" s="1"/>
  <c r="Q283" i="13"/>
  <c r="Q283" i="3"/>
  <c r="Y288" i="1"/>
  <c r="W289" i="1"/>
  <c r="L283" i="7"/>
  <c r="W284" i="7"/>
  <c r="L284" i="7" s="1"/>
  <c r="S284" i="7"/>
  <c r="X284" i="7"/>
  <c r="Q284" i="7"/>
  <c r="V284" i="7"/>
  <c r="K284" i="7" s="1"/>
  <c r="R284" i="7"/>
  <c r="K283" i="7"/>
  <c r="O286" i="7"/>
  <c r="P285" i="7"/>
  <c r="M283" i="7"/>
  <c r="R284" i="3" l="1"/>
  <c r="T284" i="3"/>
  <c r="W290" i="1"/>
  <c r="Y289" i="1"/>
  <c r="B285" i="13"/>
  <c r="AF285" i="13" s="1"/>
  <c r="C284" i="13"/>
  <c r="O285" i="3"/>
  <c r="O285" i="13"/>
  <c r="M290" i="1"/>
  <c r="O289" i="1"/>
  <c r="P285" i="3"/>
  <c r="S285" i="3" s="1"/>
  <c r="P285" i="13"/>
  <c r="S285" i="13" s="1"/>
  <c r="N290" i="1"/>
  <c r="Q284" i="13"/>
  <c r="Q284" i="3"/>
  <c r="B286" i="3"/>
  <c r="AF286" i="3" s="1"/>
  <c r="C285" i="3"/>
  <c r="H285" i="7"/>
  <c r="Z284" i="7"/>
  <c r="S291" i="1"/>
  <c r="Q292" i="1"/>
  <c r="R284" i="13"/>
  <c r="T284" i="13"/>
  <c r="T289" i="1"/>
  <c r="V288" i="1"/>
  <c r="W285" i="7"/>
  <c r="R285" i="7"/>
  <c r="V285" i="7"/>
  <c r="S285" i="7"/>
  <c r="Q285" i="7"/>
  <c r="X285" i="7"/>
  <c r="M285" i="7"/>
  <c r="P286" i="7"/>
  <c r="O287" i="7"/>
  <c r="M284" i="7"/>
  <c r="Z285" i="7" l="1"/>
  <c r="H286" i="7"/>
  <c r="R285" i="3"/>
  <c r="T285" i="3"/>
  <c r="Q293" i="1"/>
  <c r="S292" i="1"/>
  <c r="Q285" i="3"/>
  <c r="Q285" i="13"/>
  <c r="W291" i="1"/>
  <c r="Y290" i="1"/>
  <c r="T290" i="1"/>
  <c r="V289" i="1"/>
  <c r="B287" i="3"/>
  <c r="AF287" i="3" s="1"/>
  <c r="C286" i="3"/>
  <c r="P286" i="3"/>
  <c r="S286" i="3" s="1"/>
  <c r="P286" i="13"/>
  <c r="S286" i="13" s="1"/>
  <c r="N291" i="1"/>
  <c r="O286" i="3"/>
  <c r="O286" i="13"/>
  <c r="O290" i="1"/>
  <c r="M291" i="1"/>
  <c r="B286" i="13"/>
  <c r="AF286" i="13" s="1"/>
  <c r="C285" i="13"/>
  <c r="R285" i="13"/>
  <c r="T285" i="13"/>
  <c r="Q286" i="7"/>
  <c r="W286" i="7"/>
  <c r="V286" i="7"/>
  <c r="X286" i="7"/>
  <c r="S286" i="7"/>
  <c r="R286" i="7"/>
  <c r="K286" i="7"/>
  <c r="K285" i="7"/>
  <c r="L285" i="7"/>
  <c r="O288" i="7"/>
  <c r="P287" i="7"/>
  <c r="R286" i="3" l="1"/>
  <c r="T286" i="3"/>
  <c r="V290" i="1"/>
  <c r="T291" i="1"/>
  <c r="B287" i="13"/>
  <c r="AF287" i="13" s="1"/>
  <c r="C286" i="13"/>
  <c r="R286" i="13"/>
  <c r="T286" i="13"/>
  <c r="B288" i="3"/>
  <c r="AF288" i="3" s="1"/>
  <c r="C287" i="3"/>
  <c r="H287" i="7"/>
  <c r="Z286" i="7"/>
  <c r="O287" i="3"/>
  <c r="O287" i="13"/>
  <c r="M292" i="1"/>
  <c r="O291" i="1"/>
  <c r="P287" i="3"/>
  <c r="S287" i="3" s="1"/>
  <c r="P287" i="13"/>
  <c r="S287" i="13" s="1"/>
  <c r="N292" i="1"/>
  <c r="Q286" i="13"/>
  <c r="Q286" i="3"/>
  <c r="Y291" i="1"/>
  <c r="W292" i="1"/>
  <c r="Q294" i="1"/>
  <c r="S293" i="1"/>
  <c r="L286" i="7"/>
  <c r="W287" i="7"/>
  <c r="R287" i="7"/>
  <c r="V287" i="7"/>
  <c r="X287" i="7"/>
  <c r="Q287" i="7"/>
  <c r="S287" i="7"/>
  <c r="M286" i="7"/>
  <c r="M287" i="7"/>
  <c r="P288" i="7"/>
  <c r="O289" i="7"/>
  <c r="R287" i="3" l="1"/>
  <c r="T287" i="3"/>
  <c r="B289" i="3"/>
  <c r="AF289" i="3" s="1"/>
  <c r="C288" i="3"/>
  <c r="Y292" i="1"/>
  <c r="W293" i="1"/>
  <c r="P288" i="3"/>
  <c r="S288" i="3" s="1"/>
  <c r="N293" i="1"/>
  <c r="P288" i="13"/>
  <c r="S288" i="13" s="1"/>
  <c r="O288" i="3"/>
  <c r="O288" i="13"/>
  <c r="O292" i="1"/>
  <c r="M293" i="1"/>
  <c r="Z287" i="7"/>
  <c r="H288" i="7"/>
  <c r="R287" i="13"/>
  <c r="T287" i="13"/>
  <c r="T292" i="1"/>
  <c r="V291" i="1"/>
  <c r="S294" i="1"/>
  <c r="Q295" i="1"/>
  <c r="Q287" i="13"/>
  <c r="Q287" i="3"/>
  <c r="B288" i="13"/>
  <c r="AF288" i="13" s="1"/>
  <c r="C287" i="13"/>
  <c r="P289" i="7"/>
  <c r="O290" i="7"/>
  <c r="W288" i="7"/>
  <c r="L288" i="7" s="1"/>
  <c r="S288" i="7"/>
  <c r="X288" i="7"/>
  <c r="Q288" i="7"/>
  <c r="V288" i="7"/>
  <c r="R288" i="7"/>
  <c r="L287" i="7"/>
  <c r="K287" i="7"/>
  <c r="K288" i="7"/>
  <c r="T293" i="1" l="1"/>
  <c r="V292" i="1"/>
  <c r="R288" i="3"/>
  <c r="T288" i="3"/>
  <c r="W294" i="1"/>
  <c r="Y293" i="1"/>
  <c r="B289" i="13"/>
  <c r="AF289" i="13" s="1"/>
  <c r="C288" i="13"/>
  <c r="S295" i="1"/>
  <c r="Q296" i="1"/>
  <c r="O289" i="3"/>
  <c r="O289" i="13"/>
  <c r="M294" i="1"/>
  <c r="O293" i="1"/>
  <c r="H289" i="7"/>
  <c r="Z288" i="7"/>
  <c r="R288" i="13"/>
  <c r="T288" i="13"/>
  <c r="B290" i="3"/>
  <c r="AF290" i="3" s="1"/>
  <c r="C289" i="3"/>
  <c r="Q288" i="13"/>
  <c r="Q288" i="3"/>
  <c r="P289" i="3"/>
  <c r="S289" i="3" s="1"/>
  <c r="P289" i="13"/>
  <c r="S289" i="13" s="1"/>
  <c r="N294" i="1"/>
  <c r="P290" i="7"/>
  <c r="O291" i="7"/>
  <c r="M288" i="7"/>
  <c r="W289" i="7"/>
  <c r="R289" i="7"/>
  <c r="V289" i="7"/>
  <c r="S289" i="7"/>
  <c r="Q289" i="7"/>
  <c r="X289" i="7"/>
  <c r="B290" i="13" l="1"/>
  <c r="AF290" i="13" s="1"/>
  <c r="C289" i="13"/>
  <c r="P290" i="3"/>
  <c r="S290" i="3" s="1"/>
  <c r="P290" i="13"/>
  <c r="S290" i="13" s="1"/>
  <c r="N295" i="1"/>
  <c r="Q289" i="3"/>
  <c r="Q289" i="13"/>
  <c r="Q297" i="1"/>
  <c r="S296" i="1"/>
  <c r="O290" i="3"/>
  <c r="O290" i="13"/>
  <c r="O294" i="1"/>
  <c r="M295" i="1"/>
  <c r="Z289" i="7"/>
  <c r="H290" i="7"/>
  <c r="R289" i="3"/>
  <c r="T289" i="3"/>
  <c r="B291" i="3"/>
  <c r="AF291" i="3" s="1"/>
  <c r="C290" i="3"/>
  <c r="R289" i="13"/>
  <c r="T289" i="13"/>
  <c r="W295" i="1"/>
  <c r="Y294" i="1"/>
  <c r="T294" i="1"/>
  <c r="V293" i="1"/>
  <c r="P291" i="7"/>
  <c r="O292" i="7"/>
  <c r="L289" i="7"/>
  <c r="V290" i="7"/>
  <c r="K290" i="7" s="1"/>
  <c r="S290" i="7"/>
  <c r="W290" i="7"/>
  <c r="Q290" i="7"/>
  <c r="R290" i="7"/>
  <c r="X290" i="7"/>
  <c r="K289" i="7"/>
  <c r="M289" i="7"/>
  <c r="W296" i="1" l="1"/>
  <c r="Y295" i="1"/>
  <c r="H291" i="7"/>
  <c r="Z290" i="7"/>
  <c r="R290" i="13"/>
  <c r="T290" i="13"/>
  <c r="R290" i="3"/>
  <c r="T290" i="3"/>
  <c r="V294" i="1"/>
  <c r="T295" i="1"/>
  <c r="O291" i="3"/>
  <c r="O291" i="13"/>
  <c r="M296" i="1"/>
  <c r="O295" i="1"/>
  <c r="P291" i="3"/>
  <c r="S291" i="3" s="1"/>
  <c r="P291" i="13"/>
  <c r="S291" i="13" s="1"/>
  <c r="N296" i="1"/>
  <c r="B291" i="13"/>
  <c r="AF291" i="13" s="1"/>
  <c r="C290" i="13"/>
  <c r="B292" i="3"/>
  <c r="AF292" i="3" s="1"/>
  <c r="C291" i="3"/>
  <c r="Q290" i="13"/>
  <c r="Q290" i="3"/>
  <c r="S297" i="1"/>
  <c r="Q298" i="1"/>
  <c r="P292" i="7"/>
  <c r="O293" i="7"/>
  <c r="Q291" i="7"/>
  <c r="X291" i="7"/>
  <c r="M291" i="7" s="1"/>
  <c r="S291" i="7"/>
  <c r="R291" i="7"/>
  <c r="W291" i="7"/>
  <c r="V291" i="7"/>
  <c r="L290" i="7"/>
  <c r="M290" i="7"/>
  <c r="R291" i="13" l="1"/>
  <c r="T291" i="13"/>
  <c r="S298" i="1"/>
  <c r="Q299" i="1"/>
  <c r="B292" i="13"/>
  <c r="AF292" i="13" s="1"/>
  <c r="C291" i="13"/>
  <c r="R291" i="3"/>
  <c r="T291" i="3"/>
  <c r="Z291" i="7"/>
  <c r="H292" i="7"/>
  <c r="B293" i="3"/>
  <c r="AF293" i="3" s="1"/>
  <c r="C292" i="3"/>
  <c r="Q291" i="13"/>
  <c r="Q291" i="3"/>
  <c r="T296" i="1"/>
  <c r="V295" i="1"/>
  <c r="P292" i="3"/>
  <c r="S292" i="3" s="1"/>
  <c r="N297" i="1"/>
  <c r="P292" i="13"/>
  <c r="S292" i="13" s="1"/>
  <c r="O292" i="3"/>
  <c r="O292" i="13"/>
  <c r="O296" i="1"/>
  <c r="M297" i="1"/>
  <c r="Y296" i="1"/>
  <c r="W297" i="1"/>
  <c r="L291" i="7"/>
  <c r="P293" i="7"/>
  <c r="O294" i="7"/>
  <c r="K291" i="7"/>
  <c r="W292" i="7"/>
  <c r="S292" i="7"/>
  <c r="X292" i="7"/>
  <c r="Q292" i="7"/>
  <c r="V292" i="7"/>
  <c r="K292" i="7" s="1"/>
  <c r="R292" i="7"/>
  <c r="W298" i="1" l="1"/>
  <c r="Y297" i="1"/>
  <c r="R292" i="13"/>
  <c r="T292" i="13"/>
  <c r="H293" i="7"/>
  <c r="Z292" i="7"/>
  <c r="R292" i="3"/>
  <c r="T292" i="3"/>
  <c r="B293" i="13"/>
  <c r="AF293" i="13" s="1"/>
  <c r="C292" i="13"/>
  <c r="Q292" i="13"/>
  <c r="Q292" i="3"/>
  <c r="P293" i="3"/>
  <c r="S293" i="3" s="1"/>
  <c r="P293" i="13"/>
  <c r="S293" i="13" s="1"/>
  <c r="N298" i="1"/>
  <c r="Q300" i="1"/>
  <c r="S299" i="1"/>
  <c r="O293" i="3"/>
  <c r="O293" i="13"/>
  <c r="M298" i="1"/>
  <c r="O297" i="1"/>
  <c r="T297" i="1"/>
  <c r="V296" i="1"/>
  <c r="B294" i="3"/>
  <c r="AF294" i="3" s="1"/>
  <c r="C293" i="3"/>
  <c r="M292" i="7"/>
  <c r="O295" i="7"/>
  <c r="P294" i="7"/>
  <c r="L292" i="7"/>
  <c r="Q293" i="7"/>
  <c r="X293" i="7"/>
  <c r="S293" i="7"/>
  <c r="R293" i="7"/>
  <c r="V293" i="7"/>
  <c r="W293" i="7"/>
  <c r="L293" i="7" s="1"/>
  <c r="T298" i="1" l="1"/>
  <c r="V297" i="1"/>
  <c r="R293" i="3"/>
  <c r="T293" i="3"/>
  <c r="B295" i="3"/>
  <c r="AF295" i="3" s="1"/>
  <c r="C294" i="3"/>
  <c r="Q293" i="3"/>
  <c r="Q293" i="13"/>
  <c r="B294" i="13"/>
  <c r="AF294" i="13" s="1"/>
  <c r="C293" i="13"/>
  <c r="R293" i="13"/>
  <c r="T293" i="13"/>
  <c r="P294" i="3"/>
  <c r="S294" i="3" s="1"/>
  <c r="P294" i="13"/>
  <c r="S294" i="13" s="1"/>
  <c r="N299" i="1"/>
  <c r="O294" i="3"/>
  <c r="O294" i="13"/>
  <c r="O298" i="1"/>
  <c r="M299" i="1"/>
  <c r="Q301" i="1"/>
  <c r="S300" i="1"/>
  <c r="Z293" i="7"/>
  <c r="H294" i="7"/>
  <c r="W299" i="1"/>
  <c r="Y298" i="1"/>
  <c r="M293" i="7"/>
  <c r="Q294" i="7"/>
  <c r="W294" i="7"/>
  <c r="L294" i="7" s="1"/>
  <c r="V294" i="7"/>
  <c r="X294" i="7"/>
  <c r="S294" i="7"/>
  <c r="R294" i="7"/>
  <c r="K293" i="7"/>
  <c r="O296" i="7"/>
  <c r="P295" i="7"/>
  <c r="K294" i="7"/>
  <c r="Q294" i="13" l="1"/>
  <c r="Q294" i="3"/>
  <c r="B295" i="13"/>
  <c r="AF295" i="13" s="1"/>
  <c r="C294" i="13"/>
  <c r="S301" i="1"/>
  <c r="Q302" i="1"/>
  <c r="B296" i="3"/>
  <c r="AF296" i="3" s="1"/>
  <c r="C295" i="3"/>
  <c r="R294" i="13"/>
  <c r="T294" i="13"/>
  <c r="Y299" i="1"/>
  <c r="W300" i="1"/>
  <c r="R294" i="3"/>
  <c r="T294" i="3"/>
  <c r="H295" i="7"/>
  <c r="Z294" i="7"/>
  <c r="O295" i="3"/>
  <c r="O295" i="13"/>
  <c r="M300" i="1"/>
  <c r="O299" i="1"/>
  <c r="P295" i="3"/>
  <c r="S295" i="3" s="1"/>
  <c r="P295" i="13"/>
  <c r="S295" i="13" s="1"/>
  <c r="N300" i="1"/>
  <c r="V298" i="1"/>
  <c r="T299" i="1"/>
  <c r="P296" i="7"/>
  <c r="O297" i="7"/>
  <c r="M294" i="7"/>
  <c r="S295" i="7"/>
  <c r="X295" i="7"/>
  <c r="W295" i="7"/>
  <c r="Q295" i="7"/>
  <c r="R295" i="7"/>
  <c r="V295" i="7"/>
  <c r="C295" i="13" l="1"/>
  <c r="B296" i="13"/>
  <c r="AF296" i="13" s="1"/>
  <c r="T300" i="1"/>
  <c r="V299" i="1"/>
  <c r="Q295" i="13"/>
  <c r="Q295" i="3"/>
  <c r="Y300" i="1"/>
  <c r="W301" i="1"/>
  <c r="R295" i="13"/>
  <c r="T295" i="13"/>
  <c r="R295" i="3"/>
  <c r="T295" i="3"/>
  <c r="S302" i="1"/>
  <c r="Q303" i="1"/>
  <c r="P296" i="3"/>
  <c r="S296" i="3" s="1"/>
  <c r="N301" i="1"/>
  <c r="P296" i="13"/>
  <c r="S296" i="13" s="1"/>
  <c r="O296" i="3"/>
  <c r="O296" i="13"/>
  <c r="O300" i="1"/>
  <c r="M301" i="1"/>
  <c r="Z295" i="7"/>
  <c r="H296" i="7"/>
  <c r="B297" i="3"/>
  <c r="AF297" i="3" s="1"/>
  <c r="C296" i="3"/>
  <c r="O298" i="7"/>
  <c r="P297" i="7"/>
  <c r="K295" i="7"/>
  <c r="M295" i="7"/>
  <c r="R296" i="7"/>
  <c r="X296" i="7"/>
  <c r="V296" i="7"/>
  <c r="S296" i="7"/>
  <c r="W296" i="7"/>
  <c r="Q296" i="7"/>
  <c r="L295" i="7"/>
  <c r="H297" i="7" l="1"/>
  <c r="Z296" i="7"/>
  <c r="R296" i="13"/>
  <c r="T296" i="13"/>
  <c r="T301" i="1"/>
  <c r="V300" i="1"/>
  <c r="R296" i="3"/>
  <c r="T296" i="3"/>
  <c r="Q304" i="1"/>
  <c r="S303" i="1"/>
  <c r="B297" i="13"/>
  <c r="AF297" i="13" s="1"/>
  <c r="C296" i="13"/>
  <c r="B298" i="3"/>
  <c r="AF298" i="3" s="1"/>
  <c r="C297" i="3"/>
  <c r="O297" i="3"/>
  <c r="O297" i="13"/>
  <c r="M302" i="1"/>
  <c r="O301" i="1"/>
  <c r="Q296" i="13"/>
  <c r="Q296" i="3"/>
  <c r="P297" i="3"/>
  <c r="S297" i="3" s="1"/>
  <c r="P297" i="13"/>
  <c r="S297" i="13" s="1"/>
  <c r="N302" i="1"/>
  <c r="W302" i="1"/>
  <c r="Y301" i="1"/>
  <c r="S297" i="7"/>
  <c r="X297" i="7"/>
  <c r="M297" i="7" s="1"/>
  <c r="V297" i="7"/>
  <c r="K297" i="7" s="1"/>
  <c r="Q297" i="7"/>
  <c r="W297" i="7"/>
  <c r="R297" i="7"/>
  <c r="L296" i="7"/>
  <c r="O299" i="7"/>
  <c r="P298" i="7"/>
  <c r="M296" i="7"/>
  <c r="L297" i="7"/>
  <c r="K296" i="7"/>
  <c r="Q297" i="3" l="1"/>
  <c r="Q297" i="13"/>
  <c r="B298" i="13"/>
  <c r="AF298" i="13" s="1"/>
  <c r="C297" i="13"/>
  <c r="O298" i="3"/>
  <c r="O298" i="13"/>
  <c r="O302" i="1"/>
  <c r="M303" i="1"/>
  <c r="B299" i="3"/>
  <c r="AF299" i="3" s="1"/>
  <c r="C298" i="3"/>
  <c r="W303" i="1"/>
  <c r="Y302" i="1"/>
  <c r="R297" i="13"/>
  <c r="T297" i="13"/>
  <c r="P298" i="3"/>
  <c r="S298" i="3" s="1"/>
  <c r="P298" i="13"/>
  <c r="S298" i="13" s="1"/>
  <c r="N303" i="1"/>
  <c r="R297" i="3"/>
  <c r="T297" i="3"/>
  <c r="Q305" i="1"/>
  <c r="S304" i="1"/>
  <c r="T302" i="1"/>
  <c r="V301" i="1"/>
  <c r="Z297" i="7"/>
  <c r="H298" i="7"/>
  <c r="V298" i="7"/>
  <c r="S298" i="7"/>
  <c r="W298" i="7"/>
  <c r="L298" i="7" s="1"/>
  <c r="Q298" i="7"/>
  <c r="R298" i="7"/>
  <c r="X298" i="7"/>
  <c r="P299" i="7"/>
  <c r="O300" i="7"/>
  <c r="K298" i="7"/>
  <c r="M298" i="7"/>
  <c r="V302" i="1" l="1"/>
  <c r="T303" i="1"/>
  <c r="Q298" i="13"/>
  <c r="Q298" i="3"/>
  <c r="B299" i="13"/>
  <c r="AF299" i="13" s="1"/>
  <c r="C298" i="13"/>
  <c r="H299" i="7"/>
  <c r="Z298" i="7"/>
  <c r="P299" i="3"/>
  <c r="S299" i="3" s="1"/>
  <c r="P299" i="13"/>
  <c r="S299" i="13" s="1"/>
  <c r="N304" i="1"/>
  <c r="B300" i="3"/>
  <c r="AF300" i="3" s="1"/>
  <c r="C299" i="3"/>
  <c r="R298" i="13"/>
  <c r="T298" i="13"/>
  <c r="Q306" i="1"/>
  <c r="S305" i="1"/>
  <c r="R298" i="3"/>
  <c r="T298" i="3"/>
  <c r="W304" i="1"/>
  <c r="Y303" i="1"/>
  <c r="O299" i="3"/>
  <c r="O299" i="13"/>
  <c r="M304" i="1"/>
  <c r="O303" i="1"/>
  <c r="O301" i="7"/>
  <c r="P300" i="7"/>
  <c r="W299" i="7"/>
  <c r="L299" i="7" s="1"/>
  <c r="R299" i="7"/>
  <c r="V299" i="7"/>
  <c r="X299" i="7"/>
  <c r="Q299" i="7"/>
  <c r="S299" i="7"/>
  <c r="M299" i="7"/>
  <c r="R299" i="3" l="1"/>
  <c r="T299" i="3"/>
  <c r="P300" i="3"/>
  <c r="S300" i="3" s="1"/>
  <c r="N305" i="1"/>
  <c r="P300" i="13"/>
  <c r="S300" i="13" s="1"/>
  <c r="Z299" i="7"/>
  <c r="H300" i="7"/>
  <c r="Q299" i="13"/>
  <c r="Q299" i="3"/>
  <c r="O300" i="3"/>
  <c r="O300" i="13"/>
  <c r="O304" i="1"/>
  <c r="M305" i="1"/>
  <c r="Y304" i="1"/>
  <c r="W305" i="1"/>
  <c r="S306" i="1"/>
  <c r="Q307" i="1"/>
  <c r="C300" i="3"/>
  <c r="B301" i="3"/>
  <c r="AF301" i="3" s="1"/>
  <c r="C299" i="13"/>
  <c r="B300" i="13"/>
  <c r="AF300" i="13" s="1"/>
  <c r="T304" i="1"/>
  <c r="V303" i="1"/>
  <c r="R299" i="13"/>
  <c r="T299" i="13"/>
  <c r="Q300" i="7"/>
  <c r="X300" i="7"/>
  <c r="W300" i="7"/>
  <c r="V300" i="7"/>
  <c r="R300" i="7"/>
  <c r="S300" i="7"/>
  <c r="O302" i="7"/>
  <c r="P301" i="7"/>
  <c r="K299" i="7"/>
  <c r="T305" i="1" l="1"/>
  <c r="V304" i="1"/>
  <c r="B302" i="3"/>
  <c r="AF302" i="3" s="1"/>
  <c r="C301" i="3"/>
  <c r="Q300" i="13"/>
  <c r="Q300" i="3"/>
  <c r="P301" i="3"/>
  <c r="S301" i="3" s="1"/>
  <c r="P301" i="13"/>
  <c r="S301" i="13" s="1"/>
  <c r="N306" i="1"/>
  <c r="B301" i="13"/>
  <c r="AF301" i="13" s="1"/>
  <c r="C300" i="13"/>
  <c r="W306" i="1"/>
  <c r="Y305" i="1"/>
  <c r="R300" i="13"/>
  <c r="T300" i="13"/>
  <c r="H301" i="7"/>
  <c r="Z300" i="7"/>
  <c r="R300" i="3"/>
  <c r="T300" i="3"/>
  <c r="S307" i="1"/>
  <c r="Q308" i="1"/>
  <c r="O301" i="3"/>
  <c r="O301" i="13"/>
  <c r="M306" i="1"/>
  <c r="O305" i="1"/>
  <c r="M300" i="7"/>
  <c r="Q301" i="7"/>
  <c r="X301" i="7"/>
  <c r="S301" i="7"/>
  <c r="R301" i="7"/>
  <c r="V301" i="7"/>
  <c r="W301" i="7"/>
  <c r="L301" i="7" s="1"/>
  <c r="O303" i="7"/>
  <c r="P302" i="7"/>
  <c r="K300" i="7"/>
  <c r="L300" i="7"/>
  <c r="R301" i="3" l="1"/>
  <c r="T301" i="3"/>
  <c r="Q301" i="3"/>
  <c r="Q301" i="13"/>
  <c r="Q309" i="1"/>
  <c r="S308" i="1"/>
  <c r="B302" i="13"/>
  <c r="AF302" i="13" s="1"/>
  <c r="C301" i="13"/>
  <c r="B303" i="3"/>
  <c r="AF303" i="3" s="1"/>
  <c r="C302" i="3"/>
  <c r="O302" i="3"/>
  <c r="O302" i="13"/>
  <c r="O306" i="1"/>
  <c r="M307" i="1"/>
  <c r="Z301" i="7"/>
  <c r="H302" i="7"/>
  <c r="W307" i="1"/>
  <c r="Y306" i="1"/>
  <c r="P302" i="3"/>
  <c r="S302" i="3" s="1"/>
  <c r="P302" i="13"/>
  <c r="S302" i="13" s="1"/>
  <c r="N307" i="1"/>
  <c r="R301" i="13"/>
  <c r="T301" i="13"/>
  <c r="T306" i="1"/>
  <c r="V305" i="1"/>
  <c r="V302" i="7"/>
  <c r="S302" i="7"/>
  <c r="W302" i="7"/>
  <c r="Q302" i="7"/>
  <c r="R302" i="7"/>
  <c r="X302" i="7"/>
  <c r="M302" i="7" s="1"/>
  <c r="P303" i="7"/>
  <c r="O304" i="7"/>
  <c r="K302" i="7"/>
  <c r="K301" i="7"/>
  <c r="M301" i="7"/>
  <c r="O303" i="3" l="1"/>
  <c r="O303" i="13"/>
  <c r="M308" i="1"/>
  <c r="O307" i="1"/>
  <c r="B303" i="13"/>
  <c r="AF303" i="13" s="1"/>
  <c r="C302" i="13"/>
  <c r="P303" i="3"/>
  <c r="S303" i="3" s="1"/>
  <c r="P303" i="13"/>
  <c r="S303" i="13" s="1"/>
  <c r="N308" i="1"/>
  <c r="Y307" i="1"/>
  <c r="W308" i="1"/>
  <c r="Q302" i="13"/>
  <c r="Q302" i="3"/>
  <c r="B304" i="3"/>
  <c r="AF304" i="3" s="1"/>
  <c r="C303" i="3"/>
  <c r="V306" i="1"/>
  <c r="T307" i="1"/>
  <c r="H303" i="7"/>
  <c r="Z302" i="7"/>
  <c r="R302" i="13"/>
  <c r="T302" i="13"/>
  <c r="R302" i="3"/>
  <c r="T302" i="3"/>
  <c r="Q310" i="1"/>
  <c r="S309" i="1"/>
  <c r="P304" i="7"/>
  <c r="O305" i="7"/>
  <c r="V303" i="7"/>
  <c r="R303" i="7"/>
  <c r="X303" i="7"/>
  <c r="W303" i="7"/>
  <c r="Q303" i="7"/>
  <c r="S303" i="7"/>
  <c r="L302" i="7"/>
  <c r="L303" i="7"/>
  <c r="Z303" i="7" l="1"/>
  <c r="H304" i="7"/>
  <c r="B305" i="3"/>
  <c r="AF305" i="3" s="1"/>
  <c r="C304" i="3"/>
  <c r="Y308" i="1"/>
  <c r="W309" i="1"/>
  <c r="Q303" i="13"/>
  <c r="Q303" i="3"/>
  <c r="T308" i="1"/>
  <c r="V307" i="1"/>
  <c r="O304" i="3"/>
  <c r="O304" i="13"/>
  <c r="O308" i="1"/>
  <c r="M309" i="1"/>
  <c r="S310" i="1"/>
  <c r="Q311" i="1"/>
  <c r="P304" i="3"/>
  <c r="S304" i="3" s="1"/>
  <c r="N309" i="1"/>
  <c r="P304" i="13"/>
  <c r="S304" i="13" s="1"/>
  <c r="B304" i="13"/>
  <c r="AF304" i="13" s="1"/>
  <c r="C303" i="13"/>
  <c r="R303" i="13"/>
  <c r="T303" i="13"/>
  <c r="R303" i="3"/>
  <c r="T303" i="3"/>
  <c r="K303" i="7"/>
  <c r="P305" i="7"/>
  <c r="O306" i="7"/>
  <c r="V304" i="7"/>
  <c r="S304" i="7"/>
  <c r="W304" i="7"/>
  <c r="Q304" i="7"/>
  <c r="X304" i="7"/>
  <c r="M304" i="7" s="1"/>
  <c r="R304" i="7"/>
  <c r="M303" i="7"/>
  <c r="R304" i="3" l="1"/>
  <c r="T304" i="3"/>
  <c r="B306" i="3"/>
  <c r="AF306" i="3" s="1"/>
  <c r="C305" i="3"/>
  <c r="P305" i="3"/>
  <c r="S305" i="3" s="1"/>
  <c r="P305" i="13"/>
  <c r="S305" i="13" s="1"/>
  <c r="N310" i="1"/>
  <c r="O305" i="3"/>
  <c r="O305" i="13"/>
  <c r="M310" i="1"/>
  <c r="O309" i="1"/>
  <c r="W310" i="1"/>
  <c r="Y309" i="1"/>
  <c r="B305" i="13"/>
  <c r="AF305" i="13" s="1"/>
  <c r="C304" i="13"/>
  <c r="Q304" i="13"/>
  <c r="Q304" i="3"/>
  <c r="T309" i="1"/>
  <c r="V308" i="1"/>
  <c r="H305" i="7"/>
  <c r="Z304" i="7"/>
  <c r="S311" i="1"/>
  <c r="Q312" i="1"/>
  <c r="R304" i="13"/>
  <c r="T304" i="13"/>
  <c r="L304" i="7"/>
  <c r="O307" i="7"/>
  <c r="P306" i="7"/>
  <c r="Q305" i="7"/>
  <c r="W305" i="7"/>
  <c r="S305" i="7"/>
  <c r="R305" i="7"/>
  <c r="X305" i="7"/>
  <c r="M305" i="7" s="1"/>
  <c r="V305" i="7"/>
  <c r="K304" i="7"/>
  <c r="O306" i="3" l="1"/>
  <c r="O306" i="13"/>
  <c r="O310" i="1"/>
  <c r="M311" i="1"/>
  <c r="T310" i="1"/>
  <c r="V309" i="1"/>
  <c r="B306" i="13"/>
  <c r="AF306" i="13" s="1"/>
  <c r="C305" i="13"/>
  <c r="Q305" i="3"/>
  <c r="Q305" i="13"/>
  <c r="P306" i="3"/>
  <c r="S306" i="3" s="1"/>
  <c r="P306" i="13"/>
  <c r="S306" i="13" s="1"/>
  <c r="N311" i="1"/>
  <c r="B307" i="3"/>
  <c r="AF307" i="3" s="1"/>
  <c r="C306" i="3"/>
  <c r="Z305" i="7"/>
  <c r="H306" i="7"/>
  <c r="R305" i="13"/>
  <c r="T305" i="13"/>
  <c r="Q313" i="1"/>
  <c r="S312" i="1"/>
  <c r="W311" i="1"/>
  <c r="Y310" i="1"/>
  <c r="R305" i="3"/>
  <c r="T305" i="3"/>
  <c r="K305" i="7"/>
  <c r="V306" i="7"/>
  <c r="S306" i="7"/>
  <c r="W306" i="7"/>
  <c r="L306" i="7" s="1"/>
  <c r="Q306" i="7"/>
  <c r="R306" i="7"/>
  <c r="X306" i="7"/>
  <c r="M306" i="7" s="1"/>
  <c r="P307" i="7"/>
  <c r="O308" i="7"/>
  <c r="L305" i="7"/>
  <c r="W312" i="1" l="1"/>
  <c r="Y311" i="1"/>
  <c r="B308" i="3"/>
  <c r="AF308" i="3" s="1"/>
  <c r="C307" i="3"/>
  <c r="B307" i="13"/>
  <c r="AF307" i="13" s="1"/>
  <c r="C306" i="13"/>
  <c r="O307" i="3"/>
  <c r="O307" i="13"/>
  <c r="M312" i="1"/>
  <c r="O311" i="1"/>
  <c r="H307" i="7"/>
  <c r="Z306" i="7"/>
  <c r="Q306" i="13"/>
  <c r="Q306" i="3"/>
  <c r="Q314" i="1"/>
  <c r="S313" i="1"/>
  <c r="P307" i="3"/>
  <c r="S307" i="3" s="1"/>
  <c r="P307" i="13"/>
  <c r="S307" i="13" s="1"/>
  <c r="N312" i="1"/>
  <c r="R306" i="13"/>
  <c r="T306" i="13"/>
  <c r="V310" i="1"/>
  <c r="T311" i="1"/>
  <c r="R306" i="3"/>
  <c r="T306" i="3"/>
  <c r="P308" i="7"/>
  <c r="O309" i="7"/>
  <c r="K306" i="7"/>
  <c r="V307" i="7"/>
  <c r="R307" i="7"/>
  <c r="X307" i="7"/>
  <c r="W307" i="7"/>
  <c r="Q307" i="7"/>
  <c r="S307" i="7"/>
  <c r="Q307" i="13" l="1"/>
  <c r="Q307" i="3"/>
  <c r="B309" i="3"/>
  <c r="AF309" i="3" s="1"/>
  <c r="C308" i="3"/>
  <c r="O308" i="3"/>
  <c r="O308" i="13"/>
  <c r="O312" i="1"/>
  <c r="M313" i="1"/>
  <c r="B308" i="13"/>
  <c r="AF308" i="13" s="1"/>
  <c r="C307" i="13"/>
  <c r="R307" i="13"/>
  <c r="T307" i="13"/>
  <c r="T312" i="1"/>
  <c r="V311" i="1"/>
  <c r="P308" i="3"/>
  <c r="S308" i="3" s="1"/>
  <c r="N313" i="1"/>
  <c r="P308" i="13"/>
  <c r="S308" i="13" s="1"/>
  <c r="S314" i="1"/>
  <c r="Q315" i="1"/>
  <c r="Z307" i="7"/>
  <c r="H308" i="7"/>
  <c r="R307" i="3"/>
  <c r="T307" i="3"/>
  <c r="Y312" i="1"/>
  <c r="W313" i="1"/>
  <c r="P309" i="7"/>
  <c r="O310" i="7"/>
  <c r="K307" i="7"/>
  <c r="V308" i="7"/>
  <c r="K308" i="7" s="1"/>
  <c r="S308" i="7"/>
  <c r="W308" i="7"/>
  <c r="Q308" i="7"/>
  <c r="X308" i="7"/>
  <c r="R308" i="7"/>
  <c r="L308" i="7"/>
  <c r="L307" i="7"/>
  <c r="M308" i="7"/>
  <c r="M307" i="7"/>
  <c r="Q308" i="13" l="1"/>
  <c r="Q308" i="3"/>
  <c r="B310" i="3"/>
  <c r="AF310" i="3" s="1"/>
  <c r="C309" i="3"/>
  <c r="W314" i="1"/>
  <c r="Y313" i="1"/>
  <c r="H309" i="7"/>
  <c r="Z308" i="7"/>
  <c r="T313" i="1"/>
  <c r="V312" i="1"/>
  <c r="B309" i="13"/>
  <c r="AF309" i="13" s="1"/>
  <c r="C308" i="13"/>
  <c r="R308" i="13"/>
  <c r="T308" i="13"/>
  <c r="P309" i="3"/>
  <c r="S309" i="3" s="1"/>
  <c r="P309" i="13"/>
  <c r="S309" i="13" s="1"/>
  <c r="N314" i="1"/>
  <c r="R308" i="3"/>
  <c r="T308" i="3"/>
  <c r="Q316" i="1"/>
  <c r="S315" i="1"/>
  <c r="O309" i="3"/>
  <c r="O309" i="13"/>
  <c r="M314" i="1"/>
  <c r="O313" i="1"/>
  <c r="P310" i="7"/>
  <c r="O311" i="7"/>
  <c r="V309" i="7"/>
  <c r="R309" i="7"/>
  <c r="X309" i="7"/>
  <c r="S309" i="7"/>
  <c r="Q309" i="7"/>
  <c r="W309" i="7"/>
  <c r="R309" i="3" l="1"/>
  <c r="T309" i="3"/>
  <c r="Z309" i="7"/>
  <c r="H310" i="7"/>
  <c r="Q309" i="3"/>
  <c r="Q309" i="13"/>
  <c r="P310" i="3"/>
  <c r="S310" i="3" s="1"/>
  <c r="P310" i="13"/>
  <c r="S310" i="13" s="1"/>
  <c r="N315" i="1"/>
  <c r="B311" i="3"/>
  <c r="AF311" i="3" s="1"/>
  <c r="C310" i="3"/>
  <c r="O310" i="3"/>
  <c r="O310" i="13"/>
  <c r="O314" i="1"/>
  <c r="M315" i="1"/>
  <c r="Q317" i="1"/>
  <c r="S316" i="1"/>
  <c r="T314" i="1"/>
  <c r="V313" i="1"/>
  <c r="W315" i="1"/>
  <c r="Y314" i="1"/>
  <c r="R309" i="13"/>
  <c r="T309" i="13"/>
  <c r="B310" i="13"/>
  <c r="AF310" i="13" s="1"/>
  <c r="C309" i="13"/>
  <c r="O312" i="7"/>
  <c r="P311" i="7"/>
  <c r="M309" i="7"/>
  <c r="Q310" i="7"/>
  <c r="W310" i="7"/>
  <c r="L310" i="7" s="1"/>
  <c r="V310" i="7"/>
  <c r="X310" i="7"/>
  <c r="S310" i="7"/>
  <c r="R310" i="7"/>
  <c r="L309" i="7"/>
  <c r="K309" i="7"/>
  <c r="O311" i="3" l="1"/>
  <c r="O311" i="13"/>
  <c r="M316" i="1"/>
  <c r="O315" i="1"/>
  <c r="H311" i="7"/>
  <c r="Z310" i="7"/>
  <c r="V314" i="1"/>
  <c r="T315" i="1"/>
  <c r="Q310" i="13"/>
  <c r="Q310" i="3"/>
  <c r="B312" i="3"/>
  <c r="AF312" i="3" s="1"/>
  <c r="C311" i="3"/>
  <c r="B311" i="13"/>
  <c r="AF311" i="13" s="1"/>
  <c r="C310" i="13"/>
  <c r="R310" i="13"/>
  <c r="T310" i="13"/>
  <c r="Y315" i="1"/>
  <c r="W316" i="1"/>
  <c r="S317" i="1"/>
  <c r="Q318" i="1"/>
  <c r="R310" i="3"/>
  <c r="T310" i="3"/>
  <c r="P311" i="3"/>
  <c r="S311" i="3" s="1"/>
  <c r="P311" i="13"/>
  <c r="S311" i="13" s="1"/>
  <c r="N316" i="1"/>
  <c r="K310" i="7"/>
  <c r="M310" i="7"/>
  <c r="V311" i="7"/>
  <c r="R311" i="7"/>
  <c r="X311" i="7"/>
  <c r="W311" i="7"/>
  <c r="Q311" i="7"/>
  <c r="S311" i="7"/>
  <c r="O313" i="7"/>
  <c r="P312" i="7"/>
  <c r="Y316" i="1" l="1"/>
  <c r="W317" i="1"/>
  <c r="B313" i="3"/>
  <c r="AF313" i="3" s="1"/>
  <c r="C312" i="3"/>
  <c r="T316" i="1"/>
  <c r="V315" i="1"/>
  <c r="Q311" i="13"/>
  <c r="Q311" i="3"/>
  <c r="P312" i="3"/>
  <c r="S312" i="3" s="1"/>
  <c r="N317" i="1"/>
  <c r="P312" i="13"/>
  <c r="S312" i="13" s="1"/>
  <c r="B312" i="13"/>
  <c r="AF312" i="13" s="1"/>
  <c r="C311" i="13"/>
  <c r="O312" i="3"/>
  <c r="O312" i="13"/>
  <c r="O316" i="1"/>
  <c r="M317" i="1"/>
  <c r="S318" i="1"/>
  <c r="Q319" i="1"/>
  <c r="R311" i="13"/>
  <c r="T311" i="13"/>
  <c r="Z311" i="7"/>
  <c r="H312" i="7"/>
  <c r="R311" i="3"/>
  <c r="T311" i="3"/>
  <c r="Q312" i="7"/>
  <c r="W312" i="7"/>
  <c r="V312" i="7"/>
  <c r="X312" i="7"/>
  <c r="R312" i="7"/>
  <c r="S312" i="7"/>
  <c r="K312" i="7"/>
  <c r="K311" i="7"/>
  <c r="M311" i="7"/>
  <c r="P313" i="7"/>
  <c r="O314" i="7"/>
  <c r="L311" i="7"/>
  <c r="L312" i="7"/>
  <c r="R312" i="3" l="1"/>
  <c r="T312" i="3"/>
  <c r="B314" i="3"/>
  <c r="AF314" i="3" s="1"/>
  <c r="C313" i="3"/>
  <c r="O313" i="3"/>
  <c r="O313" i="13"/>
  <c r="M318" i="1"/>
  <c r="O317" i="1"/>
  <c r="P313" i="3"/>
  <c r="S313" i="3" s="1"/>
  <c r="P313" i="13"/>
  <c r="S313" i="13" s="1"/>
  <c r="N318" i="1"/>
  <c r="Q312" i="13"/>
  <c r="Q312" i="3"/>
  <c r="B313" i="13"/>
  <c r="AF313" i="13" s="1"/>
  <c r="C312" i="13"/>
  <c r="T317" i="1"/>
  <c r="V316" i="1"/>
  <c r="W318" i="1"/>
  <c r="Y317" i="1"/>
  <c r="H313" i="7"/>
  <c r="Z312" i="7"/>
  <c r="Q320" i="1"/>
  <c r="S319" i="1"/>
  <c r="R312" i="13"/>
  <c r="T312" i="13"/>
  <c r="Q313" i="7"/>
  <c r="W313" i="7"/>
  <c r="S313" i="7"/>
  <c r="R313" i="7"/>
  <c r="X313" i="7"/>
  <c r="M313" i="7" s="1"/>
  <c r="V313" i="7"/>
  <c r="M312" i="7"/>
  <c r="O315" i="7"/>
  <c r="P314" i="7"/>
  <c r="K313" i="7"/>
  <c r="Q321" i="1" l="1"/>
  <c r="S320" i="1"/>
  <c r="W319" i="1"/>
  <c r="Y318" i="1"/>
  <c r="B314" i="13"/>
  <c r="AF314" i="13" s="1"/>
  <c r="C313" i="13"/>
  <c r="P314" i="3"/>
  <c r="S314" i="3" s="1"/>
  <c r="P314" i="13"/>
  <c r="S314" i="13" s="1"/>
  <c r="N319" i="1"/>
  <c r="O314" i="3"/>
  <c r="O314" i="13"/>
  <c r="O318" i="1"/>
  <c r="M319" i="1"/>
  <c r="B315" i="3"/>
  <c r="AF315" i="3" s="1"/>
  <c r="C314" i="3"/>
  <c r="Z313" i="7"/>
  <c r="H314" i="7"/>
  <c r="T318" i="1"/>
  <c r="V317" i="1"/>
  <c r="R313" i="3"/>
  <c r="T313" i="3"/>
  <c r="R313" i="13"/>
  <c r="T313" i="13"/>
  <c r="Q313" i="3"/>
  <c r="Q313" i="13"/>
  <c r="V314" i="7"/>
  <c r="S314" i="7"/>
  <c r="W314" i="7"/>
  <c r="Q314" i="7"/>
  <c r="R314" i="7"/>
  <c r="X314" i="7"/>
  <c r="M314" i="7" s="1"/>
  <c r="L314" i="7"/>
  <c r="L313" i="7"/>
  <c r="K314" i="7"/>
  <c r="P315" i="7"/>
  <c r="O316" i="7"/>
  <c r="V318" i="1" l="1"/>
  <c r="T319" i="1"/>
  <c r="B316" i="3"/>
  <c r="AF316" i="3" s="1"/>
  <c r="C315" i="3"/>
  <c r="R314" i="13"/>
  <c r="T314" i="13"/>
  <c r="H315" i="7"/>
  <c r="Z314" i="7"/>
  <c r="R314" i="3"/>
  <c r="T314" i="3"/>
  <c r="W320" i="1"/>
  <c r="Y319" i="1"/>
  <c r="O315" i="3"/>
  <c r="O315" i="13"/>
  <c r="M320" i="1"/>
  <c r="O319" i="1"/>
  <c r="P315" i="3"/>
  <c r="S315" i="3" s="1"/>
  <c r="P315" i="13"/>
  <c r="S315" i="13" s="1"/>
  <c r="N320" i="1"/>
  <c r="B315" i="13"/>
  <c r="AF315" i="13" s="1"/>
  <c r="C314" i="13"/>
  <c r="Q314" i="13"/>
  <c r="Q314" i="3"/>
  <c r="Q322" i="1"/>
  <c r="S321" i="1"/>
  <c r="V315" i="7"/>
  <c r="R315" i="7"/>
  <c r="X315" i="7"/>
  <c r="W315" i="7"/>
  <c r="Q315" i="7"/>
  <c r="S315" i="7"/>
  <c r="P316" i="7"/>
  <c r="O317" i="7"/>
  <c r="S322" i="1" l="1"/>
  <c r="Q323" i="1"/>
  <c r="P316" i="3"/>
  <c r="S316" i="3" s="1"/>
  <c r="N321" i="1"/>
  <c r="P316" i="13"/>
  <c r="S316" i="13" s="1"/>
  <c r="O316" i="3"/>
  <c r="O316" i="13"/>
  <c r="O320" i="1"/>
  <c r="M321" i="1"/>
  <c r="Y320" i="1"/>
  <c r="W321" i="1"/>
  <c r="Z315" i="7"/>
  <c r="H316" i="7"/>
  <c r="B317" i="3"/>
  <c r="AF317" i="3" s="1"/>
  <c r="C316" i="3"/>
  <c r="R315" i="13"/>
  <c r="T315" i="13"/>
  <c r="B316" i="13"/>
  <c r="AF316" i="13" s="1"/>
  <c r="C315" i="13"/>
  <c r="R315" i="3"/>
  <c r="T315" i="3"/>
  <c r="T320" i="1"/>
  <c r="V319" i="1"/>
  <c r="Q315" i="13"/>
  <c r="Q315" i="3"/>
  <c r="O318" i="7"/>
  <c r="P317" i="7"/>
  <c r="S316" i="7"/>
  <c r="W316" i="7"/>
  <c r="R316" i="7"/>
  <c r="V316" i="7"/>
  <c r="K316" i="7" s="1"/>
  <c r="Q316" i="7"/>
  <c r="X316" i="7"/>
  <c r="M316" i="7" s="1"/>
  <c r="M315" i="7"/>
  <c r="K315" i="7"/>
  <c r="L315" i="7"/>
  <c r="L316" i="7"/>
  <c r="T321" i="1" l="1"/>
  <c r="V320" i="1"/>
  <c r="B317" i="13"/>
  <c r="AF317" i="13" s="1"/>
  <c r="C316" i="13"/>
  <c r="Q316" i="13"/>
  <c r="Q316" i="3"/>
  <c r="P317" i="3"/>
  <c r="S317" i="3" s="1"/>
  <c r="P317" i="13"/>
  <c r="S317" i="13" s="1"/>
  <c r="N322" i="1"/>
  <c r="B318" i="3"/>
  <c r="AF318" i="3" s="1"/>
  <c r="C317" i="3"/>
  <c r="W322" i="1"/>
  <c r="Y321" i="1"/>
  <c r="R316" i="13"/>
  <c r="T316" i="13"/>
  <c r="R316" i="3"/>
  <c r="T316" i="3"/>
  <c r="S323" i="1"/>
  <c r="Q324" i="1"/>
  <c r="H317" i="7"/>
  <c r="Z316" i="7"/>
  <c r="O317" i="3"/>
  <c r="O317" i="13"/>
  <c r="M322" i="1"/>
  <c r="O321" i="1"/>
  <c r="V317" i="7"/>
  <c r="R317" i="7"/>
  <c r="X317" i="7"/>
  <c r="S317" i="7"/>
  <c r="Q317" i="7"/>
  <c r="W317" i="7"/>
  <c r="P318" i="7"/>
  <c r="O319" i="7"/>
  <c r="R317" i="3" l="1"/>
  <c r="T317" i="3"/>
  <c r="B319" i="3"/>
  <c r="AF319" i="3" s="1"/>
  <c r="C318" i="3"/>
  <c r="B318" i="13"/>
  <c r="AF318" i="13" s="1"/>
  <c r="C317" i="13"/>
  <c r="Q317" i="3"/>
  <c r="Q317" i="13"/>
  <c r="O318" i="3"/>
  <c r="O318" i="13"/>
  <c r="O322" i="1"/>
  <c r="M323" i="1"/>
  <c r="Z317" i="7"/>
  <c r="H318" i="7"/>
  <c r="W323" i="1"/>
  <c r="Y322" i="1"/>
  <c r="P318" i="3"/>
  <c r="S318" i="3" s="1"/>
  <c r="P318" i="13"/>
  <c r="S318" i="13" s="1"/>
  <c r="N323" i="1"/>
  <c r="R317" i="13"/>
  <c r="T317" i="13"/>
  <c r="Q325" i="1"/>
  <c r="S324" i="1"/>
  <c r="T322" i="1"/>
  <c r="V321" i="1"/>
  <c r="L317" i="7"/>
  <c r="P319" i="7"/>
  <c r="O320" i="7"/>
  <c r="K317" i="7"/>
  <c r="V318" i="7"/>
  <c r="K318" i="7" s="1"/>
  <c r="S318" i="7"/>
  <c r="W318" i="7"/>
  <c r="Q318" i="7"/>
  <c r="R318" i="7"/>
  <c r="X318" i="7"/>
  <c r="M318" i="7" s="1"/>
  <c r="M317" i="7"/>
  <c r="R318" i="13" l="1"/>
  <c r="T318" i="13"/>
  <c r="R318" i="3"/>
  <c r="T318" i="3"/>
  <c r="B319" i="13"/>
  <c r="AF319" i="13" s="1"/>
  <c r="C318" i="13"/>
  <c r="Q326" i="1"/>
  <c r="S325" i="1"/>
  <c r="H319" i="7"/>
  <c r="Z318" i="7"/>
  <c r="B320" i="3"/>
  <c r="AF320" i="3" s="1"/>
  <c r="C319" i="3"/>
  <c r="V322" i="1"/>
  <c r="T323" i="1"/>
  <c r="O319" i="3"/>
  <c r="O319" i="13"/>
  <c r="M324" i="1"/>
  <c r="O323" i="1"/>
  <c r="P319" i="3"/>
  <c r="S319" i="3" s="1"/>
  <c r="P319" i="13"/>
  <c r="S319" i="13" s="1"/>
  <c r="N324" i="1"/>
  <c r="Y323" i="1"/>
  <c r="W324" i="1"/>
  <c r="Q318" i="13"/>
  <c r="Q318" i="3"/>
  <c r="P320" i="7"/>
  <c r="O321" i="7"/>
  <c r="V319" i="7"/>
  <c r="R319" i="7"/>
  <c r="X319" i="7"/>
  <c r="W319" i="7"/>
  <c r="L319" i="7" s="1"/>
  <c r="Q319" i="7"/>
  <c r="S319" i="7"/>
  <c r="L318" i="7"/>
  <c r="M319" i="7"/>
  <c r="Q319" i="13" l="1"/>
  <c r="Q319" i="3"/>
  <c r="T324" i="1"/>
  <c r="V323" i="1"/>
  <c r="S326" i="1"/>
  <c r="Q327" i="1"/>
  <c r="P320" i="3"/>
  <c r="S320" i="3" s="1"/>
  <c r="N325" i="1"/>
  <c r="P320" i="13"/>
  <c r="S320" i="13" s="1"/>
  <c r="O320" i="3"/>
  <c r="O320" i="13"/>
  <c r="O324" i="1"/>
  <c r="M325" i="1"/>
  <c r="R319" i="13"/>
  <c r="T319" i="13"/>
  <c r="Z319" i="7"/>
  <c r="H320" i="7"/>
  <c r="B320" i="13"/>
  <c r="AF320" i="13" s="1"/>
  <c r="C319" i="13"/>
  <c r="Y324" i="1"/>
  <c r="W325" i="1"/>
  <c r="R319" i="3"/>
  <c r="T319" i="3"/>
  <c r="B321" i="3"/>
  <c r="AF321" i="3" s="1"/>
  <c r="C320" i="3"/>
  <c r="P321" i="7"/>
  <c r="O322" i="7"/>
  <c r="V320" i="7"/>
  <c r="S320" i="7"/>
  <c r="W320" i="7"/>
  <c r="Q320" i="7"/>
  <c r="X320" i="7"/>
  <c r="M320" i="7" s="1"/>
  <c r="R320" i="7"/>
  <c r="K319" i="7"/>
  <c r="Q320" i="13" l="1"/>
  <c r="Q320" i="3"/>
  <c r="P321" i="3"/>
  <c r="S321" i="3" s="1"/>
  <c r="P321" i="13"/>
  <c r="S321" i="13" s="1"/>
  <c r="N326" i="1"/>
  <c r="B321" i="13"/>
  <c r="AF321" i="13" s="1"/>
  <c r="C320" i="13"/>
  <c r="R320" i="13"/>
  <c r="T320" i="13"/>
  <c r="T325" i="1"/>
  <c r="V324" i="1"/>
  <c r="B322" i="3"/>
  <c r="AF322" i="3" s="1"/>
  <c r="C321" i="3"/>
  <c r="W326" i="1"/>
  <c r="Y325" i="1"/>
  <c r="R320" i="3"/>
  <c r="T320" i="3"/>
  <c r="S327" i="1"/>
  <c r="Q328" i="1"/>
  <c r="H321" i="7"/>
  <c r="Z320" i="7"/>
  <c r="O321" i="3"/>
  <c r="O321" i="13"/>
  <c r="M326" i="1"/>
  <c r="O325" i="1"/>
  <c r="O323" i="7"/>
  <c r="P322" i="7"/>
  <c r="Q321" i="7"/>
  <c r="W321" i="7"/>
  <c r="S321" i="7"/>
  <c r="R321" i="7"/>
  <c r="AB296" i="7" s="1"/>
  <c r="X321" i="7"/>
  <c r="M321" i="7" s="1"/>
  <c r="V321" i="7"/>
  <c r="AB253" i="7"/>
  <c r="AC256" i="7"/>
  <c r="AG256" i="7" s="1"/>
  <c r="AC257" i="7"/>
  <c r="AG257" i="7" s="1"/>
  <c r="AB260" i="7"/>
  <c r="AB262" i="7"/>
  <c r="AB265" i="7"/>
  <c r="AB266" i="7"/>
  <c r="AC267" i="7"/>
  <c r="AG267" i="7" s="1"/>
  <c r="AC271" i="7"/>
  <c r="AG271" i="7" s="1"/>
  <c r="AB272" i="7"/>
  <c r="AB274" i="7"/>
  <c r="AC253" i="7"/>
  <c r="AG253" i="7" s="1"/>
  <c r="AC259" i="7"/>
  <c r="AG259" i="7" s="1"/>
  <c r="AC268" i="7"/>
  <c r="AG268" i="7" s="1"/>
  <c r="AC272" i="7"/>
  <c r="AG272" i="7" s="1"/>
  <c r="AC274" i="7"/>
  <c r="AG274" i="7" s="1"/>
  <c r="AC254" i="7"/>
  <c r="AG254" i="7" s="1"/>
  <c r="AB255" i="7"/>
  <c r="AC258" i="7"/>
  <c r="AG258" i="7" s="1"/>
  <c r="AC260" i="7"/>
  <c r="AG260" i="7" s="1"/>
  <c r="AC262" i="7"/>
  <c r="AG262" i="7" s="1"/>
  <c r="AB264" i="7"/>
  <c r="AB267" i="7"/>
  <c r="AB268" i="7"/>
  <c r="AC270" i="7"/>
  <c r="AG270" i="7" s="1"/>
  <c r="AC273" i="7"/>
  <c r="AG273" i="7" s="1"/>
  <c r="AC275" i="7"/>
  <c r="AG275" i="7" s="1"/>
  <c r="AB256" i="7"/>
  <c r="AB261" i="7"/>
  <c r="AC265" i="7"/>
  <c r="AG265" i="7" s="1"/>
  <c r="AB271" i="7"/>
  <c r="AC252" i="7"/>
  <c r="AG252" i="7" s="1"/>
  <c r="AB254" i="7"/>
  <c r="AC255" i="7"/>
  <c r="AG255" i="7" s="1"/>
  <c r="AB258" i="7"/>
  <c r="AB259" i="7"/>
  <c r="AC261" i="7"/>
  <c r="AG261" i="7" s="1"/>
  <c r="AB263" i="7"/>
  <c r="AC264" i="7"/>
  <c r="AG264" i="7" s="1"/>
  <c r="AC266" i="7"/>
  <c r="AG266" i="7" s="1"/>
  <c r="AC269" i="7"/>
  <c r="AG269" i="7" s="1"/>
  <c r="AB270" i="7"/>
  <c r="AB273" i="7"/>
  <c r="AB252" i="7"/>
  <c r="AB257" i="7"/>
  <c r="AC263" i="7"/>
  <c r="AG263" i="7" s="1"/>
  <c r="AB269" i="7"/>
  <c r="AB275" i="7"/>
  <c r="AB276" i="7"/>
  <c r="AB277" i="7"/>
  <c r="AC276" i="7"/>
  <c r="AG276" i="7" s="1"/>
  <c r="AC277" i="7"/>
  <c r="AG277" i="7" s="1"/>
  <c r="AB278" i="7"/>
  <c r="AC278" i="7"/>
  <c r="AG278" i="7" s="1"/>
  <c r="AB279" i="7"/>
  <c r="AC279" i="7"/>
  <c r="AG279" i="7" s="1"/>
  <c r="AC280" i="7"/>
  <c r="AG280" i="7" s="1"/>
  <c r="AB281" i="7"/>
  <c r="AB280" i="7"/>
  <c r="AC281" i="7"/>
  <c r="AG281" i="7" s="1"/>
  <c r="AC282" i="7"/>
  <c r="AG282" i="7" s="1"/>
  <c r="AB282" i="7"/>
  <c r="AB284" i="7"/>
  <c r="AB283" i="7"/>
  <c r="AC283" i="7"/>
  <c r="AG283" i="7" s="1"/>
  <c r="AC285" i="7"/>
  <c r="AG285" i="7" s="1"/>
  <c r="AC284" i="7"/>
  <c r="AG284" i="7" s="1"/>
  <c r="AB285" i="7"/>
  <c r="AC287" i="7"/>
  <c r="AG287" i="7" s="1"/>
  <c r="AB286" i="7"/>
  <c r="AC286" i="7"/>
  <c r="AG286" i="7" s="1"/>
  <c r="AB288" i="7"/>
  <c r="AB287" i="7"/>
  <c r="AC288" i="7"/>
  <c r="AG288" i="7" s="1"/>
  <c r="AB289" i="7"/>
  <c r="AC289" i="7"/>
  <c r="AG289" i="7" s="1"/>
  <c r="AC291" i="7"/>
  <c r="AG291" i="7" s="1"/>
  <c r="AC290" i="7"/>
  <c r="AG290" i="7" s="1"/>
  <c r="AB290" i="7"/>
  <c r="AB291" i="7"/>
  <c r="AB292" i="7"/>
  <c r="AC292" i="7"/>
  <c r="AG292" i="7" s="1"/>
  <c r="AB293" i="7"/>
  <c r="AC293" i="7"/>
  <c r="AG293" i="7" s="1"/>
  <c r="AB294" i="7"/>
  <c r="AC294" i="7"/>
  <c r="AG294" i="7" s="1"/>
  <c r="AB295" i="7"/>
  <c r="AC295" i="7"/>
  <c r="AG295" i="7" s="1"/>
  <c r="L320" i="7"/>
  <c r="K320" i="7"/>
  <c r="AC296" i="7" l="1"/>
  <c r="AG296" i="7" s="1"/>
  <c r="G295" i="3" s="1"/>
  <c r="AD295" i="3" s="1"/>
  <c r="R321" i="3"/>
  <c r="T321" i="3"/>
  <c r="W327" i="1"/>
  <c r="Y326" i="1"/>
  <c r="Q321" i="3"/>
  <c r="Q321" i="13"/>
  <c r="T326" i="1"/>
  <c r="V325" i="1"/>
  <c r="B322" i="13"/>
  <c r="AF322" i="13" s="1"/>
  <c r="C321" i="13"/>
  <c r="O322" i="3"/>
  <c r="O322" i="13"/>
  <c r="O326" i="1"/>
  <c r="M327" i="1"/>
  <c r="Z321" i="7"/>
  <c r="H322" i="7"/>
  <c r="B323" i="3"/>
  <c r="AF323" i="3" s="1"/>
  <c r="C322" i="3"/>
  <c r="R321" i="13"/>
  <c r="T321" i="13"/>
  <c r="Q329" i="1"/>
  <c r="S328" i="1"/>
  <c r="P322" i="3"/>
  <c r="S322" i="3" s="1"/>
  <c r="P322" i="13"/>
  <c r="S322" i="13" s="1"/>
  <c r="N327" i="1"/>
  <c r="AF296" i="7"/>
  <c r="AD296" i="7"/>
  <c r="AH296" i="7" s="1"/>
  <c r="G291" i="3"/>
  <c r="AD291" i="3" s="1"/>
  <c r="G291" i="13"/>
  <c r="AD291" i="13" s="1"/>
  <c r="AF286" i="7"/>
  <c r="AD286" i="7"/>
  <c r="AH286" i="7" s="1"/>
  <c r="G264" i="3"/>
  <c r="AD264" i="3" s="1"/>
  <c r="G264" i="13"/>
  <c r="AD264" i="13" s="1"/>
  <c r="AF264" i="7"/>
  <c r="AD264" i="7"/>
  <c r="AH264" i="7" s="1"/>
  <c r="G267" i="3"/>
  <c r="AD267" i="3" s="1"/>
  <c r="G267" i="13"/>
  <c r="AD267" i="13" s="1"/>
  <c r="AF265" i="7"/>
  <c r="AD265" i="7"/>
  <c r="AH265" i="7" s="1"/>
  <c r="G255" i="13"/>
  <c r="AD255" i="13" s="1"/>
  <c r="G255" i="3"/>
  <c r="AD255" i="3" s="1"/>
  <c r="AD294" i="7"/>
  <c r="AH294" i="7" s="1"/>
  <c r="AF294" i="7"/>
  <c r="AD292" i="7"/>
  <c r="AH292" i="7" s="1"/>
  <c r="AF292" i="7"/>
  <c r="G290" i="3"/>
  <c r="AD290" i="3" s="1"/>
  <c r="G290" i="13"/>
  <c r="AD290" i="13" s="1"/>
  <c r="AD287" i="7"/>
  <c r="AH287" i="7" s="1"/>
  <c r="AF287" i="7"/>
  <c r="G286" i="3"/>
  <c r="AD286" i="3" s="1"/>
  <c r="G286" i="13"/>
  <c r="AD286" i="13" s="1"/>
  <c r="G282" i="3"/>
  <c r="AD282" i="3" s="1"/>
  <c r="G282" i="13"/>
  <c r="AD282" i="13" s="1"/>
  <c r="G281" i="3"/>
  <c r="AD281" i="3" s="1"/>
  <c r="G281" i="13"/>
  <c r="AD281" i="13" s="1"/>
  <c r="G279" i="3"/>
  <c r="AD279" i="3" s="1"/>
  <c r="G279" i="13"/>
  <c r="AD279" i="13" s="1"/>
  <c r="AF278" i="7"/>
  <c r="AD278" i="7"/>
  <c r="AH278" i="7" s="1"/>
  <c r="AD276" i="7"/>
  <c r="AH276" i="7" s="1"/>
  <c r="AF276" i="7"/>
  <c r="AD257" i="7"/>
  <c r="AH257" i="7" s="1"/>
  <c r="AF257" i="7"/>
  <c r="G268" i="3"/>
  <c r="AD268" i="3" s="1"/>
  <c r="G268" i="13"/>
  <c r="AD268" i="13" s="1"/>
  <c r="G260" i="3"/>
  <c r="AD260" i="3" s="1"/>
  <c r="G260" i="13"/>
  <c r="AD260" i="13" s="1"/>
  <c r="AD254" i="7"/>
  <c r="AH254" i="7" s="1"/>
  <c r="AF254" i="7"/>
  <c r="AD261" i="7"/>
  <c r="AH261" i="7" s="1"/>
  <c r="AF261" i="7"/>
  <c r="G269" i="3"/>
  <c r="AD269" i="3" s="1"/>
  <c r="G269" i="13"/>
  <c r="AD269" i="13" s="1"/>
  <c r="G261" i="3"/>
  <c r="AD261" i="3" s="1"/>
  <c r="G261" i="13"/>
  <c r="AD261" i="13" s="1"/>
  <c r="G253" i="13"/>
  <c r="AD253" i="13" s="1"/>
  <c r="G253" i="3"/>
  <c r="AD253" i="3" s="1"/>
  <c r="G258" i="3"/>
  <c r="AD258" i="3" s="1"/>
  <c r="G258" i="13"/>
  <c r="AD258" i="13" s="1"/>
  <c r="G270" i="3"/>
  <c r="AD270" i="3" s="1"/>
  <c r="G270" i="13"/>
  <c r="AD270" i="13" s="1"/>
  <c r="AD262" i="7"/>
  <c r="AH262" i="7" s="1"/>
  <c r="AF262" i="7"/>
  <c r="AF253" i="7"/>
  <c r="AD253" i="7"/>
  <c r="AH253" i="7" s="1"/>
  <c r="X322" i="7"/>
  <c r="Q322" i="7"/>
  <c r="V322" i="7"/>
  <c r="K322" i="7" s="1"/>
  <c r="W322" i="7"/>
  <c r="L322" i="7" s="1"/>
  <c r="S322" i="7"/>
  <c r="R322" i="7"/>
  <c r="G293" i="3"/>
  <c r="AD293" i="3" s="1"/>
  <c r="G293" i="13"/>
  <c r="AD293" i="13" s="1"/>
  <c r="G287" i="3"/>
  <c r="AD287" i="3" s="1"/>
  <c r="G287" i="13"/>
  <c r="AD287" i="13" s="1"/>
  <c r="AF282" i="7"/>
  <c r="AD282" i="7"/>
  <c r="AH282" i="7" s="1"/>
  <c r="AF281" i="7"/>
  <c r="AD281" i="7"/>
  <c r="AH281" i="7" s="1"/>
  <c r="AF277" i="7"/>
  <c r="AD277" i="7"/>
  <c r="AH277" i="7" s="1"/>
  <c r="G262" i="3"/>
  <c r="AD262" i="3" s="1"/>
  <c r="G262" i="13"/>
  <c r="AD262" i="13" s="1"/>
  <c r="AD270" i="7"/>
  <c r="AH270" i="7" s="1"/>
  <c r="AF270" i="7"/>
  <c r="AF263" i="7"/>
  <c r="AD263" i="7"/>
  <c r="AH263" i="7" s="1"/>
  <c r="G254" i="3"/>
  <c r="AD254" i="3" s="1"/>
  <c r="G254" i="13"/>
  <c r="AD254" i="13" s="1"/>
  <c r="G272" i="3"/>
  <c r="AD272" i="3" s="1"/>
  <c r="G272" i="13"/>
  <c r="AD272" i="13" s="1"/>
  <c r="AF255" i="7"/>
  <c r="AD255" i="7"/>
  <c r="AH255" i="7" s="1"/>
  <c r="AF272" i="7"/>
  <c r="AD272" i="7"/>
  <c r="AH272" i="7" s="1"/>
  <c r="G294" i="3"/>
  <c r="AD294" i="3" s="1"/>
  <c r="G294" i="13"/>
  <c r="AD294" i="13" s="1"/>
  <c r="G292" i="3"/>
  <c r="AD292" i="3" s="1"/>
  <c r="G292" i="13"/>
  <c r="AD292" i="13" s="1"/>
  <c r="AD291" i="7"/>
  <c r="AH291" i="7" s="1"/>
  <c r="AF291" i="7"/>
  <c r="G288" i="3"/>
  <c r="AD288" i="3" s="1"/>
  <c r="G288" i="13"/>
  <c r="AD288" i="13" s="1"/>
  <c r="AD288" i="7"/>
  <c r="AH288" i="7" s="1"/>
  <c r="AF288" i="7"/>
  <c r="AF285" i="7"/>
  <c r="AD285" i="7"/>
  <c r="AH285" i="7" s="1"/>
  <c r="AD283" i="7"/>
  <c r="AH283" i="7" s="1"/>
  <c r="AF283" i="7"/>
  <c r="G280" i="3"/>
  <c r="AD280" i="3" s="1"/>
  <c r="G280" i="13"/>
  <c r="AD280" i="13" s="1"/>
  <c r="G278" i="3"/>
  <c r="AD278" i="3" s="1"/>
  <c r="G278" i="13"/>
  <c r="AD278" i="13" s="1"/>
  <c r="G276" i="3"/>
  <c r="AD276" i="3" s="1"/>
  <c r="G276" i="13"/>
  <c r="AD276" i="13" s="1"/>
  <c r="AD275" i="7"/>
  <c r="AH275" i="7" s="1"/>
  <c r="AF275" i="7"/>
  <c r="AF252" i="7"/>
  <c r="AD252" i="7"/>
  <c r="AH252" i="7" s="1"/>
  <c r="G265" i="3"/>
  <c r="AD265" i="3" s="1"/>
  <c r="G265" i="13"/>
  <c r="AD265" i="13" s="1"/>
  <c r="AF259" i="7"/>
  <c r="AD259" i="7"/>
  <c r="AH259" i="7" s="1"/>
  <c r="G251" i="13"/>
  <c r="AD251" i="13" s="1"/>
  <c r="G251" i="3"/>
  <c r="AD251" i="3" s="1"/>
  <c r="AF256" i="7"/>
  <c r="AD256" i="7"/>
  <c r="AH256" i="7" s="1"/>
  <c r="AF268" i="7"/>
  <c r="AD268" i="7"/>
  <c r="AH268" i="7" s="1"/>
  <c r="G259" i="3"/>
  <c r="AD259" i="3" s="1"/>
  <c r="G259" i="13"/>
  <c r="AD259" i="13" s="1"/>
  <c r="G273" i="3"/>
  <c r="AD273" i="3" s="1"/>
  <c r="G273" i="13"/>
  <c r="AD273" i="13" s="1"/>
  <c r="G252" i="3"/>
  <c r="AD252" i="3" s="1"/>
  <c r="G252" i="13"/>
  <c r="AD252" i="13" s="1"/>
  <c r="G266" i="3"/>
  <c r="AD266" i="3" s="1"/>
  <c r="G266" i="13"/>
  <c r="AD266" i="13" s="1"/>
  <c r="AF260" i="7"/>
  <c r="AD260" i="7"/>
  <c r="AH260" i="7" s="1"/>
  <c r="L321" i="7"/>
  <c r="O324" i="7"/>
  <c r="P323" i="7"/>
  <c r="G289" i="3"/>
  <c r="AD289" i="3" s="1"/>
  <c r="G289" i="13"/>
  <c r="AD289" i="13" s="1"/>
  <c r="G284" i="3"/>
  <c r="AD284" i="3" s="1"/>
  <c r="G284" i="13"/>
  <c r="AD284" i="13" s="1"/>
  <c r="G277" i="3"/>
  <c r="AD277" i="3" s="1"/>
  <c r="G277" i="13"/>
  <c r="AD277" i="13" s="1"/>
  <c r="AF295" i="7"/>
  <c r="AD295" i="7"/>
  <c r="AH295" i="7" s="1"/>
  <c r="AD293" i="7"/>
  <c r="AH293" i="7" s="1"/>
  <c r="AF293" i="7"/>
  <c r="AF290" i="7"/>
  <c r="AD290" i="7"/>
  <c r="AH290" i="7" s="1"/>
  <c r="AF289" i="7"/>
  <c r="AD289" i="7"/>
  <c r="AH289" i="7" s="1"/>
  <c r="G285" i="3"/>
  <c r="AD285" i="3" s="1"/>
  <c r="G285" i="13"/>
  <c r="AD285" i="13" s="1"/>
  <c r="G283" i="3"/>
  <c r="AD283" i="3" s="1"/>
  <c r="G283" i="13"/>
  <c r="AD283" i="13" s="1"/>
  <c r="AD284" i="7"/>
  <c r="AH284" i="7" s="1"/>
  <c r="AF284" i="7"/>
  <c r="AD280" i="7"/>
  <c r="AH280" i="7" s="1"/>
  <c r="AF280" i="7"/>
  <c r="AD279" i="7"/>
  <c r="AH279" i="7" s="1"/>
  <c r="AF279" i="7"/>
  <c r="G275" i="3"/>
  <c r="AD275" i="3" s="1"/>
  <c r="G275" i="13"/>
  <c r="AD275" i="13" s="1"/>
  <c r="AF269" i="7"/>
  <c r="AD269" i="7"/>
  <c r="AH269" i="7" s="1"/>
  <c r="AD273" i="7"/>
  <c r="AH273" i="7" s="1"/>
  <c r="AF273" i="7"/>
  <c r="G263" i="3"/>
  <c r="AD263" i="3" s="1"/>
  <c r="G263" i="13"/>
  <c r="AD263" i="13" s="1"/>
  <c r="AD258" i="7"/>
  <c r="AH258" i="7" s="1"/>
  <c r="AF258" i="7"/>
  <c r="AF271" i="7"/>
  <c r="AD271" i="7"/>
  <c r="AH271" i="7" s="1"/>
  <c r="G274" i="3"/>
  <c r="AD274" i="3" s="1"/>
  <c r="G274" i="13"/>
  <c r="AD274" i="13" s="1"/>
  <c r="AD267" i="7"/>
  <c r="AH267" i="7" s="1"/>
  <c r="AF267" i="7"/>
  <c r="G257" i="3"/>
  <c r="AD257" i="3" s="1"/>
  <c r="G257" i="13"/>
  <c r="AD257" i="13" s="1"/>
  <c r="G271" i="3"/>
  <c r="AD271" i="3" s="1"/>
  <c r="G271" i="13"/>
  <c r="AD271" i="13" s="1"/>
  <c r="AF274" i="7"/>
  <c r="AD274" i="7"/>
  <c r="AH274" i="7" s="1"/>
  <c r="AD266" i="7"/>
  <c r="AH266" i="7" s="1"/>
  <c r="AF266" i="7"/>
  <c r="G256" i="3"/>
  <c r="AD256" i="3" s="1"/>
  <c r="G256" i="13"/>
  <c r="AD256" i="13" s="1"/>
  <c r="K321" i="7"/>
  <c r="G295" i="13" l="1"/>
  <c r="AD295" i="13" s="1"/>
  <c r="R322" i="3"/>
  <c r="T322" i="3"/>
  <c r="P323" i="3"/>
  <c r="S323" i="3" s="1"/>
  <c r="P323" i="13"/>
  <c r="S323" i="13" s="1"/>
  <c r="N328" i="1"/>
  <c r="S329" i="1"/>
  <c r="Q330" i="1"/>
  <c r="B324" i="3"/>
  <c r="AF324" i="3" s="1"/>
  <c r="C323" i="3"/>
  <c r="O323" i="3"/>
  <c r="O323" i="13"/>
  <c r="M328" i="1"/>
  <c r="O327" i="1"/>
  <c r="V326" i="1"/>
  <c r="T327" i="1"/>
  <c r="W328" i="1"/>
  <c r="Y327" i="1"/>
  <c r="Q322" i="13"/>
  <c r="Q322" i="3"/>
  <c r="B323" i="13"/>
  <c r="AF323" i="13" s="1"/>
  <c r="C322" i="13"/>
  <c r="H323" i="7"/>
  <c r="Z322" i="7"/>
  <c r="R322" i="13"/>
  <c r="T322" i="13"/>
  <c r="H273" i="3"/>
  <c r="H273" i="13"/>
  <c r="AL274" i="7"/>
  <c r="H257" i="3"/>
  <c r="AL258" i="7"/>
  <c r="H257" i="13"/>
  <c r="F267" i="3"/>
  <c r="AC267" i="3" s="1"/>
  <c r="F267" i="13"/>
  <c r="AC267" i="13" s="1"/>
  <c r="F251" i="3"/>
  <c r="AC251" i="3" s="1"/>
  <c r="F251" i="13"/>
  <c r="AC251" i="13" s="1"/>
  <c r="F282" i="3"/>
  <c r="AC282" i="3" s="1"/>
  <c r="F282" i="13"/>
  <c r="AC282" i="13" s="1"/>
  <c r="F287" i="3"/>
  <c r="AC287" i="3" s="1"/>
  <c r="F287" i="13"/>
  <c r="AC287" i="13" s="1"/>
  <c r="F254" i="3"/>
  <c r="AC254" i="3" s="1"/>
  <c r="F254" i="13"/>
  <c r="AC254" i="13" s="1"/>
  <c r="F262" i="3"/>
  <c r="AC262" i="3" s="1"/>
  <c r="F262" i="13"/>
  <c r="AC262" i="13" s="1"/>
  <c r="H280" i="3"/>
  <c r="AL281" i="7"/>
  <c r="H280" i="13"/>
  <c r="M322" i="7"/>
  <c r="F252" i="3"/>
  <c r="AC252" i="3" s="1"/>
  <c r="F252" i="13"/>
  <c r="AC252" i="13" s="1"/>
  <c r="F253" i="3"/>
  <c r="AC253" i="3" s="1"/>
  <c r="F253" i="13"/>
  <c r="AC253" i="13" s="1"/>
  <c r="F256" i="3"/>
  <c r="AC256" i="3" s="1"/>
  <c r="F256" i="13"/>
  <c r="AC256" i="13" s="1"/>
  <c r="H277" i="3"/>
  <c r="AL278" i="7"/>
  <c r="H277" i="13"/>
  <c r="AL292" i="7"/>
  <c r="H291" i="3"/>
  <c r="H291" i="13"/>
  <c r="F263" i="3"/>
  <c r="AC263" i="3" s="1"/>
  <c r="F263" i="13"/>
  <c r="AC263" i="13" s="1"/>
  <c r="H285" i="3"/>
  <c r="H285" i="13"/>
  <c r="AL286" i="7"/>
  <c r="H295" i="3"/>
  <c r="AL296" i="7"/>
  <c r="H295" i="13"/>
  <c r="F266" i="3"/>
  <c r="AC266" i="3" s="1"/>
  <c r="F266" i="13"/>
  <c r="AC266" i="13" s="1"/>
  <c r="F272" i="3"/>
  <c r="AC272" i="3" s="1"/>
  <c r="F272" i="13"/>
  <c r="AC272" i="13" s="1"/>
  <c r="H278" i="3"/>
  <c r="AL279" i="7"/>
  <c r="H278" i="13"/>
  <c r="H283" i="3"/>
  <c r="AL284" i="7"/>
  <c r="H283" i="13"/>
  <c r="F288" i="3"/>
  <c r="AC288" i="3" s="1"/>
  <c r="F288" i="13"/>
  <c r="AC288" i="13" s="1"/>
  <c r="AL293" i="7"/>
  <c r="H292" i="3"/>
  <c r="H292" i="13"/>
  <c r="R323" i="7"/>
  <c r="X323" i="7"/>
  <c r="S323" i="7"/>
  <c r="W323" i="7"/>
  <c r="V323" i="7"/>
  <c r="K323" i="7" s="1"/>
  <c r="Q323" i="7"/>
  <c r="F273" i="3"/>
  <c r="AC273" i="3" s="1"/>
  <c r="F273" i="13"/>
  <c r="AC273" i="13" s="1"/>
  <c r="H266" i="3"/>
  <c r="AL267" i="7"/>
  <c r="H266" i="13"/>
  <c r="H270" i="3"/>
  <c r="H270" i="13"/>
  <c r="AL271" i="7"/>
  <c r="H272" i="3"/>
  <c r="H272" i="13"/>
  <c r="AL273" i="7"/>
  <c r="F279" i="3"/>
  <c r="AC279" i="3" s="1"/>
  <c r="F279" i="13"/>
  <c r="AC279" i="13" s="1"/>
  <c r="H289" i="3"/>
  <c r="H289" i="13"/>
  <c r="AL290" i="7"/>
  <c r="H294" i="3"/>
  <c r="H294" i="13"/>
  <c r="AL295" i="7"/>
  <c r="P324" i="7"/>
  <c r="O325" i="7"/>
  <c r="H259" i="3"/>
  <c r="H259" i="13"/>
  <c r="AL260" i="7"/>
  <c r="H255" i="3"/>
  <c r="H255" i="13"/>
  <c r="AL256" i="7"/>
  <c r="F274" i="3"/>
  <c r="AC274" i="3" s="1"/>
  <c r="F274" i="13"/>
  <c r="AC274" i="13" s="1"/>
  <c r="H282" i="3"/>
  <c r="H282" i="13"/>
  <c r="AL283" i="7"/>
  <c r="H287" i="3"/>
  <c r="AL288" i="7"/>
  <c r="H287" i="13"/>
  <c r="F290" i="3"/>
  <c r="AC290" i="3" s="1"/>
  <c r="F290" i="13"/>
  <c r="AC290" i="13" s="1"/>
  <c r="H271" i="3"/>
  <c r="H271" i="13"/>
  <c r="AL272" i="7"/>
  <c r="F269" i="3"/>
  <c r="AC269" i="3" s="1"/>
  <c r="F269" i="13"/>
  <c r="AC269" i="13" s="1"/>
  <c r="F280" i="3"/>
  <c r="AC280" i="3" s="1"/>
  <c r="F280" i="13"/>
  <c r="AC280" i="13" s="1"/>
  <c r="F261" i="3"/>
  <c r="AC261" i="3" s="1"/>
  <c r="F261" i="13"/>
  <c r="AC261" i="13" s="1"/>
  <c r="H253" i="3"/>
  <c r="H253" i="13"/>
  <c r="AL254" i="7"/>
  <c r="H256" i="3"/>
  <c r="AL257" i="7"/>
  <c r="H256" i="13"/>
  <c r="F277" i="3"/>
  <c r="AC277" i="3" s="1"/>
  <c r="F277" i="13"/>
  <c r="AC277" i="13" s="1"/>
  <c r="F293" i="3"/>
  <c r="AC293" i="3" s="1"/>
  <c r="F293" i="13"/>
  <c r="AC293" i="13" s="1"/>
  <c r="F285" i="3"/>
  <c r="AC285" i="3" s="1"/>
  <c r="F285" i="13"/>
  <c r="AC285" i="13" s="1"/>
  <c r="F295" i="3"/>
  <c r="AC295" i="3" s="1"/>
  <c r="F295" i="13"/>
  <c r="AC295" i="13" s="1"/>
  <c r="F265" i="3"/>
  <c r="AC265" i="3" s="1"/>
  <c r="F265" i="13"/>
  <c r="AC265" i="13" s="1"/>
  <c r="F270" i="3"/>
  <c r="AC270" i="3" s="1"/>
  <c r="F270" i="13"/>
  <c r="AC270" i="13" s="1"/>
  <c r="H268" i="3"/>
  <c r="H268" i="13"/>
  <c r="AL269" i="7"/>
  <c r="AL280" i="7"/>
  <c r="H279" i="3"/>
  <c r="H279" i="13"/>
  <c r="F289" i="3"/>
  <c r="AC289" i="3" s="1"/>
  <c r="F289" i="13"/>
  <c r="AC289" i="13" s="1"/>
  <c r="F294" i="3"/>
  <c r="AC294" i="3" s="1"/>
  <c r="F294" i="13"/>
  <c r="AC294" i="13" s="1"/>
  <c r="F259" i="3"/>
  <c r="AC259" i="3" s="1"/>
  <c r="F259" i="13"/>
  <c r="AC259" i="13" s="1"/>
  <c r="F255" i="3"/>
  <c r="AC255" i="3" s="1"/>
  <c r="F255" i="13"/>
  <c r="AC255" i="13" s="1"/>
  <c r="H258" i="3"/>
  <c r="H258" i="13"/>
  <c r="AL259" i="7"/>
  <c r="H274" i="3"/>
  <c r="H274" i="13"/>
  <c r="AL275" i="7"/>
  <c r="H284" i="3"/>
  <c r="H284" i="13"/>
  <c r="AL285" i="7"/>
  <c r="H290" i="3"/>
  <c r="AL291" i="7"/>
  <c r="H290" i="13"/>
  <c r="F271" i="3"/>
  <c r="AC271" i="3" s="1"/>
  <c r="F271" i="13"/>
  <c r="AC271" i="13" s="1"/>
  <c r="H269" i="3"/>
  <c r="H269" i="13"/>
  <c r="AL270" i="7"/>
  <c r="H276" i="3"/>
  <c r="H276" i="13"/>
  <c r="AL277" i="7"/>
  <c r="H281" i="3"/>
  <c r="AL282" i="7"/>
  <c r="H281" i="13"/>
  <c r="H261" i="3"/>
  <c r="AL262" i="7"/>
  <c r="H261" i="13"/>
  <c r="F260" i="3"/>
  <c r="AC260" i="3" s="1"/>
  <c r="F260" i="13"/>
  <c r="AC260" i="13" s="1"/>
  <c r="F275" i="3"/>
  <c r="AC275" i="3" s="1"/>
  <c r="F275" i="13"/>
  <c r="AC275" i="13" s="1"/>
  <c r="F286" i="3"/>
  <c r="AC286" i="3" s="1"/>
  <c r="F286" i="13"/>
  <c r="AC286" i="13" s="1"/>
  <c r="H293" i="3"/>
  <c r="AL294" i="7"/>
  <c r="H293" i="13"/>
  <c r="H264" i="3"/>
  <c r="AL265" i="7"/>
  <c r="H264" i="13"/>
  <c r="H265" i="3"/>
  <c r="AL266" i="7"/>
  <c r="H265" i="13"/>
  <c r="F257" i="3"/>
  <c r="AC257" i="3" s="1"/>
  <c r="F257" i="13"/>
  <c r="AC257" i="13" s="1"/>
  <c r="F268" i="3"/>
  <c r="AC268" i="3" s="1"/>
  <c r="F268" i="13"/>
  <c r="AC268" i="13" s="1"/>
  <c r="F278" i="3"/>
  <c r="AC278" i="3" s="1"/>
  <c r="F278" i="13"/>
  <c r="AC278" i="13" s="1"/>
  <c r="F283" i="3"/>
  <c r="AC283" i="3" s="1"/>
  <c r="F283" i="13"/>
  <c r="AC283" i="13" s="1"/>
  <c r="H288" i="3"/>
  <c r="AL289" i="7"/>
  <c r="H288" i="13"/>
  <c r="F292" i="3"/>
  <c r="AC292" i="3" s="1"/>
  <c r="F292" i="13"/>
  <c r="AC292" i="13" s="1"/>
  <c r="H267" i="3"/>
  <c r="H267" i="13"/>
  <c r="AL268" i="7"/>
  <c r="F258" i="3"/>
  <c r="AC258" i="3" s="1"/>
  <c r="F258" i="13"/>
  <c r="AC258" i="13" s="1"/>
  <c r="H251" i="3"/>
  <c r="H251" i="13"/>
  <c r="AL252" i="7"/>
  <c r="F284" i="3"/>
  <c r="AC284" i="3" s="1"/>
  <c r="F284" i="13"/>
  <c r="AC284" i="13" s="1"/>
  <c r="AL255" i="7"/>
  <c r="H254" i="3"/>
  <c r="H254" i="13"/>
  <c r="H262" i="3"/>
  <c r="AL263" i="7"/>
  <c r="H262" i="13"/>
  <c r="F276" i="3"/>
  <c r="AC276" i="3" s="1"/>
  <c r="F276" i="13"/>
  <c r="AC276" i="13" s="1"/>
  <c r="F281" i="3"/>
  <c r="AC281" i="3" s="1"/>
  <c r="F281" i="13"/>
  <c r="AC281" i="13" s="1"/>
  <c r="H252" i="3"/>
  <c r="H252" i="13"/>
  <c r="AL253" i="7"/>
  <c r="H260" i="3"/>
  <c r="H260" i="13"/>
  <c r="AL261" i="7"/>
  <c r="H275" i="3"/>
  <c r="AL276" i="7"/>
  <c r="H275" i="13"/>
  <c r="H286" i="3"/>
  <c r="AL287" i="7"/>
  <c r="H286" i="13"/>
  <c r="F291" i="3"/>
  <c r="AC291" i="3" s="1"/>
  <c r="F291" i="13"/>
  <c r="AC291" i="13" s="1"/>
  <c r="F264" i="3"/>
  <c r="AC264" i="3" s="1"/>
  <c r="F264" i="13"/>
  <c r="AC264" i="13" s="1"/>
  <c r="H263" i="3"/>
  <c r="H263" i="13"/>
  <c r="AL264" i="7"/>
  <c r="Z323" i="7" l="1"/>
  <c r="H324" i="7"/>
  <c r="T328" i="1"/>
  <c r="V327" i="1"/>
  <c r="R323" i="13"/>
  <c r="T323" i="13"/>
  <c r="R323" i="3"/>
  <c r="T323" i="3"/>
  <c r="S330" i="1"/>
  <c r="Q331" i="1"/>
  <c r="B324" i="13"/>
  <c r="AF324" i="13" s="1"/>
  <c r="C323" i="13"/>
  <c r="Q323" i="13"/>
  <c r="Q323" i="3"/>
  <c r="Y328" i="1"/>
  <c r="W329" i="1"/>
  <c r="O324" i="3"/>
  <c r="O324" i="13"/>
  <c r="O328" i="1"/>
  <c r="M329" i="1"/>
  <c r="B325" i="3"/>
  <c r="AF325" i="3" s="1"/>
  <c r="C324" i="3"/>
  <c r="P324" i="3"/>
  <c r="S324" i="3" s="1"/>
  <c r="N329" i="1"/>
  <c r="P324" i="13"/>
  <c r="S324" i="13" s="1"/>
  <c r="P325" i="7"/>
  <c r="O326" i="7"/>
  <c r="Q324" i="7"/>
  <c r="W324" i="7"/>
  <c r="X324" i="7"/>
  <c r="M324" i="7" s="1"/>
  <c r="S324" i="7"/>
  <c r="V324" i="7"/>
  <c r="R324" i="7"/>
  <c r="M323" i="7"/>
  <c r="L323" i="7"/>
  <c r="Q324" i="13" l="1"/>
  <c r="Q324" i="3"/>
  <c r="B325" i="13"/>
  <c r="AF325" i="13" s="1"/>
  <c r="C324" i="13"/>
  <c r="B326" i="3"/>
  <c r="AF326" i="3" s="1"/>
  <c r="C325" i="3"/>
  <c r="R324" i="13"/>
  <c r="T324" i="13"/>
  <c r="T329" i="1"/>
  <c r="V328" i="1"/>
  <c r="P325" i="3"/>
  <c r="S325" i="3" s="1"/>
  <c r="P325" i="13"/>
  <c r="S325" i="13" s="1"/>
  <c r="N330" i="1"/>
  <c r="R324" i="3"/>
  <c r="T324" i="3"/>
  <c r="Q332" i="1"/>
  <c r="S331" i="1"/>
  <c r="H325" i="7"/>
  <c r="Z324" i="7"/>
  <c r="O325" i="3"/>
  <c r="O325" i="13"/>
  <c r="M330" i="1"/>
  <c r="O329" i="1"/>
  <c r="W330" i="1"/>
  <c r="Y329" i="1"/>
  <c r="S325" i="7"/>
  <c r="W325" i="7"/>
  <c r="Q325" i="7"/>
  <c r="R325" i="7"/>
  <c r="V325" i="7"/>
  <c r="K325" i="7" s="1"/>
  <c r="X325" i="7"/>
  <c r="K324" i="7"/>
  <c r="P326" i="7"/>
  <c r="O327" i="7"/>
  <c r="L324" i="7"/>
  <c r="O326" i="3" l="1"/>
  <c r="O326" i="13"/>
  <c r="O330" i="1"/>
  <c r="M331" i="1"/>
  <c r="Z325" i="7"/>
  <c r="H326" i="7"/>
  <c r="B326" i="13"/>
  <c r="AF326" i="13" s="1"/>
  <c r="C325" i="13"/>
  <c r="R325" i="13"/>
  <c r="T325" i="13"/>
  <c r="P326" i="3"/>
  <c r="S326" i="3" s="1"/>
  <c r="P326" i="13"/>
  <c r="S326" i="13" s="1"/>
  <c r="N331" i="1"/>
  <c r="T330" i="1"/>
  <c r="V329" i="1"/>
  <c r="B327" i="3"/>
  <c r="AF327" i="3" s="1"/>
  <c r="C326" i="3"/>
  <c r="W331" i="1"/>
  <c r="Y330" i="1"/>
  <c r="R325" i="3"/>
  <c r="T325" i="3"/>
  <c r="Q333" i="1"/>
  <c r="S332" i="1"/>
  <c r="Q325" i="3"/>
  <c r="Q325" i="13"/>
  <c r="L325" i="7"/>
  <c r="P327" i="7"/>
  <c r="O328" i="7"/>
  <c r="M325" i="7"/>
  <c r="Q326" i="7"/>
  <c r="W326" i="7"/>
  <c r="X326" i="7"/>
  <c r="S326" i="7"/>
  <c r="R326" i="7"/>
  <c r="V326" i="7"/>
  <c r="S333" i="1" l="1"/>
  <c r="Q334" i="1"/>
  <c r="Y331" i="1"/>
  <c r="W332" i="1"/>
  <c r="B327" i="13"/>
  <c r="AF327" i="13" s="1"/>
  <c r="C326" i="13"/>
  <c r="O327" i="3"/>
  <c r="O327" i="13"/>
  <c r="M332" i="1"/>
  <c r="O331" i="1"/>
  <c r="V330" i="1"/>
  <c r="T331" i="1"/>
  <c r="Q326" i="13"/>
  <c r="Q326" i="3"/>
  <c r="B328" i="3"/>
  <c r="AF328" i="3" s="1"/>
  <c r="C327" i="3"/>
  <c r="P327" i="3"/>
  <c r="S327" i="3" s="1"/>
  <c r="P327" i="13"/>
  <c r="S327" i="13" s="1"/>
  <c r="N332" i="1"/>
  <c r="H327" i="7"/>
  <c r="Z326" i="7"/>
  <c r="R326" i="13"/>
  <c r="T326" i="13"/>
  <c r="R326" i="3"/>
  <c r="T326" i="3"/>
  <c r="V327" i="7"/>
  <c r="K327" i="7" s="1"/>
  <c r="X327" i="7"/>
  <c r="M327" i="7" s="1"/>
  <c r="S327" i="7"/>
  <c r="W327" i="7"/>
  <c r="L327" i="7" s="1"/>
  <c r="R327" i="7"/>
  <c r="Q327" i="7"/>
  <c r="K326" i="7"/>
  <c r="L326" i="7"/>
  <c r="O329" i="7"/>
  <c r="P328" i="7"/>
  <c r="M326" i="7"/>
  <c r="R327" i="3" l="1"/>
  <c r="T327" i="3"/>
  <c r="Y332" i="1"/>
  <c r="W333" i="1"/>
  <c r="Z327" i="7"/>
  <c r="H328" i="7"/>
  <c r="O328" i="3"/>
  <c r="O328" i="13"/>
  <c r="O332" i="1"/>
  <c r="M333" i="1"/>
  <c r="C327" i="13"/>
  <c r="B328" i="13"/>
  <c r="AF328" i="13" s="1"/>
  <c r="S334" i="1"/>
  <c r="Q335" i="1"/>
  <c r="Q327" i="13"/>
  <c r="Q327" i="3"/>
  <c r="P328" i="3"/>
  <c r="S328" i="3" s="1"/>
  <c r="N333" i="1"/>
  <c r="P328" i="13"/>
  <c r="S328" i="13" s="1"/>
  <c r="B329" i="3"/>
  <c r="AF329" i="3" s="1"/>
  <c r="C328" i="3"/>
  <c r="T332" i="1"/>
  <c r="V331" i="1"/>
  <c r="R327" i="13"/>
  <c r="T327" i="13"/>
  <c r="Q328" i="7"/>
  <c r="W328" i="7"/>
  <c r="X328" i="7"/>
  <c r="S328" i="7"/>
  <c r="V328" i="7"/>
  <c r="R328" i="7"/>
  <c r="P329" i="7"/>
  <c r="O330" i="7"/>
  <c r="L328" i="7"/>
  <c r="T333" i="1" l="1"/>
  <c r="V332" i="1"/>
  <c r="R328" i="13"/>
  <c r="T328" i="13"/>
  <c r="W334" i="1"/>
  <c r="Y333" i="1"/>
  <c r="P329" i="3"/>
  <c r="S329" i="3" s="1"/>
  <c r="P329" i="13"/>
  <c r="S329" i="13" s="1"/>
  <c r="N334" i="1"/>
  <c r="Q336" i="1"/>
  <c r="S335" i="1"/>
  <c r="R328" i="3"/>
  <c r="T328" i="3"/>
  <c r="B330" i="3"/>
  <c r="AF330" i="3" s="1"/>
  <c r="C329" i="3"/>
  <c r="O329" i="3"/>
  <c r="O329" i="13"/>
  <c r="M334" i="1"/>
  <c r="O333" i="1"/>
  <c r="H329" i="7"/>
  <c r="Z328" i="7"/>
  <c r="B329" i="13"/>
  <c r="AF329" i="13" s="1"/>
  <c r="C328" i="13"/>
  <c r="Q328" i="13"/>
  <c r="Q328" i="3"/>
  <c r="K328" i="7"/>
  <c r="P330" i="7"/>
  <c r="O331" i="7"/>
  <c r="V329" i="7"/>
  <c r="X329" i="7"/>
  <c r="M329" i="7" s="1"/>
  <c r="S329" i="7"/>
  <c r="W329" i="7"/>
  <c r="Q329" i="7"/>
  <c r="R329" i="7"/>
  <c r="M328" i="7"/>
  <c r="L329" i="7"/>
  <c r="B330" i="13" l="1"/>
  <c r="AF330" i="13" s="1"/>
  <c r="C329" i="13"/>
  <c r="Q329" i="3"/>
  <c r="Q329" i="13"/>
  <c r="O330" i="3"/>
  <c r="O330" i="13"/>
  <c r="O334" i="1"/>
  <c r="M335" i="1"/>
  <c r="B331" i="3"/>
  <c r="AF331" i="3" s="1"/>
  <c r="C330" i="3"/>
  <c r="R329" i="13"/>
  <c r="T329" i="13"/>
  <c r="Q337" i="1"/>
  <c r="S336" i="1"/>
  <c r="Z329" i="7"/>
  <c r="H330" i="7"/>
  <c r="R329" i="3"/>
  <c r="T329" i="3"/>
  <c r="P330" i="3"/>
  <c r="S330" i="3" s="1"/>
  <c r="P330" i="13"/>
  <c r="S330" i="13" s="1"/>
  <c r="N335" i="1"/>
  <c r="W335" i="1"/>
  <c r="Y334" i="1"/>
  <c r="T334" i="1"/>
  <c r="V333" i="1"/>
  <c r="Q330" i="7"/>
  <c r="W330" i="7"/>
  <c r="X330" i="7"/>
  <c r="S330" i="7"/>
  <c r="R330" i="7"/>
  <c r="V330" i="7"/>
  <c r="K329" i="7"/>
  <c r="K330" i="7"/>
  <c r="P331" i="7"/>
  <c r="O332" i="7"/>
  <c r="W336" i="1" l="1"/>
  <c r="Y335" i="1"/>
  <c r="Q330" i="13"/>
  <c r="Q330" i="3"/>
  <c r="P331" i="3"/>
  <c r="S331" i="3" s="1"/>
  <c r="P331" i="13"/>
  <c r="S331" i="13" s="1"/>
  <c r="N336" i="1"/>
  <c r="Q338" i="1"/>
  <c r="S337" i="1"/>
  <c r="B332" i="3"/>
  <c r="AF332" i="3" s="1"/>
  <c r="C331" i="3"/>
  <c r="R330" i="13"/>
  <c r="T330" i="13"/>
  <c r="V334" i="1"/>
  <c r="T335" i="1"/>
  <c r="H331" i="7"/>
  <c r="Z330" i="7"/>
  <c r="R330" i="3"/>
  <c r="T330" i="3"/>
  <c r="B331" i="13"/>
  <c r="AF331" i="13" s="1"/>
  <c r="C330" i="13"/>
  <c r="O331" i="3"/>
  <c r="O331" i="13"/>
  <c r="M336" i="1"/>
  <c r="O335" i="1"/>
  <c r="M330" i="7"/>
  <c r="L330" i="7"/>
  <c r="P332" i="7"/>
  <c r="O333" i="7"/>
  <c r="V331" i="7"/>
  <c r="X331" i="7"/>
  <c r="S331" i="7"/>
  <c r="W331" i="7"/>
  <c r="R331" i="7"/>
  <c r="Q331" i="7"/>
  <c r="R331" i="3" l="1"/>
  <c r="T331" i="3"/>
  <c r="T336" i="1"/>
  <c r="V335" i="1"/>
  <c r="S338" i="1"/>
  <c r="Q339" i="1"/>
  <c r="Q331" i="13"/>
  <c r="Q331" i="3"/>
  <c r="B333" i="3"/>
  <c r="AF333" i="3" s="1"/>
  <c r="C332" i="3"/>
  <c r="P332" i="3"/>
  <c r="S332" i="3" s="1"/>
  <c r="N337" i="1"/>
  <c r="P332" i="13"/>
  <c r="S332" i="13" s="1"/>
  <c r="O332" i="3"/>
  <c r="O332" i="13"/>
  <c r="O336" i="1"/>
  <c r="M337" i="1"/>
  <c r="C331" i="13"/>
  <c r="B332" i="13"/>
  <c r="AF332" i="13" s="1"/>
  <c r="R331" i="13"/>
  <c r="T331" i="13"/>
  <c r="Z331" i="7"/>
  <c r="H332" i="7"/>
  <c r="Y336" i="1"/>
  <c r="W337" i="1"/>
  <c r="P333" i="7"/>
  <c r="O334" i="7"/>
  <c r="Q332" i="7"/>
  <c r="W332" i="7"/>
  <c r="L332" i="7" s="1"/>
  <c r="X332" i="7"/>
  <c r="S332" i="7"/>
  <c r="V332" i="7"/>
  <c r="R332" i="7"/>
  <c r="M331" i="7"/>
  <c r="L331" i="7"/>
  <c r="K332" i="7"/>
  <c r="K331" i="7"/>
  <c r="M332" i="7"/>
  <c r="R332" i="13" l="1"/>
  <c r="T332" i="13"/>
  <c r="W338" i="1"/>
  <c r="Y337" i="1"/>
  <c r="R332" i="3"/>
  <c r="T332" i="3"/>
  <c r="T337" i="1"/>
  <c r="V336" i="1"/>
  <c r="O333" i="3"/>
  <c r="O333" i="13"/>
  <c r="M338" i="1"/>
  <c r="O337" i="1"/>
  <c r="B334" i="3"/>
  <c r="AF334" i="3" s="1"/>
  <c r="C333" i="3"/>
  <c r="S339" i="1"/>
  <c r="Q340" i="1"/>
  <c r="H333" i="7"/>
  <c r="Z332" i="7"/>
  <c r="B333" i="13"/>
  <c r="AF333" i="13" s="1"/>
  <c r="C332" i="13"/>
  <c r="Q332" i="13"/>
  <c r="Q332" i="3"/>
  <c r="P333" i="3"/>
  <c r="S333" i="3" s="1"/>
  <c r="P333" i="13"/>
  <c r="S333" i="13" s="1"/>
  <c r="N338" i="1"/>
  <c r="S333" i="7"/>
  <c r="W333" i="7"/>
  <c r="Q333" i="7"/>
  <c r="R333" i="7"/>
  <c r="V333" i="7"/>
  <c r="X333" i="7"/>
  <c r="K333" i="7"/>
  <c r="O335" i="7"/>
  <c r="P334" i="7"/>
  <c r="Q333" i="3" l="1"/>
  <c r="Q333" i="13"/>
  <c r="P334" i="3"/>
  <c r="S334" i="3" s="1"/>
  <c r="P334" i="13"/>
  <c r="S334" i="13" s="1"/>
  <c r="N339" i="1"/>
  <c r="O334" i="3"/>
  <c r="O334" i="13"/>
  <c r="O338" i="1"/>
  <c r="M339" i="1"/>
  <c r="T338" i="1"/>
  <c r="V337" i="1"/>
  <c r="W339" i="1"/>
  <c r="Y338" i="1"/>
  <c r="Z333" i="7"/>
  <c r="H334" i="7"/>
  <c r="B335" i="3"/>
  <c r="AF335" i="3" s="1"/>
  <c r="C334" i="3"/>
  <c r="R333" i="13"/>
  <c r="T333" i="13"/>
  <c r="B334" i="13"/>
  <c r="AF334" i="13" s="1"/>
  <c r="C333" i="13"/>
  <c r="Q341" i="1"/>
  <c r="S340" i="1"/>
  <c r="R333" i="3"/>
  <c r="T333" i="3"/>
  <c r="V334" i="7"/>
  <c r="Q334" i="7"/>
  <c r="R334" i="7"/>
  <c r="X334" i="7"/>
  <c r="M334" i="7" s="1"/>
  <c r="S334" i="7"/>
  <c r="W334" i="7"/>
  <c r="P335" i="7"/>
  <c r="O336" i="7"/>
  <c r="M333" i="7"/>
  <c r="K334" i="7"/>
  <c r="L333" i="7"/>
  <c r="Q342" i="1" l="1"/>
  <c r="S341" i="1"/>
  <c r="Y339" i="1"/>
  <c r="W340" i="1"/>
  <c r="Q334" i="13"/>
  <c r="Q334" i="3"/>
  <c r="H335" i="7"/>
  <c r="Z334" i="7"/>
  <c r="R334" i="13"/>
  <c r="T334" i="13"/>
  <c r="B335" i="13"/>
  <c r="AF335" i="13" s="1"/>
  <c r="C334" i="13"/>
  <c r="V338" i="1"/>
  <c r="T339" i="1"/>
  <c r="R334" i="3"/>
  <c r="T334" i="3"/>
  <c r="B336" i="3"/>
  <c r="AF336" i="3" s="1"/>
  <c r="C335" i="3"/>
  <c r="O335" i="3"/>
  <c r="O335" i="13"/>
  <c r="M340" i="1"/>
  <c r="O339" i="1"/>
  <c r="P335" i="3"/>
  <c r="S335" i="3" s="1"/>
  <c r="P335" i="13"/>
  <c r="S335" i="13" s="1"/>
  <c r="N340" i="1"/>
  <c r="O337" i="7"/>
  <c r="P336" i="7"/>
  <c r="Q335" i="7"/>
  <c r="W335" i="7"/>
  <c r="R335" i="7"/>
  <c r="V335" i="7"/>
  <c r="X335" i="7"/>
  <c r="S335" i="7"/>
  <c r="L334" i="7"/>
  <c r="P336" i="3" l="1"/>
  <c r="S336" i="3" s="1"/>
  <c r="N341" i="1"/>
  <c r="P336" i="13"/>
  <c r="S336" i="13" s="1"/>
  <c r="O336" i="3"/>
  <c r="O336" i="13"/>
  <c r="O340" i="1"/>
  <c r="M341" i="1"/>
  <c r="B337" i="3"/>
  <c r="AF337" i="3" s="1"/>
  <c r="C336" i="3"/>
  <c r="T340" i="1"/>
  <c r="V339" i="1"/>
  <c r="Z335" i="7"/>
  <c r="H336" i="7"/>
  <c r="B336" i="13"/>
  <c r="AF336" i="13" s="1"/>
  <c r="C335" i="13"/>
  <c r="Y340" i="1"/>
  <c r="W341" i="1"/>
  <c r="R335" i="13"/>
  <c r="T335" i="13"/>
  <c r="Q335" i="13"/>
  <c r="Q335" i="3"/>
  <c r="R335" i="3"/>
  <c r="T335" i="3"/>
  <c r="S342" i="1"/>
  <c r="Q343" i="1"/>
  <c r="K335" i="7"/>
  <c r="V336" i="7"/>
  <c r="K336" i="7" s="1"/>
  <c r="Q336" i="7"/>
  <c r="R336" i="7"/>
  <c r="W336" i="7"/>
  <c r="L336" i="7" s="1"/>
  <c r="S336" i="7"/>
  <c r="X336" i="7"/>
  <c r="P337" i="7"/>
  <c r="O338" i="7"/>
  <c r="L335" i="7"/>
  <c r="M336" i="7"/>
  <c r="M335" i="7"/>
  <c r="B337" i="13" l="1"/>
  <c r="AF337" i="13" s="1"/>
  <c r="C336" i="13"/>
  <c r="R336" i="3"/>
  <c r="T336" i="3"/>
  <c r="S343" i="1"/>
  <c r="Q344" i="1"/>
  <c r="W342" i="1"/>
  <c r="Y341" i="1"/>
  <c r="T341" i="1"/>
  <c r="V340" i="1"/>
  <c r="O337" i="3"/>
  <c r="O337" i="13"/>
  <c r="M342" i="1"/>
  <c r="O341" i="1"/>
  <c r="H337" i="7"/>
  <c r="Z336" i="7"/>
  <c r="Q336" i="13"/>
  <c r="Q336" i="3"/>
  <c r="P337" i="3"/>
  <c r="S337" i="3" s="1"/>
  <c r="P337" i="13"/>
  <c r="S337" i="13" s="1"/>
  <c r="N342" i="1"/>
  <c r="B338" i="3"/>
  <c r="AF338" i="3" s="1"/>
  <c r="C337" i="3"/>
  <c r="R336" i="13"/>
  <c r="T336" i="13"/>
  <c r="P338" i="7"/>
  <c r="O339" i="7"/>
  <c r="V337" i="7"/>
  <c r="X337" i="7"/>
  <c r="S337" i="7"/>
  <c r="W337" i="7"/>
  <c r="L337" i="7" s="1"/>
  <c r="Q337" i="7"/>
  <c r="R337" i="7"/>
  <c r="B339" i="3" l="1"/>
  <c r="AF339" i="3" s="1"/>
  <c r="C338" i="3"/>
  <c r="Z337" i="7"/>
  <c r="H338" i="7"/>
  <c r="R337" i="3"/>
  <c r="T337" i="3"/>
  <c r="W343" i="1"/>
  <c r="Y342" i="1"/>
  <c r="Q337" i="3"/>
  <c r="Q337" i="13"/>
  <c r="Q345" i="1"/>
  <c r="S344" i="1"/>
  <c r="P338" i="3"/>
  <c r="S338" i="3" s="1"/>
  <c r="P338" i="13"/>
  <c r="S338" i="13" s="1"/>
  <c r="N343" i="1"/>
  <c r="O338" i="3"/>
  <c r="O338" i="13"/>
  <c r="O342" i="1"/>
  <c r="M343" i="1"/>
  <c r="T342" i="1"/>
  <c r="V341" i="1"/>
  <c r="B338" i="13"/>
  <c r="AF338" i="13" s="1"/>
  <c r="C337" i="13"/>
  <c r="R337" i="13"/>
  <c r="T337" i="13"/>
  <c r="K337" i="7"/>
  <c r="M337" i="7"/>
  <c r="P339" i="7"/>
  <c r="O340" i="7"/>
  <c r="Q338" i="7"/>
  <c r="W338" i="7"/>
  <c r="X338" i="7"/>
  <c r="S338" i="7"/>
  <c r="R338" i="7"/>
  <c r="V338" i="7"/>
  <c r="K338" i="7" s="1"/>
  <c r="B339" i="13" l="1"/>
  <c r="AF339" i="13" s="1"/>
  <c r="C338" i="13"/>
  <c r="O339" i="3"/>
  <c r="O339" i="13"/>
  <c r="M344" i="1"/>
  <c r="O343" i="1"/>
  <c r="P339" i="3"/>
  <c r="S339" i="3" s="1"/>
  <c r="P339" i="13"/>
  <c r="S339" i="13" s="1"/>
  <c r="N344" i="1"/>
  <c r="Q346" i="1"/>
  <c r="S345" i="1"/>
  <c r="W344" i="1"/>
  <c r="Y343" i="1"/>
  <c r="Q338" i="13"/>
  <c r="Q338" i="3"/>
  <c r="R338" i="13"/>
  <c r="T338" i="13"/>
  <c r="B340" i="3"/>
  <c r="AF340" i="3" s="1"/>
  <c r="C339" i="3"/>
  <c r="V342" i="1"/>
  <c r="T343" i="1"/>
  <c r="R338" i="3"/>
  <c r="T338" i="3"/>
  <c r="H339" i="7"/>
  <c r="Z338" i="7"/>
  <c r="M338" i="7"/>
  <c r="L338" i="7"/>
  <c r="Q339" i="7"/>
  <c r="W339" i="7"/>
  <c r="R339" i="7"/>
  <c r="V339" i="7"/>
  <c r="K339" i="7" s="1"/>
  <c r="X339" i="7"/>
  <c r="S339" i="7"/>
  <c r="P340" i="7"/>
  <c r="O341" i="7"/>
  <c r="B341" i="3" l="1"/>
  <c r="AF341" i="3" s="1"/>
  <c r="C340" i="3"/>
  <c r="R339" i="3"/>
  <c r="T339" i="3"/>
  <c r="T344" i="1"/>
  <c r="V343" i="1"/>
  <c r="S346" i="1"/>
  <c r="Q347" i="1"/>
  <c r="Q339" i="13"/>
  <c r="Q339" i="3"/>
  <c r="Z339" i="7"/>
  <c r="H340" i="7"/>
  <c r="P340" i="3"/>
  <c r="S340" i="3" s="1"/>
  <c r="N345" i="1"/>
  <c r="P340" i="13"/>
  <c r="S340" i="13" s="1"/>
  <c r="O340" i="3"/>
  <c r="O340" i="13"/>
  <c r="O344" i="1"/>
  <c r="M345" i="1"/>
  <c r="B340" i="13"/>
  <c r="AF340" i="13" s="1"/>
  <c r="C339" i="13"/>
  <c r="Y344" i="1"/>
  <c r="W345" i="1"/>
  <c r="R339" i="13"/>
  <c r="T339" i="13"/>
  <c r="Q340" i="7"/>
  <c r="W340" i="7"/>
  <c r="X340" i="7"/>
  <c r="M340" i="7" s="1"/>
  <c r="S340" i="7"/>
  <c r="V340" i="7"/>
  <c r="K340" i="7" s="1"/>
  <c r="R340" i="7"/>
  <c r="M339" i="7"/>
  <c r="L340" i="7"/>
  <c r="P341" i="7"/>
  <c r="O342" i="7"/>
  <c r="L339" i="7"/>
  <c r="O341" i="3" l="1"/>
  <c r="O341" i="13"/>
  <c r="M346" i="1"/>
  <c r="O345" i="1"/>
  <c r="Q340" i="13"/>
  <c r="Q340" i="3"/>
  <c r="P341" i="3"/>
  <c r="S341" i="3" s="1"/>
  <c r="P341" i="13"/>
  <c r="S341" i="13" s="1"/>
  <c r="N346" i="1"/>
  <c r="B341" i="13"/>
  <c r="AF341" i="13" s="1"/>
  <c r="C340" i="13"/>
  <c r="R340" i="13"/>
  <c r="T340" i="13"/>
  <c r="T345" i="1"/>
  <c r="V344" i="1"/>
  <c r="B342" i="3"/>
  <c r="AF342" i="3" s="1"/>
  <c r="C341" i="3"/>
  <c r="W346" i="1"/>
  <c r="Y345" i="1"/>
  <c r="R340" i="3"/>
  <c r="T340" i="3"/>
  <c r="H341" i="7"/>
  <c r="Z340" i="7"/>
  <c r="Q348" i="1"/>
  <c r="S347" i="1"/>
  <c r="S341" i="7"/>
  <c r="X341" i="7"/>
  <c r="Q341" i="7"/>
  <c r="W341" i="7"/>
  <c r="L341" i="7" s="1"/>
  <c r="R341" i="7"/>
  <c r="V341" i="7"/>
  <c r="K341" i="7"/>
  <c r="P342" i="7"/>
  <c r="O343" i="7"/>
  <c r="P342" i="3" l="1"/>
  <c r="S342" i="3" s="1"/>
  <c r="P342" i="13"/>
  <c r="S342" i="13" s="1"/>
  <c r="N347" i="1"/>
  <c r="Z341" i="7"/>
  <c r="H342" i="7"/>
  <c r="W347" i="1"/>
  <c r="Y346" i="1"/>
  <c r="Q341" i="3"/>
  <c r="Q341" i="13"/>
  <c r="T346" i="1"/>
  <c r="V345" i="1"/>
  <c r="B342" i="13"/>
  <c r="AF342" i="13" s="1"/>
  <c r="C341" i="13"/>
  <c r="O342" i="3"/>
  <c r="O342" i="13"/>
  <c r="O346" i="1"/>
  <c r="M347" i="1"/>
  <c r="Q349" i="1"/>
  <c r="S348" i="1"/>
  <c r="B343" i="3"/>
  <c r="AF343" i="3" s="1"/>
  <c r="C342" i="3"/>
  <c r="R341" i="13"/>
  <c r="T341" i="13"/>
  <c r="R341" i="3"/>
  <c r="T341" i="3"/>
  <c r="V342" i="7"/>
  <c r="Q342" i="7"/>
  <c r="R342" i="7"/>
  <c r="X342" i="7"/>
  <c r="S342" i="7"/>
  <c r="W342" i="7"/>
  <c r="P343" i="7"/>
  <c r="O344" i="7"/>
  <c r="M341" i="7"/>
  <c r="M342" i="7"/>
  <c r="R342" i="13" l="1"/>
  <c r="T342" i="13"/>
  <c r="S349" i="1"/>
  <c r="Q350" i="1"/>
  <c r="R342" i="3"/>
  <c r="T342" i="3"/>
  <c r="P343" i="3"/>
  <c r="S343" i="3" s="1"/>
  <c r="P343" i="13"/>
  <c r="S343" i="13" s="1"/>
  <c r="N348" i="1"/>
  <c r="B344" i="3"/>
  <c r="AF344" i="3" s="1"/>
  <c r="C343" i="3"/>
  <c r="O343" i="3"/>
  <c r="O343" i="13"/>
  <c r="M348" i="1"/>
  <c r="O347" i="1"/>
  <c r="V346" i="1"/>
  <c r="T347" i="1"/>
  <c r="Y347" i="1"/>
  <c r="W348" i="1"/>
  <c r="Q342" i="13"/>
  <c r="Q342" i="3"/>
  <c r="B343" i="13"/>
  <c r="AF343" i="13" s="1"/>
  <c r="C342" i="13"/>
  <c r="H343" i="7"/>
  <c r="Z342" i="7"/>
  <c r="O345" i="7"/>
  <c r="P344" i="7"/>
  <c r="Q343" i="7"/>
  <c r="W343" i="7"/>
  <c r="R343" i="7"/>
  <c r="X343" i="7"/>
  <c r="M343" i="7" s="1"/>
  <c r="V343" i="7"/>
  <c r="S343" i="7"/>
  <c r="K342" i="7"/>
  <c r="L342" i="7"/>
  <c r="Q343" i="13" l="1"/>
  <c r="Q343" i="3"/>
  <c r="O344" i="3"/>
  <c r="O344" i="13"/>
  <c r="O348" i="1"/>
  <c r="M349" i="1"/>
  <c r="B345" i="3"/>
  <c r="AF345" i="3" s="1"/>
  <c r="C344" i="3"/>
  <c r="B344" i="13"/>
  <c r="AF344" i="13" s="1"/>
  <c r="C343" i="13"/>
  <c r="Y348" i="1"/>
  <c r="W349" i="1"/>
  <c r="S350" i="1"/>
  <c r="Q351" i="1"/>
  <c r="Z343" i="7"/>
  <c r="H344" i="7"/>
  <c r="T348" i="1"/>
  <c r="V347" i="1"/>
  <c r="R343" i="13"/>
  <c r="T343" i="13"/>
  <c r="R343" i="3"/>
  <c r="T343" i="3"/>
  <c r="P344" i="3"/>
  <c r="S344" i="3" s="1"/>
  <c r="N349" i="1"/>
  <c r="P344" i="13"/>
  <c r="S344" i="13" s="1"/>
  <c r="K343" i="7"/>
  <c r="P345" i="7"/>
  <c r="O346" i="7"/>
  <c r="Q344" i="7"/>
  <c r="W344" i="7"/>
  <c r="X344" i="7"/>
  <c r="S344" i="7"/>
  <c r="AC319" i="7" s="1"/>
  <c r="AG319" i="7" s="1"/>
  <c r="V344" i="7"/>
  <c r="K344" i="7" s="1"/>
  <c r="R344" i="7"/>
  <c r="AB318" i="7"/>
  <c r="AB297" i="7"/>
  <c r="AC299" i="7"/>
  <c r="AG299" i="7" s="1"/>
  <c r="AC300" i="7"/>
  <c r="AG300" i="7" s="1"/>
  <c r="AB302" i="7"/>
  <c r="AC305" i="7"/>
  <c r="AG305" i="7" s="1"/>
  <c r="AC307" i="7"/>
  <c r="AG307" i="7" s="1"/>
  <c r="AC309" i="7"/>
  <c r="AG309" i="7" s="1"/>
  <c r="AC311" i="7"/>
  <c r="AG311" i="7" s="1"/>
  <c r="AC312" i="7"/>
  <c r="AG312" i="7" s="1"/>
  <c r="AC316" i="7"/>
  <c r="AG316" i="7" s="1"/>
  <c r="AB317" i="7"/>
  <c r="AC298" i="7"/>
  <c r="AG298" i="7" s="1"/>
  <c r="AB304" i="7"/>
  <c r="AC310" i="7"/>
  <c r="AG310" i="7" s="1"/>
  <c r="AB316" i="7"/>
  <c r="AC297" i="7"/>
  <c r="AG297" i="7" s="1"/>
  <c r="AB299" i="7"/>
  <c r="AC302" i="7"/>
  <c r="AG302" i="7" s="1"/>
  <c r="AC304" i="7"/>
  <c r="AG304" i="7" s="1"/>
  <c r="AC306" i="7"/>
  <c r="AG306" i="7" s="1"/>
  <c r="AC308" i="7"/>
  <c r="AG308" i="7" s="1"/>
  <c r="AB309" i="7"/>
  <c r="AB311" i="7"/>
  <c r="AB314" i="7"/>
  <c r="AB315" i="7"/>
  <c r="AC317" i="7"/>
  <c r="AG317" i="7" s="1"/>
  <c r="AB301" i="7"/>
  <c r="AB308" i="7"/>
  <c r="AC313" i="7"/>
  <c r="AG313" i="7" s="1"/>
  <c r="AB298" i="7"/>
  <c r="AB300" i="7"/>
  <c r="AC301" i="7"/>
  <c r="AG301" i="7" s="1"/>
  <c r="AC303" i="7"/>
  <c r="AG303" i="7" s="1"/>
  <c r="AB306" i="7"/>
  <c r="AB307" i="7"/>
  <c r="AB310" i="7"/>
  <c r="AB312" i="7"/>
  <c r="AC314" i="7"/>
  <c r="AG314" i="7" s="1"/>
  <c r="AC315" i="7"/>
  <c r="AG315" i="7" s="1"/>
  <c r="AC318" i="7"/>
  <c r="AG318" i="7" s="1"/>
  <c r="AB303" i="7"/>
  <c r="AB305" i="7"/>
  <c r="AB313" i="7"/>
  <c r="L343" i="7"/>
  <c r="AB319" i="7" l="1"/>
  <c r="AF319" i="7" s="1"/>
  <c r="B346" i="3"/>
  <c r="AF346" i="3" s="1"/>
  <c r="C345" i="3"/>
  <c r="T349" i="1"/>
  <c r="V348" i="1"/>
  <c r="B345" i="13"/>
  <c r="AF345" i="13" s="1"/>
  <c r="C344" i="13"/>
  <c r="R344" i="3"/>
  <c r="T344" i="3"/>
  <c r="Q352" i="1"/>
  <c r="S351" i="1"/>
  <c r="R344" i="13"/>
  <c r="T344" i="13"/>
  <c r="P345" i="3"/>
  <c r="S345" i="3" s="1"/>
  <c r="P345" i="13"/>
  <c r="S345" i="13" s="1"/>
  <c r="N350" i="1"/>
  <c r="H345" i="7"/>
  <c r="Z344" i="7"/>
  <c r="W350" i="1"/>
  <c r="Y349" i="1"/>
  <c r="O345" i="3"/>
  <c r="O345" i="13"/>
  <c r="M350" i="1"/>
  <c r="O349" i="1"/>
  <c r="Q344" i="13"/>
  <c r="Q344" i="3"/>
  <c r="G300" i="3"/>
  <c r="AD300" i="3" s="1"/>
  <c r="G300" i="13"/>
  <c r="AD300" i="13" s="1"/>
  <c r="G307" i="13"/>
  <c r="AD307" i="13" s="1"/>
  <c r="G307" i="3"/>
  <c r="AD307" i="3" s="1"/>
  <c r="AD304" i="7"/>
  <c r="AH304" i="7" s="1"/>
  <c r="AF304" i="7"/>
  <c r="G306" i="3"/>
  <c r="AD306" i="3" s="1"/>
  <c r="G306" i="13"/>
  <c r="AD306" i="13" s="1"/>
  <c r="G298" i="3"/>
  <c r="AD298" i="3" s="1"/>
  <c r="G298" i="13"/>
  <c r="AD298" i="13" s="1"/>
  <c r="L344" i="7"/>
  <c r="AD313" i="7"/>
  <c r="AH313" i="7" s="1"/>
  <c r="AF313" i="7"/>
  <c r="G314" i="3"/>
  <c r="AD314" i="3" s="1"/>
  <c r="G314" i="13"/>
  <c r="AD314" i="13" s="1"/>
  <c r="AF307" i="7"/>
  <c r="AD307" i="7"/>
  <c r="AH307" i="7" s="1"/>
  <c r="AD300" i="7"/>
  <c r="AH300" i="7" s="1"/>
  <c r="AF300" i="7"/>
  <c r="AD301" i="7"/>
  <c r="AH301" i="7" s="1"/>
  <c r="AF301" i="7"/>
  <c r="AF314" i="7"/>
  <c r="AD314" i="7"/>
  <c r="AH314" i="7" s="1"/>
  <c r="G305" i="3"/>
  <c r="AD305" i="3" s="1"/>
  <c r="G305" i="13"/>
  <c r="AD305" i="13" s="1"/>
  <c r="G296" i="3"/>
  <c r="AD296" i="3" s="1"/>
  <c r="G296" i="13"/>
  <c r="AD296" i="13" s="1"/>
  <c r="G297" i="3"/>
  <c r="AD297" i="3" s="1"/>
  <c r="G297" i="13"/>
  <c r="AD297" i="13" s="1"/>
  <c r="G311" i="3"/>
  <c r="AD311" i="3" s="1"/>
  <c r="G311" i="13"/>
  <c r="AD311" i="13" s="1"/>
  <c r="G304" i="3"/>
  <c r="AD304" i="3" s="1"/>
  <c r="G304" i="13"/>
  <c r="AD304" i="13" s="1"/>
  <c r="AD297" i="7"/>
  <c r="AH297" i="7" s="1"/>
  <c r="AF297" i="7"/>
  <c r="G317" i="3"/>
  <c r="AD317" i="3" s="1"/>
  <c r="G317" i="13"/>
  <c r="AD317" i="13" s="1"/>
  <c r="AF315" i="7"/>
  <c r="AD315" i="7"/>
  <c r="AH315" i="7" s="1"/>
  <c r="AD305" i="7"/>
  <c r="AH305" i="7" s="1"/>
  <c r="AF305" i="7"/>
  <c r="G313" i="3"/>
  <c r="AD313" i="3" s="1"/>
  <c r="G313" i="13"/>
  <c r="AD313" i="13" s="1"/>
  <c r="AF306" i="7"/>
  <c r="AD306" i="7"/>
  <c r="AH306" i="7" s="1"/>
  <c r="AF298" i="7"/>
  <c r="AD298" i="7"/>
  <c r="AH298" i="7" s="1"/>
  <c r="AF311" i="7"/>
  <c r="AD311" i="7"/>
  <c r="AH311" i="7" s="1"/>
  <c r="G303" i="3"/>
  <c r="AD303" i="3" s="1"/>
  <c r="G303" i="13"/>
  <c r="AD303" i="13" s="1"/>
  <c r="AD316" i="7"/>
  <c r="AH316" i="7" s="1"/>
  <c r="AF316" i="7"/>
  <c r="G310" i="3"/>
  <c r="AD310" i="3" s="1"/>
  <c r="G310" i="13"/>
  <c r="AD310" i="13" s="1"/>
  <c r="AF302" i="7"/>
  <c r="AD302" i="7"/>
  <c r="AH302" i="7" s="1"/>
  <c r="AF318" i="7"/>
  <c r="AD318" i="7"/>
  <c r="AH318" i="7" s="1"/>
  <c r="O347" i="7"/>
  <c r="P346" i="7"/>
  <c r="AF310" i="7"/>
  <c r="AD310" i="7"/>
  <c r="AH310" i="7" s="1"/>
  <c r="AD308" i="7"/>
  <c r="AH308" i="7" s="1"/>
  <c r="AF308" i="7"/>
  <c r="AF299" i="7"/>
  <c r="AD299" i="7"/>
  <c r="AH299" i="7" s="1"/>
  <c r="G315" i="3"/>
  <c r="AD315" i="3" s="1"/>
  <c r="G315" i="13"/>
  <c r="AD315" i="13" s="1"/>
  <c r="AF303" i="7"/>
  <c r="AD303" i="7"/>
  <c r="AH303" i="7" s="1"/>
  <c r="AD312" i="7"/>
  <c r="AH312" i="7" s="1"/>
  <c r="AF312" i="7"/>
  <c r="G302" i="3"/>
  <c r="AD302" i="3" s="1"/>
  <c r="G302" i="13"/>
  <c r="AD302" i="13" s="1"/>
  <c r="G312" i="3"/>
  <c r="AD312" i="3" s="1"/>
  <c r="G312" i="13"/>
  <c r="AD312" i="13" s="1"/>
  <c r="G316" i="3"/>
  <c r="AD316" i="3" s="1"/>
  <c r="G316" i="13"/>
  <c r="AD316" i="13" s="1"/>
  <c r="AD309" i="7"/>
  <c r="AH309" i="7" s="1"/>
  <c r="AF309" i="7"/>
  <c r="G301" i="13"/>
  <c r="AD301" i="13" s="1"/>
  <c r="G301" i="3"/>
  <c r="AD301" i="3" s="1"/>
  <c r="G309" i="3"/>
  <c r="AD309" i="3" s="1"/>
  <c r="G309" i="13"/>
  <c r="AD309" i="13" s="1"/>
  <c r="AD317" i="7"/>
  <c r="AH317" i="7" s="1"/>
  <c r="AF317" i="7"/>
  <c r="G308" i="3"/>
  <c r="AD308" i="3" s="1"/>
  <c r="G308" i="13"/>
  <c r="AD308" i="13" s="1"/>
  <c r="G299" i="3"/>
  <c r="AD299" i="3" s="1"/>
  <c r="G299" i="13"/>
  <c r="AD299" i="13" s="1"/>
  <c r="G318" i="3"/>
  <c r="AD318" i="3" s="1"/>
  <c r="G318" i="13"/>
  <c r="AD318" i="13" s="1"/>
  <c r="M344" i="7"/>
  <c r="R345" i="7"/>
  <c r="S345" i="7"/>
  <c r="W345" i="7"/>
  <c r="Q345" i="7"/>
  <c r="V345" i="7"/>
  <c r="X345" i="7"/>
  <c r="AD319" i="7" l="1"/>
  <c r="AH319" i="7" s="1"/>
  <c r="H318" i="13" s="1"/>
  <c r="R345" i="13"/>
  <c r="T345" i="13"/>
  <c r="Q353" i="1"/>
  <c r="S352" i="1"/>
  <c r="B346" i="13"/>
  <c r="AF346" i="13" s="1"/>
  <c r="C345" i="13"/>
  <c r="T350" i="1"/>
  <c r="V349" i="1"/>
  <c r="R345" i="3"/>
  <c r="T345" i="3"/>
  <c r="Z345" i="7"/>
  <c r="H346" i="7"/>
  <c r="B347" i="3"/>
  <c r="AF347" i="3" s="1"/>
  <c r="C346" i="3"/>
  <c r="O346" i="3"/>
  <c r="O346" i="13"/>
  <c r="O350" i="1"/>
  <c r="M351" i="1"/>
  <c r="W351" i="1"/>
  <c r="Y350" i="1"/>
  <c r="Q345" i="3"/>
  <c r="Q345" i="13"/>
  <c r="P346" i="3"/>
  <c r="S346" i="3" s="1"/>
  <c r="P346" i="13"/>
  <c r="S346" i="13" s="1"/>
  <c r="N351" i="1"/>
  <c r="AL312" i="7"/>
  <c r="H311" i="3"/>
  <c r="H311" i="13"/>
  <c r="F298" i="3"/>
  <c r="AC298" i="3" s="1"/>
  <c r="F298" i="13"/>
  <c r="AC298" i="13" s="1"/>
  <c r="F309" i="3"/>
  <c r="AC309" i="3" s="1"/>
  <c r="F309" i="13"/>
  <c r="AC309" i="13" s="1"/>
  <c r="H316" i="3"/>
  <c r="AL317" i="7"/>
  <c r="H316" i="13"/>
  <c r="H308" i="13"/>
  <c r="H308" i="3"/>
  <c r="AL309" i="7"/>
  <c r="H302" i="3"/>
  <c r="H302" i="13"/>
  <c r="AL303" i="7"/>
  <c r="F307" i="3"/>
  <c r="AC307" i="3" s="1"/>
  <c r="F307" i="13"/>
  <c r="AC307" i="13" s="1"/>
  <c r="F301" i="3"/>
  <c r="AC301" i="3" s="1"/>
  <c r="F301" i="13"/>
  <c r="AC301" i="13" s="1"/>
  <c r="F315" i="3"/>
  <c r="AC315" i="3" s="1"/>
  <c r="F315" i="13"/>
  <c r="AC315" i="13" s="1"/>
  <c r="F297" i="3"/>
  <c r="AC297" i="3" s="1"/>
  <c r="F297" i="13"/>
  <c r="AC297" i="13" s="1"/>
  <c r="H296" i="3"/>
  <c r="H296" i="13"/>
  <c r="AL297" i="7"/>
  <c r="H313" i="3"/>
  <c r="H313" i="13"/>
  <c r="AL314" i="7"/>
  <c r="F299" i="3"/>
  <c r="AC299" i="3" s="1"/>
  <c r="F299" i="13"/>
  <c r="AC299" i="13" s="1"/>
  <c r="H312" i="3"/>
  <c r="H312" i="13"/>
  <c r="AL313" i="7"/>
  <c r="L345" i="7"/>
  <c r="F303" i="3"/>
  <c r="AC303" i="3" s="1"/>
  <c r="F303" i="13"/>
  <c r="AC303" i="13" s="1"/>
  <c r="H318" i="3"/>
  <c r="AL319" i="7"/>
  <c r="F316" i="3"/>
  <c r="AC316" i="3" s="1"/>
  <c r="F316" i="13"/>
  <c r="AC316" i="13" s="1"/>
  <c r="F308" i="3"/>
  <c r="AC308" i="3" s="1"/>
  <c r="F308" i="13"/>
  <c r="AC308" i="13" s="1"/>
  <c r="F296" i="3"/>
  <c r="AC296" i="3" s="1"/>
  <c r="F296" i="13"/>
  <c r="AC296" i="13" s="1"/>
  <c r="AL301" i="7"/>
  <c r="H300" i="3"/>
  <c r="H300" i="13"/>
  <c r="F306" i="3"/>
  <c r="AC306" i="3" s="1"/>
  <c r="F306" i="13"/>
  <c r="AC306" i="13" s="1"/>
  <c r="F312" i="3"/>
  <c r="AC312" i="3" s="1"/>
  <c r="F312" i="13"/>
  <c r="AC312" i="13" s="1"/>
  <c r="F302" i="3"/>
  <c r="AC302" i="3" s="1"/>
  <c r="F302" i="13"/>
  <c r="AC302" i="13" s="1"/>
  <c r="H307" i="3"/>
  <c r="H307" i="13"/>
  <c r="AL308" i="7"/>
  <c r="S346" i="7"/>
  <c r="X346" i="7"/>
  <c r="Q346" i="7"/>
  <c r="R346" i="7"/>
  <c r="W346" i="7"/>
  <c r="L346" i="7" s="1"/>
  <c r="V346" i="7"/>
  <c r="H317" i="3"/>
  <c r="H317" i="13"/>
  <c r="AL318" i="7"/>
  <c r="H315" i="3"/>
  <c r="H315" i="13"/>
  <c r="AL316" i="7"/>
  <c r="H310" i="3"/>
  <c r="H310" i="13"/>
  <c r="AL311" i="7"/>
  <c r="H305" i="3"/>
  <c r="AL306" i="7"/>
  <c r="H305" i="13"/>
  <c r="F313" i="3"/>
  <c r="AC313" i="3" s="1"/>
  <c r="F313" i="13"/>
  <c r="AC313" i="13" s="1"/>
  <c r="H299" i="3"/>
  <c r="H299" i="13"/>
  <c r="AL300" i="7"/>
  <c r="H303" i="3"/>
  <c r="H303" i="13"/>
  <c r="AL304" i="7"/>
  <c r="F318" i="3"/>
  <c r="AC318" i="3" s="1"/>
  <c r="F318" i="13"/>
  <c r="AC318" i="13" s="1"/>
  <c r="H301" i="3"/>
  <c r="H301" i="13"/>
  <c r="AL302" i="7"/>
  <c r="H297" i="3"/>
  <c r="H297" i="13"/>
  <c r="AL298" i="7"/>
  <c r="H304" i="3"/>
  <c r="H304" i="13"/>
  <c r="AL305" i="7"/>
  <c r="F314" i="3"/>
  <c r="AC314" i="3" s="1"/>
  <c r="F314" i="13"/>
  <c r="AC314" i="13" s="1"/>
  <c r="M345" i="7"/>
  <c r="F311" i="3"/>
  <c r="AC311" i="3" s="1"/>
  <c r="F311" i="13"/>
  <c r="AC311" i="13" s="1"/>
  <c r="H298" i="3"/>
  <c r="H298" i="13"/>
  <c r="AL299" i="7"/>
  <c r="H309" i="3"/>
  <c r="AL310" i="7"/>
  <c r="H309" i="13"/>
  <c r="O348" i="7"/>
  <c r="P347" i="7"/>
  <c r="F317" i="3"/>
  <c r="AC317" i="3" s="1"/>
  <c r="F317" i="13"/>
  <c r="AC317" i="13" s="1"/>
  <c r="F310" i="3"/>
  <c r="AC310" i="3" s="1"/>
  <c r="F310" i="13"/>
  <c r="AC310" i="13" s="1"/>
  <c r="F305" i="3"/>
  <c r="AC305" i="3" s="1"/>
  <c r="F305" i="13"/>
  <c r="AC305" i="13" s="1"/>
  <c r="F304" i="3"/>
  <c r="AC304" i="3" s="1"/>
  <c r="F304" i="13"/>
  <c r="AC304" i="13" s="1"/>
  <c r="H314" i="3"/>
  <c r="AL315" i="7"/>
  <c r="H314" i="13"/>
  <c r="K345" i="7"/>
  <c r="F300" i="3"/>
  <c r="AC300" i="3" s="1"/>
  <c r="F300" i="13"/>
  <c r="AC300" i="13" s="1"/>
  <c r="H306" i="3"/>
  <c r="H306" i="13"/>
  <c r="AL307" i="7"/>
  <c r="O347" i="3" l="1"/>
  <c r="O347" i="13"/>
  <c r="M352" i="1"/>
  <c r="O351" i="1"/>
  <c r="P347" i="3"/>
  <c r="S347" i="3" s="1"/>
  <c r="P347" i="13"/>
  <c r="S347" i="13" s="1"/>
  <c r="N352" i="1"/>
  <c r="Q346" i="13"/>
  <c r="Q346" i="3"/>
  <c r="B348" i="3"/>
  <c r="AF348" i="3" s="1"/>
  <c r="C347" i="3"/>
  <c r="Q354" i="1"/>
  <c r="S353" i="1"/>
  <c r="V350" i="1"/>
  <c r="T351" i="1"/>
  <c r="R346" i="13"/>
  <c r="T346" i="13"/>
  <c r="B347" i="13"/>
  <c r="AF347" i="13" s="1"/>
  <c r="C346" i="13"/>
  <c r="W352" i="1"/>
  <c r="Y351" i="1"/>
  <c r="R346" i="3"/>
  <c r="T346" i="3"/>
  <c r="H347" i="7"/>
  <c r="Z346" i="7"/>
  <c r="O349" i="7"/>
  <c r="P348" i="7"/>
  <c r="K346" i="7"/>
  <c r="Q347" i="7"/>
  <c r="W347" i="7"/>
  <c r="S347" i="7"/>
  <c r="R347" i="7"/>
  <c r="V347" i="7"/>
  <c r="K347" i="7" s="1"/>
  <c r="X347" i="7"/>
  <c r="M347" i="7" s="1"/>
  <c r="M346" i="7"/>
  <c r="B348" i="13" l="1"/>
  <c r="AF348" i="13" s="1"/>
  <c r="C347" i="13"/>
  <c r="T352" i="1"/>
  <c r="V351" i="1"/>
  <c r="Q347" i="13"/>
  <c r="Q347" i="3"/>
  <c r="B349" i="3"/>
  <c r="AF349" i="3" s="1"/>
  <c r="C348" i="3"/>
  <c r="P348" i="3"/>
  <c r="S348" i="3" s="1"/>
  <c r="N353" i="1"/>
  <c r="P348" i="13"/>
  <c r="S348" i="13" s="1"/>
  <c r="O348" i="3"/>
  <c r="O348" i="13"/>
  <c r="O352" i="1"/>
  <c r="M353" i="1"/>
  <c r="Z347" i="7"/>
  <c r="H348" i="7"/>
  <c r="Y352" i="1"/>
  <c r="W353" i="1"/>
  <c r="R347" i="13"/>
  <c r="T347" i="13"/>
  <c r="S354" i="1"/>
  <c r="Q355" i="1"/>
  <c r="R347" i="3"/>
  <c r="T347" i="3"/>
  <c r="R348" i="7"/>
  <c r="X348" i="7"/>
  <c r="W348" i="7"/>
  <c r="S348" i="7"/>
  <c r="Q348" i="7"/>
  <c r="V348" i="7"/>
  <c r="L347" i="7"/>
  <c r="P349" i="7"/>
  <c r="O350" i="7"/>
  <c r="Q348" i="13" l="1"/>
  <c r="Q348" i="3"/>
  <c r="P349" i="3"/>
  <c r="S349" i="3" s="1"/>
  <c r="P349" i="13"/>
  <c r="S349" i="13" s="1"/>
  <c r="N354" i="1"/>
  <c r="T353" i="1"/>
  <c r="V352" i="1"/>
  <c r="H349" i="7"/>
  <c r="Z348" i="7"/>
  <c r="R348" i="13"/>
  <c r="T348" i="13"/>
  <c r="R348" i="3"/>
  <c r="T348" i="3"/>
  <c r="B349" i="13"/>
  <c r="AF349" i="13" s="1"/>
  <c r="C348" i="13"/>
  <c r="S355" i="1"/>
  <c r="Q356" i="1"/>
  <c r="W354" i="1"/>
  <c r="Y353" i="1"/>
  <c r="O349" i="13"/>
  <c r="M354" i="1"/>
  <c r="O353" i="1"/>
  <c r="O349" i="3"/>
  <c r="B350" i="3"/>
  <c r="AF350" i="3" s="1"/>
  <c r="C349" i="3"/>
  <c r="X349" i="7"/>
  <c r="R349" i="7"/>
  <c r="V349" i="7"/>
  <c r="K349" i="7" s="1"/>
  <c r="W349" i="7"/>
  <c r="L349" i="7" s="1"/>
  <c r="Q349" i="7"/>
  <c r="S349" i="7"/>
  <c r="K348" i="7"/>
  <c r="M348" i="7"/>
  <c r="P350" i="7"/>
  <c r="O351" i="7"/>
  <c r="L348" i="7"/>
  <c r="R349" i="3" l="1"/>
  <c r="T349" i="3"/>
  <c r="Z349" i="7"/>
  <c r="H350" i="7"/>
  <c r="Q349" i="3"/>
  <c r="Q349" i="13"/>
  <c r="W355" i="1"/>
  <c r="Y354" i="1"/>
  <c r="B350" i="13"/>
  <c r="AF350" i="13" s="1"/>
  <c r="C349" i="13"/>
  <c r="B351" i="3"/>
  <c r="AF351" i="3" s="1"/>
  <c r="C350" i="3"/>
  <c r="O350" i="3"/>
  <c r="O350" i="13"/>
  <c r="O354" i="1"/>
  <c r="M355" i="1"/>
  <c r="Q357" i="1"/>
  <c r="S356" i="1"/>
  <c r="T354" i="1"/>
  <c r="V353" i="1"/>
  <c r="R349" i="13"/>
  <c r="T349" i="13"/>
  <c r="P350" i="3"/>
  <c r="S350" i="3" s="1"/>
  <c r="P350" i="13"/>
  <c r="S350" i="13" s="1"/>
  <c r="N355" i="1"/>
  <c r="P351" i="7"/>
  <c r="O352" i="7"/>
  <c r="R350" i="7"/>
  <c r="W350" i="7"/>
  <c r="X350" i="7"/>
  <c r="S350" i="7"/>
  <c r="V350" i="7"/>
  <c r="Q350" i="7"/>
  <c r="M349" i="7"/>
  <c r="R350" i="13" l="1"/>
  <c r="T350" i="13"/>
  <c r="H351" i="7"/>
  <c r="Z350" i="7"/>
  <c r="P351" i="3"/>
  <c r="S351" i="3" s="1"/>
  <c r="P351" i="13"/>
  <c r="S351" i="13" s="1"/>
  <c r="N356" i="1"/>
  <c r="Q358" i="1"/>
  <c r="S357" i="1"/>
  <c r="R350" i="3"/>
  <c r="T350" i="3"/>
  <c r="Y355" i="1"/>
  <c r="W356" i="1"/>
  <c r="O351" i="13"/>
  <c r="O351" i="3"/>
  <c r="M356" i="1"/>
  <c r="O355" i="1"/>
  <c r="B351" i="13"/>
  <c r="AF351" i="13" s="1"/>
  <c r="C350" i="13"/>
  <c r="V354" i="1"/>
  <c r="T355" i="1"/>
  <c r="Q350" i="13"/>
  <c r="Q350" i="3"/>
  <c r="B352" i="3"/>
  <c r="AF352" i="3" s="1"/>
  <c r="C351" i="3"/>
  <c r="L350" i="7"/>
  <c r="K350" i="7"/>
  <c r="O353" i="7"/>
  <c r="P352" i="7"/>
  <c r="M350" i="7"/>
  <c r="S351" i="7"/>
  <c r="W351" i="7"/>
  <c r="V351" i="7"/>
  <c r="Q351" i="7"/>
  <c r="X351" i="7"/>
  <c r="R351" i="7"/>
  <c r="O352" i="3" l="1"/>
  <c r="O352" i="13"/>
  <c r="O356" i="1"/>
  <c r="M357" i="1"/>
  <c r="S358" i="1"/>
  <c r="Q359" i="1"/>
  <c r="B352" i="13"/>
  <c r="AF352" i="13" s="1"/>
  <c r="C351" i="13"/>
  <c r="R351" i="3"/>
  <c r="T351" i="3"/>
  <c r="P352" i="3"/>
  <c r="S352" i="3" s="1"/>
  <c r="N357" i="1"/>
  <c r="P352" i="13"/>
  <c r="S352" i="13" s="1"/>
  <c r="Z351" i="7"/>
  <c r="H352" i="7"/>
  <c r="B353" i="3"/>
  <c r="AF353" i="3" s="1"/>
  <c r="C352" i="3"/>
  <c r="T356" i="1"/>
  <c r="V355" i="1"/>
  <c r="R351" i="13"/>
  <c r="T351" i="13"/>
  <c r="Q351" i="13"/>
  <c r="Q351" i="3"/>
  <c r="Y356" i="1"/>
  <c r="W357" i="1"/>
  <c r="P353" i="7"/>
  <c r="O354" i="7"/>
  <c r="L351" i="7"/>
  <c r="M351" i="7"/>
  <c r="V352" i="7"/>
  <c r="S352" i="7"/>
  <c r="W352" i="7"/>
  <c r="L352" i="7" s="1"/>
  <c r="Q352" i="7"/>
  <c r="R352" i="7"/>
  <c r="X352" i="7"/>
  <c r="K351" i="7"/>
  <c r="T357" i="1" l="1"/>
  <c r="V356" i="1"/>
  <c r="H353" i="7"/>
  <c r="Z352" i="7"/>
  <c r="B353" i="13"/>
  <c r="AF353" i="13" s="1"/>
  <c r="C352" i="13"/>
  <c r="O353" i="3"/>
  <c r="O353" i="13"/>
  <c r="M358" i="1"/>
  <c r="O357" i="1"/>
  <c r="W358" i="1"/>
  <c r="Y357" i="1"/>
  <c r="Q352" i="13"/>
  <c r="Q352" i="3"/>
  <c r="B354" i="3"/>
  <c r="AF354" i="3" s="1"/>
  <c r="C353" i="3"/>
  <c r="S359" i="1"/>
  <c r="Q360" i="1"/>
  <c r="R352" i="13"/>
  <c r="T352" i="13"/>
  <c r="P353" i="3"/>
  <c r="S353" i="3" s="1"/>
  <c r="P353" i="13"/>
  <c r="S353" i="13" s="1"/>
  <c r="N358" i="1"/>
  <c r="R352" i="3"/>
  <c r="T352" i="3"/>
  <c r="O355" i="7"/>
  <c r="P354" i="7"/>
  <c r="K352" i="7"/>
  <c r="X353" i="7"/>
  <c r="R353" i="7"/>
  <c r="V353" i="7"/>
  <c r="W353" i="7"/>
  <c r="L353" i="7" s="1"/>
  <c r="Q353" i="7"/>
  <c r="S353" i="7"/>
  <c r="M352" i="7"/>
  <c r="K353" i="7"/>
  <c r="Q361" i="1" l="1"/>
  <c r="S360" i="1"/>
  <c r="W359" i="1"/>
  <c r="Y358" i="1"/>
  <c r="R353" i="3"/>
  <c r="T353" i="3"/>
  <c r="Q353" i="3"/>
  <c r="Q353" i="13"/>
  <c r="Z353" i="7"/>
  <c r="H354" i="7"/>
  <c r="O354" i="3"/>
  <c r="O354" i="13"/>
  <c r="O358" i="1"/>
  <c r="M359" i="1"/>
  <c r="B354" i="13"/>
  <c r="AF354" i="13" s="1"/>
  <c r="C353" i="13"/>
  <c r="P354" i="3"/>
  <c r="S354" i="3" s="1"/>
  <c r="P354" i="13"/>
  <c r="S354" i="13" s="1"/>
  <c r="N359" i="1"/>
  <c r="B355" i="3"/>
  <c r="AF355" i="3" s="1"/>
  <c r="C354" i="3"/>
  <c r="R353" i="13"/>
  <c r="T353" i="13"/>
  <c r="T358" i="1"/>
  <c r="V357" i="1"/>
  <c r="S354" i="7"/>
  <c r="W354" i="7"/>
  <c r="R354" i="7"/>
  <c r="X354" i="7"/>
  <c r="M354" i="7" s="1"/>
  <c r="Q354" i="7"/>
  <c r="V354" i="7"/>
  <c r="M353" i="7"/>
  <c r="O356" i="7"/>
  <c r="P355" i="7"/>
  <c r="P355" i="3" l="1"/>
  <c r="S355" i="3" s="1"/>
  <c r="P355" i="13"/>
  <c r="S355" i="13" s="1"/>
  <c r="N360" i="1"/>
  <c r="B355" i="13"/>
  <c r="AF355" i="13" s="1"/>
  <c r="C354" i="13"/>
  <c r="R354" i="13"/>
  <c r="T354" i="13"/>
  <c r="R354" i="3"/>
  <c r="T354" i="3"/>
  <c r="W360" i="1"/>
  <c r="Y359" i="1"/>
  <c r="V358" i="1"/>
  <c r="T359" i="1"/>
  <c r="B356" i="3"/>
  <c r="AF356" i="3" s="1"/>
  <c r="C355" i="3"/>
  <c r="O355" i="13"/>
  <c r="O355" i="3"/>
  <c r="M360" i="1"/>
  <c r="O359" i="1"/>
  <c r="H355" i="7"/>
  <c r="Z354" i="7"/>
  <c r="Q354" i="13"/>
  <c r="Q354" i="3"/>
  <c r="S361" i="1"/>
  <c r="Q362" i="1"/>
  <c r="O357" i="7"/>
  <c r="P356" i="7"/>
  <c r="L354" i="7"/>
  <c r="X355" i="7"/>
  <c r="R355" i="7"/>
  <c r="V355" i="7"/>
  <c r="S355" i="7"/>
  <c r="Q355" i="7"/>
  <c r="W355" i="7"/>
  <c r="AC321" i="7"/>
  <c r="AG321" i="7" s="1"/>
  <c r="AC324" i="7"/>
  <c r="AG324" i="7" s="1"/>
  <c r="AB325" i="7"/>
  <c r="AC327" i="7"/>
  <c r="AG327" i="7" s="1"/>
  <c r="AC329" i="7"/>
  <c r="AG329" i="7" s="1"/>
  <c r="AC322" i="7"/>
  <c r="AG322" i="7" s="1"/>
  <c r="AB329" i="7"/>
  <c r="AC320" i="7"/>
  <c r="AG320" i="7" s="1"/>
  <c r="AB321" i="7"/>
  <c r="AB323" i="7"/>
  <c r="AC325" i="7"/>
  <c r="AG325" i="7" s="1"/>
  <c r="AB326" i="7"/>
  <c r="AC328" i="7"/>
  <c r="AG328" i="7" s="1"/>
  <c r="AB324" i="7"/>
  <c r="AB322" i="7"/>
  <c r="AC323" i="7"/>
  <c r="AG323" i="7" s="1"/>
  <c r="AC326" i="7"/>
  <c r="AG326" i="7" s="1"/>
  <c r="AB328" i="7"/>
  <c r="AB320" i="7"/>
  <c r="AB327" i="7"/>
  <c r="K355" i="7"/>
  <c r="L355" i="7"/>
  <c r="K354" i="7"/>
  <c r="AB330" i="7" l="1"/>
  <c r="AF330" i="7" s="1"/>
  <c r="O356" i="3"/>
  <c r="O356" i="13"/>
  <c r="O360" i="1"/>
  <c r="M361" i="1"/>
  <c r="B357" i="3"/>
  <c r="AF357" i="3" s="1"/>
  <c r="C356" i="3"/>
  <c r="S362" i="1"/>
  <c r="Q363" i="1"/>
  <c r="R355" i="3"/>
  <c r="T355" i="3"/>
  <c r="Y360" i="1"/>
  <c r="W361" i="1"/>
  <c r="P356" i="3"/>
  <c r="S356" i="3" s="1"/>
  <c r="N361" i="1"/>
  <c r="P356" i="13"/>
  <c r="S356" i="13" s="1"/>
  <c r="Z355" i="7"/>
  <c r="H356" i="7"/>
  <c r="R355" i="13"/>
  <c r="T355" i="13"/>
  <c r="T360" i="1"/>
  <c r="V359" i="1"/>
  <c r="Q355" i="13"/>
  <c r="Q355" i="3"/>
  <c r="B356" i="13"/>
  <c r="AF356" i="13" s="1"/>
  <c r="C355" i="13"/>
  <c r="AC330" i="7"/>
  <c r="AG330" i="7" s="1"/>
  <c r="G329" i="3" s="1"/>
  <c r="AD329" i="3" s="1"/>
  <c r="AF322" i="7"/>
  <c r="AD322" i="7"/>
  <c r="AH322" i="7" s="1"/>
  <c r="AD324" i="7"/>
  <c r="AH324" i="7" s="1"/>
  <c r="AF324" i="7"/>
  <c r="AF326" i="7"/>
  <c r="AD326" i="7"/>
  <c r="AH326" i="7" s="1"/>
  <c r="G319" i="3"/>
  <c r="AD319" i="3" s="1"/>
  <c r="G319" i="13"/>
  <c r="AD319" i="13" s="1"/>
  <c r="AD329" i="7"/>
  <c r="AH329" i="7" s="1"/>
  <c r="AF329" i="7"/>
  <c r="G328" i="3"/>
  <c r="AD328" i="3" s="1"/>
  <c r="G328" i="13"/>
  <c r="AD328" i="13" s="1"/>
  <c r="G320" i="3"/>
  <c r="AD320" i="3" s="1"/>
  <c r="G320" i="13"/>
  <c r="AD320" i="13" s="1"/>
  <c r="M355" i="7"/>
  <c r="O358" i="7"/>
  <c r="P357" i="7"/>
  <c r="G322" i="3"/>
  <c r="AD322" i="3" s="1"/>
  <c r="G322" i="13"/>
  <c r="AD322" i="13" s="1"/>
  <c r="AD321" i="7"/>
  <c r="AH321" i="7" s="1"/>
  <c r="AF321" i="7"/>
  <c r="G323" i="3"/>
  <c r="AD323" i="3" s="1"/>
  <c r="G323" i="13"/>
  <c r="AD323" i="13" s="1"/>
  <c r="S356" i="7"/>
  <c r="X356" i="7"/>
  <c r="M356" i="7" s="1"/>
  <c r="V356" i="7"/>
  <c r="K356" i="7" s="1"/>
  <c r="W356" i="7"/>
  <c r="R356" i="7"/>
  <c r="Q356" i="7"/>
  <c r="AF327" i="7"/>
  <c r="AD327" i="7"/>
  <c r="AH327" i="7" s="1"/>
  <c r="AD328" i="7"/>
  <c r="AH328" i="7" s="1"/>
  <c r="AF328" i="7"/>
  <c r="G324" i="3"/>
  <c r="AD324" i="3" s="1"/>
  <c r="G324" i="13"/>
  <c r="AD324" i="13" s="1"/>
  <c r="G321" i="13"/>
  <c r="AD321" i="13" s="1"/>
  <c r="G321" i="3"/>
  <c r="AD321" i="3" s="1"/>
  <c r="G326" i="3"/>
  <c r="AD326" i="3" s="1"/>
  <c r="G326" i="13"/>
  <c r="AD326" i="13" s="1"/>
  <c r="G327" i="13"/>
  <c r="AD327" i="13" s="1"/>
  <c r="G327" i="3"/>
  <c r="AD327" i="3" s="1"/>
  <c r="AD320" i="7"/>
  <c r="AH320" i="7" s="1"/>
  <c r="AF320" i="7"/>
  <c r="G325" i="3"/>
  <c r="AD325" i="3" s="1"/>
  <c r="G325" i="13"/>
  <c r="AD325" i="13" s="1"/>
  <c r="AF323" i="7"/>
  <c r="AD323" i="7"/>
  <c r="AH323" i="7" s="1"/>
  <c r="AD325" i="7"/>
  <c r="AH325" i="7" s="1"/>
  <c r="AF325" i="7"/>
  <c r="AD330" i="7" l="1"/>
  <c r="AH330" i="7" s="1"/>
  <c r="AL330" i="7" s="1"/>
  <c r="O357" i="13"/>
  <c r="M362" i="1"/>
  <c r="O357" i="3"/>
  <c r="O361" i="1"/>
  <c r="P357" i="3"/>
  <c r="S357" i="3" s="1"/>
  <c r="P357" i="13"/>
  <c r="S357" i="13" s="1"/>
  <c r="N362" i="1"/>
  <c r="Q356" i="13"/>
  <c r="Q356" i="3"/>
  <c r="B357" i="13"/>
  <c r="AF357" i="13" s="1"/>
  <c r="C356" i="13"/>
  <c r="H357" i="7"/>
  <c r="Z356" i="7"/>
  <c r="B358" i="3"/>
  <c r="AF358" i="3" s="1"/>
  <c r="C357" i="3"/>
  <c r="R356" i="13"/>
  <c r="T356" i="13"/>
  <c r="T361" i="1"/>
  <c r="V360" i="1"/>
  <c r="W362" i="1"/>
  <c r="Y361" i="1"/>
  <c r="Q364" i="1"/>
  <c r="S363" i="1"/>
  <c r="R356" i="3"/>
  <c r="T356" i="3"/>
  <c r="G329" i="13"/>
  <c r="AD329" i="13" s="1"/>
  <c r="F324" i="3"/>
  <c r="AC324" i="3" s="1"/>
  <c r="F324" i="13"/>
  <c r="AC324" i="13" s="1"/>
  <c r="H319" i="3"/>
  <c r="AL320" i="7"/>
  <c r="H319" i="13"/>
  <c r="H326" i="3"/>
  <c r="H326" i="13"/>
  <c r="AL327" i="7"/>
  <c r="L356" i="7"/>
  <c r="H320" i="3"/>
  <c r="H320" i="13"/>
  <c r="AL321" i="7"/>
  <c r="F323" i="3"/>
  <c r="AC323" i="3" s="1"/>
  <c r="F323" i="13"/>
  <c r="AC323" i="13" s="1"/>
  <c r="F322" i="13"/>
  <c r="AC322" i="13" s="1"/>
  <c r="F322" i="3"/>
  <c r="AC322" i="3" s="1"/>
  <c r="F319" i="3"/>
  <c r="AC319" i="3" s="1"/>
  <c r="F319" i="13"/>
  <c r="AC319" i="13" s="1"/>
  <c r="H327" i="13"/>
  <c r="H327" i="3"/>
  <c r="AL328" i="7"/>
  <c r="F320" i="3"/>
  <c r="AC320" i="3" s="1"/>
  <c r="F320" i="13"/>
  <c r="AC320" i="13" s="1"/>
  <c r="O359" i="7"/>
  <c r="P358" i="7"/>
  <c r="F325" i="3"/>
  <c r="AC325" i="3" s="1"/>
  <c r="F325" i="13"/>
  <c r="AC325" i="13" s="1"/>
  <c r="F321" i="3"/>
  <c r="AC321" i="3" s="1"/>
  <c r="F321" i="13"/>
  <c r="AC321" i="13" s="1"/>
  <c r="H324" i="3"/>
  <c r="AL325" i="7"/>
  <c r="H324" i="13"/>
  <c r="F326" i="3"/>
  <c r="AC326" i="3" s="1"/>
  <c r="F326" i="13"/>
  <c r="AC326" i="13" s="1"/>
  <c r="F328" i="3"/>
  <c r="AC328" i="3" s="1"/>
  <c r="F328" i="13"/>
  <c r="AC328" i="13" s="1"/>
  <c r="H323" i="3"/>
  <c r="H323" i="13"/>
  <c r="AL324" i="7"/>
  <c r="H322" i="3"/>
  <c r="AL323" i="7"/>
  <c r="H322" i="13"/>
  <c r="F329" i="3"/>
  <c r="AC329" i="3" s="1"/>
  <c r="F329" i="13"/>
  <c r="AC329" i="13" s="1"/>
  <c r="F327" i="3"/>
  <c r="AC327" i="3" s="1"/>
  <c r="F327" i="13"/>
  <c r="AC327" i="13" s="1"/>
  <c r="Q357" i="7"/>
  <c r="W357" i="7"/>
  <c r="X357" i="7"/>
  <c r="V357" i="7"/>
  <c r="K357" i="7" s="1"/>
  <c r="S357" i="7"/>
  <c r="R357" i="7"/>
  <c r="H328" i="3"/>
  <c r="H328" i="13"/>
  <c r="AL329" i="7"/>
  <c r="H325" i="3"/>
  <c r="H325" i="13"/>
  <c r="AL326" i="7"/>
  <c r="H321" i="3"/>
  <c r="H321" i="13"/>
  <c r="AL322" i="7"/>
  <c r="H329" i="13" l="1"/>
  <c r="H329" i="3"/>
  <c r="Q365" i="1"/>
  <c r="S364" i="1"/>
  <c r="T362" i="1"/>
  <c r="V361" i="1"/>
  <c r="B359" i="3"/>
  <c r="AF359" i="3" s="1"/>
  <c r="C358" i="3"/>
  <c r="Q357" i="13"/>
  <c r="Q357" i="3"/>
  <c r="B358" i="13"/>
  <c r="AF358" i="13" s="1"/>
  <c r="C357" i="13"/>
  <c r="P358" i="3"/>
  <c r="S358" i="3" s="1"/>
  <c r="P358" i="13"/>
  <c r="S358" i="13" s="1"/>
  <c r="N363" i="1"/>
  <c r="R357" i="3"/>
  <c r="T357" i="3"/>
  <c r="W363" i="1"/>
  <c r="Y362" i="1"/>
  <c r="O358" i="3"/>
  <c r="O358" i="13"/>
  <c r="O362" i="1"/>
  <c r="M363" i="1"/>
  <c r="Z357" i="7"/>
  <c r="H358" i="7"/>
  <c r="R357" i="13"/>
  <c r="T357" i="13"/>
  <c r="Q358" i="7"/>
  <c r="W358" i="7"/>
  <c r="R358" i="7"/>
  <c r="V358" i="7"/>
  <c r="K358" i="7" s="1"/>
  <c r="X358" i="7"/>
  <c r="S358" i="7"/>
  <c r="O360" i="7"/>
  <c r="P359" i="7"/>
  <c r="L357" i="7"/>
  <c r="M357" i="7"/>
  <c r="R358" i="3" l="1"/>
  <c r="T358" i="3"/>
  <c r="O359" i="13"/>
  <c r="M364" i="1"/>
  <c r="O359" i="3"/>
  <c r="O363" i="1"/>
  <c r="P359" i="3"/>
  <c r="S359" i="3" s="1"/>
  <c r="P359" i="13"/>
  <c r="S359" i="13" s="1"/>
  <c r="N364" i="1"/>
  <c r="B359" i="13"/>
  <c r="AF359" i="13" s="1"/>
  <c r="C358" i="13"/>
  <c r="V362" i="1"/>
  <c r="T363" i="1"/>
  <c r="Q358" i="13"/>
  <c r="Q358" i="3"/>
  <c r="Y363" i="1"/>
  <c r="W364" i="1"/>
  <c r="B360" i="3"/>
  <c r="AF360" i="3" s="1"/>
  <c r="C359" i="3"/>
  <c r="Z358" i="7"/>
  <c r="H359" i="7"/>
  <c r="R358" i="13"/>
  <c r="T358" i="13"/>
  <c r="S365" i="1"/>
  <c r="Q366" i="1"/>
  <c r="R359" i="7"/>
  <c r="S359" i="7"/>
  <c r="Q359" i="7"/>
  <c r="V359" i="7"/>
  <c r="W359" i="7"/>
  <c r="L359" i="7" s="1"/>
  <c r="X359" i="7"/>
  <c r="M359" i="7"/>
  <c r="P360" i="7"/>
  <c r="O361" i="7"/>
  <c r="L358" i="7"/>
  <c r="M358" i="7"/>
  <c r="B361" i="3" l="1"/>
  <c r="AF361" i="3" s="1"/>
  <c r="C360" i="3"/>
  <c r="O360" i="3"/>
  <c r="O360" i="13"/>
  <c r="O364" i="1"/>
  <c r="M365" i="1"/>
  <c r="S366" i="1"/>
  <c r="Q367" i="1"/>
  <c r="Z359" i="7"/>
  <c r="H360" i="7"/>
  <c r="C359" i="13"/>
  <c r="B360" i="13"/>
  <c r="AF360" i="13" s="1"/>
  <c r="R359" i="13"/>
  <c r="T359" i="13"/>
  <c r="Y364" i="1"/>
  <c r="W365" i="1"/>
  <c r="T364" i="1"/>
  <c r="V363" i="1"/>
  <c r="Q359" i="13"/>
  <c r="Q359" i="3"/>
  <c r="P360" i="3"/>
  <c r="S360" i="3" s="1"/>
  <c r="N365" i="1"/>
  <c r="P360" i="13"/>
  <c r="S360" i="13" s="1"/>
  <c r="R359" i="3"/>
  <c r="T359" i="3"/>
  <c r="Q360" i="7"/>
  <c r="W360" i="7"/>
  <c r="R360" i="7"/>
  <c r="V360" i="7"/>
  <c r="S360" i="7"/>
  <c r="X360" i="7"/>
  <c r="K359" i="7"/>
  <c r="O362" i="7"/>
  <c r="P361" i="7"/>
  <c r="P361" i="3" l="1"/>
  <c r="S361" i="3" s="1"/>
  <c r="P361" i="13"/>
  <c r="S361" i="13" s="1"/>
  <c r="N366" i="1"/>
  <c r="R360" i="3"/>
  <c r="T360" i="3"/>
  <c r="T365" i="1"/>
  <c r="V364" i="1"/>
  <c r="Z360" i="7"/>
  <c r="H361" i="7"/>
  <c r="O361" i="3"/>
  <c r="O361" i="13"/>
  <c r="M366" i="1"/>
  <c r="O365" i="1"/>
  <c r="W366" i="1"/>
  <c r="Y365" i="1"/>
  <c r="B361" i="13"/>
  <c r="AF361" i="13" s="1"/>
  <c r="C360" i="13"/>
  <c r="Q360" i="13"/>
  <c r="Q360" i="3"/>
  <c r="B362" i="3"/>
  <c r="AF362" i="3" s="1"/>
  <c r="C361" i="3"/>
  <c r="Q368" i="1"/>
  <c r="S367" i="1"/>
  <c r="R360" i="13"/>
  <c r="T360" i="13"/>
  <c r="O363" i="7"/>
  <c r="P362" i="7"/>
  <c r="K360" i="7"/>
  <c r="X361" i="7"/>
  <c r="M361" i="7" s="1"/>
  <c r="Q361" i="7"/>
  <c r="R361" i="7"/>
  <c r="V361" i="7"/>
  <c r="S361" i="7"/>
  <c r="W361" i="7"/>
  <c r="AC334" i="7"/>
  <c r="AG334" i="7" s="1"/>
  <c r="AB331" i="7"/>
  <c r="AC333" i="7"/>
  <c r="AG333" i="7" s="1"/>
  <c r="AB332" i="7"/>
  <c r="AB334" i="7"/>
  <c r="AC332" i="7"/>
  <c r="AG332" i="7" s="1"/>
  <c r="AC335" i="7"/>
  <c r="AG335" i="7" s="1"/>
  <c r="AB333" i="7"/>
  <c r="AB335" i="7"/>
  <c r="AC331" i="7"/>
  <c r="AG331" i="7" s="1"/>
  <c r="M360" i="7"/>
  <c r="L360" i="7"/>
  <c r="L361" i="7"/>
  <c r="B362" i="13" l="1"/>
  <c r="AF362" i="13" s="1"/>
  <c r="C361" i="13"/>
  <c r="Q361" i="13"/>
  <c r="Q361" i="3"/>
  <c r="Z361" i="7"/>
  <c r="H362" i="7"/>
  <c r="Q369" i="1"/>
  <c r="S369" i="1" s="1"/>
  <c r="S368" i="1"/>
  <c r="O362" i="3"/>
  <c r="O362" i="13"/>
  <c r="O366" i="1"/>
  <c r="M367" i="1"/>
  <c r="AC336" i="7"/>
  <c r="AG336" i="7" s="1"/>
  <c r="G335" i="13" s="1"/>
  <c r="AD335" i="13" s="1"/>
  <c r="R361" i="13"/>
  <c r="T361" i="13"/>
  <c r="P362" i="3"/>
  <c r="S362" i="3" s="1"/>
  <c r="P362" i="13"/>
  <c r="S362" i="13" s="1"/>
  <c r="N367" i="1"/>
  <c r="B363" i="3"/>
  <c r="AF363" i="3" s="1"/>
  <c r="C362" i="3"/>
  <c r="W367" i="1"/>
  <c r="Y366" i="1"/>
  <c r="R361" i="3"/>
  <c r="T361" i="3"/>
  <c r="T366" i="1"/>
  <c r="V365" i="1"/>
  <c r="G330" i="3"/>
  <c r="AD330" i="3" s="1"/>
  <c r="G330" i="13"/>
  <c r="AD330" i="13" s="1"/>
  <c r="G334" i="3"/>
  <c r="AD334" i="3" s="1"/>
  <c r="G334" i="13"/>
  <c r="AD334" i="13" s="1"/>
  <c r="AD332" i="7"/>
  <c r="AH332" i="7" s="1"/>
  <c r="AF332" i="7"/>
  <c r="G333" i="3"/>
  <c r="AD333" i="3" s="1"/>
  <c r="G333" i="13"/>
  <c r="AD333" i="13" s="1"/>
  <c r="R362" i="7"/>
  <c r="V362" i="7"/>
  <c r="X362" i="7"/>
  <c r="W362" i="7"/>
  <c r="Q362" i="7"/>
  <c r="S362" i="7"/>
  <c r="G331" i="3"/>
  <c r="AD331" i="3" s="1"/>
  <c r="G331" i="13"/>
  <c r="AD331" i="13" s="1"/>
  <c r="AF331" i="7"/>
  <c r="AD331" i="7"/>
  <c r="AH331" i="7" s="1"/>
  <c r="O364" i="7"/>
  <c r="P363" i="7"/>
  <c r="AF335" i="7"/>
  <c r="AD335" i="7"/>
  <c r="AH335" i="7" s="1"/>
  <c r="AF334" i="7"/>
  <c r="AD334" i="7"/>
  <c r="AH334" i="7" s="1"/>
  <c r="G332" i="3"/>
  <c r="AD332" i="3" s="1"/>
  <c r="G332" i="13"/>
  <c r="AD332" i="13" s="1"/>
  <c r="AD333" i="7"/>
  <c r="AH333" i="7" s="1"/>
  <c r="AF333" i="7"/>
  <c r="K361" i="7"/>
  <c r="G335" i="3" l="1"/>
  <c r="AD335" i="3" s="1"/>
  <c r="Q362" i="13"/>
  <c r="Q362" i="3"/>
  <c r="V366" i="1"/>
  <c r="T367" i="1"/>
  <c r="W368" i="1"/>
  <c r="Y367" i="1"/>
  <c r="P363" i="3"/>
  <c r="S363" i="3" s="1"/>
  <c r="P363" i="13"/>
  <c r="S363" i="13" s="1"/>
  <c r="N368" i="1"/>
  <c r="R362" i="13"/>
  <c r="T362" i="13"/>
  <c r="Z362" i="7"/>
  <c r="H363" i="7"/>
  <c r="R362" i="3"/>
  <c r="T362" i="3"/>
  <c r="B363" i="13"/>
  <c r="AF363" i="13" s="1"/>
  <c r="C362" i="13"/>
  <c r="B364" i="3"/>
  <c r="AF364" i="3" s="1"/>
  <c r="C363" i="3"/>
  <c r="O363" i="13"/>
  <c r="O363" i="3"/>
  <c r="M368" i="1"/>
  <c r="O367" i="1"/>
  <c r="F333" i="3"/>
  <c r="AC333" i="3" s="1"/>
  <c r="F333" i="13"/>
  <c r="AC333" i="13" s="1"/>
  <c r="Q363" i="7"/>
  <c r="W363" i="7"/>
  <c r="L363" i="7" s="1"/>
  <c r="S363" i="7"/>
  <c r="R363" i="7"/>
  <c r="V363" i="7"/>
  <c r="X363" i="7"/>
  <c r="M363" i="7" s="1"/>
  <c r="F330" i="3"/>
  <c r="AC330" i="3" s="1"/>
  <c r="F330" i="13"/>
  <c r="AC330" i="13" s="1"/>
  <c r="H334" i="3"/>
  <c r="H334" i="13"/>
  <c r="AL335" i="7"/>
  <c r="P364" i="7"/>
  <c r="O365" i="7"/>
  <c r="K362" i="7"/>
  <c r="M362" i="7"/>
  <c r="F332" i="3"/>
  <c r="AC332" i="3" s="1"/>
  <c r="F332" i="13"/>
  <c r="AC332" i="13" s="1"/>
  <c r="F334" i="3"/>
  <c r="AC334" i="3" s="1"/>
  <c r="F334" i="13"/>
  <c r="AC334" i="13" s="1"/>
  <c r="F331" i="3"/>
  <c r="AC331" i="3" s="1"/>
  <c r="F331" i="13"/>
  <c r="AC331" i="13" s="1"/>
  <c r="AL333" i="7"/>
  <c r="H332" i="3"/>
  <c r="H332" i="13"/>
  <c r="H333" i="3"/>
  <c r="H333" i="13"/>
  <c r="AL334" i="7"/>
  <c r="H330" i="3"/>
  <c r="H330" i="13"/>
  <c r="AL331" i="7"/>
  <c r="L362" i="7"/>
  <c r="H331" i="3"/>
  <c r="AL332" i="7"/>
  <c r="H331" i="13"/>
  <c r="O364" i="3" l="1"/>
  <c r="O364" i="13"/>
  <c r="O368" i="1"/>
  <c r="M369" i="1"/>
  <c r="C364" i="3"/>
  <c r="B365" i="3"/>
  <c r="AF365" i="3" s="1"/>
  <c r="T368" i="1"/>
  <c r="V367" i="1"/>
  <c r="R363" i="3"/>
  <c r="T363" i="3"/>
  <c r="R363" i="13"/>
  <c r="T363" i="13"/>
  <c r="Q363" i="13"/>
  <c r="Q363" i="3"/>
  <c r="B364" i="13"/>
  <c r="AF364" i="13" s="1"/>
  <c r="C363" i="13"/>
  <c r="Z363" i="7"/>
  <c r="H364" i="7"/>
  <c r="P364" i="3"/>
  <c r="S364" i="3" s="1"/>
  <c r="N369" i="1"/>
  <c r="P364" i="13"/>
  <c r="S364" i="13" s="1"/>
  <c r="Y368" i="1"/>
  <c r="W369" i="1"/>
  <c r="Y369" i="1" s="1"/>
  <c r="O366" i="7"/>
  <c r="P365" i="7"/>
  <c r="R364" i="7"/>
  <c r="X364" i="7"/>
  <c r="S364" i="7"/>
  <c r="W364" i="7"/>
  <c r="Q364" i="7"/>
  <c r="V364" i="7"/>
  <c r="K363" i="7"/>
  <c r="Z364" i="7" l="1"/>
  <c r="H365" i="7"/>
  <c r="T369" i="1"/>
  <c r="V369" i="1" s="1"/>
  <c r="V368" i="1"/>
  <c r="O369" i="1"/>
  <c r="O365" i="3"/>
  <c r="O365" i="13"/>
  <c r="C365" i="3"/>
  <c r="U37" i="14" s="1"/>
  <c r="Q364" i="13"/>
  <c r="Q364" i="3"/>
  <c r="P365" i="3"/>
  <c r="S365" i="3" s="1"/>
  <c r="P365" i="13"/>
  <c r="S365" i="13" s="1"/>
  <c r="R364" i="13"/>
  <c r="T364" i="13"/>
  <c r="B365" i="13"/>
  <c r="AF365" i="13" s="1"/>
  <c r="C364" i="13"/>
  <c r="R364" i="3"/>
  <c r="T364" i="3"/>
  <c r="O367" i="7"/>
  <c r="P366" i="7"/>
  <c r="M364" i="7"/>
  <c r="R365" i="7"/>
  <c r="V365" i="7"/>
  <c r="X365" i="7"/>
  <c r="M365" i="7" s="1"/>
  <c r="S365" i="7"/>
  <c r="W365" i="7"/>
  <c r="Q365" i="7"/>
  <c r="L364" i="7"/>
  <c r="L365" i="7"/>
  <c r="K364" i="7"/>
  <c r="C365" i="13" l="1"/>
  <c r="U37" i="15" s="1"/>
  <c r="T365" i="13"/>
  <c r="R365" i="13"/>
  <c r="R365" i="3"/>
  <c r="T365" i="3"/>
  <c r="Z365" i="7"/>
  <c r="H366" i="7"/>
  <c r="Q365" i="3"/>
  <c r="Q365" i="13"/>
  <c r="K366" i="7"/>
  <c r="R366" i="7"/>
  <c r="X366" i="7"/>
  <c r="M366" i="7" s="1"/>
  <c r="S366" i="7"/>
  <c r="AC355" i="7" s="1"/>
  <c r="AG355" i="7" s="1"/>
  <c r="W366" i="7"/>
  <c r="L366" i="7" s="1"/>
  <c r="V366" i="7"/>
  <c r="Q366" i="7"/>
  <c r="AC358" i="7"/>
  <c r="AG358" i="7" s="1"/>
  <c r="AB354" i="7"/>
  <c r="AB360" i="7"/>
  <c r="AC363" i="7"/>
  <c r="AG363" i="7" s="1"/>
  <c r="K365" i="7"/>
  <c r="O368" i="7"/>
  <c r="P367" i="7"/>
  <c r="AB364" i="7"/>
  <c r="AB365" i="7" l="1"/>
  <c r="AD365" i="7" s="1"/>
  <c r="AH365" i="7" s="1"/>
  <c r="Z366" i="7"/>
  <c r="AB366" i="7" s="1"/>
  <c r="H367" i="7"/>
  <c r="Z367" i="7" s="1"/>
  <c r="AC366" i="7"/>
  <c r="G362" i="3"/>
  <c r="AD362" i="3" s="1"/>
  <c r="G362" i="13"/>
  <c r="AD362" i="13" s="1"/>
  <c r="G354" i="3"/>
  <c r="AD354" i="3" s="1"/>
  <c r="G354" i="13"/>
  <c r="AD354" i="13" s="1"/>
  <c r="AC341" i="7"/>
  <c r="AG341" i="7" s="1"/>
  <c r="AB341" i="7"/>
  <c r="AB336" i="7"/>
  <c r="AC339" i="7"/>
  <c r="AG339" i="7" s="1"/>
  <c r="AB340" i="7"/>
  <c r="AB337" i="7"/>
  <c r="AC340" i="7"/>
  <c r="AG340" i="7" s="1"/>
  <c r="AC342" i="7"/>
  <c r="AG342" i="7" s="1"/>
  <c r="AC338" i="7"/>
  <c r="AG338" i="7" s="1"/>
  <c r="AB339" i="7"/>
  <c r="AB338" i="7"/>
  <c r="AC337" i="7"/>
  <c r="AG337" i="7" s="1"/>
  <c r="AB353" i="7"/>
  <c r="AC351" i="7"/>
  <c r="AG351" i="7" s="1"/>
  <c r="AB359" i="7"/>
  <c r="AB346" i="7"/>
  <c r="AB343" i="7"/>
  <c r="AB347" i="7"/>
  <c r="AC344" i="7"/>
  <c r="AG344" i="7" s="1"/>
  <c r="AC349" i="7"/>
  <c r="AG349" i="7" s="1"/>
  <c r="AB352" i="7"/>
  <c r="AB351" i="7"/>
  <c r="AC345" i="7"/>
  <c r="AG345" i="7" s="1"/>
  <c r="AB344" i="7"/>
  <c r="AC347" i="7"/>
  <c r="AG347" i="7" s="1"/>
  <c r="AB345" i="7"/>
  <c r="AC352" i="7"/>
  <c r="AG352" i="7" s="1"/>
  <c r="AC348" i="7"/>
  <c r="AG348" i="7" s="1"/>
  <c r="AC346" i="7"/>
  <c r="AG346" i="7" s="1"/>
  <c r="AB342" i="7"/>
  <c r="AB349" i="7"/>
  <c r="AB350" i="7"/>
  <c r="AC343" i="7"/>
  <c r="AG343" i="7" s="1"/>
  <c r="AB348" i="7"/>
  <c r="AC350" i="7"/>
  <c r="AG350" i="7" s="1"/>
  <c r="AC359" i="7"/>
  <c r="AG359" i="7" s="1"/>
  <c r="AB357" i="7"/>
  <c r="AC357" i="7"/>
  <c r="AG357" i="7" s="1"/>
  <c r="AC353" i="7"/>
  <c r="AG353" i="7" s="1"/>
  <c r="AC354" i="7"/>
  <c r="AG354" i="7" s="1"/>
  <c r="AC356" i="7"/>
  <c r="AG356" i="7" s="1"/>
  <c r="AB356" i="7"/>
  <c r="AC360" i="7"/>
  <c r="AG360" i="7" s="1"/>
  <c r="AB355" i="7"/>
  <c r="AC361" i="7"/>
  <c r="AG361" i="7" s="1"/>
  <c r="AD364" i="7"/>
  <c r="AH364" i="7" s="1"/>
  <c r="AF364" i="7"/>
  <c r="G357" i="3"/>
  <c r="AD357" i="3" s="1"/>
  <c r="G357" i="13"/>
  <c r="AD357" i="13" s="1"/>
  <c r="AC362" i="7"/>
  <c r="AG362" i="7" s="1"/>
  <c r="S367" i="7"/>
  <c r="Q367" i="7"/>
  <c r="R367" i="7"/>
  <c r="AD360" i="7"/>
  <c r="AH360" i="7" s="1"/>
  <c r="AF360" i="7"/>
  <c r="AC364" i="7"/>
  <c r="AG364" i="7" s="1"/>
  <c r="P368" i="7"/>
  <c r="O369" i="7"/>
  <c r="AF354" i="7"/>
  <c r="AD354" i="7"/>
  <c r="AH354" i="7" s="1"/>
  <c r="AB361" i="7"/>
  <c r="AB362" i="7"/>
  <c r="AB358" i="7"/>
  <c r="AB363" i="7"/>
  <c r="AC365" i="7"/>
  <c r="AG365" i="7" s="1"/>
  <c r="AF365" i="7" l="1"/>
  <c r="F364" i="13" s="1"/>
  <c r="AC364" i="13" s="1"/>
  <c r="AG366" i="7"/>
  <c r="G365" i="3" s="1"/>
  <c r="AD365" i="3" s="1"/>
  <c r="AF366" i="7"/>
  <c r="F365" i="3" s="1"/>
  <c r="AC365" i="3" s="1"/>
  <c r="AD366" i="7"/>
  <c r="AH366" i="7" s="1"/>
  <c r="H365" i="3" s="1"/>
  <c r="AF358" i="7"/>
  <c r="AD358" i="7"/>
  <c r="AH358" i="7" s="1"/>
  <c r="F353" i="3"/>
  <c r="AC353" i="3" s="1"/>
  <c r="F353" i="13"/>
  <c r="AC353" i="13" s="1"/>
  <c r="F364" i="3"/>
  <c r="AC364" i="3" s="1"/>
  <c r="F359" i="3"/>
  <c r="AC359" i="3" s="1"/>
  <c r="F359" i="13"/>
  <c r="AC359" i="13" s="1"/>
  <c r="AF355" i="7"/>
  <c r="AD355" i="7"/>
  <c r="AH355" i="7" s="1"/>
  <c r="G353" i="3"/>
  <c r="AD353" i="3" s="1"/>
  <c r="G353" i="13"/>
  <c r="AD353" i="13" s="1"/>
  <c r="G358" i="3"/>
  <c r="AD358" i="3" s="1"/>
  <c r="G358" i="13"/>
  <c r="AD358" i="13" s="1"/>
  <c r="AF350" i="7"/>
  <c r="AD350" i="7"/>
  <c r="AH350" i="7" s="1"/>
  <c r="G347" i="3"/>
  <c r="AD347" i="3" s="1"/>
  <c r="G347" i="13"/>
  <c r="AD347" i="13" s="1"/>
  <c r="AD344" i="7"/>
  <c r="AH344" i="7" s="1"/>
  <c r="AF344" i="7"/>
  <c r="G348" i="3"/>
  <c r="AD348" i="3" s="1"/>
  <c r="G348" i="13"/>
  <c r="AD348" i="13" s="1"/>
  <c r="AF346" i="7"/>
  <c r="AD346" i="7"/>
  <c r="AH346" i="7" s="1"/>
  <c r="G336" i="3"/>
  <c r="AD336" i="3" s="1"/>
  <c r="G336" i="13"/>
  <c r="AD336" i="13" s="1"/>
  <c r="G341" i="3"/>
  <c r="AD341" i="3" s="1"/>
  <c r="G341" i="13"/>
  <c r="AD341" i="13" s="1"/>
  <c r="G338" i="3"/>
  <c r="AD338" i="3" s="1"/>
  <c r="G338" i="13"/>
  <c r="AD338" i="13" s="1"/>
  <c r="G360" i="3"/>
  <c r="AD360" i="3" s="1"/>
  <c r="G360" i="13"/>
  <c r="AD360" i="13" s="1"/>
  <c r="G342" i="3"/>
  <c r="AD342" i="3" s="1"/>
  <c r="G342" i="13"/>
  <c r="AD342" i="13" s="1"/>
  <c r="G346" i="3"/>
  <c r="AD346" i="3" s="1"/>
  <c r="G346" i="13"/>
  <c r="AD346" i="13" s="1"/>
  <c r="AD352" i="7"/>
  <c r="AH352" i="7" s="1"/>
  <c r="AF352" i="7"/>
  <c r="AD353" i="7"/>
  <c r="AH353" i="7" s="1"/>
  <c r="AF353" i="7"/>
  <c r="G337" i="13"/>
  <c r="AD337" i="13" s="1"/>
  <c r="G337" i="3"/>
  <c r="AD337" i="3" s="1"/>
  <c r="AD340" i="7"/>
  <c r="AH340" i="7" s="1"/>
  <c r="AF340" i="7"/>
  <c r="G340" i="3"/>
  <c r="AD340" i="3" s="1"/>
  <c r="G340" i="13"/>
  <c r="AD340" i="13" s="1"/>
  <c r="P369" i="7"/>
  <c r="O370" i="7"/>
  <c r="H364" i="3"/>
  <c r="AL365" i="7"/>
  <c r="H364" i="13"/>
  <c r="H359" i="3"/>
  <c r="AL360" i="7"/>
  <c r="H359" i="13"/>
  <c r="G361" i="3"/>
  <c r="AD361" i="3" s="1"/>
  <c r="G361" i="13"/>
  <c r="AD361" i="13" s="1"/>
  <c r="F363" i="3"/>
  <c r="AC363" i="3" s="1"/>
  <c r="F363" i="13"/>
  <c r="AC363" i="13" s="1"/>
  <c r="G359" i="3"/>
  <c r="AD359" i="3" s="1"/>
  <c r="G359" i="13"/>
  <c r="AD359" i="13" s="1"/>
  <c r="G352" i="3"/>
  <c r="AD352" i="3" s="1"/>
  <c r="G352" i="13"/>
  <c r="AD352" i="13" s="1"/>
  <c r="G349" i="3"/>
  <c r="AD349" i="3" s="1"/>
  <c r="G349" i="13"/>
  <c r="AD349" i="13" s="1"/>
  <c r="AD349" i="7"/>
  <c r="AH349" i="7" s="1"/>
  <c r="AF349" i="7"/>
  <c r="G351" i="13"/>
  <c r="AD351" i="13" s="1"/>
  <c r="G351" i="3"/>
  <c r="AD351" i="3" s="1"/>
  <c r="G344" i="3"/>
  <c r="AD344" i="3" s="1"/>
  <c r="G344" i="13"/>
  <c r="AD344" i="13" s="1"/>
  <c r="G343" i="3"/>
  <c r="AD343" i="3" s="1"/>
  <c r="G343" i="13"/>
  <c r="AD343" i="13" s="1"/>
  <c r="AF359" i="7"/>
  <c r="AD359" i="7"/>
  <c r="AH359" i="7" s="1"/>
  <c r="AF338" i="7"/>
  <c r="AD338" i="7"/>
  <c r="AH338" i="7" s="1"/>
  <c r="G339" i="3"/>
  <c r="AD339" i="3" s="1"/>
  <c r="G339" i="13"/>
  <c r="AD339" i="13" s="1"/>
  <c r="AD336" i="7"/>
  <c r="AH336" i="7" s="1"/>
  <c r="AF336" i="7"/>
  <c r="AF363" i="7"/>
  <c r="AD363" i="7"/>
  <c r="AH363" i="7" s="1"/>
  <c r="H353" i="3"/>
  <c r="H353" i="13"/>
  <c r="AL354" i="7"/>
  <c r="G363" i="13"/>
  <c r="AD363" i="13" s="1"/>
  <c r="G363" i="3"/>
  <c r="AD363" i="3" s="1"/>
  <c r="G355" i="3"/>
  <c r="AD355" i="3" s="1"/>
  <c r="G355" i="13"/>
  <c r="AD355" i="13" s="1"/>
  <c r="AD357" i="7"/>
  <c r="AH357" i="7" s="1"/>
  <c r="AF357" i="7"/>
  <c r="G345" i="3"/>
  <c r="AD345" i="3" s="1"/>
  <c r="G345" i="13"/>
  <c r="AD345" i="13" s="1"/>
  <c r="AF343" i="7"/>
  <c r="AD343" i="7"/>
  <c r="AH343" i="7" s="1"/>
  <c r="AF362" i="7"/>
  <c r="AD362" i="7"/>
  <c r="AH362" i="7" s="1"/>
  <c r="G364" i="3"/>
  <c r="AD364" i="3" s="1"/>
  <c r="G364" i="13"/>
  <c r="AD364" i="13" s="1"/>
  <c r="AD361" i="7"/>
  <c r="AH361" i="7" s="1"/>
  <c r="AF361" i="7"/>
  <c r="S368" i="7"/>
  <c r="Q368" i="7"/>
  <c r="R368" i="7"/>
  <c r="H363" i="3"/>
  <c r="H363" i="13"/>
  <c r="AL364" i="7"/>
  <c r="AD356" i="7"/>
  <c r="AH356" i="7" s="1"/>
  <c r="AF356" i="7"/>
  <c r="G356" i="3"/>
  <c r="AD356" i="3" s="1"/>
  <c r="G356" i="13"/>
  <c r="AD356" i="13" s="1"/>
  <c r="AD348" i="7"/>
  <c r="AH348" i="7" s="1"/>
  <c r="AF348" i="7"/>
  <c r="AF342" i="7"/>
  <c r="AD342" i="7"/>
  <c r="AH342" i="7" s="1"/>
  <c r="AD345" i="7"/>
  <c r="AH345" i="7" s="1"/>
  <c r="AF345" i="7"/>
  <c r="AF351" i="7"/>
  <c r="AD351" i="7"/>
  <c r="AH351" i="7" s="1"/>
  <c r="AF347" i="7"/>
  <c r="AD347" i="7"/>
  <c r="AH347" i="7" s="1"/>
  <c r="G350" i="3"/>
  <c r="AD350" i="3" s="1"/>
  <c r="G350" i="13"/>
  <c r="AD350" i="13" s="1"/>
  <c r="AF339" i="7"/>
  <c r="AD339" i="7"/>
  <c r="AH339" i="7" s="1"/>
  <c r="AD337" i="7"/>
  <c r="AH337" i="7" s="1"/>
  <c r="AF337" i="7"/>
  <c r="AD341" i="7"/>
  <c r="AH341" i="7" s="1"/>
  <c r="AF341" i="7"/>
  <c r="G365" i="13" l="1"/>
  <c r="AD365" i="13" s="1"/>
  <c r="AL366" i="7"/>
  <c r="H365" i="13"/>
  <c r="F365" i="13"/>
  <c r="AC365" i="13" s="1"/>
  <c r="F336" i="3"/>
  <c r="AC336" i="3" s="1"/>
  <c r="F336" i="13"/>
  <c r="AC336" i="13" s="1"/>
  <c r="F346" i="3"/>
  <c r="AC346" i="3" s="1"/>
  <c r="F346" i="13"/>
  <c r="AC346" i="13" s="1"/>
  <c r="H344" i="3"/>
  <c r="H344" i="13"/>
  <c r="AL345" i="7"/>
  <c r="H347" i="3"/>
  <c r="H347" i="13"/>
  <c r="AL348" i="7"/>
  <c r="F355" i="3"/>
  <c r="AC355" i="3" s="1"/>
  <c r="F355" i="13"/>
  <c r="AC355" i="13" s="1"/>
  <c r="H360" i="3"/>
  <c r="H360" i="13"/>
  <c r="AL361" i="7"/>
  <c r="H361" i="3"/>
  <c r="H361" i="13"/>
  <c r="AL362" i="7"/>
  <c r="AL357" i="7"/>
  <c r="H356" i="3"/>
  <c r="H356" i="13"/>
  <c r="F337" i="3"/>
  <c r="AC337" i="3" s="1"/>
  <c r="F337" i="13"/>
  <c r="AC337" i="13" s="1"/>
  <c r="F348" i="3"/>
  <c r="AC348" i="3" s="1"/>
  <c r="F348" i="13"/>
  <c r="AC348" i="13" s="1"/>
  <c r="H352" i="3"/>
  <c r="H352" i="13"/>
  <c r="AL353" i="7"/>
  <c r="F345" i="3"/>
  <c r="AC345" i="3" s="1"/>
  <c r="F345" i="13"/>
  <c r="AC345" i="13" s="1"/>
  <c r="F343" i="3"/>
  <c r="AC343" i="3" s="1"/>
  <c r="F343" i="13"/>
  <c r="AC343" i="13" s="1"/>
  <c r="H346" i="3"/>
  <c r="H346" i="13"/>
  <c r="AL347" i="7"/>
  <c r="F344" i="3"/>
  <c r="AC344" i="3" s="1"/>
  <c r="F344" i="13"/>
  <c r="AC344" i="13" s="1"/>
  <c r="F347" i="3"/>
  <c r="AC347" i="3" s="1"/>
  <c r="F347" i="13"/>
  <c r="AC347" i="13" s="1"/>
  <c r="F360" i="3"/>
  <c r="AC360" i="3" s="1"/>
  <c r="F360" i="13"/>
  <c r="AC360" i="13" s="1"/>
  <c r="F342" i="3"/>
  <c r="AC342" i="3" s="1"/>
  <c r="F342" i="13"/>
  <c r="AC342" i="13" s="1"/>
  <c r="F356" i="3"/>
  <c r="AC356" i="3" s="1"/>
  <c r="F356" i="13"/>
  <c r="AC356" i="13" s="1"/>
  <c r="F362" i="3"/>
  <c r="AC362" i="3" s="1"/>
  <c r="F362" i="13"/>
  <c r="AC362" i="13" s="1"/>
  <c r="H335" i="13"/>
  <c r="H335" i="3"/>
  <c r="AL336" i="7"/>
  <c r="H337" i="3"/>
  <c r="AL338" i="7"/>
  <c r="H337" i="13"/>
  <c r="H339" i="3"/>
  <c r="H339" i="13"/>
  <c r="AL340" i="7"/>
  <c r="H345" i="3"/>
  <c r="H345" i="13"/>
  <c r="AL346" i="7"/>
  <c r="H336" i="3"/>
  <c r="AL337" i="7"/>
  <c r="H336" i="13"/>
  <c r="H350" i="3"/>
  <c r="H350" i="13"/>
  <c r="AL351" i="7"/>
  <c r="H341" i="3"/>
  <c r="H341" i="13"/>
  <c r="AL342" i="7"/>
  <c r="H355" i="3"/>
  <c r="AL356" i="7"/>
  <c r="H355" i="13"/>
  <c r="F361" i="3"/>
  <c r="AC361" i="3" s="1"/>
  <c r="F361" i="13"/>
  <c r="AC361" i="13" s="1"/>
  <c r="H358" i="3"/>
  <c r="H358" i="13"/>
  <c r="AL359" i="7"/>
  <c r="H348" i="3"/>
  <c r="H348" i="13"/>
  <c r="AL349" i="7"/>
  <c r="O371" i="7"/>
  <c r="P370" i="7"/>
  <c r="F351" i="3"/>
  <c r="AC351" i="3" s="1"/>
  <c r="F351" i="13"/>
  <c r="AC351" i="13" s="1"/>
  <c r="AL344" i="7"/>
  <c r="H343" i="3"/>
  <c r="H343" i="13"/>
  <c r="H349" i="3"/>
  <c r="AL350" i="7"/>
  <c r="H349" i="13"/>
  <c r="H354" i="3"/>
  <c r="H354" i="13"/>
  <c r="AL355" i="7"/>
  <c r="H357" i="3"/>
  <c r="AL358" i="7"/>
  <c r="H357" i="13"/>
  <c r="H340" i="3"/>
  <c r="AL341" i="7"/>
  <c r="H340" i="13"/>
  <c r="F338" i="3"/>
  <c r="AC338" i="3" s="1"/>
  <c r="F338" i="13"/>
  <c r="AC338" i="13" s="1"/>
  <c r="F352" i="3"/>
  <c r="AC352" i="3" s="1"/>
  <c r="F352" i="13"/>
  <c r="AC352" i="13" s="1"/>
  <c r="F340" i="3"/>
  <c r="AC340" i="3" s="1"/>
  <c r="F340" i="13"/>
  <c r="AC340" i="13" s="1"/>
  <c r="H338" i="3"/>
  <c r="H338" i="13"/>
  <c r="AL339" i="7"/>
  <c r="F350" i="3"/>
  <c r="AC350" i="3" s="1"/>
  <c r="F350" i="13"/>
  <c r="AC350" i="13" s="1"/>
  <c r="F341" i="3"/>
  <c r="AC341" i="3" s="1"/>
  <c r="F341" i="13"/>
  <c r="AC341" i="13" s="1"/>
  <c r="H342" i="3"/>
  <c r="H342" i="13"/>
  <c r="AL343" i="7"/>
  <c r="H362" i="3"/>
  <c r="AL363" i="7"/>
  <c r="H362" i="13"/>
  <c r="F335" i="13"/>
  <c r="AC335" i="13" s="1"/>
  <c r="F335" i="3"/>
  <c r="AC335" i="3" s="1"/>
  <c r="F358" i="3"/>
  <c r="AC358" i="3" s="1"/>
  <c r="F358" i="13"/>
  <c r="AC358" i="13" s="1"/>
  <c r="R369" i="7"/>
  <c r="Q369" i="7"/>
  <c r="S369" i="7"/>
  <c r="F339" i="3"/>
  <c r="AC339" i="3" s="1"/>
  <c r="F339" i="13"/>
  <c r="AC339" i="13" s="1"/>
  <c r="H351" i="3"/>
  <c r="H351" i="13"/>
  <c r="AL352" i="7"/>
  <c r="F349" i="3"/>
  <c r="AC349" i="3" s="1"/>
  <c r="F349" i="13"/>
  <c r="AC349" i="13" s="1"/>
  <c r="F354" i="3"/>
  <c r="AC354" i="3" s="1"/>
  <c r="F354" i="13"/>
  <c r="AC354" i="13" s="1"/>
  <c r="F357" i="3"/>
  <c r="AC357" i="3" s="1"/>
  <c r="F357" i="13"/>
  <c r="AC357" i="13" s="1"/>
  <c r="O372" i="7" l="1"/>
  <c r="P371" i="7"/>
  <c r="S370" i="7"/>
  <c r="Q370" i="7"/>
  <c r="R370" i="7"/>
  <c r="R371" i="7" l="1"/>
  <c r="Q371" i="7"/>
  <c r="S371" i="7"/>
  <c r="P372" i="7"/>
  <c r="O373" i="7"/>
  <c r="S372" i="7" l="1"/>
  <c r="Q372" i="7"/>
  <c r="R372" i="7"/>
  <c r="O374" i="7"/>
  <c r="P373" i="7"/>
  <c r="P374" i="7" l="1"/>
  <c r="O375" i="7"/>
  <c r="R373" i="7"/>
  <c r="S373" i="7"/>
  <c r="Q373" i="7"/>
  <c r="P375" i="7" l="1"/>
  <c r="O376" i="7"/>
  <c r="Q374" i="7"/>
  <c r="R374" i="7"/>
  <c r="S374" i="7"/>
  <c r="O377" i="7" l="1"/>
  <c r="P376" i="7"/>
  <c r="R375" i="7"/>
  <c r="S375" i="7"/>
  <c r="Q375" i="7"/>
  <c r="S376" i="7" l="1"/>
  <c r="Q376" i="7"/>
  <c r="R376" i="7"/>
  <c r="P377" i="7"/>
  <c r="O378" i="7"/>
  <c r="R377" i="7" l="1"/>
  <c r="S377" i="7"/>
  <c r="Q377" i="7"/>
  <c r="O379" i="7"/>
  <c r="P378" i="7"/>
  <c r="O380" i="7" l="1"/>
  <c r="P379" i="7"/>
  <c r="S378" i="7"/>
  <c r="Q378" i="7"/>
  <c r="R378" i="7"/>
  <c r="Q379" i="7" l="1"/>
  <c r="R379" i="7"/>
  <c r="S379" i="7"/>
  <c r="P380" i="7"/>
  <c r="O381" i="7"/>
  <c r="Q380" i="7" l="1"/>
  <c r="R380" i="7"/>
  <c r="S380" i="7"/>
  <c r="P381" i="7"/>
  <c r="O382" i="7"/>
  <c r="R381" i="7" l="1"/>
  <c r="S381" i="7"/>
  <c r="Q381" i="7"/>
  <c r="O383" i="7"/>
  <c r="P382" i="7"/>
  <c r="O384" i="7" l="1"/>
  <c r="P383" i="7"/>
  <c r="S382" i="7"/>
  <c r="R382" i="7"/>
  <c r="Q382" i="7"/>
  <c r="Q383" i="7" l="1"/>
  <c r="S383" i="7"/>
  <c r="R383" i="7"/>
  <c r="P384" i="7"/>
  <c r="O385" i="7"/>
  <c r="Q384" i="7" l="1"/>
  <c r="R384" i="7"/>
  <c r="S384" i="7"/>
  <c r="P385" i="7"/>
  <c r="O386" i="7"/>
  <c r="R385" i="7" l="1"/>
  <c r="S385" i="7"/>
  <c r="Q385" i="7"/>
  <c r="O387" i="7"/>
  <c r="P386" i="7"/>
  <c r="O388" i="7" l="1"/>
  <c r="P387" i="7"/>
  <c r="S386" i="7"/>
  <c r="Q386" i="7"/>
  <c r="R386" i="7"/>
  <c r="Q387" i="7" l="1"/>
  <c r="R387" i="7"/>
  <c r="S387" i="7"/>
  <c r="P388" i="7"/>
  <c r="O389" i="7"/>
  <c r="Q388" i="7" l="1"/>
  <c r="R388" i="7"/>
  <c r="S388" i="7"/>
  <c r="P389" i="7"/>
  <c r="O390" i="7"/>
  <c r="R389" i="7" l="1"/>
  <c r="S389" i="7"/>
  <c r="Q389" i="7"/>
  <c r="O391" i="7"/>
  <c r="P390" i="7"/>
  <c r="O392" i="7" l="1"/>
  <c r="P391" i="7"/>
  <c r="S390" i="7"/>
  <c r="R390" i="7"/>
  <c r="Q390" i="7"/>
  <c r="Q391" i="7" l="1"/>
  <c r="S391" i="7"/>
  <c r="R391" i="7"/>
  <c r="P392" i="7"/>
  <c r="O393" i="7"/>
  <c r="R392" i="7" l="1"/>
  <c r="S392" i="7"/>
  <c r="Q392" i="7"/>
  <c r="P393" i="7"/>
  <c r="O394" i="7"/>
  <c r="Q393" i="7" l="1"/>
  <c r="S393" i="7"/>
  <c r="R393" i="7"/>
  <c r="O395" i="7"/>
  <c r="P394" i="7"/>
  <c r="O396" i="7" l="1"/>
  <c r="P395" i="7"/>
  <c r="Q394" i="7"/>
  <c r="R394" i="7"/>
  <c r="S394" i="7"/>
  <c r="R395" i="7" l="1"/>
  <c r="Q395" i="7"/>
  <c r="S395" i="7"/>
  <c r="P396" i="7"/>
  <c r="O397" i="7"/>
  <c r="R396" i="7" l="1"/>
  <c r="S396" i="7"/>
  <c r="Q396" i="7"/>
  <c r="P397" i="7"/>
  <c r="O398" i="7"/>
  <c r="Q397" i="7" l="1"/>
  <c r="S397" i="7"/>
  <c r="R397" i="7"/>
  <c r="O399" i="7"/>
  <c r="P398" i="7"/>
  <c r="O400" i="7" l="1"/>
  <c r="P399" i="7"/>
  <c r="Q398" i="7"/>
  <c r="S398" i="7"/>
  <c r="R398" i="7"/>
  <c r="R399" i="7" l="1"/>
  <c r="S399" i="7"/>
  <c r="Q399" i="7"/>
  <c r="P400" i="7"/>
  <c r="O401" i="7"/>
  <c r="R400" i="7" l="1"/>
  <c r="S400" i="7"/>
  <c r="Q400" i="7"/>
  <c r="P401" i="7"/>
  <c r="O402" i="7"/>
  <c r="Q401" i="7" l="1"/>
  <c r="S401" i="7"/>
  <c r="R401" i="7"/>
  <c r="O403" i="7"/>
  <c r="P402" i="7"/>
  <c r="O404" i="7" l="1"/>
  <c r="P403" i="7"/>
  <c r="Q402" i="7"/>
  <c r="R402" i="7"/>
  <c r="S402" i="7"/>
  <c r="R403" i="7" l="1"/>
  <c r="Q403" i="7"/>
  <c r="S403" i="7"/>
  <c r="P404" i="7"/>
  <c r="O405" i="7"/>
  <c r="R404" i="7" l="1"/>
  <c r="S404" i="7"/>
  <c r="Q404" i="7"/>
  <c r="P405" i="7"/>
  <c r="O406" i="7"/>
  <c r="Q405" i="7" l="1"/>
  <c r="S405" i="7"/>
  <c r="R405" i="7"/>
  <c r="O407" i="7"/>
  <c r="P406" i="7"/>
  <c r="O408" i="7" l="1"/>
  <c r="P407" i="7"/>
  <c r="Q406" i="7"/>
  <c r="S406" i="7"/>
  <c r="R406" i="7"/>
  <c r="R407" i="7" l="1"/>
  <c r="S407" i="7"/>
  <c r="Q407" i="7"/>
  <c r="P408" i="7"/>
  <c r="O409" i="7"/>
  <c r="R408" i="7" l="1"/>
  <c r="S408" i="7"/>
  <c r="Q408" i="7"/>
  <c r="P409" i="7"/>
  <c r="O410" i="7"/>
  <c r="Q409" i="7" l="1"/>
  <c r="S409" i="7"/>
  <c r="R409" i="7"/>
  <c r="O411" i="7"/>
  <c r="P410" i="7"/>
  <c r="O412" i="7" l="1"/>
  <c r="P411" i="7"/>
  <c r="Q410" i="7"/>
  <c r="R410" i="7"/>
  <c r="S410" i="7"/>
  <c r="R411" i="7" l="1"/>
  <c r="Q411" i="7"/>
  <c r="S411" i="7"/>
  <c r="P412" i="7"/>
  <c r="O413" i="7"/>
  <c r="R412" i="7" l="1"/>
  <c r="S412" i="7"/>
  <c r="Q412" i="7"/>
  <c r="P413" i="7"/>
  <c r="O414" i="7"/>
  <c r="Q413" i="7" l="1"/>
  <c r="S413" i="7"/>
  <c r="R413" i="7"/>
  <c r="O415" i="7"/>
  <c r="P414" i="7"/>
  <c r="O416" i="7" l="1"/>
  <c r="P415" i="7"/>
  <c r="Q414" i="7"/>
  <c r="S414" i="7"/>
  <c r="R414" i="7"/>
  <c r="Q415" i="7" l="1"/>
  <c r="R415" i="7"/>
  <c r="S415" i="7"/>
  <c r="P416" i="7"/>
  <c r="O417" i="7"/>
  <c r="R416" i="7" l="1"/>
  <c r="Q416" i="7"/>
  <c r="S416" i="7"/>
  <c r="P417" i="7"/>
  <c r="O418" i="7"/>
  <c r="Q417" i="7" l="1"/>
  <c r="S417" i="7"/>
  <c r="R417" i="7"/>
  <c r="O419" i="7"/>
  <c r="P418" i="7"/>
  <c r="P419" i="7" l="1"/>
  <c r="O420" i="7"/>
  <c r="Q418" i="7"/>
  <c r="R418" i="7"/>
  <c r="S418" i="7"/>
  <c r="P420" i="7" l="1"/>
  <c r="O421" i="7"/>
  <c r="S419" i="7"/>
  <c r="Q419" i="7"/>
  <c r="R419" i="7"/>
  <c r="O422" i="7" l="1"/>
  <c r="P421" i="7"/>
  <c r="Q420" i="7"/>
  <c r="R420" i="7"/>
  <c r="S420" i="7"/>
  <c r="R421" i="7" l="1"/>
  <c r="Q421" i="7"/>
  <c r="S421" i="7"/>
  <c r="P422" i="7"/>
  <c r="O423" i="7"/>
  <c r="S422" i="7" l="1"/>
  <c r="R422" i="7"/>
  <c r="Q422" i="7"/>
  <c r="P423" i="7"/>
  <c r="O424" i="7"/>
  <c r="S423" i="7" l="1"/>
  <c r="Q423" i="7"/>
  <c r="R423" i="7"/>
  <c r="O425" i="7"/>
  <c r="P424" i="7"/>
  <c r="O426" i="7" l="1"/>
  <c r="P425" i="7"/>
  <c r="Q424" i="7"/>
  <c r="R424" i="7"/>
  <c r="S424" i="7"/>
  <c r="R425" i="7" l="1"/>
  <c r="Q425" i="7"/>
  <c r="S425" i="7"/>
  <c r="P426" i="7"/>
  <c r="O427" i="7"/>
  <c r="S426" i="7" l="1"/>
  <c r="R426" i="7"/>
  <c r="Q426" i="7"/>
  <c r="P427" i="7"/>
  <c r="O428" i="7"/>
  <c r="S427" i="7" l="1"/>
  <c r="Q427" i="7"/>
  <c r="R427" i="7"/>
  <c r="O429" i="7"/>
  <c r="P428" i="7"/>
  <c r="O430" i="7" l="1"/>
  <c r="P429" i="7"/>
  <c r="Q428" i="7"/>
  <c r="R428" i="7"/>
  <c r="S428" i="7"/>
  <c r="R429" i="7" l="1"/>
  <c r="Q429" i="7"/>
  <c r="S429" i="7"/>
  <c r="P430" i="7"/>
  <c r="O431" i="7"/>
  <c r="S430" i="7" l="1"/>
  <c r="R430" i="7"/>
  <c r="Q430" i="7"/>
  <c r="P431" i="7"/>
  <c r="O432" i="7"/>
  <c r="S431" i="7" l="1"/>
  <c r="Q431" i="7"/>
  <c r="R431" i="7"/>
  <c r="O433" i="7"/>
  <c r="P432" i="7"/>
  <c r="O434" i="7" l="1"/>
  <c r="P433" i="7"/>
  <c r="Q432" i="7"/>
  <c r="R432" i="7"/>
  <c r="S432" i="7"/>
  <c r="R433" i="7" l="1"/>
  <c r="Q433" i="7"/>
  <c r="S433" i="7"/>
  <c r="P434" i="7"/>
  <c r="O435" i="7"/>
  <c r="S434" i="7" l="1"/>
  <c r="R434" i="7"/>
  <c r="Q434" i="7"/>
  <c r="P435" i="7"/>
  <c r="O436" i="7"/>
  <c r="S435" i="7" l="1"/>
  <c r="Q435" i="7"/>
  <c r="R435" i="7"/>
  <c r="O437" i="7"/>
  <c r="P436" i="7"/>
  <c r="O438" i="7" l="1"/>
  <c r="P437" i="7"/>
  <c r="Q436" i="7"/>
  <c r="R436" i="7"/>
  <c r="S436" i="7"/>
  <c r="R437" i="7" l="1"/>
  <c r="Q437" i="7"/>
  <c r="S437" i="7"/>
  <c r="P438" i="7"/>
  <c r="O439" i="7"/>
  <c r="S438" i="7" l="1"/>
  <c r="R438" i="7"/>
  <c r="Q438" i="7"/>
  <c r="P439" i="7"/>
  <c r="O440" i="7"/>
  <c r="S439" i="7" l="1"/>
  <c r="Q439" i="7"/>
  <c r="R439" i="7"/>
  <c r="O441" i="7"/>
  <c r="P440" i="7"/>
  <c r="O442" i="7" l="1"/>
  <c r="P441" i="7"/>
  <c r="Q440" i="7"/>
  <c r="R440" i="7"/>
  <c r="S440" i="7"/>
  <c r="R441" i="7" l="1"/>
  <c r="Q441" i="7"/>
  <c r="S441" i="7"/>
  <c r="P442" i="7"/>
  <c r="O443" i="7"/>
  <c r="S442" i="7" l="1"/>
  <c r="R442" i="7"/>
  <c r="Q442" i="7"/>
  <c r="P443" i="7"/>
  <c r="O444" i="7"/>
  <c r="S443" i="7" l="1"/>
  <c r="Q443" i="7"/>
  <c r="R443" i="7"/>
  <c r="O445" i="7"/>
  <c r="P444" i="7"/>
  <c r="O446" i="7" l="1"/>
  <c r="P445" i="7"/>
  <c r="Q444" i="7"/>
  <c r="R444" i="7"/>
  <c r="S444" i="7"/>
  <c r="R445" i="7" l="1"/>
  <c r="Q445" i="7"/>
  <c r="S445" i="7"/>
  <c r="P446" i="7"/>
  <c r="O447" i="7"/>
  <c r="S446" i="7" l="1"/>
  <c r="R446" i="7"/>
  <c r="Q446" i="7"/>
  <c r="P447" i="7"/>
  <c r="O448" i="7"/>
  <c r="S447" i="7" l="1"/>
  <c r="Q447" i="7"/>
  <c r="R447" i="7"/>
  <c r="O449" i="7"/>
  <c r="P448" i="7"/>
  <c r="O450" i="7" l="1"/>
  <c r="P449" i="7"/>
  <c r="Q448" i="7"/>
  <c r="R448" i="7"/>
  <c r="S448" i="7"/>
  <c r="R449" i="7" l="1"/>
  <c r="Q449" i="7"/>
  <c r="S449" i="7"/>
  <c r="P450" i="7"/>
  <c r="O451" i="7"/>
  <c r="S450" i="7" l="1"/>
  <c r="R450" i="7"/>
  <c r="Q450" i="7"/>
  <c r="P451" i="7"/>
  <c r="O452" i="7"/>
  <c r="S451" i="7" l="1"/>
  <c r="Q451" i="7"/>
  <c r="R451" i="7"/>
  <c r="O453" i="7"/>
  <c r="P452" i="7"/>
  <c r="O454" i="7" l="1"/>
  <c r="P453" i="7"/>
  <c r="Q452" i="7"/>
  <c r="R452" i="7"/>
  <c r="S452" i="7"/>
  <c r="R453" i="7" l="1"/>
  <c r="Q453" i="7"/>
  <c r="S453" i="7"/>
  <c r="P454" i="7"/>
  <c r="O455" i="7"/>
  <c r="S454" i="7" l="1"/>
  <c r="R454" i="7"/>
  <c r="Q454" i="7"/>
  <c r="P455" i="7"/>
  <c r="O456" i="7"/>
  <c r="S455" i="7" l="1"/>
  <c r="Q455" i="7"/>
  <c r="R455" i="7"/>
  <c r="O457" i="7"/>
  <c r="P456" i="7"/>
  <c r="O458" i="7" l="1"/>
  <c r="P457" i="7"/>
  <c r="Q456" i="7"/>
  <c r="R456" i="7"/>
  <c r="S456" i="7"/>
  <c r="R457" i="7" l="1"/>
  <c r="Q457" i="7"/>
  <c r="S457" i="7"/>
  <c r="P458" i="7"/>
  <c r="O459" i="7"/>
  <c r="S458" i="7" l="1"/>
  <c r="R458" i="7"/>
  <c r="Q458" i="7"/>
  <c r="P459" i="7"/>
  <c r="O460" i="7"/>
  <c r="S459" i="7" l="1"/>
  <c r="Q459" i="7"/>
  <c r="R459" i="7"/>
  <c r="O461" i="7"/>
  <c r="P460" i="7"/>
  <c r="O462" i="7" l="1"/>
  <c r="P461" i="7"/>
  <c r="Q460" i="7"/>
  <c r="R460" i="7"/>
  <c r="S460" i="7"/>
  <c r="R461" i="7" l="1"/>
  <c r="Q461" i="7"/>
  <c r="S461" i="7"/>
  <c r="P462" i="7"/>
  <c r="O463" i="7"/>
  <c r="S462" i="7" l="1"/>
  <c r="R462" i="7"/>
  <c r="Q462" i="7"/>
  <c r="P463" i="7"/>
  <c r="O464" i="7"/>
  <c r="S463" i="7" l="1"/>
  <c r="Q463" i="7"/>
  <c r="R463" i="7"/>
  <c r="O465" i="7"/>
  <c r="P464" i="7"/>
  <c r="O466" i="7" l="1"/>
  <c r="P465" i="7"/>
  <c r="Q464" i="7"/>
  <c r="R464" i="7"/>
  <c r="S464" i="7"/>
  <c r="R465" i="7" l="1"/>
  <c r="Q465" i="7"/>
  <c r="S465" i="7"/>
  <c r="P466" i="7"/>
  <c r="O467" i="7"/>
  <c r="S466" i="7" l="1"/>
  <c r="R466" i="7"/>
  <c r="Q466" i="7"/>
  <c r="P467" i="7"/>
  <c r="O468" i="7"/>
  <c r="S467" i="7" l="1"/>
  <c r="Q467" i="7"/>
  <c r="R467" i="7"/>
  <c r="O469" i="7"/>
  <c r="P468" i="7"/>
  <c r="O470" i="7" l="1"/>
  <c r="P469" i="7"/>
  <c r="Q468" i="7"/>
  <c r="R468" i="7"/>
  <c r="S468" i="7"/>
  <c r="R469" i="7" l="1"/>
  <c r="Q469" i="7"/>
  <c r="S469" i="7"/>
  <c r="P470" i="7"/>
  <c r="O471" i="7"/>
  <c r="S470" i="7" l="1"/>
  <c r="R470" i="7"/>
  <c r="Q470" i="7"/>
  <c r="P471" i="7"/>
  <c r="O472" i="7"/>
  <c r="S471" i="7" l="1"/>
  <c r="Q471" i="7"/>
  <c r="R471" i="7"/>
  <c r="O473" i="7"/>
  <c r="P472" i="7"/>
  <c r="O474" i="7" l="1"/>
  <c r="P473" i="7"/>
  <c r="Q472" i="7"/>
  <c r="R472" i="7"/>
  <c r="S472" i="7"/>
  <c r="R473" i="7" l="1"/>
  <c r="Q473" i="7"/>
  <c r="S473" i="7"/>
  <c r="P474" i="7"/>
  <c r="O475" i="7"/>
  <c r="S474" i="7" l="1"/>
  <c r="R474" i="7"/>
  <c r="Q474" i="7"/>
  <c r="P475" i="7"/>
  <c r="O476" i="7"/>
  <c r="S475" i="7" l="1"/>
  <c r="Q475" i="7"/>
  <c r="R475" i="7"/>
  <c r="O477" i="7"/>
  <c r="P476" i="7"/>
  <c r="O478" i="7" l="1"/>
  <c r="P477" i="7"/>
  <c r="Q476" i="7"/>
  <c r="R476" i="7"/>
  <c r="S476" i="7"/>
  <c r="R477" i="7" l="1"/>
  <c r="Q477" i="7"/>
  <c r="S477" i="7"/>
  <c r="P478" i="7"/>
  <c r="O479" i="7"/>
  <c r="R478" i="7" l="1"/>
  <c r="S478" i="7"/>
  <c r="Q478" i="7"/>
  <c r="P479" i="7"/>
  <c r="O480" i="7"/>
  <c r="Q479" i="7" l="1"/>
  <c r="R479" i="7"/>
  <c r="S479" i="7"/>
  <c r="P480" i="7"/>
  <c r="O481" i="7"/>
  <c r="Q480" i="7" l="1"/>
  <c r="S480" i="7"/>
  <c r="R480" i="7"/>
  <c r="O482" i="7"/>
  <c r="P481" i="7"/>
  <c r="P482" i="7" l="1"/>
  <c r="O483" i="7"/>
  <c r="R481" i="7"/>
  <c r="Q481" i="7"/>
  <c r="S481" i="7"/>
  <c r="P483" i="7" l="1"/>
  <c r="O484" i="7"/>
  <c r="R482" i="7"/>
  <c r="Q482" i="7"/>
  <c r="S482" i="7"/>
  <c r="O485" i="7" l="1"/>
  <c r="P484" i="7"/>
  <c r="Q483" i="7"/>
  <c r="R483" i="7"/>
  <c r="S483" i="7"/>
  <c r="Q484" i="7" l="1"/>
  <c r="R484" i="7"/>
  <c r="S484" i="7"/>
  <c r="O486" i="7"/>
  <c r="P485" i="7"/>
  <c r="P486" i="7" l="1"/>
  <c r="O487" i="7"/>
  <c r="R485" i="7"/>
  <c r="Q485" i="7"/>
  <c r="S485" i="7"/>
  <c r="P487" i="7" l="1"/>
  <c r="O488" i="7"/>
  <c r="R486" i="7"/>
  <c r="S486" i="7"/>
  <c r="Q486" i="7"/>
  <c r="O489" i="7" l="1"/>
  <c r="P488" i="7"/>
  <c r="Q487" i="7"/>
  <c r="S487" i="7"/>
  <c r="R487" i="7"/>
  <c r="Q488" i="7" l="1"/>
  <c r="R488" i="7"/>
  <c r="S488" i="7"/>
  <c r="O490" i="7"/>
  <c r="P489" i="7"/>
  <c r="P490" i="7" l="1"/>
  <c r="O491" i="7"/>
  <c r="R489" i="7"/>
  <c r="Q489" i="7"/>
  <c r="S489" i="7"/>
  <c r="P491" i="7" l="1"/>
  <c r="O492" i="7"/>
  <c r="R490" i="7"/>
  <c r="S490" i="7"/>
  <c r="Q490" i="7"/>
  <c r="O493" i="7" l="1"/>
  <c r="P492" i="7"/>
  <c r="Q491" i="7"/>
  <c r="S491" i="7"/>
  <c r="R491" i="7"/>
  <c r="Q492" i="7" l="1"/>
  <c r="R492" i="7"/>
  <c r="S492" i="7"/>
  <c r="O494" i="7"/>
  <c r="P493" i="7"/>
  <c r="P494" i="7" l="1"/>
  <c r="O495" i="7"/>
  <c r="R493" i="7"/>
  <c r="Q493" i="7"/>
  <c r="S493" i="7"/>
  <c r="P495" i="7" l="1"/>
  <c r="O496" i="7"/>
  <c r="R494" i="7"/>
  <c r="S494" i="7"/>
  <c r="Q494" i="7"/>
  <c r="O497" i="7" l="1"/>
  <c r="P496" i="7"/>
  <c r="Q495" i="7"/>
  <c r="S495" i="7"/>
  <c r="R495" i="7"/>
  <c r="Q496" i="7" l="1"/>
  <c r="R496" i="7"/>
  <c r="S496" i="7"/>
  <c r="O498" i="7"/>
  <c r="P497" i="7"/>
  <c r="P498" i="7" l="1"/>
  <c r="O499" i="7"/>
  <c r="R497" i="7"/>
  <c r="Q497" i="7"/>
  <c r="S497" i="7"/>
  <c r="P499" i="7" l="1"/>
  <c r="O500" i="7"/>
  <c r="R498" i="7"/>
  <c r="S498" i="7"/>
  <c r="Q498" i="7"/>
  <c r="O501" i="7" l="1"/>
  <c r="P500" i="7"/>
  <c r="Q499" i="7"/>
  <c r="S499" i="7"/>
  <c r="R499" i="7"/>
  <c r="Q500" i="7" l="1"/>
  <c r="R500" i="7"/>
  <c r="S500" i="7"/>
  <c r="O502" i="7"/>
  <c r="P501" i="7"/>
  <c r="P502" i="7" l="1"/>
  <c r="O503" i="7"/>
  <c r="R501" i="7"/>
  <c r="Q501" i="7"/>
  <c r="S501" i="7"/>
  <c r="P503" i="7" l="1"/>
  <c r="O504" i="7"/>
  <c r="R502" i="7"/>
  <c r="S502" i="7"/>
  <c r="Q502" i="7"/>
  <c r="O505" i="7" l="1"/>
  <c r="P504" i="7"/>
  <c r="Q503" i="7"/>
  <c r="S503" i="7"/>
  <c r="R503" i="7"/>
  <c r="Q504" i="7" l="1"/>
  <c r="R504" i="7"/>
  <c r="S504" i="7"/>
  <c r="O506" i="7"/>
  <c r="P505" i="7"/>
  <c r="P506" i="7" l="1"/>
  <c r="O507" i="7"/>
  <c r="R505" i="7"/>
  <c r="Q505" i="7"/>
  <c r="S505" i="7"/>
  <c r="P507" i="7" l="1"/>
  <c r="O508" i="7"/>
  <c r="R506" i="7"/>
  <c r="S506" i="7"/>
  <c r="Q506" i="7"/>
  <c r="O509" i="7" l="1"/>
  <c r="P508" i="7"/>
  <c r="Q507" i="7"/>
  <c r="S507" i="7"/>
  <c r="R507" i="7"/>
  <c r="Q508" i="7" l="1"/>
  <c r="R508" i="7"/>
  <c r="S508" i="7"/>
  <c r="O510" i="7"/>
  <c r="P509" i="7"/>
  <c r="P510" i="7" l="1"/>
  <c r="O511" i="7"/>
  <c r="R509" i="7"/>
  <c r="Q509" i="7"/>
  <c r="S509" i="7"/>
  <c r="P511" i="7" l="1"/>
  <c r="O512" i="7"/>
  <c r="R510" i="7"/>
  <c r="S510" i="7"/>
  <c r="Q510" i="7"/>
  <c r="O513" i="7" l="1"/>
  <c r="P512" i="7"/>
  <c r="Q511" i="7"/>
  <c r="S511" i="7"/>
  <c r="R511" i="7"/>
  <c r="Q512" i="7" l="1"/>
  <c r="R512" i="7"/>
  <c r="S512" i="7"/>
  <c r="O514" i="7"/>
  <c r="P513" i="7"/>
  <c r="P514" i="7" l="1"/>
  <c r="O515" i="7"/>
  <c r="R513" i="7"/>
  <c r="Q513" i="7"/>
  <c r="S513" i="7"/>
  <c r="P515" i="7" l="1"/>
  <c r="O516" i="7"/>
  <c r="R514" i="7"/>
  <c r="S514" i="7"/>
  <c r="Q514" i="7"/>
  <c r="O517" i="7" l="1"/>
  <c r="P516" i="7"/>
  <c r="Q515" i="7"/>
  <c r="S515" i="7"/>
  <c r="R515" i="7"/>
  <c r="Q516" i="7" l="1"/>
  <c r="R516" i="7"/>
  <c r="S516" i="7"/>
  <c r="O518" i="7"/>
  <c r="P517" i="7"/>
  <c r="P518" i="7" l="1"/>
  <c r="O519" i="7"/>
  <c r="R517" i="7"/>
  <c r="Q517" i="7"/>
  <c r="S517" i="7"/>
  <c r="P519" i="7" l="1"/>
  <c r="O520" i="7"/>
  <c r="R518" i="7"/>
  <c r="S518" i="7"/>
  <c r="Q518" i="7"/>
  <c r="O521" i="7" l="1"/>
  <c r="P520" i="7"/>
  <c r="Q519" i="7"/>
  <c r="S519" i="7"/>
  <c r="R519" i="7"/>
  <c r="Q520" i="7" l="1"/>
  <c r="R520" i="7"/>
  <c r="S520" i="7"/>
  <c r="O522" i="7"/>
  <c r="P521" i="7"/>
  <c r="P522" i="7" l="1"/>
  <c r="O523" i="7"/>
  <c r="R521" i="7"/>
  <c r="Q521" i="7"/>
  <c r="S521" i="7"/>
  <c r="P523" i="7" l="1"/>
  <c r="O524" i="7"/>
  <c r="R522" i="7"/>
  <c r="S522" i="7"/>
  <c r="Q522" i="7"/>
  <c r="O525" i="7" l="1"/>
  <c r="P524" i="7"/>
  <c r="Q523" i="7"/>
  <c r="S523" i="7"/>
  <c r="R523" i="7"/>
  <c r="Q524" i="7" l="1"/>
  <c r="R524" i="7"/>
  <c r="S524" i="7"/>
  <c r="O526" i="7"/>
  <c r="P525" i="7"/>
  <c r="P526" i="7" l="1"/>
  <c r="O527" i="7"/>
  <c r="R525" i="7"/>
  <c r="Q525" i="7"/>
  <c r="S525" i="7"/>
  <c r="P527" i="7" l="1"/>
  <c r="O528" i="7"/>
  <c r="R526" i="7"/>
  <c r="S526" i="7"/>
  <c r="Q526" i="7"/>
  <c r="O529" i="7" l="1"/>
  <c r="P528" i="7"/>
  <c r="Q527" i="7"/>
  <c r="S527" i="7"/>
  <c r="R527" i="7"/>
  <c r="Q528" i="7" l="1"/>
  <c r="R528" i="7"/>
  <c r="S528" i="7"/>
  <c r="O530" i="7"/>
  <c r="P529" i="7"/>
  <c r="P530" i="7" l="1"/>
  <c r="O531" i="7"/>
  <c r="R529" i="7"/>
  <c r="Q529" i="7"/>
  <c r="S529" i="7"/>
  <c r="P531" i="7" l="1"/>
  <c r="O532" i="7"/>
  <c r="R530" i="7"/>
  <c r="S530" i="7"/>
  <c r="Q530" i="7"/>
  <c r="O533" i="7" l="1"/>
  <c r="P532" i="7"/>
  <c r="Q531" i="7"/>
  <c r="S531" i="7"/>
  <c r="R531" i="7"/>
  <c r="Q532" i="7" l="1"/>
  <c r="R532" i="7"/>
  <c r="S532" i="7"/>
  <c r="O534" i="7"/>
  <c r="P533" i="7"/>
  <c r="P534" i="7" l="1"/>
  <c r="AA7" i="7"/>
  <c r="AE7" i="7" s="1"/>
  <c r="AA12" i="7"/>
  <c r="AE12" i="7" s="1"/>
  <c r="AA8" i="7"/>
  <c r="AE8" i="7" s="1"/>
  <c r="AA9" i="7"/>
  <c r="AE9" i="7" s="1"/>
  <c r="AA15" i="7"/>
  <c r="AE15" i="7" s="1"/>
  <c r="AA10" i="7"/>
  <c r="AE10" i="7" s="1"/>
  <c r="AA11" i="7"/>
  <c r="AE11" i="7" s="1"/>
  <c r="AA16" i="7"/>
  <c r="AE16" i="7" s="1"/>
  <c r="AA13" i="7"/>
  <c r="AE13" i="7" s="1"/>
  <c r="AA17" i="7"/>
  <c r="AE17" i="7" s="1"/>
  <c r="AA14" i="7"/>
  <c r="AE14" i="7" s="1"/>
  <c r="AA19" i="7"/>
  <c r="AE19" i="7" s="1"/>
  <c r="AA18" i="7"/>
  <c r="AE18" i="7" s="1"/>
  <c r="AA22" i="7"/>
  <c r="AE22" i="7" s="1"/>
  <c r="AA20" i="7"/>
  <c r="AE20" i="7" s="1"/>
  <c r="AA21" i="7"/>
  <c r="AE21" i="7" s="1"/>
  <c r="AA25" i="7"/>
  <c r="AE25" i="7" s="1"/>
  <c r="AA24" i="7"/>
  <c r="AE24" i="7" s="1"/>
  <c r="AA23" i="7"/>
  <c r="AE23" i="7" s="1"/>
  <c r="AA26" i="7"/>
  <c r="AE26" i="7" s="1"/>
  <c r="AA28" i="7"/>
  <c r="AE28" i="7" s="1"/>
  <c r="AA27" i="7"/>
  <c r="AE27" i="7" s="1"/>
  <c r="AA31" i="7"/>
  <c r="AE31" i="7" s="1"/>
  <c r="AA30" i="7"/>
  <c r="AE30" i="7" s="1"/>
  <c r="AA29" i="7"/>
  <c r="AE29" i="7" s="1"/>
  <c r="AA32" i="7"/>
  <c r="AE32" i="7" s="1"/>
  <c r="AA34" i="7"/>
  <c r="AE34" i="7" s="1"/>
  <c r="AA35" i="7"/>
  <c r="AE35" i="7" s="1"/>
  <c r="AA33" i="7"/>
  <c r="AE33" i="7" s="1"/>
  <c r="AA36" i="7"/>
  <c r="AE36" i="7" s="1"/>
  <c r="AA40" i="7"/>
  <c r="AE40" i="7" s="1"/>
  <c r="AA37" i="7"/>
  <c r="AE37" i="7" s="1"/>
  <c r="AA38" i="7"/>
  <c r="AE38" i="7" s="1"/>
  <c r="AA42" i="7"/>
  <c r="AE42" i="7" s="1"/>
  <c r="AA39" i="7"/>
  <c r="AE39" i="7" s="1"/>
  <c r="AA41" i="7"/>
  <c r="AE41" i="7" s="1"/>
  <c r="AA46" i="7"/>
  <c r="AE46" i="7" s="1"/>
  <c r="AA43" i="7"/>
  <c r="AE43" i="7" s="1"/>
  <c r="AA44" i="7"/>
  <c r="AE44" i="7" s="1"/>
  <c r="AA47" i="7"/>
  <c r="AE47" i="7" s="1"/>
  <c r="AA45" i="7"/>
  <c r="AE45" i="7" s="1"/>
  <c r="AA48" i="7"/>
  <c r="AE48" i="7" s="1"/>
  <c r="AA49" i="7"/>
  <c r="AE49" i="7" s="1"/>
  <c r="AA50" i="7"/>
  <c r="AE50" i="7" s="1"/>
  <c r="AA51" i="7"/>
  <c r="AE51" i="7" s="1"/>
  <c r="AA53" i="7"/>
  <c r="AE53" i="7" s="1"/>
  <c r="AA52" i="7"/>
  <c r="AE52" i="7" s="1"/>
  <c r="AA54" i="7"/>
  <c r="AE54" i="7" s="1"/>
  <c r="AA55" i="7"/>
  <c r="AE55" i="7" s="1"/>
  <c r="AA56" i="7"/>
  <c r="AE56" i="7" s="1"/>
  <c r="AA58" i="7"/>
  <c r="AE58" i="7" s="1"/>
  <c r="AA59" i="7"/>
  <c r="AE59" i="7" s="1"/>
  <c r="AA57" i="7"/>
  <c r="AE57" i="7" s="1"/>
  <c r="AA60" i="7"/>
  <c r="AE60" i="7" s="1"/>
  <c r="AA61" i="7"/>
  <c r="AE61" i="7" s="1"/>
  <c r="AA63" i="7"/>
  <c r="AE63" i="7" s="1"/>
  <c r="AA62" i="7"/>
  <c r="AE62" i="7" s="1"/>
  <c r="AA64" i="7"/>
  <c r="AE64" i="7" s="1"/>
  <c r="AA66" i="7"/>
  <c r="AE66" i="7" s="1"/>
  <c r="AA68" i="7"/>
  <c r="AE68" i="7" s="1"/>
  <c r="AA65" i="7"/>
  <c r="AE65" i="7" s="1"/>
  <c r="AA67" i="7"/>
  <c r="AE67" i="7" s="1"/>
  <c r="AA70" i="7"/>
  <c r="AE70" i="7" s="1"/>
  <c r="AA71" i="7"/>
  <c r="AE71" i="7" s="1"/>
  <c r="AA69" i="7"/>
  <c r="AE69" i="7" s="1"/>
  <c r="AA72" i="7"/>
  <c r="AE72" i="7" s="1"/>
  <c r="AA74" i="7"/>
  <c r="AE74" i="7" s="1"/>
  <c r="AA73" i="7"/>
  <c r="AE73" i="7" s="1"/>
  <c r="AA78" i="7"/>
  <c r="AE78" i="7" s="1"/>
  <c r="AA75" i="7"/>
  <c r="AE75" i="7" s="1"/>
  <c r="AA79" i="7"/>
  <c r="AE79" i="7" s="1"/>
  <c r="AA80" i="7"/>
  <c r="AE80" i="7" s="1"/>
  <c r="AA76" i="7"/>
  <c r="AE76" i="7" s="1"/>
  <c r="AA77" i="7"/>
  <c r="AE77" i="7" s="1"/>
  <c r="AA83" i="7"/>
  <c r="AE83" i="7" s="1"/>
  <c r="AA81" i="7"/>
  <c r="AE81" i="7" s="1"/>
  <c r="AA85" i="7"/>
  <c r="AE85" i="7" s="1"/>
  <c r="AA82" i="7"/>
  <c r="AE82" i="7" s="1"/>
  <c r="AA84" i="7"/>
  <c r="AE84" i="7" s="1"/>
  <c r="AA87" i="7"/>
  <c r="AE87" i="7" s="1"/>
  <c r="AA86" i="7"/>
  <c r="AE86" i="7" s="1"/>
  <c r="AA90" i="7"/>
  <c r="AE90" i="7" s="1"/>
  <c r="AA92" i="7"/>
  <c r="AE92" i="7" s="1"/>
  <c r="AA88" i="7"/>
  <c r="AE88" i="7" s="1"/>
  <c r="AA89" i="7"/>
  <c r="AE89" i="7" s="1"/>
  <c r="AA93" i="7"/>
  <c r="AE93" i="7" s="1"/>
  <c r="AA91" i="7"/>
  <c r="AE91" i="7" s="1"/>
  <c r="AA94" i="7"/>
  <c r="AE94" i="7" s="1"/>
  <c r="AA95" i="7"/>
  <c r="AE95" i="7" s="1"/>
  <c r="AA97" i="7"/>
  <c r="AE97" i="7" s="1"/>
  <c r="AA96" i="7"/>
  <c r="AE96" i="7" s="1"/>
  <c r="AA99" i="7"/>
  <c r="AE99" i="7" s="1"/>
  <c r="AA100" i="7"/>
  <c r="AE100" i="7" s="1"/>
  <c r="AA98" i="7"/>
  <c r="AE98" i="7" s="1"/>
  <c r="AA101" i="7"/>
  <c r="AE101" i="7" s="1"/>
  <c r="AA105" i="7"/>
  <c r="AE105" i="7" s="1"/>
  <c r="AA102" i="7"/>
  <c r="AE102" i="7" s="1"/>
  <c r="AA103" i="7"/>
  <c r="AE103" i="7" s="1"/>
  <c r="AA104" i="7"/>
  <c r="AE104" i="7" s="1"/>
  <c r="AA106" i="7"/>
  <c r="AE106" i="7" s="1"/>
  <c r="AA107" i="7"/>
  <c r="AE107" i="7" s="1"/>
  <c r="AA108" i="7"/>
  <c r="AE108" i="7" s="1"/>
  <c r="AA111" i="7"/>
  <c r="AE111" i="7" s="1"/>
  <c r="AA109" i="7"/>
  <c r="AE109" i="7" s="1"/>
  <c r="AA110" i="7"/>
  <c r="AE110" i="7" s="1"/>
  <c r="AA112" i="7"/>
  <c r="AE112" i="7" s="1"/>
  <c r="AA113" i="7"/>
  <c r="AE113" i="7" s="1"/>
  <c r="AA116" i="7"/>
  <c r="AE116" i="7" s="1"/>
  <c r="AA115" i="7"/>
  <c r="AE115" i="7" s="1"/>
  <c r="AA114" i="7"/>
  <c r="AE114" i="7" s="1"/>
  <c r="AA118" i="7"/>
  <c r="AE118" i="7" s="1"/>
  <c r="AA120" i="7"/>
  <c r="AE120" i="7" s="1"/>
  <c r="AA117" i="7"/>
  <c r="AE117" i="7" s="1"/>
  <c r="AA119" i="7"/>
  <c r="AE119" i="7" s="1"/>
  <c r="AA121" i="7"/>
  <c r="AE121" i="7" s="1"/>
  <c r="AA123" i="7"/>
  <c r="AE123" i="7" s="1"/>
  <c r="AA122" i="7"/>
  <c r="AE122" i="7" s="1"/>
  <c r="AA125" i="7"/>
  <c r="AE125" i="7" s="1"/>
  <c r="AA124" i="7"/>
  <c r="AE124" i="7" s="1"/>
  <c r="AA126" i="7"/>
  <c r="AE126" i="7" s="1"/>
  <c r="AA127" i="7"/>
  <c r="AE127" i="7" s="1"/>
  <c r="AA131" i="7"/>
  <c r="AE131" i="7" s="1"/>
  <c r="AA128" i="7"/>
  <c r="AE128" i="7" s="1"/>
  <c r="AA129" i="7"/>
  <c r="AE129" i="7" s="1"/>
  <c r="AA130" i="7"/>
  <c r="AE130" i="7" s="1"/>
  <c r="AA132" i="7"/>
  <c r="AE132" i="7" s="1"/>
  <c r="AA133" i="7"/>
  <c r="AE133" i="7" s="1"/>
  <c r="AA134" i="7"/>
  <c r="AE134" i="7" s="1"/>
  <c r="AA138" i="7"/>
  <c r="AE138" i="7" s="1"/>
  <c r="AA137" i="7"/>
  <c r="AE137" i="7" s="1"/>
  <c r="AA135" i="7"/>
  <c r="AE135" i="7" s="1"/>
  <c r="AA139" i="7"/>
  <c r="AE139" i="7" s="1"/>
  <c r="AA136" i="7"/>
  <c r="AE136" i="7" s="1"/>
  <c r="AA140" i="7"/>
  <c r="AE140" i="7" s="1"/>
  <c r="AA141" i="7"/>
  <c r="AE141" i="7" s="1"/>
  <c r="AA143" i="7"/>
  <c r="AE143" i="7" s="1"/>
  <c r="AA142" i="7"/>
  <c r="AE142" i="7" s="1"/>
  <c r="AA145" i="7"/>
  <c r="AE145" i="7" s="1"/>
  <c r="AA148" i="7"/>
  <c r="AE148" i="7" s="1"/>
  <c r="AA144" i="7"/>
  <c r="AE144" i="7" s="1"/>
  <c r="AA146" i="7"/>
  <c r="AE146" i="7" s="1"/>
  <c r="AA147" i="7"/>
  <c r="AE147" i="7" s="1"/>
  <c r="AA149" i="7"/>
  <c r="AE149" i="7" s="1"/>
  <c r="AA152" i="7"/>
  <c r="AE152" i="7" s="1"/>
  <c r="AA150" i="7"/>
  <c r="AE150" i="7" s="1"/>
  <c r="AA151" i="7"/>
  <c r="AE151" i="7" s="1"/>
  <c r="AA155" i="7"/>
  <c r="AE155" i="7" s="1"/>
  <c r="AA154" i="7"/>
  <c r="AE154" i="7" s="1"/>
  <c r="AA153" i="7"/>
  <c r="AE153" i="7" s="1"/>
  <c r="AA157" i="7"/>
  <c r="AE157" i="7" s="1"/>
  <c r="AA156" i="7"/>
  <c r="AE156" i="7" s="1"/>
  <c r="AA158" i="7"/>
  <c r="AE158" i="7" s="1"/>
  <c r="AA159" i="7"/>
  <c r="AE159" i="7" s="1"/>
  <c r="AA161" i="7"/>
  <c r="AE161" i="7" s="1"/>
  <c r="AA160" i="7"/>
  <c r="AE160" i="7" s="1"/>
  <c r="AA165" i="7"/>
  <c r="AE165" i="7" s="1"/>
  <c r="AA163" i="7"/>
  <c r="AE163" i="7" s="1"/>
  <c r="AA162" i="7"/>
  <c r="AE162" i="7" s="1"/>
  <c r="AA164" i="7"/>
  <c r="AE164" i="7" s="1"/>
  <c r="AA166" i="7"/>
  <c r="AE166" i="7" s="1"/>
  <c r="AA168" i="7"/>
  <c r="AE168" i="7" s="1"/>
  <c r="AA167" i="7"/>
  <c r="AE167" i="7" s="1"/>
  <c r="AA171" i="7"/>
  <c r="AE171" i="7" s="1"/>
  <c r="AA170" i="7"/>
  <c r="AE170" i="7" s="1"/>
  <c r="AA169" i="7"/>
  <c r="AE169" i="7" s="1"/>
  <c r="AA172" i="7"/>
  <c r="AE172" i="7" s="1"/>
  <c r="AA175" i="7"/>
  <c r="AE175" i="7" s="1"/>
  <c r="AA176" i="7"/>
  <c r="AE176" i="7" s="1"/>
  <c r="AA173" i="7"/>
  <c r="AE173" i="7" s="1"/>
  <c r="AA174" i="7"/>
  <c r="AE174" i="7" s="1"/>
  <c r="AA177" i="7"/>
  <c r="AE177" i="7" s="1"/>
  <c r="AA181" i="7"/>
  <c r="AE181" i="7" s="1"/>
  <c r="AA180" i="7"/>
  <c r="AE180" i="7" s="1"/>
  <c r="AA178" i="7"/>
  <c r="AE178" i="7" s="1"/>
  <c r="AA179" i="7"/>
  <c r="AE179" i="7" s="1"/>
  <c r="AA182" i="7"/>
  <c r="AE182" i="7" s="1"/>
  <c r="AA183" i="7"/>
  <c r="AE183" i="7" s="1"/>
  <c r="AA186" i="7"/>
  <c r="AE186" i="7" s="1"/>
  <c r="AA187" i="7"/>
  <c r="AE187" i="7" s="1"/>
  <c r="AA189" i="7"/>
  <c r="AE189" i="7" s="1"/>
  <c r="AA184" i="7"/>
  <c r="AE184" i="7" s="1"/>
  <c r="AA185" i="7"/>
  <c r="AE185" i="7" s="1"/>
  <c r="AA190" i="7"/>
  <c r="AE190" i="7" s="1"/>
  <c r="AA188" i="7"/>
  <c r="AE188" i="7" s="1"/>
  <c r="AA191" i="7"/>
  <c r="AE191" i="7" s="1"/>
  <c r="AA193" i="7"/>
  <c r="AE193" i="7" s="1"/>
  <c r="AA192" i="7"/>
  <c r="AE192" i="7" s="1"/>
  <c r="AA194" i="7"/>
  <c r="AE194" i="7" s="1"/>
  <c r="AA195" i="7"/>
  <c r="AE195" i="7" s="1"/>
  <c r="AA196" i="7"/>
  <c r="AE196" i="7" s="1"/>
  <c r="AA197" i="7"/>
  <c r="AE197" i="7" s="1"/>
  <c r="AA199" i="7"/>
  <c r="AE199" i="7" s="1"/>
  <c r="AA198" i="7"/>
  <c r="AE198" i="7" s="1"/>
  <c r="AA200" i="7"/>
  <c r="AE200" i="7" s="1"/>
  <c r="AA201" i="7"/>
  <c r="AE201" i="7" s="1"/>
  <c r="AA202" i="7"/>
  <c r="AE202" i="7" s="1"/>
  <c r="AA205" i="7"/>
  <c r="AE205" i="7" s="1"/>
  <c r="AA203" i="7"/>
  <c r="AE203" i="7" s="1"/>
  <c r="AA206" i="7"/>
  <c r="AE206" i="7" s="1"/>
  <c r="AA204" i="7"/>
  <c r="AE204" i="7" s="1"/>
  <c r="AA207" i="7"/>
  <c r="AE207" i="7" s="1"/>
  <c r="AA208" i="7"/>
  <c r="AE208" i="7" s="1"/>
  <c r="AA210" i="7"/>
  <c r="AE210" i="7" s="1"/>
  <c r="AA209" i="7"/>
  <c r="AE209" i="7" s="1"/>
  <c r="AA211" i="7"/>
  <c r="AE211" i="7" s="1"/>
  <c r="AA214" i="7"/>
  <c r="AE214" i="7" s="1"/>
  <c r="AA213" i="7"/>
  <c r="AE213" i="7" s="1"/>
  <c r="AA215" i="7"/>
  <c r="AE215" i="7" s="1"/>
  <c r="AA212" i="7"/>
  <c r="AE212" i="7" s="1"/>
  <c r="AA216" i="7"/>
  <c r="AE216" i="7" s="1"/>
  <c r="AA217" i="7"/>
  <c r="AE217" i="7" s="1"/>
  <c r="AA218" i="7"/>
  <c r="AE218" i="7" s="1"/>
  <c r="AA220" i="7"/>
  <c r="AE220" i="7" s="1"/>
  <c r="AA219" i="7"/>
  <c r="AE219" i="7" s="1"/>
  <c r="AA221" i="7"/>
  <c r="AE221" i="7" s="1"/>
  <c r="AA222" i="7"/>
  <c r="AE222" i="7" s="1"/>
  <c r="AA223" i="7"/>
  <c r="AE223" i="7" s="1"/>
  <c r="AA227" i="7"/>
  <c r="AE227" i="7" s="1"/>
  <c r="AA225" i="7"/>
  <c r="AE225" i="7" s="1"/>
  <c r="AA224" i="7"/>
  <c r="AE224" i="7" s="1"/>
  <c r="AA229" i="7"/>
  <c r="AE229" i="7" s="1"/>
  <c r="AA226" i="7"/>
  <c r="AE226" i="7" s="1"/>
  <c r="AA231" i="7"/>
  <c r="AE231" i="7" s="1"/>
  <c r="AA230" i="7"/>
  <c r="AE230" i="7" s="1"/>
  <c r="AA228" i="7"/>
  <c r="AE228" i="7" s="1"/>
  <c r="AA232" i="7"/>
  <c r="AE232" i="7" s="1"/>
  <c r="AA234" i="7"/>
  <c r="AE234" i="7" s="1"/>
  <c r="AA233" i="7"/>
  <c r="AE233" i="7" s="1"/>
  <c r="AA236" i="7"/>
  <c r="AE236" i="7" s="1"/>
  <c r="AA238" i="7"/>
  <c r="AE238" i="7" s="1"/>
  <c r="AA235" i="7"/>
  <c r="AE235" i="7" s="1"/>
  <c r="AA239" i="7"/>
  <c r="AE239" i="7" s="1"/>
  <c r="AA237" i="7"/>
  <c r="AE237" i="7" s="1"/>
  <c r="AA241" i="7"/>
  <c r="AE241" i="7" s="1"/>
  <c r="AA240" i="7"/>
  <c r="AE240" i="7" s="1"/>
  <c r="AA243" i="7"/>
  <c r="AE243" i="7" s="1"/>
  <c r="AA242" i="7"/>
  <c r="AE242" i="7" s="1"/>
  <c r="AA244" i="7"/>
  <c r="AE244" i="7" s="1"/>
  <c r="AA247" i="7"/>
  <c r="AE247" i="7" s="1"/>
  <c r="AA248" i="7"/>
  <c r="AE248" i="7" s="1"/>
  <c r="AA245" i="7"/>
  <c r="AE245" i="7" s="1"/>
  <c r="AA246" i="7"/>
  <c r="AE246" i="7" s="1"/>
  <c r="AA249" i="7"/>
  <c r="AE249" i="7" s="1"/>
  <c r="AA250" i="7"/>
  <c r="AE250" i="7" s="1"/>
  <c r="AA252" i="7"/>
  <c r="AE252" i="7" s="1"/>
  <c r="AA251" i="7"/>
  <c r="AE251" i="7" s="1"/>
  <c r="AA255" i="7"/>
  <c r="AE255" i="7" s="1"/>
  <c r="AA253" i="7"/>
  <c r="AE253" i="7" s="1"/>
  <c r="AA254" i="7"/>
  <c r="AE254" i="7" s="1"/>
  <c r="AA257" i="7"/>
  <c r="AE257" i="7" s="1"/>
  <c r="AA260" i="7"/>
  <c r="AE260" i="7" s="1"/>
  <c r="AA259" i="7"/>
  <c r="AE259" i="7" s="1"/>
  <c r="AA256" i="7"/>
  <c r="AE256" i="7" s="1"/>
  <c r="AA258" i="7"/>
  <c r="AE258" i="7" s="1"/>
  <c r="AA261" i="7"/>
  <c r="AE261" i="7" s="1"/>
  <c r="AA262" i="7"/>
  <c r="AE262" i="7" s="1"/>
  <c r="AA263" i="7"/>
  <c r="AE263" i="7" s="1"/>
  <c r="AA264" i="7"/>
  <c r="AE264" i="7" s="1"/>
  <c r="AA265" i="7"/>
  <c r="AE265" i="7" s="1"/>
  <c r="AA266" i="7"/>
  <c r="AE266" i="7" s="1"/>
  <c r="AA267" i="7"/>
  <c r="AE267" i="7" s="1"/>
  <c r="AA268" i="7"/>
  <c r="AE268" i="7" s="1"/>
  <c r="AA269" i="7"/>
  <c r="AE269" i="7" s="1"/>
  <c r="AA272" i="7"/>
  <c r="AE272" i="7" s="1"/>
  <c r="AA270" i="7"/>
  <c r="AE270" i="7" s="1"/>
  <c r="AA271" i="7"/>
  <c r="AE271" i="7" s="1"/>
  <c r="AA273" i="7"/>
  <c r="AE273" i="7" s="1"/>
  <c r="AA274" i="7"/>
  <c r="AE274" i="7" s="1"/>
  <c r="AA275" i="7"/>
  <c r="AE275" i="7" s="1"/>
  <c r="AA276" i="7"/>
  <c r="AE276" i="7" s="1"/>
  <c r="AA277" i="7"/>
  <c r="AE277" i="7" s="1"/>
  <c r="AA278" i="7"/>
  <c r="AE278" i="7" s="1"/>
  <c r="AA279" i="7"/>
  <c r="AE279" i="7" s="1"/>
  <c r="AA282" i="7"/>
  <c r="AE282" i="7" s="1"/>
  <c r="AA280" i="7"/>
  <c r="AE280" i="7" s="1"/>
  <c r="AA281" i="7"/>
  <c r="AE281" i="7" s="1"/>
  <c r="AA283" i="7"/>
  <c r="AE283" i="7" s="1"/>
  <c r="AA284" i="7"/>
  <c r="AE284" i="7" s="1"/>
  <c r="AA285" i="7"/>
  <c r="AE285" i="7" s="1"/>
  <c r="AA286" i="7"/>
  <c r="AE286" i="7" s="1"/>
  <c r="AA289" i="7"/>
  <c r="AE289" i="7" s="1"/>
  <c r="AA287" i="7"/>
  <c r="AE287" i="7" s="1"/>
  <c r="AA291" i="7"/>
  <c r="AE291" i="7" s="1"/>
  <c r="AA288" i="7"/>
  <c r="AE288" i="7" s="1"/>
  <c r="AA292" i="7"/>
  <c r="AE292" i="7" s="1"/>
  <c r="AA290" i="7"/>
  <c r="AE290" i="7" s="1"/>
  <c r="AA297" i="7"/>
  <c r="AE297" i="7" s="1"/>
  <c r="AA294" i="7"/>
  <c r="AE294" i="7" s="1"/>
  <c r="AA293" i="7"/>
  <c r="AE293" i="7" s="1"/>
  <c r="AA296" i="7"/>
  <c r="AE296" i="7" s="1"/>
  <c r="AA295" i="7"/>
  <c r="AE295" i="7" s="1"/>
  <c r="AA298" i="7"/>
  <c r="AE298" i="7" s="1"/>
  <c r="AA300" i="7"/>
  <c r="AE300" i="7" s="1"/>
  <c r="AA299" i="7"/>
  <c r="AE299" i="7" s="1"/>
  <c r="AA304" i="7"/>
  <c r="AE304" i="7" s="1"/>
  <c r="AA301" i="7"/>
  <c r="AE301" i="7" s="1"/>
  <c r="AA302" i="7"/>
  <c r="AE302" i="7" s="1"/>
  <c r="AA303" i="7"/>
  <c r="AE303" i="7" s="1"/>
  <c r="AA306" i="7"/>
  <c r="AE306" i="7" s="1"/>
  <c r="AA308" i="7"/>
  <c r="AE308" i="7" s="1"/>
  <c r="AA305" i="7"/>
  <c r="AE305" i="7" s="1"/>
  <c r="AA310" i="7"/>
  <c r="AE310" i="7" s="1"/>
  <c r="AA307" i="7"/>
  <c r="AE307" i="7" s="1"/>
  <c r="AA309" i="7"/>
  <c r="AE309" i="7" s="1"/>
  <c r="AA313" i="7"/>
  <c r="AE313" i="7" s="1"/>
  <c r="AA311" i="7"/>
  <c r="AE311" i="7" s="1"/>
  <c r="AA312" i="7"/>
  <c r="AE312" i="7" s="1"/>
  <c r="AA314" i="7"/>
  <c r="AE314" i="7" s="1"/>
  <c r="AA316" i="7"/>
  <c r="AE316" i="7" s="1"/>
  <c r="AA315" i="7"/>
  <c r="AE315" i="7" s="1"/>
  <c r="AA318" i="7"/>
  <c r="AE318" i="7" s="1"/>
  <c r="AA317" i="7"/>
  <c r="AE317" i="7" s="1"/>
  <c r="AA321" i="7"/>
  <c r="AE321" i="7" s="1"/>
  <c r="AA319" i="7"/>
  <c r="AE319" i="7" s="1"/>
  <c r="AA320" i="7"/>
  <c r="AE320" i="7" s="1"/>
  <c r="AA323" i="7"/>
  <c r="AE323" i="7" s="1"/>
  <c r="AA322" i="7"/>
  <c r="AE322" i="7" s="1"/>
  <c r="AA324" i="7"/>
  <c r="AE324" i="7" s="1"/>
  <c r="AA327" i="7"/>
  <c r="AE327" i="7" s="1"/>
  <c r="AA325" i="7"/>
  <c r="AE325" i="7" s="1"/>
  <c r="AA326" i="7"/>
  <c r="AE326" i="7" s="1"/>
  <c r="AA328" i="7"/>
  <c r="AE328" i="7" s="1"/>
  <c r="AA329" i="7"/>
  <c r="AE329" i="7" s="1"/>
  <c r="AA330" i="7"/>
  <c r="AE330" i="7" s="1"/>
  <c r="AA332" i="7"/>
  <c r="AE332" i="7" s="1"/>
  <c r="AA333" i="7"/>
  <c r="AE333" i="7" s="1"/>
  <c r="AA331" i="7"/>
  <c r="AE331" i="7" s="1"/>
  <c r="AA336" i="7"/>
  <c r="AE336" i="7" s="1"/>
  <c r="AA334" i="7"/>
  <c r="AE334" i="7" s="1"/>
  <c r="AA338" i="7"/>
  <c r="AE338" i="7" s="1"/>
  <c r="AA335" i="7"/>
  <c r="AE335" i="7" s="1"/>
  <c r="AA337" i="7"/>
  <c r="AE337" i="7" s="1"/>
  <c r="AA340" i="7"/>
  <c r="AE340" i="7" s="1"/>
  <c r="AA339" i="7"/>
  <c r="AE339" i="7" s="1"/>
  <c r="AA341" i="7"/>
  <c r="AE341" i="7" s="1"/>
  <c r="AA342" i="7"/>
  <c r="AE342" i="7" s="1"/>
  <c r="AA347" i="7"/>
  <c r="AE347" i="7" s="1"/>
  <c r="AA344" i="7"/>
  <c r="AE344" i="7" s="1"/>
  <c r="AA343" i="7"/>
  <c r="AE343" i="7" s="1"/>
  <c r="AA346" i="7"/>
  <c r="AE346" i="7" s="1"/>
  <c r="AA345" i="7"/>
  <c r="AE345" i="7" s="1"/>
  <c r="AA348" i="7"/>
  <c r="AE348" i="7" s="1"/>
  <c r="AA349" i="7"/>
  <c r="AE349" i="7" s="1"/>
  <c r="AA353" i="7"/>
  <c r="AE353" i="7" s="1"/>
  <c r="AA350" i="7"/>
  <c r="AE350" i="7" s="1"/>
  <c r="AA351" i="7"/>
  <c r="AE351" i="7" s="1"/>
  <c r="AA352" i="7"/>
  <c r="AE352" i="7" s="1"/>
  <c r="AA354" i="7"/>
  <c r="AE354" i="7" s="1"/>
  <c r="AA357" i="7"/>
  <c r="AE357" i="7" s="1"/>
  <c r="AA355" i="7"/>
  <c r="AE355" i="7" s="1"/>
  <c r="AA356" i="7"/>
  <c r="AE356" i="7" s="1"/>
  <c r="AA358" i="7"/>
  <c r="AE358" i="7" s="1"/>
  <c r="AA359" i="7"/>
  <c r="AE359" i="7" s="1"/>
  <c r="AA360" i="7"/>
  <c r="AE360" i="7" s="1"/>
  <c r="AA361" i="7"/>
  <c r="AE361" i="7" s="1"/>
  <c r="AA362" i="7"/>
  <c r="AE362" i="7" s="1"/>
  <c r="AA363" i="7"/>
  <c r="AE363" i="7" s="1"/>
  <c r="AA364" i="7"/>
  <c r="AE364" i="7" s="1"/>
  <c r="AA366" i="7"/>
  <c r="AE366" i="7" s="1"/>
  <c r="AA365" i="7"/>
  <c r="AE365" i="7" s="1"/>
  <c r="R533" i="7"/>
  <c r="Q533" i="7"/>
  <c r="S533" i="7"/>
  <c r="E351" i="3" l="1"/>
  <c r="AB351" i="3" s="1"/>
  <c r="E351" i="13"/>
  <c r="AB351" i="13" s="1"/>
  <c r="AK352" i="7"/>
  <c r="AJ352" i="7"/>
  <c r="AI352" i="7"/>
  <c r="E342" i="3"/>
  <c r="AB342" i="3" s="1"/>
  <c r="AK343" i="7"/>
  <c r="E342" i="13"/>
  <c r="AB342" i="13" s="1"/>
  <c r="AJ343" i="7"/>
  <c r="AI343" i="7"/>
  <c r="E330" i="3"/>
  <c r="AB330" i="3" s="1"/>
  <c r="AK331" i="7"/>
  <c r="E330" i="13"/>
  <c r="AB330" i="13" s="1"/>
  <c r="AJ331" i="7"/>
  <c r="AI331" i="7"/>
  <c r="E319" i="3"/>
  <c r="AB319" i="3" s="1"/>
  <c r="AK320" i="7"/>
  <c r="E319" i="13"/>
  <c r="AB319" i="13" s="1"/>
  <c r="AJ320" i="7"/>
  <c r="AI320" i="7"/>
  <c r="E306" i="3"/>
  <c r="AB306" i="3" s="1"/>
  <c r="AK307" i="7"/>
  <c r="E306" i="13"/>
  <c r="AB306" i="13" s="1"/>
  <c r="AJ307" i="7"/>
  <c r="AI307" i="7"/>
  <c r="E296" i="3"/>
  <c r="AB296" i="3" s="1"/>
  <c r="AK297" i="7"/>
  <c r="E296" i="13"/>
  <c r="AB296" i="13" s="1"/>
  <c r="AJ297" i="7"/>
  <c r="AI297" i="7"/>
  <c r="E279" i="3"/>
  <c r="AB279" i="3" s="1"/>
  <c r="AK280" i="7"/>
  <c r="E279" i="13"/>
  <c r="AB279" i="13" s="1"/>
  <c r="AJ280" i="7"/>
  <c r="AI280" i="7"/>
  <c r="E268" i="3"/>
  <c r="AB268" i="3" s="1"/>
  <c r="AK269" i="7"/>
  <c r="E268" i="13"/>
  <c r="AB268" i="13" s="1"/>
  <c r="AJ269" i="7"/>
  <c r="AI269" i="7"/>
  <c r="E259" i="3"/>
  <c r="AB259" i="3" s="1"/>
  <c r="AK260" i="7"/>
  <c r="E259" i="13"/>
  <c r="AB259" i="13" s="1"/>
  <c r="AJ260" i="7"/>
  <c r="AI260" i="7"/>
  <c r="E248" i="3"/>
  <c r="AB248" i="3" s="1"/>
  <c r="AK249" i="7"/>
  <c r="E248" i="13"/>
  <c r="AB248" i="13" s="1"/>
  <c r="AJ249" i="7"/>
  <c r="AI249" i="7"/>
  <c r="E234" i="3"/>
  <c r="AB234" i="3" s="1"/>
  <c r="AK235" i="7"/>
  <c r="E234" i="13"/>
  <c r="AB234" i="13" s="1"/>
  <c r="AJ235" i="7"/>
  <c r="AI235" i="7"/>
  <c r="E220" i="3"/>
  <c r="AB220" i="3" s="1"/>
  <c r="AK221" i="7"/>
  <c r="E220" i="13"/>
  <c r="AB220" i="13" s="1"/>
  <c r="AJ221" i="7"/>
  <c r="AI221" i="7"/>
  <c r="E209" i="3"/>
  <c r="AB209" i="3" s="1"/>
  <c r="AK210" i="7"/>
  <c r="E209" i="13"/>
  <c r="AB209" i="13" s="1"/>
  <c r="AJ210" i="7"/>
  <c r="AI210" i="7"/>
  <c r="E196" i="3"/>
  <c r="AB196" i="3" s="1"/>
  <c r="AK197" i="7"/>
  <c r="E196" i="13"/>
  <c r="AB196" i="13" s="1"/>
  <c r="AJ197" i="7"/>
  <c r="AI197" i="7"/>
  <c r="E186" i="3"/>
  <c r="AB186" i="3" s="1"/>
  <c r="AK187" i="7"/>
  <c r="E186" i="13"/>
  <c r="AB186" i="13" s="1"/>
  <c r="AJ187" i="7"/>
  <c r="AI187" i="7"/>
  <c r="E174" i="3"/>
  <c r="AB174" i="3" s="1"/>
  <c r="AK175" i="7"/>
  <c r="E174" i="13"/>
  <c r="AB174" i="13" s="1"/>
  <c r="AJ175" i="7"/>
  <c r="AI175" i="7"/>
  <c r="E159" i="3"/>
  <c r="AB159" i="3" s="1"/>
  <c r="AK160" i="7"/>
  <c r="E159" i="13"/>
  <c r="AB159" i="13" s="1"/>
  <c r="AJ160" i="7"/>
  <c r="AI160" i="7"/>
  <c r="E148" i="3"/>
  <c r="AB148" i="3" s="1"/>
  <c r="AK149" i="7"/>
  <c r="E148" i="13"/>
  <c r="AB148" i="13" s="1"/>
  <c r="AJ149" i="7"/>
  <c r="AI149" i="7"/>
  <c r="E134" i="3"/>
  <c r="AB134" i="3" s="1"/>
  <c r="AK135" i="7"/>
  <c r="E134" i="13"/>
  <c r="AB134" i="13" s="1"/>
  <c r="AJ135" i="7"/>
  <c r="AI135" i="7"/>
  <c r="E127" i="3"/>
  <c r="AB127" i="3" s="1"/>
  <c r="AK128" i="7"/>
  <c r="E127" i="13"/>
  <c r="AB127" i="13" s="1"/>
  <c r="AJ128" i="7"/>
  <c r="AI128" i="7"/>
  <c r="E117" i="3"/>
  <c r="AB117" i="3" s="1"/>
  <c r="E117" i="13"/>
  <c r="AB117" i="13" s="1"/>
  <c r="AK118" i="7"/>
  <c r="AJ118" i="7"/>
  <c r="AI118" i="7"/>
  <c r="E103" i="3"/>
  <c r="AB103" i="3" s="1"/>
  <c r="AK104" i="7"/>
  <c r="E103" i="13"/>
  <c r="AB103" i="13" s="1"/>
  <c r="AJ104" i="7"/>
  <c r="AI104" i="7"/>
  <c r="E91" i="3"/>
  <c r="AB91" i="3" s="1"/>
  <c r="AK92" i="7"/>
  <c r="E91" i="13"/>
  <c r="AB91" i="13" s="1"/>
  <c r="AJ92" i="7"/>
  <c r="AI92" i="7"/>
  <c r="E78" i="3"/>
  <c r="AB78" i="3" s="1"/>
  <c r="E78" i="13"/>
  <c r="AB78" i="13" s="1"/>
  <c r="AK79" i="7"/>
  <c r="AJ79" i="7"/>
  <c r="AI79" i="7"/>
  <c r="E65" i="3"/>
  <c r="AB65" i="3" s="1"/>
  <c r="E65" i="13"/>
  <c r="AB65" i="13" s="1"/>
  <c r="AK66" i="7"/>
  <c r="AJ66" i="7"/>
  <c r="AI66" i="7"/>
  <c r="E51" i="3"/>
  <c r="AB51" i="3" s="1"/>
  <c r="AK52" i="7"/>
  <c r="E51" i="13"/>
  <c r="AB51" i="13" s="1"/>
  <c r="AJ52" i="7"/>
  <c r="AI52" i="7"/>
  <c r="E43" i="3"/>
  <c r="AB43" i="3" s="1"/>
  <c r="AK44" i="7"/>
  <c r="E43" i="13"/>
  <c r="AB43" i="13" s="1"/>
  <c r="AJ44" i="7"/>
  <c r="AI44" i="7"/>
  <c r="E39" i="3"/>
  <c r="AB39" i="3" s="1"/>
  <c r="E39" i="13"/>
  <c r="AB39" i="13" s="1"/>
  <c r="AK40" i="7"/>
  <c r="AJ40" i="7"/>
  <c r="AI40" i="7"/>
  <c r="E22" i="3"/>
  <c r="AB22" i="3" s="1"/>
  <c r="AK23" i="7"/>
  <c r="E22" i="13"/>
  <c r="AB22" i="13" s="1"/>
  <c r="AJ23" i="7"/>
  <c r="AI23" i="7"/>
  <c r="E13" i="3"/>
  <c r="AB13" i="3" s="1"/>
  <c r="E13" i="13"/>
  <c r="AB13" i="13" s="1"/>
  <c r="AK14" i="7"/>
  <c r="AJ14" i="7"/>
  <c r="AI14" i="7"/>
  <c r="E7" i="3"/>
  <c r="AB7" i="3" s="1"/>
  <c r="AE7" i="3" s="1"/>
  <c r="AK8" i="7"/>
  <c r="E7" i="13"/>
  <c r="AB7" i="13" s="1"/>
  <c r="AE7" i="13" s="1"/>
  <c r="AJ8" i="7"/>
  <c r="AI8" i="7"/>
  <c r="E363" i="3"/>
  <c r="AB363" i="3" s="1"/>
  <c r="AK364" i="7"/>
  <c r="E363" i="13"/>
  <c r="AB363" i="13" s="1"/>
  <c r="AI364" i="7"/>
  <c r="AJ364" i="7"/>
  <c r="E359" i="3"/>
  <c r="AB359" i="3" s="1"/>
  <c r="AK360" i="7"/>
  <c r="E359" i="13"/>
  <c r="AB359" i="13" s="1"/>
  <c r="AI360" i="7"/>
  <c r="AJ360" i="7"/>
  <c r="E354" i="3"/>
  <c r="AB354" i="3" s="1"/>
  <c r="AK355" i="7"/>
  <c r="E354" i="13"/>
  <c r="AB354" i="13" s="1"/>
  <c r="AJ355" i="7"/>
  <c r="AI355" i="7"/>
  <c r="E350" i="3"/>
  <c r="AB350" i="3" s="1"/>
  <c r="AK351" i="7"/>
  <c r="E350" i="13"/>
  <c r="AB350" i="13" s="1"/>
  <c r="AJ351" i="7"/>
  <c r="AI351" i="7"/>
  <c r="E347" i="3"/>
  <c r="AB347" i="3" s="1"/>
  <c r="AK348" i="7"/>
  <c r="E347" i="13"/>
  <c r="AB347" i="13" s="1"/>
  <c r="AJ348" i="7"/>
  <c r="AI348" i="7"/>
  <c r="E343" i="3"/>
  <c r="AB343" i="3" s="1"/>
  <c r="AK344" i="7"/>
  <c r="E343" i="13"/>
  <c r="AB343" i="13" s="1"/>
  <c r="AJ344" i="7"/>
  <c r="AI344" i="7"/>
  <c r="E338" i="3"/>
  <c r="AB338" i="3" s="1"/>
  <c r="AK339" i="7"/>
  <c r="E338" i="13"/>
  <c r="AB338" i="13" s="1"/>
  <c r="AJ339" i="7"/>
  <c r="AI339" i="7"/>
  <c r="E337" i="3"/>
  <c r="AB337" i="3" s="1"/>
  <c r="AK338" i="7"/>
  <c r="E337" i="13"/>
  <c r="AB337" i="13" s="1"/>
  <c r="AJ338" i="7"/>
  <c r="AI338" i="7"/>
  <c r="E332" i="3"/>
  <c r="AB332" i="3" s="1"/>
  <c r="AK333" i="7"/>
  <c r="E332" i="13"/>
  <c r="AB332" i="13" s="1"/>
  <c r="AJ333" i="7"/>
  <c r="AI333" i="7"/>
  <c r="E327" i="3"/>
  <c r="AB327" i="3" s="1"/>
  <c r="AK328" i="7"/>
  <c r="E327" i="13"/>
  <c r="AB327" i="13" s="1"/>
  <c r="AJ328" i="7"/>
  <c r="AI328" i="7"/>
  <c r="E323" i="3"/>
  <c r="AB323" i="3" s="1"/>
  <c r="AK324" i="7"/>
  <c r="E323" i="13"/>
  <c r="AB323" i="13" s="1"/>
  <c r="AJ324" i="7"/>
  <c r="AI324" i="7"/>
  <c r="E318" i="3"/>
  <c r="AB318" i="3" s="1"/>
  <c r="AK319" i="7"/>
  <c r="E318" i="13"/>
  <c r="AB318" i="13" s="1"/>
  <c r="AJ319" i="7"/>
  <c r="AI319" i="7"/>
  <c r="E314" i="3"/>
  <c r="AB314" i="3" s="1"/>
  <c r="AK315" i="7"/>
  <c r="E314" i="13"/>
  <c r="AB314" i="13" s="1"/>
  <c r="AJ315" i="7"/>
  <c r="AI315" i="7"/>
  <c r="E310" i="3"/>
  <c r="AB310" i="3" s="1"/>
  <c r="AK311" i="7"/>
  <c r="E310" i="13"/>
  <c r="AB310" i="13" s="1"/>
  <c r="AJ311" i="7"/>
  <c r="AI311" i="7"/>
  <c r="E309" i="3"/>
  <c r="AB309" i="3" s="1"/>
  <c r="AK310" i="7"/>
  <c r="E309" i="13"/>
  <c r="AB309" i="13" s="1"/>
  <c r="AJ310" i="7"/>
  <c r="AI310" i="7"/>
  <c r="E302" i="3"/>
  <c r="AB302" i="3" s="1"/>
  <c r="AK303" i="7"/>
  <c r="E302" i="13"/>
  <c r="AB302" i="13" s="1"/>
  <c r="AJ303" i="7"/>
  <c r="AI303" i="7"/>
  <c r="E298" i="3"/>
  <c r="AB298" i="3" s="1"/>
  <c r="AK299" i="7"/>
  <c r="E298" i="13"/>
  <c r="AB298" i="13" s="1"/>
  <c r="AJ299" i="7"/>
  <c r="AI299" i="7"/>
  <c r="E295" i="3"/>
  <c r="AB295" i="3" s="1"/>
  <c r="AK296" i="7"/>
  <c r="E295" i="13"/>
  <c r="AB295" i="13" s="1"/>
  <c r="AJ296" i="7"/>
  <c r="AI296" i="7"/>
  <c r="E289" i="3"/>
  <c r="AB289" i="3" s="1"/>
  <c r="AK290" i="7"/>
  <c r="E289" i="13"/>
  <c r="AB289" i="13" s="1"/>
  <c r="AJ290" i="7"/>
  <c r="AI290" i="7"/>
  <c r="E286" i="3"/>
  <c r="AB286" i="3" s="1"/>
  <c r="AK287" i="7"/>
  <c r="E286" i="13"/>
  <c r="AB286" i="13" s="1"/>
  <c r="AJ287" i="7"/>
  <c r="AI287" i="7"/>
  <c r="E283" i="3"/>
  <c r="AB283" i="3" s="1"/>
  <c r="AK284" i="7"/>
  <c r="E283" i="13"/>
  <c r="AB283" i="13" s="1"/>
  <c r="AJ284" i="7"/>
  <c r="AI284" i="7"/>
  <c r="E281" i="3"/>
  <c r="AB281" i="3" s="1"/>
  <c r="AK282" i="7"/>
  <c r="E281" i="13"/>
  <c r="AB281" i="13" s="1"/>
  <c r="AJ282" i="7"/>
  <c r="AI282" i="7"/>
  <c r="E275" i="3"/>
  <c r="AB275" i="3" s="1"/>
  <c r="AK276" i="7"/>
  <c r="E275" i="13"/>
  <c r="AB275" i="13" s="1"/>
  <c r="AJ276" i="7"/>
  <c r="AI276" i="7"/>
  <c r="E270" i="3"/>
  <c r="AB270" i="3" s="1"/>
  <c r="AK271" i="7"/>
  <c r="E270" i="13"/>
  <c r="AB270" i="13" s="1"/>
  <c r="AJ271" i="7"/>
  <c r="AI271" i="7"/>
  <c r="E267" i="3"/>
  <c r="AB267" i="3" s="1"/>
  <c r="AK268" i="7"/>
  <c r="E267" i="13"/>
  <c r="AB267" i="13" s="1"/>
  <c r="AJ268" i="7"/>
  <c r="AI268" i="7"/>
  <c r="E263" i="3"/>
  <c r="AB263" i="3" s="1"/>
  <c r="AK264" i="7"/>
  <c r="E263" i="13"/>
  <c r="AB263" i="13" s="1"/>
  <c r="AJ264" i="7"/>
  <c r="AI264" i="7"/>
  <c r="E257" i="3"/>
  <c r="AB257" i="3" s="1"/>
  <c r="AK258" i="7"/>
  <c r="E257" i="13"/>
  <c r="AB257" i="13" s="1"/>
  <c r="AJ258" i="7"/>
  <c r="AI258" i="7"/>
  <c r="E256" i="3"/>
  <c r="AB256" i="3" s="1"/>
  <c r="AK257" i="7"/>
  <c r="E256" i="13"/>
  <c r="AB256" i="13" s="1"/>
  <c r="AJ257" i="7"/>
  <c r="AI257" i="7"/>
  <c r="E250" i="3"/>
  <c r="AB250" i="3" s="1"/>
  <c r="AK251" i="7"/>
  <c r="E250" i="13"/>
  <c r="AB250" i="13" s="1"/>
  <c r="AJ251" i="7"/>
  <c r="AI251" i="7"/>
  <c r="E245" i="3"/>
  <c r="AB245" i="3" s="1"/>
  <c r="AK246" i="7"/>
  <c r="E245" i="13"/>
  <c r="AB245" i="13" s="1"/>
  <c r="AJ246" i="7"/>
  <c r="AI246" i="7"/>
  <c r="E243" i="3"/>
  <c r="AB243" i="3" s="1"/>
  <c r="AK244" i="7"/>
  <c r="E243" i="13"/>
  <c r="AB243" i="13" s="1"/>
  <c r="AJ244" i="7"/>
  <c r="AI244" i="7"/>
  <c r="E240" i="3"/>
  <c r="AB240" i="3" s="1"/>
  <c r="AK241" i="7"/>
  <c r="E240" i="13"/>
  <c r="AB240" i="13" s="1"/>
  <c r="AJ241" i="7"/>
  <c r="AI241" i="7"/>
  <c r="E237" i="3"/>
  <c r="AB237" i="3" s="1"/>
  <c r="AK238" i="7"/>
  <c r="E237" i="13"/>
  <c r="AB237" i="13" s="1"/>
  <c r="AJ238" i="7"/>
  <c r="AI238" i="7"/>
  <c r="E231" i="3"/>
  <c r="AB231" i="3" s="1"/>
  <c r="AK232" i="7"/>
  <c r="E231" i="13"/>
  <c r="AB231" i="13" s="1"/>
  <c r="AJ232" i="7"/>
  <c r="AI232" i="7"/>
  <c r="E225" i="3"/>
  <c r="AB225" i="3" s="1"/>
  <c r="AK226" i="7"/>
  <c r="E225" i="13"/>
  <c r="AB225" i="13" s="1"/>
  <c r="AJ226" i="7"/>
  <c r="AI226" i="7"/>
  <c r="E226" i="3"/>
  <c r="AB226" i="3" s="1"/>
  <c r="AK227" i="7"/>
  <c r="E226" i="13"/>
  <c r="AB226" i="13" s="1"/>
  <c r="AJ227" i="7"/>
  <c r="AI227" i="7"/>
  <c r="E218" i="3"/>
  <c r="AB218" i="3" s="1"/>
  <c r="AK219" i="7"/>
  <c r="E218" i="13"/>
  <c r="AB218" i="13" s="1"/>
  <c r="AJ219" i="7"/>
  <c r="AI219" i="7"/>
  <c r="E215" i="3"/>
  <c r="AB215" i="3" s="1"/>
  <c r="AK216" i="7"/>
  <c r="E215" i="13"/>
  <c r="AB215" i="13" s="1"/>
  <c r="AJ216" i="7"/>
  <c r="AI216" i="7"/>
  <c r="E213" i="3"/>
  <c r="AB213" i="3" s="1"/>
  <c r="AK214" i="7"/>
  <c r="E213" i="13"/>
  <c r="AB213" i="13" s="1"/>
  <c r="AJ214" i="7"/>
  <c r="AI214" i="7"/>
  <c r="E207" i="3"/>
  <c r="AB207" i="3" s="1"/>
  <c r="AK208" i="7"/>
  <c r="E207" i="13"/>
  <c r="AB207" i="13" s="1"/>
  <c r="AJ208" i="7"/>
  <c r="AI208" i="7"/>
  <c r="E202" i="3"/>
  <c r="AB202" i="3" s="1"/>
  <c r="AK203" i="7"/>
  <c r="E202" i="13"/>
  <c r="AB202" i="13" s="1"/>
  <c r="AJ203" i="7"/>
  <c r="AI203" i="7"/>
  <c r="E199" i="3"/>
  <c r="AB199" i="3" s="1"/>
  <c r="AK200" i="7"/>
  <c r="E199" i="13"/>
  <c r="AB199" i="13" s="1"/>
  <c r="AJ200" i="7"/>
  <c r="AI200" i="7"/>
  <c r="E195" i="3"/>
  <c r="AB195" i="3" s="1"/>
  <c r="E195" i="13"/>
  <c r="AB195" i="13" s="1"/>
  <c r="AK196" i="7"/>
  <c r="AJ196" i="7"/>
  <c r="AI196" i="7"/>
  <c r="E192" i="3"/>
  <c r="AB192" i="3" s="1"/>
  <c r="AK193" i="7"/>
  <c r="E192" i="13"/>
  <c r="AB192" i="13" s="1"/>
  <c r="AJ193" i="7"/>
  <c r="AI193" i="7"/>
  <c r="E184" i="3"/>
  <c r="AB184" i="3" s="1"/>
  <c r="AK185" i="7"/>
  <c r="E184" i="13"/>
  <c r="AB184" i="13" s="1"/>
  <c r="AJ185" i="7"/>
  <c r="AI185" i="7"/>
  <c r="E185" i="3"/>
  <c r="AB185" i="3" s="1"/>
  <c r="AK186" i="7"/>
  <c r="E185" i="13"/>
  <c r="AB185" i="13" s="1"/>
  <c r="AJ186" i="7"/>
  <c r="AI186" i="7"/>
  <c r="E177" i="3"/>
  <c r="AB177" i="3" s="1"/>
  <c r="AK178" i="7"/>
  <c r="E177" i="13"/>
  <c r="AB177" i="13" s="1"/>
  <c r="AJ178" i="7"/>
  <c r="AI178" i="7"/>
  <c r="E173" i="3"/>
  <c r="AB173" i="3" s="1"/>
  <c r="AK174" i="7"/>
  <c r="E173" i="13"/>
  <c r="AB173" i="13" s="1"/>
  <c r="AJ174" i="7"/>
  <c r="AI174" i="7"/>
  <c r="E171" i="3"/>
  <c r="AB171" i="3" s="1"/>
  <c r="AK172" i="7"/>
  <c r="E171" i="13"/>
  <c r="AB171" i="13" s="1"/>
  <c r="AJ172" i="7"/>
  <c r="AI172" i="7"/>
  <c r="E166" i="3"/>
  <c r="AB166" i="3" s="1"/>
  <c r="AK167" i="7"/>
  <c r="E166" i="13"/>
  <c r="AB166" i="13" s="1"/>
  <c r="AJ167" i="7"/>
  <c r="AI167" i="7"/>
  <c r="E161" i="3"/>
  <c r="AB161" i="3" s="1"/>
  <c r="AK162" i="7"/>
  <c r="E161" i="13"/>
  <c r="AB161" i="13" s="1"/>
  <c r="AJ162" i="7"/>
  <c r="AI162" i="7"/>
  <c r="E160" i="3"/>
  <c r="AB160" i="3" s="1"/>
  <c r="AK161" i="7"/>
  <c r="E160" i="13"/>
  <c r="AB160" i="13" s="1"/>
  <c r="AJ161" i="7"/>
  <c r="AI161" i="7"/>
  <c r="E156" i="3"/>
  <c r="AB156" i="3" s="1"/>
  <c r="AK157" i="7"/>
  <c r="E156" i="13"/>
  <c r="AB156" i="13" s="1"/>
  <c r="AJ157" i="7"/>
  <c r="AI157" i="7"/>
  <c r="E150" i="3"/>
  <c r="AB150" i="3" s="1"/>
  <c r="AK151" i="7"/>
  <c r="E150" i="13"/>
  <c r="AB150" i="13" s="1"/>
  <c r="AJ151" i="7"/>
  <c r="AI151" i="7"/>
  <c r="E146" i="3"/>
  <c r="AB146" i="3" s="1"/>
  <c r="AK147" i="7"/>
  <c r="E146" i="13"/>
  <c r="AB146" i="13" s="1"/>
  <c r="AJ147" i="7"/>
  <c r="AI147" i="7"/>
  <c r="E144" i="3"/>
  <c r="AB144" i="3" s="1"/>
  <c r="AK145" i="7"/>
  <c r="E144" i="13"/>
  <c r="AB144" i="13" s="1"/>
  <c r="AJ145" i="7"/>
  <c r="AI145" i="7"/>
  <c r="E139" i="3"/>
  <c r="AB139" i="3" s="1"/>
  <c r="AK140" i="7"/>
  <c r="E139" i="13"/>
  <c r="AB139" i="13" s="1"/>
  <c r="AJ140" i="7"/>
  <c r="AI140" i="7"/>
  <c r="E136" i="3"/>
  <c r="AB136" i="3" s="1"/>
  <c r="AK137" i="7"/>
  <c r="E136" i="13"/>
  <c r="AB136" i="13" s="1"/>
  <c r="AJ137" i="7"/>
  <c r="AI137" i="7"/>
  <c r="E131" i="3"/>
  <c r="AB131" i="3" s="1"/>
  <c r="AK132" i="7"/>
  <c r="E131" i="13"/>
  <c r="AB131" i="13" s="1"/>
  <c r="AJ132" i="7"/>
  <c r="AI132" i="7"/>
  <c r="E130" i="3"/>
  <c r="AB130" i="3" s="1"/>
  <c r="E130" i="13"/>
  <c r="AB130" i="13" s="1"/>
  <c r="AK131" i="7"/>
  <c r="AJ131" i="7"/>
  <c r="AI131" i="7"/>
  <c r="E124" i="3"/>
  <c r="AB124" i="3" s="1"/>
  <c r="AK125" i="7"/>
  <c r="E124" i="13"/>
  <c r="AB124" i="13" s="1"/>
  <c r="AJ125" i="7"/>
  <c r="AI125" i="7"/>
  <c r="E118" i="3"/>
  <c r="AB118" i="3" s="1"/>
  <c r="AK119" i="7"/>
  <c r="E118" i="13"/>
  <c r="AB118" i="13" s="1"/>
  <c r="AJ119" i="7"/>
  <c r="AI119" i="7"/>
  <c r="E113" i="3"/>
  <c r="AB113" i="3" s="1"/>
  <c r="AK114" i="7"/>
  <c r="E113" i="13"/>
  <c r="AB113" i="13" s="1"/>
  <c r="AJ114" i="7"/>
  <c r="AI114" i="7"/>
  <c r="E111" i="3"/>
  <c r="AB111" i="3" s="1"/>
  <c r="AK112" i="7"/>
  <c r="E111" i="13"/>
  <c r="AB111" i="13" s="1"/>
  <c r="AJ112" i="7"/>
  <c r="AI112" i="7"/>
  <c r="E107" i="3"/>
  <c r="AB107" i="3" s="1"/>
  <c r="AK108" i="7"/>
  <c r="E107" i="13"/>
  <c r="AB107" i="13" s="1"/>
  <c r="AJ108" i="7"/>
  <c r="AI108" i="7"/>
  <c r="E102" i="3"/>
  <c r="AB102" i="3" s="1"/>
  <c r="AK103" i="7"/>
  <c r="E102" i="13"/>
  <c r="AB102" i="13" s="1"/>
  <c r="AJ103" i="7"/>
  <c r="AI103" i="7"/>
  <c r="E97" i="3"/>
  <c r="AB97" i="3" s="1"/>
  <c r="AK98" i="7"/>
  <c r="E97" i="13"/>
  <c r="AB97" i="13" s="1"/>
  <c r="AJ98" i="7"/>
  <c r="AI98" i="7"/>
  <c r="E96" i="3"/>
  <c r="AB96" i="3" s="1"/>
  <c r="AK97" i="7"/>
  <c r="E96" i="13"/>
  <c r="AB96" i="13" s="1"/>
  <c r="AJ97" i="7"/>
  <c r="AI97" i="7"/>
  <c r="E92" i="3"/>
  <c r="AB92" i="3" s="1"/>
  <c r="AK93" i="7"/>
  <c r="E92" i="13"/>
  <c r="AB92" i="13" s="1"/>
  <c r="AJ93" i="7"/>
  <c r="AI93" i="7"/>
  <c r="E89" i="3"/>
  <c r="AB89" i="3" s="1"/>
  <c r="AK90" i="7"/>
  <c r="E89" i="13"/>
  <c r="AB89" i="13" s="1"/>
  <c r="AJ90" i="7"/>
  <c r="AI90" i="7"/>
  <c r="E81" i="3"/>
  <c r="AB81" i="3" s="1"/>
  <c r="AK82" i="7"/>
  <c r="E81" i="13"/>
  <c r="AB81" i="13" s="1"/>
  <c r="AJ82" i="7"/>
  <c r="AI82" i="7"/>
  <c r="E76" i="3"/>
  <c r="AB76" i="3" s="1"/>
  <c r="AK77" i="7"/>
  <c r="E76" i="13"/>
  <c r="AB76" i="13" s="1"/>
  <c r="AJ77" i="7"/>
  <c r="AI77" i="7"/>
  <c r="E74" i="3"/>
  <c r="AB74" i="3" s="1"/>
  <c r="AK75" i="7"/>
  <c r="E74" i="13"/>
  <c r="AB74" i="13" s="1"/>
  <c r="AJ75" i="7"/>
  <c r="AI75" i="7"/>
  <c r="E71" i="3"/>
  <c r="AB71" i="3" s="1"/>
  <c r="AK72" i="7"/>
  <c r="E71" i="13"/>
  <c r="AB71" i="13" s="1"/>
  <c r="AJ72" i="7"/>
  <c r="AI72" i="7"/>
  <c r="E66" i="3"/>
  <c r="AB66" i="3" s="1"/>
  <c r="AK67" i="7"/>
  <c r="E66" i="13"/>
  <c r="AB66" i="13" s="1"/>
  <c r="AJ67" i="7"/>
  <c r="AI67" i="7"/>
  <c r="E63" i="3"/>
  <c r="AB63" i="3" s="1"/>
  <c r="AK64" i="7"/>
  <c r="E63" i="13"/>
  <c r="AB63" i="13" s="1"/>
  <c r="AJ64" i="7"/>
  <c r="AI64" i="7"/>
  <c r="E59" i="3"/>
  <c r="AB59" i="3" s="1"/>
  <c r="AK60" i="7"/>
  <c r="E59" i="13"/>
  <c r="AB59" i="13" s="1"/>
  <c r="AJ60" i="7"/>
  <c r="AI60" i="7"/>
  <c r="E55" i="3"/>
  <c r="AB55" i="3" s="1"/>
  <c r="AK56" i="7"/>
  <c r="E55" i="13"/>
  <c r="AB55" i="13" s="1"/>
  <c r="AJ56" i="7"/>
  <c r="AI56" i="7"/>
  <c r="E52" i="3"/>
  <c r="AB52" i="3" s="1"/>
  <c r="E52" i="13"/>
  <c r="AB52" i="13" s="1"/>
  <c r="AK53" i="7"/>
  <c r="AJ53" i="7"/>
  <c r="AI53" i="7"/>
  <c r="E47" i="3"/>
  <c r="AB47" i="3" s="1"/>
  <c r="AK48" i="7"/>
  <c r="E47" i="13"/>
  <c r="AB47" i="13" s="1"/>
  <c r="AJ48" i="7"/>
  <c r="AI48" i="7"/>
  <c r="E42" i="3"/>
  <c r="AB42" i="3" s="1"/>
  <c r="AK43" i="7"/>
  <c r="E42" i="13"/>
  <c r="AB42" i="13" s="1"/>
  <c r="AJ43" i="7"/>
  <c r="AI43" i="7"/>
  <c r="E41" i="3"/>
  <c r="AB41" i="3" s="1"/>
  <c r="AK42" i="7"/>
  <c r="E41" i="13"/>
  <c r="AB41" i="13" s="1"/>
  <c r="AJ42" i="7"/>
  <c r="AI42" i="7"/>
  <c r="E35" i="3"/>
  <c r="AB35" i="3" s="1"/>
  <c r="AK36" i="7"/>
  <c r="E35" i="13"/>
  <c r="AB35" i="13" s="1"/>
  <c r="AJ36" i="7"/>
  <c r="AI36" i="7"/>
  <c r="E31" i="3"/>
  <c r="AB31" i="3" s="1"/>
  <c r="AK32" i="7"/>
  <c r="E31" i="13"/>
  <c r="AB31" i="13" s="1"/>
  <c r="AJ32" i="7"/>
  <c r="AI32" i="7"/>
  <c r="E26" i="3"/>
  <c r="AB26" i="3" s="1"/>
  <c r="E26" i="13"/>
  <c r="AB26" i="13" s="1"/>
  <c r="AK27" i="7"/>
  <c r="AJ27" i="7"/>
  <c r="AI27" i="7"/>
  <c r="E23" i="3"/>
  <c r="AB23" i="3" s="1"/>
  <c r="AK24" i="7"/>
  <c r="E23" i="13"/>
  <c r="AB23" i="13" s="1"/>
  <c r="AJ24" i="7"/>
  <c r="AI24" i="7"/>
  <c r="E21" i="3"/>
  <c r="AB21" i="3" s="1"/>
  <c r="AK22" i="7"/>
  <c r="E21" i="13"/>
  <c r="AB21" i="13" s="1"/>
  <c r="AJ22" i="7"/>
  <c r="AI22" i="7"/>
  <c r="E16" i="3"/>
  <c r="AB16" i="3" s="1"/>
  <c r="AK17" i="7"/>
  <c r="E16" i="13"/>
  <c r="AB16" i="13" s="1"/>
  <c r="AJ17" i="7"/>
  <c r="AI17" i="7"/>
  <c r="E9" i="3"/>
  <c r="AB9" i="3" s="1"/>
  <c r="AK10" i="7"/>
  <c r="E9" i="13"/>
  <c r="AB9" i="13" s="1"/>
  <c r="AJ10" i="7"/>
  <c r="AI10" i="7"/>
  <c r="E11" i="3"/>
  <c r="AB11" i="3" s="1"/>
  <c r="AK12" i="7"/>
  <c r="E11" i="13"/>
  <c r="AB11" i="13" s="1"/>
  <c r="AJ12" i="7"/>
  <c r="AI12" i="7"/>
  <c r="E365" i="3"/>
  <c r="AB365" i="3" s="1"/>
  <c r="AK366" i="7"/>
  <c r="E365" i="13"/>
  <c r="AB365" i="13" s="1"/>
  <c r="AJ366" i="7"/>
  <c r="AI366" i="7"/>
  <c r="E355" i="3"/>
  <c r="AB355" i="3" s="1"/>
  <c r="AK356" i="7"/>
  <c r="E355" i="13"/>
  <c r="AB355" i="13" s="1"/>
  <c r="AJ356" i="7"/>
  <c r="AI356" i="7"/>
  <c r="E340" i="3"/>
  <c r="AB340" i="3" s="1"/>
  <c r="AK341" i="7"/>
  <c r="E340" i="13"/>
  <c r="AB340" i="13" s="1"/>
  <c r="AJ341" i="7"/>
  <c r="AI341" i="7"/>
  <c r="E328" i="3"/>
  <c r="AB328" i="3" s="1"/>
  <c r="AK329" i="7"/>
  <c r="E328" i="13"/>
  <c r="AB328" i="13" s="1"/>
  <c r="AJ329" i="7"/>
  <c r="AI329" i="7"/>
  <c r="E317" i="3"/>
  <c r="AB317" i="3" s="1"/>
  <c r="AK318" i="7"/>
  <c r="E317" i="13"/>
  <c r="AB317" i="13" s="1"/>
  <c r="AJ318" i="7"/>
  <c r="AI318" i="7"/>
  <c r="E305" i="3"/>
  <c r="AB305" i="3" s="1"/>
  <c r="AK306" i="7"/>
  <c r="E305" i="13"/>
  <c r="AB305" i="13" s="1"/>
  <c r="AJ306" i="7"/>
  <c r="AI306" i="7"/>
  <c r="E294" i="3"/>
  <c r="AB294" i="3" s="1"/>
  <c r="AK295" i="7"/>
  <c r="E294" i="13"/>
  <c r="AB294" i="13" s="1"/>
  <c r="AJ295" i="7"/>
  <c r="AI295" i="7"/>
  <c r="E284" i="3"/>
  <c r="AB284" i="3" s="1"/>
  <c r="AK285" i="7"/>
  <c r="E284" i="13"/>
  <c r="AB284" i="13" s="1"/>
  <c r="AJ285" i="7"/>
  <c r="AI285" i="7"/>
  <c r="E272" i="3"/>
  <c r="AB272" i="3" s="1"/>
  <c r="AK273" i="7"/>
  <c r="E272" i="13"/>
  <c r="AB272" i="13" s="1"/>
  <c r="AJ273" i="7"/>
  <c r="AI273" i="7"/>
  <c r="E260" i="3"/>
  <c r="AB260" i="3" s="1"/>
  <c r="AK261" i="7"/>
  <c r="E260" i="13"/>
  <c r="AB260" i="13" s="1"/>
  <c r="AJ261" i="7"/>
  <c r="AI261" i="7"/>
  <c r="E246" i="3"/>
  <c r="AB246" i="3" s="1"/>
  <c r="AK247" i="7"/>
  <c r="E246" i="13"/>
  <c r="AB246" i="13" s="1"/>
  <c r="AJ247" i="7"/>
  <c r="AI247" i="7"/>
  <c r="E233" i="3"/>
  <c r="AB233" i="3" s="1"/>
  <c r="AK234" i="7"/>
  <c r="E233" i="13"/>
  <c r="AB233" i="13" s="1"/>
  <c r="AJ234" i="7"/>
  <c r="AI234" i="7"/>
  <c r="E224" i="3"/>
  <c r="AB224" i="3" s="1"/>
  <c r="AK225" i="7"/>
  <c r="E224" i="13"/>
  <c r="AB224" i="13" s="1"/>
  <c r="AJ225" i="7"/>
  <c r="AI225" i="7"/>
  <c r="E212" i="3"/>
  <c r="AB212" i="3" s="1"/>
  <c r="AK213" i="7"/>
  <c r="E212" i="13"/>
  <c r="AB212" i="13" s="1"/>
  <c r="AJ213" i="7"/>
  <c r="AI213" i="7"/>
  <c r="E200" i="3"/>
  <c r="AB200" i="3" s="1"/>
  <c r="AK201" i="7"/>
  <c r="E200" i="13"/>
  <c r="AB200" i="13" s="1"/>
  <c r="AJ201" i="7"/>
  <c r="AI201" i="7"/>
  <c r="E189" i="3"/>
  <c r="AB189" i="3" s="1"/>
  <c r="AK190" i="7"/>
  <c r="E189" i="13"/>
  <c r="AB189" i="13" s="1"/>
  <c r="AJ190" i="7"/>
  <c r="AI190" i="7"/>
  <c r="E176" i="3"/>
  <c r="AB176" i="3" s="1"/>
  <c r="AK177" i="7"/>
  <c r="E176" i="13"/>
  <c r="AB176" i="13" s="1"/>
  <c r="AJ177" i="7"/>
  <c r="AI177" i="7"/>
  <c r="E163" i="3"/>
  <c r="AB163" i="3" s="1"/>
  <c r="AK164" i="7"/>
  <c r="E163" i="13"/>
  <c r="AB163" i="13" s="1"/>
  <c r="AJ164" i="7"/>
  <c r="AI164" i="7"/>
  <c r="E154" i="3"/>
  <c r="AB154" i="3" s="1"/>
  <c r="AK155" i="7"/>
  <c r="E154" i="13"/>
  <c r="AB154" i="13" s="1"/>
  <c r="AJ155" i="7"/>
  <c r="AI155" i="7"/>
  <c r="E140" i="3"/>
  <c r="AB140" i="3" s="1"/>
  <c r="AK141" i="7"/>
  <c r="E140" i="13"/>
  <c r="AB140" i="13" s="1"/>
  <c r="AJ141" i="7"/>
  <c r="AI141" i="7"/>
  <c r="E123" i="3"/>
  <c r="AB123" i="3" s="1"/>
  <c r="AK124" i="7"/>
  <c r="E123" i="13"/>
  <c r="AB123" i="13" s="1"/>
  <c r="AJ124" i="7"/>
  <c r="AI124" i="7"/>
  <c r="E112" i="3"/>
  <c r="AB112" i="3" s="1"/>
  <c r="AK113" i="7"/>
  <c r="E112" i="13"/>
  <c r="AB112" i="13" s="1"/>
  <c r="AJ113" i="7"/>
  <c r="AI113" i="7"/>
  <c r="E100" i="3"/>
  <c r="AB100" i="3" s="1"/>
  <c r="AK101" i="7"/>
  <c r="E100" i="13"/>
  <c r="AB100" i="13" s="1"/>
  <c r="AJ101" i="7"/>
  <c r="AI101" i="7"/>
  <c r="E90" i="3"/>
  <c r="AB90" i="3" s="1"/>
  <c r="AK91" i="7"/>
  <c r="E90" i="13"/>
  <c r="AB90" i="13" s="1"/>
  <c r="AJ91" i="7"/>
  <c r="AI91" i="7"/>
  <c r="E82" i="3"/>
  <c r="AB82" i="3" s="1"/>
  <c r="AK83" i="7"/>
  <c r="E82" i="13"/>
  <c r="AB82" i="13" s="1"/>
  <c r="AJ83" i="7"/>
  <c r="AI83" i="7"/>
  <c r="E69" i="3"/>
  <c r="AB69" i="3" s="1"/>
  <c r="AK70" i="7"/>
  <c r="E69" i="13"/>
  <c r="AB69" i="13" s="1"/>
  <c r="AJ70" i="7"/>
  <c r="AI70" i="7"/>
  <c r="E57" i="3"/>
  <c r="AB57" i="3" s="1"/>
  <c r="AK58" i="7"/>
  <c r="E57" i="13"/>
  <c r="AB57" i="13" s="1"/>
  <c r="AJ58" i="7"/>
  <c r="AI58" i="7"/>
  <c r="E48" i="3"/>
  <c r="AB48" i="3" s="1"/>
  <c r="AK49" i="7"/>
  <c r="E48" i="13"/>
  <c r="AB48" i="13" s="1"/>
  <c r="AJ49" i="7"/>
  <c r="AI49" i="7"/>
  <c r="E38" i="3"/>
  <c r="AB38" i="3" s="1"/>
  <c r="AK39" i="7"/>
  <c r="E38" i="13"/>
  <c r="AB38" i="13" s="1"/>
  <c r="AJ39" i="7"/>
  <c r="AI39" i="7"/>
  <c r="E30" i="3"/>
  <c r="AB30" i="3" s="1"/>
  <c r="AK31" i="7"/>
  <c r="E30" i="13"/>
  <c r="AB30" i="13" s="1"/>
  <c r="AJ31" i="7"/>
  <c r="AI31" i="7"/>
  <c r="E19" i="3"/>
  <c r="AB19" i="3" s="1"/>
  <c r="AK20" i="7"/>
  <c r="E19" i="13"/>
  <c r="AB19" i="13" s="1"/>
  <c r="AJ20" i="7"/>
  <c r="AI20" i="7"/>
  <c r="E10" i="3"/>
  <c r="AB10" i="3" s="1"/>
  <c r="AK11" i="7"/>
  <c r="E10" i="13"/>
  <c r="AB10" i="13" s="1"/>
  <c r="AJ11" i="7"/>
  <c r="AI11" i="7"/>
  <c r="E362" i="3"/>
  <c r="AB362" i="3" s="1"/>
  <c r="AK363" i="7"/>
  <c r="E362" i="13"/>
  <c r="AB362" i="13" s="1"/>
  <c r="AJ363" i="7"/>
  <c r="AI363" i="7"/>
  <c r="E358" i="3"/>
  <c r="AB358" i="3" s="1"/>
  <c r="AK359" i="7"/>
  <c r="E358" i="13"/>
  <c r="AB358" i="13" s="1"/>
  <c r="AJ359" i="7"/>
  <c r="AI359" i="7"/>
  <c r="E356" i="3"/>
  <c r="AB356" i="3" s="1"/>
  <c r="AK357" i="7"/>
  <c r="E356" i="13"/>
  <c r="AB356" i="13" s="1"/>
  <c r="AJ357" i="7"/>
  <c r="AI357" i="7"/>
  <c r="E349" i="3"/>
  <c r="AB349" i="3" s="1"/>
  <c r="AK350" i="7"/>
  <c r="E349" i="13"/>
  <c r="AB349" i="13" s="1"/>
  <c r="AJ350" i="7"/>
  <c r="AI350" i="7"/>
  <c r="E344" i="3"/>
  <c r="AB344" i="3" s="1"/>
  <c r="AK345" i="7"/>
  <c r="E344" i="13"/>
  <c r="AB344" i="13" s="1"/>
  <c r="AJ345" i="7"/>
  <c r="AI345" i="7"/>
  <c r="E346" i="3"/>
  <c r="AB346" i="3" s="1"/>
  <c r="AK347" i="7"/>
  <c r="E346" i="13"/>
  <c r="AB346" i="13" s="1"/>
  <c r="AJ347" i="7"/>
  <c r="AI347" i="7"/>
  <c r="E339" i="3"/>
  <c r="AB339" i="3" s="1"/>
  <c r="AK340" i="7"/>
  <c r="E339" i="13"/>
  <c r="AB339" i="13" s="1"/>
  <c r="AJ340" i="7"/>
  <c r="AI340" i="7"/>
  <c r="E333" i="3"/>
  <c r="AB333" i="3" s="1"/>
  <c r="AK334" i="7"/>
  <c r="E333" i="13"/>
  <c r="AB333" i="13" s="1"/>
  <c r="AJ334" i="7"/>
  <c r="AI334" i="7"/>
  <c r="E331" i="3"/>
  <c r="AB331" i="3" s="1"/>
  <c r="AK332" i="7"/>
  <c r="E331" i="13"/>
  <c r="AB331" i="13" s="1"/>
  <c r="AJ332" i="7"/>
  <c r="AI332" i="7"/>
  <c r="E325" i="3"/>
  <c r="AB325" i="3" s="1"/>
  <c r="E325" i="13"/>
  <c r="AB325" i="13" s="1"/>
  <c r="AK326" i="7"/>
  <c r="AJ326" i="7"/>
  <c r="AI326" i="7"/>
  <c r="E321" i="3"/>
  <c r="AB321" i="3" s="1"/>
  <c r="AK322" i="7"/>
  <c r="E321" i="13"/>
  <c r="AB321" i="13" s="1"/>
  <c r="AJ322" i="7"/>
  <c r="AI322" i="7"/>
  <c r="E320" i="3"/>
  <c r="AB320" i="3" s="1"/>
  <c r="AK321" i="7"/>
  <c r="E320" i="13"/>
  <c r="AB320" i="13" s="1"/>
  <c r="AJ321" i="7"/>
  <c r="AI321" i="7"/>
  <c r="E315" i="3"/>
  <c r="AB315" i="3" s="1"/>
  <c r="AK316" i="7"/>
  <c r="E315" i="13"/>
  <c r="AB315" i="13" s="1"/>
  <c r="AJ316" i="7"/>
  <c r="AI316" i="7"/>
  <c r="E312" i="3"/>
  <c r="AB312" i="3" s="1"/>
  <c r="AK313" i="7"/>
  <c r="E312" i="13"/>
  <c r="AB312" i="13" s="1"/>
  <c r="AJ313" i="7"/>
  <c r="AI313" i="7"/>
  <c r="E304" i="3"/>
  <c r="AB304" i="3" s="1"/>
  <c r="AK305" i="7"/>
  <c r="E304" i="13"/>
  <c r="AB304" i="13" s="1"/>
  <c r="AJ305" i="7"/>
  <c r="AI305" i="7"/>
  <c r="E301" i="3"/>
  <c r="AB301" i="3" s="1"/>
  <c r="AK302" i="7"/>
  <c r="E301" i="13"/>
  <c r="AB301" i="13" s="1"/>
  <c r="AJ302" i="7"/>
  <c r="AI302" i="7"/>
  <c r="E299" i="3"/>
  <c r="AB299" i="3" s="1"/>
  <c r="E299" i="13"/>
  <c r="AB299" i="13" s="1"/>
  <c r="AK300" i="7"/>
  <c r="AJ300" i="7"/>
  <c r="AI300" i="7"/>
  <c r="E292" i="3"/>
  <c r="AB292" i="3" s="1"/>
  <c r="AK293" i="7"/>
  <c r="E292" i="13"/>
  <c r="AB292" i="13" s="1"/>
  <c r="AJ293" i="7"/>
  <c r="AI293" i="7"/>
  <c r="E291" i="3"/>
  <c r="AB291" i="3" s="1"/>
  <c r="AK292" i="7"/>
  <c r="E291" i="13"/>
  <c r="AB291" i="13" s="1"/>
  <c r="AJ292" i="7"/>
  <c r="AI292" i="7"/>
  <c r="E288" i="3"/>
  <c r="AB288" i="3" s="1"/>
  <c r="AK289" i="7"/>
  <c r="E288" i="13"/>
  <c r="AB288" i="13" s="1"/>
  <c r="AJ289" i="7"/>
  <c r="AI289" i="7"/>
  <c r="E282" i="3"/>
  <c r="AB282" i="3" s="1"/>
  <c r="AK283" i="7"/>
  <c r="E282" i="13"/>
  <c r="AB282" i="13" s="1"/>
  <c r="AJ283" i="7"/>
  <c r="AI283" i="7"/>
  <c r="E278" i="3"/>
  <c r="AB278" i="3" s="1"/>
  <c r="AK279" i="7"/>
  <c r="E278" i="13"/>
  <c r="AB278" i="13" s="1"/>
  <c r="AJ279" i="7"/>
  <c r="AI279" i="7"/>
  <c r="E274" i="3"/>
  <c r="AB274" i="3" s="1"/>
  <c r="AK275" i="7"/>
  <c r="E274" i="13"/>
  <c r="AB274" i="13" s="1"/>
  <c r="AJ275" i="7"/>
  <c r="AI275" i="7"/>
  <c r="E269" i="3"/>
  <c r="AB269" i="3" s="1"/>
  <c r="AK270" i="7"/>
  <c r="E269" i="13"/>
  <c r="AB269" i="13" s="1"/>
  <c r="AJ270" i="7"/>
  <c r="AI270" i="7"/>
  <c r="E266" i="3"/>
  <c r="AB266" i="3" s="1"/>
  <c r="AK267" i="7"/>
  <c r="E266" i="13"/>
  <c r="AB266" i="13" s="1"/>
  <c r="AJ267" i="7"/>
  <c r="AI267" i="7"/>
  <c r="E262" i="3"/>
  <c r="AB262" i="3" s="1"/>
  <c r="AK263" i="7"/>
  <c r="E262" i="13"/>
  <c r="AB262" i="13" s="1"/>
  <c r="AJ263" i="7"/>
  <c r="AI263" i="7"/>
  <c r="E255" i="3"/>
  <c r="AB255" i="3" s="1"/>
  <c r="AK256" i="7"/>
  <c r="E255" i="13"/>
  <c r="AB255" i="13" s="1"/>
  <c r="AJ256" i="7"/>
  <c r="AI256" i="7"/>
  <c r="E253" i="3"/>
  <c r="AB253" i="3" s="1"/>
  <c r="AK254" i="7"/>
  <c r="E253" i="13"/>
  <c r="AB253" i="13" s="1"/>
  <c r="AJ254" i="7"/>
  <c r="AI254" i="7"/>
  <c r="E251" i="3"/>
  <c r="AB251" i="3" s="1"/>
  <c r="AK252" i="7"/>
  <c r="E251" i="13"/>
  <c r="AB251" i="13" s="1"/>
  <c r="AJ252" i="7"/>
  <c r="AI252" i="7"/>
  <c r="E244" i="3"/>
  <c r="AB244" i="3" s="1"/>
  <c r="AK245" i="7"/>
  <c r="E244" i="13"/>
  <c r="AB244" i="13" s="1"/>
  <c r="AJ245" i="7"/>
  <c r="AI245" i="7"/>
  <c r="E241" i="3"/>
  <c r="AB241" i="3" s="1"/>
  <c r="AK242" i="7"/>
  <c r="E241" i="13"/>
  <c r="AB241" i="13" s="1"/>
  <c r="AJ242" i="7"/>
  <c r="AI242" i="7"/>
  <c r="E236" i="3"/>
  <c r="AB236" i="3" s="1"/>
  <c r="AK237" i="7"/>
  <c r="E236" i="13"/>
  <c r="AB236" i="13" s="1"/>
  <c r="AJ237" i="7"/>
  <c r="AI237" i="7"/>
  <c r="E235" i="3"/>
  <c r="AB235" i="3" s="1"/>
  <c r="AK236" i="7"/>
  <c r="E235" i="13"/>
  <c r="AB235" i="13" s="1"/>
  <c r="AJ236" i="7"/>
  <c r="AI236" i="7"/>
  <c r="E227" i="3"/>
  <c r="AB227" i="3" s="1"/>
  <c r="AK228" i="7"/>
  <c r="E227" i="13"/>
  <c r="AB227" i="13" s="1"/>
  <c r="AJ228" i="7"/>
  <c r="AI228" i="7"/>
  <c r="E228" i="3"/>
  <c r="AB228" i="3" s="1"/>
  <c r="AK229" i="7"/>
  <c r="E228" i="13"/>
  <c r="AB228" i="13" s="1"/>
  <c r="AJ229" i="7"/>
  <c r="AI229" i="7"/>
  <c r="E222" i="3"/>
  <c r="AB222" i="3" s="1"/>
  <c r="AK223" i="7"/>
  <c r="E222" i="13"/>
  <c r="AB222" i="13" s="1"/>
  <c r="AJ223" i="7"/>
  <c r="AI223" i="7"/>
  <c r="E219" i="3"/>
  <c r="AB219" i="3" s="1"/>
  <c r="AK220" i="7"/>
  <c r="E219" i="13"/>
  <c r="AB219" i="13" s="1"/>
  <c r="AJ220" i="7"/>
  <c r="AI220" i="7"/>
  <c r="E211" i="3"/>
  <c r="AB211" i="3" s="1"/>
  <c r="AK212" i="7"/>
  <c r="E211" i="13"/>
  <c r="AB211" i="13" s="1"/>
  <c r="AJ212" i="7"/>
  <c r="AI212" i="7"/>
  <c r="E210" i="3"/>
  <c r="AB210" i="3" s="1"/>
  <c r="AK211" i="7"/>
  <c r="E210" i="13"/>
  <c r="AB210" i="13" s="1"/>
  <c r="AJ211" i="7"/>
  <c r="AI211" i="7"/>
  <c r="E206" i="3"/>
  <c r="AB206" i="3" s="1"/>
  <c r="AK207" i="7"/>
  <c r="E206" i="13"/>
  <c r="AB206" i="13" s="1"/>
  <c r="AJ207" i="7"/>
  <c r="AI207" i="7"/>
  <c r="E204" i="3"/>
  <c r="AB204" i="3" s="1"/>
  <c r="E204" i="13"/>
  <c r="AB204" i="13" s="1"/>
  <c r="AK205" i="7"/>
  <c r="AJ205" i="7"/>
  <c r="AI205" i="7"/>
  <c r="E197" i="3"/>
  <c r="AB197" i="3" s="1"/>
  <c r="AK198" i="7"/>
  <c r="E197" i="13"/>
  <c r="AB197" i="13" s="1"/>
  <c r="AJ198" i="7"/>
  <c r="AI198" i="7"/>
  <c r="E194" i="3"/>
  <c r="AB194" i="3" s="1"/>
  <c r="AK195" i="7"/>
  <c r="E194" i="13"/>
  <c r="AB194" i="13" s="1"/>
  <c r="AJ195" i="7"/>
  <c r="AI195" i="7"/>
  <c r="E190" i="3"/>
  <c r="AB190" i="3" s="1"/>
  <c r="AK191" i="7"/>
  <c r="E190" i="13"/>
  <c r="AB190" i="13" s="1"/>
  <c r="AJ191" i="7"/>
  <c r="AI191" i="7"/>
  <c r="E183" i="3"/>
  <c r="AB183" i="3" s="1"/>
  <c r="AK184" i="7"/>
  <c r="E183" i="13"/>
  <c r="AB183" i="13" s="1"/>
  <c r="AJ184" i="7"/>
  <c r="AI184" i="7"/>
  <c r="E182" i="3"/>
  <c r="AB182" i="3" s="1"/>
  <c r="E182" i="13"/>
  <c r="AB182" i="13" s="1"/>
  <c r="AK183" i="7"/>
  <c r="AJ183" i="7"/>
  <c r="AI183" i="7"/>
  <c r="E179" i="3"/>
  <c r="AB179" i="3" s="1"/>
  <c r="AK180" i="7"/>
  <c r="E179" i="13"/>
  <c r="AB179" i="13" s="1"/>
  <c r="AJ180" i="7"/>
  <c r="AI180" i="7"/>
  <c r="E172" i="3"/>
  <c r="AB172" i="3" s="1"/>
  <c r="AK173" i="7"/>
  <c r="E172" i="13"/>
  <c r="AB172" i="13" s="1"/>
  <c r="AJ173" i="7"/>
  <c r="AI173" i="7"/>
  <c r="E168" i="3"/>
  <c r="AB168" i="3" s="1"/>
  <c r="AK169" i="7"/>
  <c r="E168" i="13"/>
  <c r="AB168" i="13" s="1"/>
  <c r="AJ169" i="7"/>
  <c r="AI169" i="7"/>
  <c r="E167" i="3"/>
  <c r="AB167" i="3" s="1"/>
  <c r="AK168" i="7"/>
  <c r="E167" i="13"/>
  <c r="AB167" i="13" s="1"/>
  <c r="AJ168" i="7"/>
  <c r="AI168" i="7"/>
  <c r="E162" i="3"/>
  <c r="AB162" i="3" s="1"/>
  <c r="AK163" i="7"/>
  <c r="E162" i="13"/>
  <c r="AB162" i="13" s="1"/>
  <c r="AJ163" i="7"/>
  <c r="AI163" i="7"/>
  <c r="E158" i="3"/>
  <c r="AB158" i="3" s="1"/>
  <c r="AK159" i="7"/>
  <c r="E158" i="13"/>
  <c r="AB158" i="13" s="1"/>
  <c r="AJ159" i="7"/>
  <c r="AI159" i="7"/>
  <c r="E152" i="3"/>
  <c r="AB152" i="3" s="1"/>
  <c r="AK153" i="7"/>
  <c r="E152" i="13"/>
  <c r="AB152" i="13" s="1"/>
  <c r="AJ153" i="7"/>
  <c r="AI153" i="7"/>
  <c r="E149" i="3"/>
  <c r="AB149" i="3" s="1"/>
  <c r="AK150" i="7"/>
  <c r="E149" i="13"/>
  <c r="AB149" i="13" s="1"/>
  <c r="AJ150" i="7"/>
  <c r="AI150" i="7"/>
  <c r="E145" i="3"/>
  <c r="AB145" i="3" s="1"/>
  <c r="AK146" i="7"/>
  <c r="E145" i="13"/>
  <c r="AB145" i="13" s="1"/>
  <c r="AJ146" i="7"/>
  <c r="AI146" i="7"/>
  <c r="E141" i="3"/>
  <c r="AB141" i="3" s="1"/>
  <c r="AK142" i="7"/>
  <c r="E141" i="13"/>
  <c r="AB141" i="13" s="1"/>
  <c r="AJ142" i="7"/>
  <c r="AI142" i="7"/>
  <c r="E135" i="3"/>
  <c r="AB135" i="3" s="1"/>
  <c r="AK136" i="7"/>
  <c r="E135" i="13"/>
  <c r="AB135" i="13" s="1"/>
  <c r="AJ136" i="7"/>
  <c r="AI136" i="7"/>
  <c r="E137" i="3"/>
  <c r="AB137" i="3" s="1"/>
  <c r="AK138" i="7"/>
  <c r="E137" i="13"/>
  <c r="AB137" i="13" s="1"/>
  <c r="AJ138" i="7"/>
  <c r="AI138" i="7"/>
  <c r="E129" i="3"/>
  <c r="AB129" i="3" s="1"/>
  <c r="AK130" i="7"/>
  <c r="E129" i="13"/>
  <c r="AB129" i="13" s="1"/>
  <c r="AJ130" i="7"/>
  <c r="AI130" i="7"/>
  <c r="E126" i="3"/>
  <c r="AB126" i="3" s="1"/>
  <c r="AK127" i="7"/>
  <c r="E126" i="13"/>
  <c r="AB126" i="13" s="1"/>
  <c r="AJ127" i="7"/>
  <c r="AI127" i="7"/>
  <c r="E121" i="3"/>
  <c r="AB121" i="3" s="1"/>
  <c r="AK122" i="7"/>
  <c r="E121" i="13"/>
  <c r="AB121" i="13" s="1"/>
  <c r="AJ122" i="7"/>
  <c r="AI122" i="7"/>
  <c r="E116" i="3"/>
  <c r="AB116" i="3" s="1"/>
  <c r="AK117" i="7"/>
  <c r="E116" i="13"/>
  <c r="AB116" i="13" s="1"/>
  <c r="AJ117" i="7"/>
  <c r="AI117" i="7"/>
  <c r="E114" i="3"/>
  <c r="AB114" i="3" s="1"/>
  <c r="AK115" i="7"/>
  <c r="E114" i="13"/>
  <c r="AB114" i="13" s="1"/>
  <c r="AJ115" i="7"/>
  <c r="AI115" i="7"/>
  <c r="E109" i="3"/>
  <c r="AB109" i="3" s="1"/>
  <c r="AK110" i="7"/>
  <c r="E109" i="13"/>
  <c r="AB109" i="13" s="1"/>
  <c r="AJ110" i="7"/>
  <c r="AI110" i="7"/>
  <c r="E106" i="3"/>
  <c r="AB106" i="3" s="1"/>
  <c r="AK107" i="7"/>
  <c r="E106" i="13"/>
  <c r="AB106" i="13" s="1"/>
  <c r="AJ107" i="7"/>
  <c r="AI107" i="7"/>
  <c r="E101" i="3"/>
  <c r="AB101" i="3" s="1"/>
  <c r="AK102" i="7"/>
  <c r="E101" i="13"/>
  <c r="AB101" i="13" s="1"/>
  <c r="AJ102" i="7"/>
  <c r="AI102" i="7"/>
  <c r="E99" i="3"/>
  <c r="AB99" i="3" s="1"/>
  <c r="AK100" i="7"/>
  <c r="E99" i="13"/>
  <c r="AB99" i="13" s="1"/>
  <c r="AJ100" i="7"/>
  <c r="AI100" i="7"/>
  <c r="E94" i="3"/>
  <c r="AB94" i="3" s="1"/>
  <c r="AK95" i="7"/>
  <c r="E94" i="13"/>
  <c r="AB94" i="13" s="1"/>
  <c r="AJ95" i="7"/>
  <c r="AI95" i="7"/>
  <c r="E88" i="3"/>
  <c r="AB88" i="3" s="1"/>
  <c r="AK89" i="7"/>
  <c r="E88" i="13"/>
  <c r="AB88" i="13" s="1"/>
  <c r="AJ89" i="7"/>
  <c r="AI89" i="7"/>
  <c r="E85" i="3"/>
  <c r="AB85" i="3" s="1"/>
  <c r="AK86" i="7"/>
  <c r="E85" i="13"/>
  <c r="AB85" i="13" s="1"/>
  <c r="AJ86" i="7"/>
  <c r="AI86" i="7"/>
  <c r="E84" i="3"/>
  <c r="AB84" i="3" s="1"/>
  <c r="AK85" i="7"/>
  <c r="E84" i="13"/>
  <c r="AB84" i="13" s="1"/>
  <c r="AJ85" i="7"/>
  <c r="AI85" i="7"/>
  <c r="E75" i="3"/>
  <c r="AB75" i="3" s="1"/>
  <c r="AK76" i="7"/>
  <c r="E75" i="13"/>
  <c r="AB75" i="13" s="1"/>
  <c r="AJ76" i="7"/>
  <c r="AI76" i="7"/>
  <c r="E77" i="3"/>
  <c r="AB77" i="3" s="1"/>
  <c r="AK78" i="7"/>
  <c r="E77" i="13"/>
  <c r="AB77" i="13" s="1"/>
  <c r="AJ78" i="7"/>
  <c r="AI78" i="7"/>
  <c r="E68" i="3"/>
  <c r="AB68" i="3" s="1"/>
  <c r="AK69" i="7"/>
  <c r="E68" i="13"/>
  <c r="AB68" i="13" s="1"/>
  <c r="AJ69" i="7"/>
  <c r="AI69" i="7"/>
  <c r="E64" i="3"/>
  <c r="AB64" i="3" s="1"/>
  <c r="AK65" i="7"/>
  <c r="E64" i="13"/>
  <c r="AB64" i="13" s="1"/>
  <c r="AJ65" i="7"/>
  <c r="AI65" i="7"/>
  <c r="E61" i="3"/>
  <c r="AB61" i="3" s="1"/>
  <c r="AK62" i="7"/>
  <c r="E61" i="13"/>
  <c r="AB61" i="13" s="1"/>
  <c r="AJ62" i="7"/>
  <c r="AI62" i="7"/>
  <c r="E56" i="3"/>
  <c r="AB56" i="3" s="1"/>
  <c r="AK57" i="7"/>
  <c r="E56" i="13"/>
  <c r="AB56" i="13" s="1"/>
  <c r="AJ57" i="7"/>
  <c r="AI57" i="7"/>
  <c r="E54" i="3"/>
  <c r="AB54" i="3" s="1"/>
  <c r="AK55" i="7"/>
  <c r="E54" i="13"/>
  <c r="AB54" i="13" s="1"/>
  <c r="AJ55" i="7"/>
  <c r="AI55" i="7"/>
  <c r="E50" i="3"/>
  <c r="AB50" i="3" s="1"/>
  <c r="AK51" i="7"/>
  <c r="E50" i="13"/>
  <c r="AB50" i="13" s="1"/>
  <c r="AJ51" i="7"/>
  <c r="AI51" i="7"/>
  <c r="E44" i="3"/>
  <c r="AB44" i="3" s="1"/>
  <c r="AK45" i="7"/>
  <c r="E44" i="13"/>
  <c r="AB44" i="13" s="1"/>
  <c r="AJ45" i="7"/>
  <c r="AI45" i="7"/>
  <c r="E45" i="3"/>
  <c r="AB45" i="3" s="1"/>
  <c r="AK46" i="7"/>
  <c r="E45" i="13"/>
  <c r="AB45" i="13" s="1"/>
  <c r="AJ46" i="7"/>
  <c r="AI46" i="7"/>
  <c r="E37" i="3"/>
  <c r="AB37" i="3" s="1"/>
  <c r="AK38" i="7"/>
  <c r="E37" i="13"/>
  <c r="AB37" i="13" s="1"/>
  <c r="AJ38" i="7"/>
  <c r="AI38" i="7"/>
  <c r="E32" i="3"/>
  <c r="AB32" i="3" s="1"/>
  <c r="AK33" i="7"/>
  <c r="E32" i="13"/>
  <c r="AB32" i="13" s="1"/>
  <c r="AJ33" i="7"/>
  <c r="AI33" i="7"/>
  <c r="E28" i="3"/>
  <c r="AB28" i="3" s="1"/>
  <c r="AK29" i="7"/>
  <c r="E28" i="13"/>
  <c r="AB28" i="13" s="1"/>
  <c r="AJ29" i="7"/>
  <c r="AI29" i="7"/>
  <c r="E27" i="3"/>
  <c r="AB27" i="3" s="1"/>
  <c r="AK28" i="7"/>
  <c r="E27" i="13"/>
  <c r="AB27" i="13" s="1"/>
  <c r="AJ28" i="7"/>
  <c r="AI28" i="7"/>
  <c r="E24" i="3"/>
  <c r="AB24" i="3" s="1"/>
  <c r="AK25" i="7"/>
  <c r="E24" i="13"/>
  <c r="AB24" i="13" s="1"/>
  <c r="AJ25" i="7"/>
  <c r="AI25" i="7"/>
  <c r="E17" i="3"/>
  <c r="AB17" i="3" s="1"/>
  <c r="AK18" i="7"/>
  <c r="E17" i="13"/>
  <c r="AB17" i="13" s="1"/>
  <c r="AJ18" i="7"/>
  <c r="AI18" i="7"/>
  <c r="E12" i="3"/>
  <c r="AB12" i="3" s="1"/>
  <c r="AK13" i="7"/>
  <c r="E12" i="13"/>
  <c r="AB12" i="13" s="1"/>
  <c r="AJ13" i="7"/>
  <c r="AI13" i="7"/>
  <c r="E14" i="3"/>
  <c r="AB14" i="3" s="1"/>
  <c r="AK15" i="7"/>
  <c r="E14" i="13"/>
  <c r="AB14" i="13" s="1"/>
  <c r="AJ15" i="7"/>
  <c r="AI15" i="7"/>
  <c r="E6" i="3"/>
  <c r="AB6" i="3" s="1"/>
  <c r="AE6" i="3" s="1"/>
  <c r="AK7" i="7"/>
  <c r="E6" i="13"/>
  <c r="AB6" i="13" s="1"/>
  <c r="AE6" i="13" s="1"/>
  <c r="AJ7" i="7"/>
  <c r="AI7" i="7"/>
  <c r="E360" i="3"/>
  <c r="AB360" i="3" s="1"/>
  <c r="AK361" i="7"/>
  <c r="E360" i="13"/>
  <c r="AB360" i="13" s="1"/>
  <c r="AJ361" i="7"/>
  <c r="AI361" i="7"/>
  <c r="E348" i="3"/>
  <c r="AB348" i="3" s="1"/>
  <c r="AK349" i="7"/>
  <c r="E348" i="13"/>
  <c r="AB348" i="13" s="1"/>
  <c r="AJ349" i="7"/>
  <c r="AI349" i="7"/>
  <c r="E334" i="3"/>
  <c r="AB334" i="3" s="1"/>
  <c r="AK335" i="7"/>
  <c r="E334" i="13"/>
  <c r="AB334" i="13" s="1"/>
  <c r="AJ335" i="7"/>
  <c r="AI335" i="7"/>
  <c r="E326" i="3"/>
  <c r="AB326" i="3" s="1"/>
  <c r="AK327" i="7"/>
  <c r="E326" i="13"/>
  <c r="AB326" i="13" s="1"/>
  <c r="AJ327" i="7"/>
  <c r="AI327" i="7"/>
  <c r="E311" i="3"/>
  <c r="AB311" i="3" s="1"/>
  <c r="AK312" i="7"/>
  <c r="E311" i="13"/>
  <c r="AB311" i="13" s="1"/>
  <c r="AJ312" i="7"/>
  <c r="AI312" i="7"/>
  <c r="E303" i="3"/>
  <c r="AB303" i="3" s="1"/>
  <c r="AK304" i="7"/>
  <c r="E303" i="13"/>
  <c r="AB303" i="13" s="1"/>
  <c r="AJ304" i="7"/>
  <c r="AI304" i="7"/>
  <c r="E290" i="3"/>
  <c r="AB290" i="3" s="1"/>
  <c r="AK291" i="7"/>
  <c r="E290" i="13"/>
  <c r="AB290" i="13" s="1"/>
  <c r="AJ291" i="7"/>
  <c r="AI291" i="7"/>
  <c r="E276" i="3"/>
  <c r="AB276" i="3" s="1"/>
  <c r="AK277" i="7"/>
  <c r="E276" i="13"/>
  <c r="AB276" i="13" s="1"/>
  <c r="AJ277" i="7"/>
  <c r="AI277" i="7"/>
  <c r="E264" i="3"/>
  <c r="AB264" i="3" s="1"/>
  <c r="AK265" i="7"/>
  <c r="E264" i="13"/>
  <c r="AB264" i="13" s="1"/>
  <c r="AJ265" i="7"/>
  <c r="AI265" i="7"/>
  <c r="E254" i="3"/>
  <c r="AB254" i="3" s="1"/>
  <c r="AK255" i="7"/>
  <c r="E254" i="13"/>
  <c r="AB254" i="13" s="1"/>
  <c r="AJ255" i="7"/>
  <c r="AI255" i="7"/>
  <c r="E239" i="3"/>
  <c r="AB239" i="3" s="1"/>
  <c r="AK240" i="7"/>
  <c r="E239" i="13"/>
  <c r="AB239" i="13" s="1"/>
  <c r="AJ240" i="7"/>
  <c r="AI240" i="7"/>
  <c r="E230" i="3"/>
  <c r="AB230" i="3" s="1"/>
  <c r="AK231" i="7"/>
  <c r="E230" i="13"/>
  <c r="AB230" i="13" s="1"/>
  <c r="AJ231" i="7"/>
  <c r="AI231" i="7"/>
  <c r="E216" i="3"/>
  <c r="AB216" i="3" s="1"/>
  <c r="AK217" i="7"/>
  <c r="E216" i="13"/>
  <c r="AB216" i="13" s="1"/>
  <c r="AJ217" i="7"/>
  <c r="AI217" i="7"/>
  <c r="E205" i="3"/>
  <c r="AB205" i="3" s="1"/>
  <c r="AK206" i="7"/>
  <c r="E205" i="13"/>
  <c r="AB205" i="13" s="1"/>
  <c r="AJ206" i="7"/>
  <c r="AI206" i="7"/>
  <c r="E191" i="3"/>
  <c r="AB191" i="3" s="1"/>
  <c r="AK192" i="7"/>
  <c r="E191" i="13"/>
  <c r="AB191" i="13" s="1"/>
  <c r="AJ192" i="7"/>
  <c r="AI192" i="7"/>
  <c r="E178" i="3"/>
  <c r="AB178" i="3" s="1"/>
  <c r="AK179" i="7"/>
  <c r="E178" i="13"/>
  <c r="AB178" i="13" s="1"/>
  <c r="AJ179" i="7"/>
  <c r="AI179" i="7"/>
  <c r="E170" i="3"/>
  <c r="AB170" i="3" s="1"/>
  <c r="AK171" i="7"/>
  <c r="E170" i="13"/>
  <c r="AB170" i="13" s="1"/>
  <c r="AJ171" i="7"/>
  <c r="AI171" i="7"/>
  <c r="E155" i="3"/>
  <c r="AB155" i="3" s="1"/>
  <c r="AK156" i="7"/>
  <c r="E155" i="13"/>
  <c r="AB155" i="13" s="1"/>
  <c r="AJ156" i="7"/>
  <c r="AI156" i="7"/>
  <c r="E147" i="3"/>
  <c r="AB147" i="3" s="1"/>
  <c r="AK148" i="7"/>
  <c r="E147" i="13"/>
  <c r="AB147" i="13" s="1"/>
  <c r="AJ148" i="7"/>
  <c r="AI148" i="7"/>
  <c r="E132" i="3"/>
  <c r="AB132" i="3" s="1"/>
  <c r="AK133" i="7"/>
  <c r="E132" i="13"/>
  <c r="AB132" i="13" s="1"/>
  <c r="AJ133" i="7"/>
  <c r="AI133" i="7"/>
  <c r="E120" i="3"/>
  <c r="AB120" i="3" s="1"/>
  <c r="AK121" i="7"/>
  <c r="E120" i="13"/>
  <c r="AB120" i="13" s="1"/>
  <c r="AJ121" i="7"/>
  <c r="AI121" i="7"/>
  <c r="E110" i="3"/>
  <c r="AB110" i="3" s="1"/>
  <c r="AK111" i="7"/>
  <c r="E110" i="13"/>
  <c r="AB110" i="13" s="1"/>
  <c r="AJ111" i="7"/>
  <c r="AI111" i="7"/>
  <c r="E95" i="3"/>
  <c r="AB95" i="3" s="1"/>
  <c r="AK96" i="7"/>
  <c r="E95" i="13"/>
  <c r="AB95" i="13" s="1"/>
  <c r="AJ96" i="7"/>
  <c r="AI96" i="7"/>
  <c r="E83" i="3"/>
  <c r="AB83" i="3" s="1"/>
  <c r="AK84" i="7"/>
  <c r="E83" i="13"/>
  <c r="AB83" i="13" s="1"/>
  <c r="AJ84" i="7"/>
  <c r="AI84" i="7"/>
  <c r="E73" i="3"/>
  <c r="AB73" i="3" s="1"/>
  <c r="AK74" i="7"/>
  <c r="E73" i="13"/>
  <c r="AB73" i="13" s="1"/>
  <c r="AJ74" i="7"/>
  <c r="AI74" i="7"/>
  <c r="E60" i="3"/>
  <c r="AB60" i="3" s="1"/>
  <c r="AK61" i="7"/>
  <c r="E60" i="13"/>
  <c r="AB60" i="13" s="1"/>
  <c r="AJ61" i="7"/>
  <c r="AI61" i="7"/>
  <c r="E33" i="3"/>
  <c r="AB33" i="3" s="1"/>
  <c r="AK34" i="7"/>
  <c r="E33" i="13"/>
  <c r="AB33" i="13" s="1"/>
  <c r="AJ34" i="7"/>
  <c r="AI34" i="7"/>
  <c r="E364" i="3"/>
  <c r="AB364" i="3" s="1"/>
  <c r="E364" i="13"/>
  <c r="AB364" i="13" s="1"/>
  <c r="AK365" i="7"/>
  <c r="AJ365" i="7"/>
  <c r="AI365" i="7"/>
  <c r="E361" i="3"/>
  <c r="AB361" i="3" s="1"/>
  <c r="AK362" i="7"/>
  <c r="E361" i="13"/>
  <c r="AB361" i="13" s="1"/>
  <c r="AJ362" i="7"/>
  <c r="AI362" i="7"/>
  <c r="E357" i="3"/>
  <c r="AB357" i="3" s="1"/>
  <c r="AK358" i="7"/>
  <c r="E357" i="13"/>
  <c r="AB357" i="13" s="1"/>
  <c r="AJ358" i="7"/>
  <c r="AI358" i="7"/>
  <c r="E353" i="3"/>
  <c r="AB353" i="3" s="1"/>
  <c r="AK354" i="7"/>
  <c r="E353" i="13"/>
  <c r="AB353" i="13" s="1"/>
  <c r="AI354" i="7"/>
  <c r="AJ354" i="7"/>
  <c r="E352" i="3"/>
  <c r="AB352" i="3" s="1"/>
  <c r="AK353" i="7"/>
  <c r="E352" i="13"/>
  <c r="AB352" i="13" s="1"/>
  <c r="AJ353" i="7"/>
  <c r="AI353" i="7"/>
  <c r="E345" i="3"/>
  <c r="AB345" i="3" s="1"/>
  <c r="AK346" i="7"/>
  <c r="E345" i="13"/>
  <c r="AB345" i="13" s="1"/>
  <c r="AJ346" i="7"/>
  <c r="AI346" i="7"/>
  <c r="E341" i="3"/>
  <c r="AB341" i="3" s="1"/>
  <c r="AK342" i="7"/>
  <c r="E341" i="13"/>
  <c r="AB341" i="13" s="1"/>
  <c r="AJ342" i="7"/>
  <c r="AI342" i="7"/>
  <c r="E336" i="3"/>
  <c r="AB336" i="3" s="1"/>
  <c r="AK337" i="7"/>
  <c r="E336" i="13"/>
  <c r="AB336" i="13" s="1"/>
  <c r="AJ337" i="7"/>
  <c r="AI337" i="7"/>
  <c r="E335" i="3"/>
  <c r="AB335" i="3" s="1"/>
  <c r="AK336" i="7"/>
  <c r="E335" i="13"/>
  <c r="AB335" i="13" s="1"/>
  <c r="AJ336" i="7"/>
  <c r="AI336" i="7"/>
  <c r="E329" i="3"/>
  <c r="AB329" i="3" s="1"/>
  <c r="AK330" i="7"/>
  <c r="E329" i="13"/>
  <c r="AB329" i="13" s="1"/>
  <c r="AJ330" i="7"/>
  <c r="AI330" i="7"/>
  <c r="E324" i="3"/>
  <c r="AB324" i="3" s="1"/>
  <c r="AK325" i="7"/>
  <c r="E324" i="13"/>
  <c r="AB324" i="13" s="1"/>
  <c r="AJ325" i="7"/>
  <c r="AI325" i="7"/>
  <c r="E322" i="3"/>
  <c r="AB322" i="3" s="1"/>
  <c r="AK323" i="7"/>
  <c r="E322" i="13"/>
  <c r="AB322" i="13" s="1"/>
  <c r="AJ323" i="7"/>
  <c r="AI323" i="7"/>
  <c r="E316" i="3"/>
  <c r="AB316" i="3" s="1"/>
  <c r="AK317" i="7"/>
  <c r="E316" i="13"/>
  <c r="AB316" i="13" s="1"/>
  <c r="AJ317" i="7"/>
  <c r="AI317" i="7"/>
  <c r="E313" i="3"/>
  <c r="AB313" i="3" s="1"/>
  <c r="AK314" i="7"/>
  <c r="E313" i="13"/>
  <c r="AB313" i="13" s="1"/>
  <c r="AJ314" i="7"/>
  <c r="AI314" i="7"/>
  <c r="E308" i="3"/>
  <c r="AB308" i="3" s="1"/>
  <c r="AK309" i="7"/>
  <c r="E308" i="13"/>
  <c r="AB308" i="13" s="1"/>
  <c r="AJ309" i="7"/>
  <c r="AI309" i="7"/>
  <c r="E307" i="3"/>
  <c r="AB307" i="3" s="1"/>
  <c r="AK308" i="7"/>
  <c r="E307" i="13"/>
  <c r="AB307" i="13" s="1"/>
  <c r="AJ308" i="7"/>
  <c r="AI308" i="7"/>
  <c r="E300" i="3"/>
  <c r="AB300" i="3" s="1"/>
  <c r="AK301" i="7"/>
  <c r="E300" i="13"/>
  <c r="AB300" i="13" s="1"/>
  <c r="AJ301" i="7"/>
  <c r="AI301" i="7"/>
  <c r="E297" i="3"/>
  <c r="AB297" i="3" s="1"/>
  <c r="AK298" i="7"/>
  <c r="E297" i="13"/>
  <c r="AB297" i="13" s="1"/>
  <c r="AJ298" i="7"/>
  <c r="AI298" i="7"/>
  <c r="E293" i="3"/>
  <c r="AB293" i="3" s="1"/>
  <c r="AK294" i="7"/>
  <c r="E293" i="13"/>
  <c r="AB293" i="13" s="1"/>
  <c r="AJ294" i="7"/>
  <c r="AI294" i="7"/>
  <c r="E287" i="3"/>
  <c r="AB287" i="3" s="1"/>
  <c r="AK288" i="7"/>
  <c r="E287" i="13"/>
  <c r="AB287" i="13" s="1"/>
  <c r="AJ288" i="7"/>
  <c r="AI288" i="7"/>
  <c r="E285" i="3"/>
  <c r="AB285" i="3" s="1"/>
  <c r="AK286" i="7"/>
  <c r="E285" i="13"/>
  <c r="AB285" i="13" s="1"/>
  <c r="AJ286" i="7"/>
  <c r="AI286" i="7"/>
  <c r="E280" i="3"/>
  <c r="AB280" i="3" s="1"/>
  <c r="AK281" i="7"/>
  <c r="E280" i="13"/>
  <c r="AB280" i="13" s="1"/>
  <c r="AJ281" i="7"/>
  <c r="AI281" i="7"/>
  <c r="E277" i="3"/>
  <c r="AB277" i="3" s="1"/>
  <c r="AK278" i="7"/>
  <c r="E277" i="13"/>
  <c r="AB277" i="13" s="1"/>
  <c r="AJ278" i="7"/>
  <c r="AI278" i="7"/>
  <c r="E273" i="3"/>
  <c r="AB273" i="3" s="1"/>
  <c r="E273" i="13"/>
  <c r="AB273" i="13" s="1"/>
  <c r="AK274" i="7"/>
  <c r="AJ274" i="7"/>
  <c r="AI274" i="7"/>
  <c r="E271" i="3"/>
  <c r="AB271" i="3" s="1"/>
  <c r="AK272" i="7"/>
  <c r="E271" i="13"/>
  <c r="AB271" i="13" s="1"/>
  <c r="AJ272" i="7"/>
  <c r="AI272" i="7"/>
  <c r="E265" i="3"/>
  <c r="AB265" i="3" s="1"/>
  <c r="AK266" i="7"/>
  <c r="E265" i="13"/>
  <c r="AB265" i="13" s="1"/>
  <c r="AJ266" i="7"/>
  <c r="AI266" i="7"/>
  <c r="E261" i="3"/>
  <c r="AB261" i="3" s="1"/>
  <c r="AK262" i="7"/>
  <c r="E261" i="13"/>
  <c r="AB261" i="13" s="1"/>
  <c r="AJ262" i="7"/>
  <c r="AI262" i="7"/>
  <c r="E258" i="3"/>
  <c r="AB258" i="3" s="1"/>
  <c r="AK259" i="7"/>
  <c r="E258" i="13"/>
  <c r="AB258" i="13" s="1"/>
  <c r="AJ259" i="7"/>
  <c r="AI259" i="7"/>
  <c r="E252" i="3"/>
  <c r="AB252" i="3" s="1"/>
  <c r="AK253" i="7"/>
  <c r="E252" i="13"/>
  <c r="AB252" i="13" s="1"/>
  <c r="AJ253" i="7"/>
  <c r="AI253" i="7"/>
  <c r="E249" i="3"/>
  <c r="AB249" i="3" s="1"/>
  <c r="AK250" i="7"/>
  <c r="E249" i="13"/>
  <c r="AB249" i="13" s="1"/>
  <c r="AJ250" i="7"/>
  <c r="AI250" i="7"/>
  <c r="E247" i="3"/>
  <c r="AB247" i="3" s="1"/>
  <c r="E247" i="13"/>
  <c r="AB247" i="13" s="1"/>
  <c r="AK248" i="7"/>
  <c r="AJ248" i="7"/>
  <c r="AI248" i="7"/>
  <c r="E242" i="3"/>
  <c r="AB242" i="3" s="1"/>
  <c r="AK243" i="7"/>
  <c r="E242" i="13"/>
  <c r="AB242" i="13" s="1"/>
  <c r="AJ243" i="7"/>
  <c r="AI243" i="7"/>
  <c r="E238" i="3"/>
  <c r="AB238" i="3" s="1"/>
  <c r="AK239" i="7"/>
  <c r="E238" i="13"/>
  <c r="AB238" i="13" s="1"/>
  <c r="AJ239" i="7"/>
  <c r="AI239" i="7"/>
  <c r="E232" i="3"/>
  <c r="AB232" i="3" s="1"/>
  <c r="AK233" i="7"/>
  <c r="E232" i="13"/>
  <c r="AB232" i="13" s="1"/>
  <c r="AJ233" i="7"/>
  <c r="AI233" i="7"/>
  <c r="E229" i="3"/>
  <c r="AB229" i="3" s="1"/>
  <c r="AK230" i="7"/>
  <c r="E229" i="13"/>
  <c r="AB229" i="13" s="1"/>
  <c r="AJ230" i="7"/>
  <c r="AI230" i="7"/>
  <c r="E223" i="3"/>
  <c r="AB223" i="3" s="1"/>
  <c r="AK224" i="7"/>
  <c r="E223" i="13"/>
  <c r="AB223" i="13" s="1"/>
  <c r="AJ224" i="7"/>
  <c r="AI224" i="7"/>
  <c r="E221" i="3"/>
  <c r="AB221" i="3" s="1"/>
  <c r="E221" i="13"/>
  <c r="AB221" i="13" s="1"/>
  <c r="AK222" i="7"/>
  <c r="AJ222" i="7"/>
  <c r="AI222" i="7"/>
  <c r="E217" i="3"/>
  <c r="AB217" i="3" s="1"/>
  <c r="AK218" i="7"/>
  <c r="E217" i="13"/>
  <c r="AB217" i="13" s="1"/>
  <c r="AJ218" i="7"/>
  <c r="AI218" i="7"/>
  <c r="E214" i="3"/>
  <c r="AB214" i="3" s="1"/>
  <c r="AK215" i="7"/>
  <c r="E214" i="13"/>
  <c r="AB214" i="13" s="1"/>
  <c r="AJ215" i="7"/>
  <c r="AI215" i="7"/>
  <c r="E208" i="3"/>
  <c r="AB208" i="3" s="1"/>
  <c r="E208" i="13"/>
  <c r="AB208" i="13" s="1"/>
  <c r="AK209" i="7"/>
  <c r="AJ209" i="7"/>
  <c r="AI209" i="7"/>
  <c r="E203" i="3"/>
  <c r="AB203" i="3" s="1"/>
  <c r="AK204" i="7"/>
  <c r="E203" i="13"/>
  <c r="AB203" i="13" s="1"/>
  <c r="AJ204" i="7"/>
  <c r="AI204" i="7"/>
  <c r="E201" i="3"/>
  <c r="AB201" i="3" s="1"/>
  <c r="AK202" i="7"/>
  <c r="E201" i="13"/>
  <c r="AB201" i="13" s="1"/>
  <c r="AJ202" i="7"/>
  <c r="AI202" i="7"/>
  <c r="E198" i="3"/>
  <c r="AB198" i="3" s="1"/>
  <c r="AK199" i="7"/>
  <c r="E198" i="13"/>
  <c r="AB198" i="13" s="1"/>
  <c r="AJ199" i="7"/>
  <c r="AI199" i="7"/>
  <c r="E193" i="3"/>
  <c r="AB193" i="3" s="1"/>
  <c r="AK194" i="7"/>
  <c r="E193" i="13"/>
  <c r="AB193" i="13" s="1"/>
  <c r="AJ194" i="7"/>
  <c r="AI194" i="7"/>
  <c r="E187" i="3"/>
  <c r="AB187" i="3" s="1"/>
  <c r="AK188" i="7"/>
  <c r="E187" i="13"/>
  <c r="AB187" i="13" s="1"/>
  <c r="AJ188" i="7"/>
  <c r="AI188" i="7"/>
  <c r="E188" i="3"/>
  <c r="AB188" i="3" s="1"/>
  <c r="AK189" i="7"/>
  <c r="E188" i="13"/>
  <c r="AB188" i="13" s="1"/>
  <c r="AJ189" i="7"/>
  <c r="AI189" i="7"/>
  <c r="E181" i="3"/>
  <c r="AB181" i="3" s="1"/>
  <c r="AK182" i="7"/>
  <c r="E181" i="13"/>
  <c r="AB181" i="13" s="1"/>
  <c r="AJ182" i="7"/>
  <c r="AI182" i="7"/>
  <c r="E180" i="3"/>
  <c r="AB180" i="3" s="1"/>
  <c r="AK181" i="7"/>
  <c r="E180" i="13"/>
  <c r="AB180" i="13" s="1"/>
  <c r="AJ181" i="7"/>
  <c r="AI181" i="7"/>
  <c r="E175" i="3"/>
  <c r="AB175" i="3" s="1"/>
  <c r="AK176" i="7"/>
  <c r="E175" i="13"/>
  <c r="AB175" i="13" s="1"/>
  <c r="AJ176" i="7"/>
  <c r="AI176" i="7"/>
  <c r="E169" i="3"/>
  <c r="AB169" i="3" s="1"/>
  <c r="E169" i="13"/>
  <c r="AB169" i="13" s="1"/>
  <c r="AK170" i="7"/>
  <c r="AJ170" i="7"/>
  <c r="AI170" i="7"/>
  <c r="E165" i="3"/>
  <c r="AB165" i="3" s="1"/>
  <c r="AK166" i="7"/>
  <c r="E165" i="13"/>
  <c r="AB165" i="13" s="1"/>
  <c r="AJ166" i="7"/>
  <c r="AI166" i="7"/>
  <c r="E164" i="3"/>
  <c r="AB164" i="3" s="1"/>
  <c r="AK165" i="7"/>
  <c r="E164" i="13"/>
  <c r="AB164" i="13" s="1"/>
  <c r="AJ165" i="7"/>
  <c r="AI165" i="7"/>
  <c r="E157" i="3"/>
  <c r="AB157" i="3" s="1"/>
  <c r="AK158" i="7"/>
  <c r="E157" i="13"/>
  <c r="AB157" i="13" s="1"/>
  <c r="AJ158" i="7"/>
  <c r="AI158" i="7"/>
  <c r="E153" i="3"/>
  <c r="AB153" i="3" s="1"/>
  <c r="AK154" i="7"/>
  <c r="E153" i="13"/>
  <c r="AB153" i="13" s="1"/>
  <c r="AJ154" i="7"/>
  <c r="AI154" i="7"/>
  <c r="E151" i="3"/>
  <c r="AB151" i="3" s="1"/>
  <c r="AK152" i="7"/>
  <c r="E151" i="13"/>
  <c r="AB151" i="13" s="1"/>
  <c r="AJ152" i="7"/>
  <c r="AI152" i="7"/>
  <c r="E143" i="3"/>
  <c r="AB143" i="3" s="1"/>
  <c r="E143" i="13"/>
  <c r="AB143" i="13" s="1"/>
  <c r="AK144" i="7"/>
  <c r="AJ144" i="7"/>
  <c r="AI144" i="7"/>
  <c r="E142" i="3"/>
  <c r="AB142" i="3" s="1"/>
  <c r="AK143" i="7"/>
  <c r="E142" i="13"/>
  <c r="AB142" i="13" s="1"/>
  <c r="AJ143" i="7"/>
  <c r="AI143" i="7"/>
  <c r="E138" i="3"/>
  <c r="AB138" i="3" s="1"/>
  <c r="AK139" i="7"/>
  <c r="E138" i="13"/>
  <c r="AB138" i="13" s="1"/>
  <c r="AJ139" i="7"/>
  <c r="AI139" i="7"/>
  <c r="E133" i="3"/>
  <c r="AB133" i="3" s="1"/>
  <c r="AK134" i="7"/>
  <c r="E133" i="13"/>
  <c r="AB133" i="13" s="1"/>
  <c r="AJ134" i="7"/>
  <c r="AI134" i="7"/>
  <c r="E128" i="3"/>
  <c r="AB128" i="3" s="1"/>
  <c r="AK129" i="7"/>
  <c r="E128" i="13"/>
  <c r="AB128" i="13" s="1"/>
  <c r="AJ129" i="7"/>
  <c r="AI129" i="7"/>
  <c r="E125" i="3"/>
  <c r="AB125" i="3" s="1"/>
  <c r="AK126" i="7"/>
  <c r="E125" i="13"/>
  <c r="AB125" i="13" s="1"/>
  <c r="AJ126" i="7"/>
  <c r="AI126" i="7"/>
  <c r="E122" i="3"/>
  <c r="AB122" i="3" s="1"/>
  <c r="AK123" i="7"/>
  <c r="E122" i="13"/>
  <c r="AB122" i="13" s="1"/>
  <c r="AJ123" i="7"/>
  <c r="AI123" i="7"/>
  <c r="E119" i="3"/>
  <c r="AB119" i="3" s="1"/>
  <c r="AK120" i="7"/>
  <c r="E119" i="13"/>
  <c r="AB119" i="13" s="1"/>
  <c r="AJ120" i="7"/>
  <c r="AI120" i="7"/>
  <c r="E115" i="3"/>
  <c r="AB115" i="3" s="1"/>
  <c r="AK116" i="7"/>
  <c r="E115" i="13"/>
  <c r="AB115" i="13" s="1"/>
  <c r="AJ116" i="7"/>
  <c r="AI116" i="7"/>
  <c r="E108" i="3"/>
  <c r="AB108" i="3" s="1"/>
  <c r="AK109" i="7"/>
  <c r="E108" i="13"/>
  <c r="AB108" i="13" s="1"/>
  <c r="AJ109" i="7"/>
  <c r="AI109" i="7"/>
  <c r="E105" i="3"/>
  <c r="AB105" i="3" s="1"/>
  <c r="AK106" i="7"/>
  <c r="E105" i="13"/>
  <c r="AB105" i="13" s="1"/>
  <c r="AJ106" i="7"/>
  <c r="AI106" i="7"/>
  <c r="E104" i="3"/>
  <c r="AB104" i="3" s="1"/>
  <c r="E104" i="13"/>
  <c r="AB104" i="13" s="1"/>
  <c r="AK105" i="7"/>
  <c r="AJ105" i="7"/>
  <c r="AI105" i="7"/>
  <c r="E98" i="3"/>
  <c r="AB98" i="3" s="1"/>
  <c r="AK99" i="7"/>
  <c r="E98" i="13"/>
  <c r="AB98" i="13" s="1"/>
  <c r="AJ99" i="7"/>
  <c r="AI99" i="7"/>
  <c r="E93" i="3"/>
  <c r="AB93" i="3" s="1"/>
  <c r="AK94" i="7"/>
  <c r="E93" i="13"/>
  <c r="AB93" i="13" s="1"/>
  <c r="AJ94" i="7"/>
  <c r="AI94" i="7"/>
  <c r="E87" i="3"/>
  <c r="AB87" i="3" s="1"/>
  <c r="AK88" i="7"/>
  <c r="E87" i="13"/>
  <c r="AB87" i="13" s="1"/>
  <c r="AJ88" i="7"/>
  <c r="AI88" i="7"/>
  <c r="E86" i="3"/>
  <c r="AB86" i="3" s="1"/>
  <c r="AK87" i="7"/>
  <c r="E86" i="13"/>
  <c r="AB86" i="13" s="1"/>
  <c r="AJ87" i="7"/>
  <c r="AI87" i="7"/>
  <c r="E80" i="3"/>
  <c r="AB80" i="3" s="1"/>
  <c r="AK81" i="7"/>
  <c r="E80" i="13"/>
  <c r="AB80" i="13" s="1"/>
  <c r="AJ81" i="7"/>
  <c r="AI81" i="7"/>
  <c r="E79" i="3"/>
  <c r="AB79" i="3" s="1"/>
  <c r="AK80" i="7"/>
  <c r="E79" i="13"/>
  <c r="AB79" i="13" s="1"/>
  <c r="AJ80" i="7"/>
  <c r="AI80" i="7"/>
  <c r="E72" i="3"/>
  <c r="AB72" i="3" s="1"/>
  <c r="AK73" i="7"/>
  <c r="E72" i="13"/>
  <c r="AB72" i="13" s="1"/>
  <c r="AJ73" i="7"/>
  <c r="AI73" i="7"/>
  <c r="E70" i="3"/>
  <c r="AB70" i="3" s="1"/>
  <c r="AK71" i="7"/>
  <c r="E70" i="13"/>
  <c r="AB70" i="13" s="1"/>
  <c r="AJ71" i="7"/>
  <c r="AI71" i="7"/>
  <c r="E67" i="3"/>
  <c r="AB67" i="3" s="1"/>
  <c r="AK68" i="7"/>
  <c r="E67" i="13"/>
  <c r="AB67" i="13" s="1"/>
  <c r="AJ68" i="7"/>
  <c r="AI68" i="7"/>
  <c r="E62" i="3"/>
  <c r="AB62" i="3" s="1"/>
  <c r="AK63" i="7"/>
  <c r="E62" i="13"/>
  <c r="AB62" i="13" s="1"/>
  <c r="AJ63" i="7"/>
  <c r="AI63" i="7"/>
  <c r="E58" i="3"/>
  <c r="AB58" i="3" s="1"/>
  <c r="AK59" i="7"/>
  <c r="E58" i="13"/>
  <c r="AB58" i="13" s="1"/>
  <c r="AJ59" i="7"/>
  <c r="AI59" i="7"/>
  <c r="E53" i="3"/>
  <c r="AB53" i="3" s="1"/>
  <c r="AK54" i="7"/>
  <c r="E53" i="13"/>
  <c r="AB53" i="13" s="1"/>
  <c r="AJ54" i="7"/>
  <c r="AI54" i="7"/>
  <c r="E49" i="3"/>
  <c r="AB49" i="3" s="1"/>
  <c r="AK50" i="7"/>
  <c r="E49" i="13"/>
  <c r="AB49" i="13" s="1"/>
  <c r="AJ50" i="7"/>
  <c r="AI50" i="7"/>
  <c r="E46" i="3"/>
  <c r="AB46" i="3" s="1"/>
  <c r="AK47" i="7"/>
  <c r="E46" i="13"/>
  <c r="AB46" i="13" s="1"/>
  <c r="AJ47" i="7"/>
  <c r="AI47" i="7"/>
  <c r="E40" i="3"/>
  <c r="AB40" i="3" s="1"/>
  <c r="AK41" i="7"/>
  <c r="E40" i="13"/>
  <c r="AB40" i="13" s="1"/>
  <c r="AJ41" i="7"/>
  <c r="AI41" i="7"/>
  <c r="E36" i="3"/>
  <c r="AB36" i="3" s="1"/>
  <c r="AK37" i="7"/>
  <c r="E36" i="13"/>
  <c r="AB36" i="13" s="1"/>
  <c r="AJ37" i="7"/>
  <c r="AI37" i="7"/>
  <c r="E34" i="3"/>
  <c r="AB34" i="3" s="1"/>
  <c r="AK35" i="7"/>
  <c r="E34" i="13"/>
  <c r="AB34" i="13" s="1"/>
  <c r="AJ35" i="7"/>
  <c r="AI35" i="7"/>
  <c r="E29" i="3"/>
  <c r="AB29" i="3" s="1"/>
  <c r="AK30" i="7"/>
  <c r="E29" i="13"/>
  <c r="AB29" i="13" s="1"/>
  <c r="AJ30" i="7"/>
  <c r="AI30" i="7"/>
  <c r="E25" i="3"/>
  <c r="AB25" i="3" s="1"/>
  <c r="AK26" i="7"/>
  <c r="E25" i="13"/>
  <c r="AB25" i="13" s="1"/>
  <c r="AJ26" i="7"/>
  <c r="AI26" i="7"/>
  <c r="E20" i="3"/>
  <c r="AB20" i="3" s="1"/>
  <c r="AK21" i="7"/>
  <c r="E20" i="13"/>
  <c r="AB20" i="13" s="1"/>
  <c r="AJ21" i="7"/>
  <c r="AI21" i="7"/>
  <c r="E18" i="3"/>
  <c r="AB18" i="3" s="1"/>
  <c r="AK19" i="7"/>
  <c r="E18" i="13"/>
  <c r="AB18" i="13" s="1"/>
  <c r="AJ19" i="7"/>
  <c r="AI19" i="7"/>
  <c r="E15" i="3"/>
  <c r="AB15" i="3" s="1"/>
  <c r="AK16" i="7"/>
  <c r="E15" i="13"/>
  <c r="AB15" i="13" s="1"/>
  <c r="AJ16" i="7"/>
  <c r="AI16" i="7"/>
  <c r="E8" i="3"/>
  <c r="AB8" i="3" s="1"/>
  <c r="AK9" i="7"/>
  <c r="E8" i="13"/>
  <c r="AB8" i="13" s="1"/>
  <c r="AJ9" i="7"/>
  <c r="AI9" i="7"/>
  <c r="S534" i="7"/>
  <c r="Q534" i="7"/>
  <c r="R534" i="7"/>
  <c r="K6" i="3" l="1"/>
  <c r="U6" i="3" s="1"/>
  <c r="K7" i="3"/>
  <c r="U7" i="3" s="1"/>
  <c r="K6" i="13"/>
  <c r="U6" i="13" s="1"/>
  <c r="K7" i="13"/>
  <c r="U7" i="13" s="1"/>
  <c r="AI6" i="13" l="1"/>
  <c r="X6" i="13"/>
  <c r="X7" i="13"/>
  <c r="AI7" i="13"/>
  <c r="X7" i="3"/>
  <c r="AI7" i="3"/>
  <c r="X6" i="3"/>
  <c r="AI6" i="3"/>
  <c r="AJ6" i="3" l="1"/>
  <c r="AK6" i="3" s="1"/>
  <c r="AL6" i="3" s="1"/>
  <c r="AJ7" i="13"/>
  <c r="AK7" i="13" s="1"/>
  <c r="AL7" i="13" s="1"/>
  <c r="AJ6" i="13"/>
  <c r="AK6" i="13" s="1"/>
  <c r="AL6" i="13" s="1"/>
  <c r="AJ7" i="3"/>
  <c r="AK7" i="3" s="1"/>
  <c r="AL7" i="3" s="1"/>
  <c r="AM7" i="3" l="1"/>
  <c r="AM6" i="3"/>
  <c r="AO6" i="13"/>
  <c r="AP7" i="13"/>
  <c r="AP7" i="3"/>
  <c r="AO6" i="3"/>
  <c r="AP6" i="3" l="1"/>
  <c r="AQ6" i="3" s="1"/>
  <c r="AQ7" i="3" s="1"/>
  <c r="AP6" i="13"/>
  <c r="AQ6" i="13" s="1"/>
  <c r="AN6" i="3"/>
  <c r="AT7" i="3" s="1"/>
  <c r="AU7" i="3" s="1"/>
  <c r="AM6" i="13"/>
  <c r="AN6" i="13" s="1"/>
  <c r="AN7" i="3"/>
  <c r="AO7" i="3" s="1"/>
  <c r="AS7" i="3" s="1"/>
  <c r="AM7" i="13"/>
  <c r="AN7" i="13" s="1"/>
  <c r="AO7" i="13" s="1"/>
  <c r="AV7" i="3" l="1"/>
  <c r="I8" i="3" s="1"/>
  <c r="AQ7" i="13"/>
  <c r="AA8" i="3" l="1"/>
  <c r="AE8" i="3"/>
  <c r="J8" i="3"/>
  <c r="L8" i="3" s="1"/>
  <c r="V8" i="3" s="1"/>
  <c r="J8" i="13"/>
  <c r="I8" i="13"/>
  <c r="AG8" i="3"/>
  <c r="AH8" i="3" s="1"/>
  <c r="AA8" i="13" l="1"/>
  <c r="AE8" i="13"/>
  <c r="K8" i="3"/>
  <c r="U8" i="3" s="1"/>
  <c r="N8" i="3"/>
  <c r="W8" i="3" s="1"/>
  <c r="M8" i="3"/>
  <c r="AG8" i="13"/>
  <c r="AH8" i="13" s="1"/>
  <c r="K8" i="13"/>
  <c r="U8" i="13" s="1"/>
  <c r="N8" i="13"/>
  <c r="W8" i="13" s="1"/>
  <c r="M8" i="13"/>
  <c r="L8" i="13"/>
  <c r="V8" i="13" s="1"/>
  <c r="AI8" i="3" l="1"/>
  <c r="X8" i="3"/>
  <c r="X8" i="13"/>
  <c r="AJ8" i="13" s="1"/>
  <c r="AI8" i="13"/>
  <c r="AJ8" i="3" l="1"/>
  <c r="AK8" i="3" s="1"/>
  <c r="AM8" i="3" s="1"/>
  <c r="AK8" i="13"/>
  <c r="AL8" i="13" s="1"/>
  <c r="AP8" i="13" s="1"/>
  <c r="AL8" i="3" l="1"/>
  <c r="AP8" i="3" s="1"/>
  <c r="AQ8" i="3" s="1"/>
  <c r="AM8" i="13"/>
  <c r="AN8" i="3" l="1"/>
  <c r="AO8" i="3" s="1"/>
  <c r="AT8" i="3"/>
  <c r="AU8" i="3" s="1"/>
  <c r="AN8" i="13"/>
  <c r="AQ8" i="13"/>
  <c r="AO8" i="13" l="1"/>
  <c r="AS8" i="3"/>
  <c r="AV8" i="3" s="1"/>
  <c r="J9" i="3" l="1"/>
  <c r="I9" i="3"/>
  <c r="I9" i="13"/>
  <c r="J9" i="13"/>
  <c r="AA9" i="13" l="1"/>
  <c r="AE9" i="13"/>
  <c r="AA9" i="3"/>
  <c r="AE9" i="3"/>
  <c r="AG9" i="13"/>
  <c r="AH9" i="13" s="1"/>
  <c r="AG9" i="3"/>
  <c r="AH9" i="3" s="1"/>
  <c r="L9" i="13"/>
  <c r="V9" i="13" s="1"/>
  <c r="M9" i="13"/>
  <c r="K9" i="13"/>
  <c r="U9" i="13" s="1"/>
  <c r="N9" i="13"/>
  <c r="W9" i="13" s="1"/>
  <c r="N9" i="3"/>
  <c r="W9" i="3" s="1"/>
  <c r="K9" i="3"/>
  <c r="U9" i="3" s="1"/>
  <c r="L9" i="3"/>
  <c r="V9" i="3" s="1"/>
  <c r="M9" i="3"/>
  <c r="AI9" i="13" l="1"/>
  <c r="X9" i="13"/>
  <c r="X9" i="3"/>
  <c r="AI9" i="3"/>
  <c r="AJ9" i="13" l="1"/>
  <c r="AK9" i="13" s="1"/>
  <c r="AL9" i="13" s="1"/>
  <c r="AJ9" i="3"/>
  <c r="AK9" i="3" s="1"/>
  <c r="AM9" i="3" s="1"/>
  <c r="AP9" i="13" l="1"/>
  <c r="AL9" i="3"/>
  <c r="AM9" i="13" l="1"/>
  <c r="AP9" i="3"/>
  <c r="AQ9" i="3" s="1"/>
  <c r="AN9" i="3"/>
  <c r="AN9" i="13" l="1"/>
  <c r="AT9" i="3"/>
  <c r="AU9" i="3" s="1"/>
  <c r="AO9" i="3"/>
  <c r="AQ9" i="13"/>
  <c r="AO9" i="13" l="1"/>
  <c r="AS9" i="3"/>
  <c r="AV9" i="3" s="1"/>
  <c r="I10" i="3" l="1"/>
  <c r="J10" i="3"/>
  <c r="I10" i="13"/>
  <c r="J10" i="13"/>
  <c r="AA10" i="13" l="1"/>
  <c r="AE10" i="13"/>
  <c r="AA10" i="3"/>
  <c r="AE10" i="3"/>
  <c r="AG10" i="13"/>
  <c r="AH10" i="13" s="1"/>
  <c r="K10" i="3"/>
  <c r="U10" i="3" s="1"/>
  <c r="L10" i="3"/>
  <c r="V10" i="3" s="1"/>
  <c r="M10" i="3"/>
  <c r="N10" i="3"/>
  <c r="W10" i="3" s="1"/>
  <c r="L10" i="13"/>
  <c r="V10" i="13" s="1"/>
  <c r="M10" i="13"/>
  <c r="K10" i="13"/>
  <c r="U10" i="13" s="1"/>
  <c r="N10" i="13"/>
  <c r="W10" i="13" s="1"/>
  <c r="AG10" i="3"/>
  <c r="AH10" i="3" s="1"/>
  <c r="AI10" i="3" l="1"/>
  <c r="X10" i="3"/>
  <c r="AI10" i="13"/>
  <c r="X10" i="13"/>
  <c r="AJ10" i="3" l="1"/>
  <c r="AK10" i="3" s="1"/>
  <c r="AM10" i="3" s="1"/>
  <c r="AJ10" i="13"/>
  <c r="AK10" i="13" s="1"/>
  <c r="AL10" i="13" s="1"/>
  <c r="AP10" i="13" l="1"/>
  <c r="AL10" i="3"/>
  <c r="AN10" i="3" l="1"/>
  <c r="AP10" i="3"/>
  <c r="AQ10" i="3" s="1"/>
  <c r="AM10" i="13"/>
  <c r="AQ10" i="13" s="1"/>
  <c r="AN10" i="13" l="1"/>
  <c r="AT10" i="3"/>
  <c r="AU10" i="3" s="1"/>
  <c r="AO10" i="3"/>
  <c r="AS10" i="3" l="1"/>
  <c r="AV10" i="3" s="1"/>
  <c r="AO10" i="13"/>
  <c r="I11" i="3" l="1"/>
  <c r="J11" i="3"/>
  <c r="I11" i="13"/>
  <c r="J11" i="13"/>
  <c r="AA11" i="13" l="1"/>
  <c r="AE11" i="13"/>
  <c r="AA11" i="3"/>
  <c r="AE11" i="3"/>
  <c r="L11" i="3"/>
  <c r="V11" i="3" s="1"/>
  <c r="M11" i="3"/>
  <c r="N11" i="3"/>
  <c r="W11" i="3" s="1"/>
  <c r="K11" i="3"/>
  <c r="U11" i="3" s="1"/>
  <c r="AG11" i="3"/>
  <c r="AH11" i="3" s="1"/>
  <c r="L11" i="13"/>
  <c r="V11" i="13" s="1"/>
  <c r="M11" i="13"/>
  <c r="K11" i="13"/>
  <c r="U11" i="13" s="1"/>
  <c r="N11" i="13"/>
  <c r="W11" i="13" s="1"/>
  <c r="AG11" i="13"/>
  <c r="AH11" i="13" s="1"/>
  <c r="AI11" i="3" l="1"/>
  <c r="X11" i="3"/>
  <c r="AI11" i="13"/>
  <c r="X11" i="13"/>
  <c r="AJ11" i="13" l="1"/>
  <c r="AK11" i="13" s="1"/>
  <c r="AL11" i="13" s="1"/>
  <c r="AJ11" i="3"/>
  <c r="AK11" i="3" s="1"/>
  <c r="AM11" i="3" s="1"/>
  <c r="AL11" i="3" l="1"/>
  <c r="AP11" i="13"/>
  <c r="AM11" i="13" l="1"/>
  <c r="AN11" i="3"/>
  <c r="AP11" i="3"/>
  <c r="AQ11" i="3" s="1"/>
  <c r="AT11" i="3" l="1"/>
  <c r="AU11" i="3" s="1"/>
  <c r="AO11" i="3"/>
  <c r="AN11" i="13"/>
  <c r="AQ11" i="13"/>
  <c r="AO11" i="13" l="1"/>
  <c r="AS11" i="3"/>
  <c r="AV11" i="3" s="1"/>
  <c r="I12" i="3" l="1"/>
  <c r="J12" i="3"/>
  <c r="I12" i="13"/>
  <c r="J12" i="13"/>
  <c r="AA12" i="13" l="1"/>
  <c r="AE12" i="13"/>
  <c r="AA12" i="3"/>
  <c r="AE12" i="3"/>
  <c r="M12" i="3"/>
  <c r="N12" i="3"/>
  <c r="W12" i="3" s="1"/>
  <c r="K12" i="3"/>
  <c r="U12" i="3" s="1"/>
  <c r="L12" i="3"/>
  <c r="V12" i="3" s="1"/>
  <c r="AG12" i="13"/>
  <c r="AH12" i="13" s="1"/>
  <c r="AG12" i="3"/>
  <c r="AH12" i="3" s="1"/>
  <c r="L12" i="13"/>
  <c r="V12" i="13" s="1"/>
  <c r="M12" i="13"/>
  <c r="K12" i="13"/>
  <c r="U12" i="13" s="1"/>
  <c r="N12" i="13"/>
  <c r="W12" i="13" s="1"/>
  <c r="AI12" i="13" l="1"/>
  <c r="X12" i="13"/>
  <c r="X12" i="3"/>
  <c r="AI12" i="3"/>
  <c r="AJ12" i="3" l="1"/>
  <c r="AK12" i="3" s="1"/>
  <c r="AM12" i="3" s="1"/>
  <c r="AJ12" i="13"/>
  <c r="AK12" i="13" s="1"/>
  <c r="AL12" i="13" s="1"/>
  <c r="AP12" i="13" l="1"/>
  <c r="AL12" i="3"/>
  <c r="AM12" i="13" l="1"/>
  <c r="AP12" i="3"/>
  <c r="AQ12" i="3" s="1"/>
  <c r="AN12" i="3"/>
  <c r="AQ12" i="13" l="1"/>
  <c r="AT12" i="3"/>
  <c r="AU12" i="3" s="1"/>
  <c r="AO12" i="3"/>
  <c r="AN12" i="13"/>
  <c r="AO12" i="13" l="1"/>
  <c r="AS12" i="3"/>
  <c r="AV12" i="3" s="1"/>
  <c r="J13" i="3" l="1"/>
  <c r="I13" i="3"/>
  <c r="I13" i="13"/>
  <c r="J13" i="13"/>
  <c r="AA13" i="13" l="1"/>
  <c r="AE13" i="13"/>
  <c r="AA13" i="3"/>
  <c r="AE13" i="3"/>
  <c r="L13" i="13"/>
  <c r="V13" i="13" s="1"/>
  <c r="M13" i="13"/>
  <c r="K13" i="13"/>
  <c r="U13" i="13" s="1"/>
  <c r="N13" i="13"/>
  <c r="W13" i="13" s="1"/>
  <c r="AG13" i="13"/>
  <c r="AH13" i="13" s="1"/>
  <c r="AG13" i="3"/>
  <c r="AH13" i="3" s="1"/>
  <c r="N13" i="3"/>
  <c r="W13" i="3" s="1"/>
  <c r="K13" i="3"/>
  <c r="U13" i="3" s="1"/>
  <c r="L13" i="3"/>
  <c r="V13" i="3" s="1"/>
  <c r="M13" i="3"/>
  <c r="X13" i="3" l="1"/>
  <c r="AI13" i="3"/>
  <c r="AI13" i="13"/>
  <c r="X13" i="13"/>
  <c r="AJ13" i="3" l="1"/>
  <c r="AK13" i="3" s="1"/>
  <c r="AM13" i="3" s="1"/>
  <c r="AJ13" i="13"/>
  <c r="AK13" i="13" s="1"/>
  <c r="AL13" i="13" s="1"/>
  <c r="AP13" i="13" l="1"/>
  <c r="AL13" i="3"/>
  <c r="AP13" i="3" l="1"/>
  <c r="AQ13" i="3" s="1"/>
  <c r="AN13" i="3"/>
  <c r="AM13" i="13"/>
  <c r="AQ13" i="13" l="1"/>
  <c r="AN13" i="13"/>
  <c r="AO13" i="13" s="1"/>
  <c r="AT13" i="3"/>
  <c r="AU13" i="3" s="1"/>
  <c r="AO13" i="3"/>
  <c r="AS13" i="3" l="1"/>
  <c r="AV13" i="3" s="1"/>
  <c r="I14" i="3" l="1"/>
  <c r="J14" i="3"/>
  <c r="I14" i="13"/>
  <c r="J14" i="13"/>
  <c r="AA14" i="13" l="1"/>
  <c r="AE14" i="13"/>
  <c r="AA14" i="3"/>
  <c r="AE14" i="3"/>
  <c r="L14" i="13"/>
  <c r="V14" i="13" s="1"/>
  <c r="M14" i="13"/>
  <c r="K14" i="13"/>
  <c r="U14" i="13" s="1"/>
  <c r="N14" i="13"/>
  <c r="W14" i="13" s="1"/>
  <c r="AG14" i="13"/>
  <c r="AH14" i="13" s="1"/>
  <c r="K14" i="3"/>
  <c r="U14" i="3" s="1"/>
  <c r="L14" i="3"/>
  <c r="V14" i="3" s="1"/>
  <c r="M14" i="3"/>
  <c r="N14" i="3"/>
  <c r="W14" i="3" s="1"/>
  <c r="AG14" i="3"/>
  <c r="AH14" i="3" s="1"/>
  <c r="AI14" i="3" l="1"/>
  <c r="X14" i="3"/>
  <c r="AI14" i="13"/>
  <c r="X14" i="13"/>
  <c r="AJ14" i="3" l="1"/>
  <c r="AK14" i="3" s="1"/>
  <c r="AM14" i="3" s="1"/>
  <c r="AJ14" i="13"/>
  <c r="AK14" i="13" s="1"/>
  <c r="AL14" i="13" s="1"/>
  <c r="AP14" i="13" l="1"/>
  <c r="AL14" i="3"/>
  <c r="AM14" i="13" l="1"/>
  <c r="AN14" i="3"/>
  <c r="AP14" i="3"/>
  <c r="AQ14" i="3" s="1"/>
  <c r="AQ14" i="13" l="1"/>
  <c r="AT14" i="3"/>
  <c r="AU14" i="3" s="1"/>
  <c r="AO14" i="3"/>
  <c r="AN14" i="13"/>
  <c r="AO14" i="13" s="1"/>
  <c r="AS14" i="3" l="1"/>
  <c r="AV14" i="3" s="1"/>
  <c r="I15" i="3" l="1"/>
  <c r="J15" i="3"/>
  <c r="I15" i="13"/>
  <c r="J15" i="13"/>
  <c r="AA15" i="13" l="1"/>
  <c r="AE15" i="13"/>
  <c r="AA15" i="3"/>
  <c r="AE15" i="3"/>
  <c r="L15" i="13"/>
  <c r="V15" i="13" s="1"/>
  <c r="M15" i="13"/>
  <c r="K15" i="13"/>
  <c r="U15" i="13" s="1"/>
  <c r="N15" i="13"/>
  <c r="W15" i="13" s="1"/>
  <c r="AG15" i="13"/>
  <c r="AH15" i="13" s="1"/>
  <c r="L15" i="3"/>
  <c r="V15" i="3" s="1"/>
  <c r="M15" i="3"/>
  <c r="N15" i="3"/>
  <c r="W15" i="3" s="1"/>
  <c r="K15" i="3"/>
  <c r="U15" i="3" s="1"/>
  <c r="AG15" i="3"/>
  <c r="AH15" i="3" s="1"/>
  <c r="X15" i="3" l="1"/>
  <c r="AI15" i="3"/>
  <c r="AI15" i="13"/>
  <c r="X15" i="13"/>
  <c r="AJ15" i="13" l="1"/>
  <c r="AK15" i="13" s="1"/>
  <c r="AL15" i="13" s="1"/>
  <c r="AJ15" i="3"/>
  <c r="AK15" i="3" s="1"/>
  <c r="AM15" i="3" s="1"/>
  <c r="AL15" i="3" l="1"/>
  <c r="AP15" i="13"/>
  <c r="AM15" i="13" l="1"/>
  <c r="AN15" i="3"/>
  <c r="AP15" i="3"/>
  <c r="AQ15" i="3" s="1"/>
  <c r="AT15" i="3" l="1"/>
  <c r="AU15" i="3" s="1"/>
  <c r="AO15" i="3"/>
  <c r="AN15" i="13"/>
  <c r="AO15" i="13" s="1"/>
  <c r="AQ15" i="13"/>
  <c r="AS15" i="3" l="1"/>
  <c r="AV15" i="3" s="1"/>
  <c r="I16" i="3" l="1"/>
  <c r="J16" i="3"/>
  <c r="I16" i="13"/>
  <c r="J16" i="13"/>
  <c r="AA16" i="13" l="1"/>
  <c r="AE16" i="13"/>
  <c r="AA16" i="3"/>
  <c r="AE16" i="3"/>
  <c r="L16" i="13"/>
  <c r="V16" i="13" s="1"/>
  <c r="M16" i="13"/>
  <c r="K16" i="13"/>
  <c r="U16" i="13" s="1"/>
  <c r="N16" i="13"/>
  <c r="W16" i="13" s="1"/>
  <c r="AG16" i="13"/>
  <c r="AH16" i="13" s="1"/>
  <c r="M16" i="3"/>
  <c r="K16" i="3"/>
  <c r="U16" i="3" s="1"/>
  <c r="L16" i="3"/>
  <c r="V16" i="3" s="1"/>
  <c r="N16" i="3"/>
  <c r="W16" i="3" s="1"/>
  <c r="AG16" i="3"/>
  <c r="AH16" i="3" s="1"/>
  <c r="AI16" i="3" l="1"/>
  <c r="X16" i="3"/>
  <c r="AI16" i="13"/>
  <c r="X16" i="13"/>
  <c r="AJ16" i="13" l="1"/>
  <c r="AK16" i="13" s="1"/>
  <c r="AL16" i="13" s="1"/>
  <c r="AJ16" i="3"/>
  <c r="AK16" i="3" s="1"/>
  <c r="AL16" i="3" s="1"/>
  <c r="AM16" i="3" l="1"/>
  <c r="AP16" i="3"/>
  <c r="AP16" i="13"/>
  <c r="AQ16" i="3" l="1"/>
  <c r="AM16" i="13"/>
  <c r="AN16" i="3"/>
  <c r="AT16" i="3" l="1"/>
  <c r="AU16" i="3" s="1"/>
  <c r="AO16" i="3"/>
  <c r="AN16" i="13"/>
  <c r="AO16" i="13" s="1"/>
  <c r="AQ16" i="13"/>
  <c r="AS16" i="3" l="1"/>
  <c r="AV16" i="3" s="1"/>
  <c r="J17" i="3" l="1"/>
  <c r="I17" i="3"/>
  <c r="I17" i="13"/>
  <c r="J17" i="13"/>
  <c r="AA17" i="13" l="1"/>
  <c r="AE17" i="13"/>
  <c r="AA17" i="3"/>
  <c r="AE17" i="3"/>
  <c r="AG17" i="13"/>
  <c r="AH17" i="13" s="1"/>
  <c r="L17" i="13"/>
  <c r="V17" i="13" s="1"/>
  <c r="M17" i="13"/>
  <c r="K17" i="13"/>
  <c r="U17" i="13" s="1"/>
  <c r="N17" i="13"/>
  <c r="W17" i="13" s="1"/>
  <c r="AG17" i="3"/>
  <c r="AH17" i="3" s="1"/>
  <c r="N17" i="3"/>
  <c r="W17" i="3" s="1"/>
  <c r="L17" i="3"/>
  <c r="V17" i="3" s="1"/>
  <c r="M17" i="3"/>
  <c r="K17" i="3"/>
  <c r="U17" i="3" s="1"/>
  <c r="X17" i="3" l="1"/>
  <c r="AI17" i="3"/>
  <c r="AI17" i="13"/>
  <c r="X17" i="13"/>
  <c r="AJ17" i="3" l="1"/>
  <c r="AK17" i="3" s="1"/>
  <c r="AM17" i="3" s="1"/>
  <c r="AJ17" i="13"/>
  <c r="AK17" i="13" s="1"/>
  <c r="AL17" i="13" s="1"/>
  <c r="AP17" i="13" l="1"/>
  <c r="AL17" i="3"/>
  <c r="AM17" i="13"/>
  <c r="AN17" i="13" s="1"/>
  <c r="AO17" i="13" s="1"/>
  <c r="X8" i="15" s="1"/>
  <c r="AQ17" i="13" l="1"/>
  <c r="Y8" i="15" s="1"/>
  <c r="AP17" i="3"/>
  <c r="AQ17" i="3" s="1"/>
  <c r="Y8" i="14" s="1"/>
  <c r="AN17" i="3"/>
  <c r="AT17" i="3" l="1"/>
  <c r="AU17" i="3" s="1"/>
  <c r="AO17" i="3"/>
  <c r="X8" i="14" s="1"/>
  <c r="AS17" i="3" l="1"/>
  <c r="AV17" i="3" s="1"/>
  <c r="I18" i="3" l="1"/>
  <c r="J18" i="3"/>
  <c r="I18" i="13"/>
  <c r="J18" i="13"/>
  <c r="AA18" i="13" l="1"/>
  <c r="AE18" i="13"/>
  <c r="AA18" i="3"/>
  <c r="AE18" i="3"/>
  <c r="AG18" i="13"/>
  <c r="AH18" i="13" s="1"/>
  <c r="L18" i="13"/>
  <c r="V18" i="13" s="1"/>
  <c r="M18" i="13"/>
  <c r="K18" i="13"/>
  <c r="U18" i="13" s="1"/>
  <c r="N18" i="13"/>
  <c r="W18" i="13" s="1"/>
  <c r="K18" i="3"/>
  <c r="U18" i="3" s="1"/>
  <c r="M18" i="3"/>
  <c r="N18" i="3"/>
  <c r="W18" i="3" s="1"/>
  <c r="L18" i="3"/>
  <c r="V18" i="3" s="1"/>
  <c r="AG18" i="3"/>
  <c r="AH18" i="3" s="1"/>
  <c r="X18" i="3" l="1"/>
  <c r="AI18" i="3"/>
  <c r="AI18" i="13"/>
  <c r="X18" i="13"/>
  <c r="AJ18" i="13" l="1"/>
  <c r="AK18" i="13" s="1"/>
  <c r="AL18" i="13" s="1"/>
  <c r="AJ18" i="3"/>
  <c r="AK18" i="3" s="1"/>
  <c r="AM18" i="3" s="1"/>
  <c r="AM18" i="13" l="1"/>
  <c r="AN18" i="13" s="1"/>
  <c r="AO18" i="13" s="1"/>
  <c r="AL18" i="3"/>
  <c r="AP18" i="13"/>
  <c r="AQ18" i="13" s="1"/>
  <c r="AP18" i="3" l="1"/>
  <c r="AQ18" i="3" s="1"/>
  <c r="AN18" i="3"/>
  <c r="AT18" i="3" l="1"/>
  <c r="AU18" i="3" s="1"/>
  <c r="AO18" i="3"/>
  <c r="AS18" i="3" l="1"/>
  <c r="AV18" i="3" s="1"/>
  <c r="J19" i="3" l="1"/>
  <c r="I19" i="3"/>
  <c r="I19" i="13"/>
  <c r="J19" i="13"/>
  <c r="AA19" i="13" l="1"/>
  <c r="AE19" i="13"/>
  <c r="AA19" i="3"/>
  <c r="AE19" i="3"/>
  <c r="L19" i="13"/>
  <c r="V19" i="13" s="1"/>
  <c r="M19" i="13"/>
  <c r="K19" i="13"/>
  <c r="U19" i="13" s="1"/>
  <c r="N19" i="13"/>
  <c r="W19" i="13" s="1"/>
  <c r="AG19" i="3"/>
  <c r="AH19" i="3" s="1"/>
  <c r="AG19" i="13"/>
  <c r="AH19" i="13" s="1"/>
  <c r="N19" i="3"/>
  <c r="W19" i="3" s="1"/>
  <c r="K19" i="3"/>
  <c r="U19" i="3" s="1"/>
  <c r="L19" i="3"/>
  <c r="V19" i="3" s="1"/>
  <c r="M19" i="3"/>
  <c r="AI19" i="13" l="1"/>
  <c r="X19" i="13"/>
  <c r="X19" i="3"/>
  <c r="AI19" i="3"/>
  <c r="AJ19" i="3" l="1"/>
  <c r="AK19" i="3" s="1"/>
  <c r="AM19" i="3" s="1"/>
  <c r="AJ19" i="13"/>
  <c r="AK19" i="13" s="1"/>
  <c r="AL19" i="13" s="1"/>
  <c r="AP19" i="13" l="1"/>
  <c r="AM19" i="13"/>
  <c r="AN19" i="13" s="1"/>
  <c r="AO19" i="13" s="1"/>
  <c r="AL19" i="3"/>
  <c r="AQ19" i="13" l="1"/>
  <c r="AP19" i="3"/>
  <c r="AQ19" i="3" s="1"/>
  <c r="AN19" i="3"/>
  <c r="AT19" i="3" l="1"/>
  <c r="AU19" i="3" s="1"/>
  <c r="AO19" i="3"/>
  <c r="AS19" i="3" l="1"/>
  <c r="AV19" i="3" s="1"/>
  <c r="I20" i="3" l="1"/>
  <c r="J20" i="3"/>
  <c r="I20" i="13"/>
  <c r="J20" i="13"/>
  <c r="AA20" i="13" l="1"/>
  <c r="AE20" i="13"/>
  <c r="AA20" i="3"/>
  <c r="AE20" i="3"/>
  <c r="AG20" i="13"/>
  <c r="AH20" i="13" s="1"/>
  <c r="L20" i="13"/>
  <c r="V20" i="13" s="1"/>
  <c r="M20" i="13"/>
  <c r="K20" i="13"/>
  <c r="U20" i="13" s="1"/>
  <c r="N20" i="13"/>
  <c r="W20" i="13" s="1"/>
  <c r="K20" i="3"/>
  <c r="U20" i="3" s="1"/>
  <c r="L20" i="3"/>
  <c r="V20" i="3" s="1"/>
  <c r="M20" i="3"/>
  <c r="N20" i="3"/>
  <c r="W20" i="3" s="1"/>
  <c r="AG20" i="3"/>
  <c r="AH20" i="3" s="1"/>
  <c r="AI20" i="3" l="1"/>
  <c r="X20" i="3"/>
  <c r="AI20" i="13"/>
  <c r="X20" i="13"/>
  <c r="AJ20" i="13" l="1"/>
  <c r="AK20" i="13" s="1"/>
  <c r="AL20" i="13" s="1"/>
  <c r="AJ20" i="3"/>
  <c r="AK20" i="3" s="1"/>
  <c r="AM20" i="3" s="1"/>
  <c r="AP20" i="13" l="1"/>
  <c r="AL20" i="3"/>
  <c r="AM20" i="13"/>
  <c r="AN20" i="13" s="1"/>
  <c r="AO20" i="13" s="1"/>
  <c r="AQ20" i="13" l="1"/>
  <c r="AN20" i="3"/>
  <c r="AP20" i="3"/>
  <c r="AQ20" i="3" s="1"/>
  <c r="AT20" i="3" l="1"/>
  <c r="AU20" i="3" s="1"/>
  <c r="AO20" i="3"/>
  <c r="AS20" i="3" l="1"/>
  <c r="AV20" i="3" s="1"/>
  <c r="I21" i="3" l="1"/>
  <c r="J21" i="3"/>
  <c r="I21" i="13"/>
  <c r="J21" i="13"/>
  <c r="AA21" i="13" l="1"/>
  <c r="AE21" i="13"/>
  <c r="AA21" i="3"/>
  <c r="AE21" i="3"/>
  <c r="L21" i="13"/>
  <c r="V21" i="13" s="1"/>
  <c r="M21" i="13"/>
  <c r="K21" i="13"/>
  <c r="U21" i="13" s="1"/>
  <c r="N21" i="13"/>
  <c r="W21" i="13" s="1"/>
  <c r="AG21" i="13"/>
  <c r="AH21" i="13" s="1"/>
  <c r="L21" i="3"/>
  <c r="V21" i="3" s="1"/>
  <c r="M21" i="3"/>
  <c r="N21" i="3"/>
  <c r="W21" i="3" s="1"/>
  <c r="K21" i="3"/>
  <c r="U21" i="3" s="1"/>
  <c r="AG21" i="3"/>
  <c r="AH21" i="3" s="1"/>
  <c r="AI21" i="13" l="1"/>
  <c r="X21" i="13"/>
  <c r="AI21" i="3"/>
  <c r="X21" i="3"/>
  <c r="AJ21" i="13" l="1"/>
  <c r="AK21" i="13" s="1"/>
  <c r="AL21" i="13" s="1"/>
  <c r="AJ21" i="3"/>
  <c r="AK21" i="3" s="1"/>
  <c r="AM21" i="3" s="1"/>
  <c r="AL21" i="3" l="1"/>
  <c r="AM21" i="13"/>
  <c r="AN21" i="13" s="1"/>
  <c r="AO21" i="13" s="1"/>
  <c r="AP21" i="13"/>
  <c r="AQ21" i="13" l="1"/>
  <c r="AN21" i="3"/>
  <c r="AP21" i="3"/>
  <c r="AQ21" i="3" s="1"/>
  <c r="AT21" i="3" l="1"/>
  <c r="AU21" i="3" s="1"/>
  <c r="AO21" i="3"/>
  <c r="AS21" i="3" l="1"/>
  <c r="AV21" i="3" s="1"/>
  <c r="I22" i="3" l="1"/>
  <c r="J22" i="3"/>
  <c r="I22" i="13"/>
  <c r="J22" i="13"/>
  <c r="AA22" i="13" l="1"/>
  <c r="AE22" i="13"/>
  <c r="AA22" i="3"/>
  <c r="AE22" i="3"/>
  <c r="L22" i="13"/>
  <c r="V22" i="13" s="1"/>
  <c r="M22" i="13"/>
  <c r="K22" i="13"/>
  <c r="U22" i="13" s="1"/>
  <c r="N22" i="13"/>
  <c r="W22" i="13" s="1"/>
  <c r="AG22" i="13"/>
  <c r="AH22" i="13" s="1"/>
  <c r="M22" i="3"/>
  <c r="N22" i="3"/>
  <c r="W22" i="3" s="1"/>
  <c r="K22" i="3"/>
  <c r="U22" i="3" s="1"/>
  <c r="L22" i="3"/>
  <c r="V22" i="3" s="1"/>
  <c r="AG22" i="3"/>
  <c r="AH22" i="3" s="1"/>
  <c r="AI22" i="13" l="1"/>
  <c r="X22" i="13"/>
  <c r="X22" i="3"/>
  <c r="AI22" i="3"/>
  <c r="AJ22" i="3" l="1"/>
  <c r="AK22" i="3" s="1"/>
  <c r="AM22" i="3" s="1"/>
  <c r="AJ22" i="13"/>
  <c r="AK22" i="13" s="1"/>
  <c r="AL22" i="13" s="1"/>
  <c r="AP22" i="13" l="1"/>
  <c r="AM22" i="13"/>
  <c r="AN22" i="13" s="1"/>
  <c r="AO22" i="13" s="1"/>
  <c r="AL22" i="3"/>
  <c r="AP22" i="3" l="1"/>
  <c r="AQ22" i="3" s="1"/>
  <c r="AN22" i="3"/>
  <c r="AQ22" i="13"/>
  <c r="AT22" i="3" l="1"/>
  <c r="AU22" i="3" s="1"/>
  <c r="AO22" i="3"/>
  <c r="AS22" i="3" l="1"/>
  <c r="AV22" i="3" s="1"/>
  <c r="J23" i="3" l="1"/>
  <c r="I23" i="3"/>
  <c r="I23" i="13"/>
  <c r="J23" i="13"/>
  <c r="AA23" i="13" l="1"/>
  <c r="AE23" i="13"/>
  <c r="AA23" i="3"/>
  <c r="AE23" i="3"/>
  <c r="L23" i="13"/>
  <c r="V23" i="13" s="1"/>
  <c r="M23" i="13"/>
  <c r="K23" i="13"/>
  <c r="U23" i="13" s="1"/>
  <c r="N23" i="13"/>
  <c r="W23" i="13" s="1"/>
  <c r="AG23" i="13"/>
  <c r="AH23" i="13" s="1"/>
  <c r="AG23" i="3"/>
  <c r="AH23" i="3" s="1"/>
  <c r="N23" i="3"/>
  <c r="W23" i="3" s="1"/>
  <c r="K23" i="3"/>
  <c r="U23" i="3" s="1"/>
  <c r="L23" i="3"/>
  <c r="V23" i="3" s="1"/>
  <c r="M23" i="3"/>
  <c r="AI23" i="13" l="1"/>
  <c r="X23" i="13"/>
  <c r="X23" i="3"/>
  <c r="AI23" i="3"/>
  <c r="AJ23" i="3" l="1"/>
  <c r="AK23" i="3" s="1"/>
  <c r="AM23" i="3" s="1"/>
  <c r="AJ23" i="13"/>
  <c r="AK23" i="13" s="1"/>
  <c r="AL23" i="13" s="1"/>
  <c r="AP23" i="13" l="1"/>
  <c r="AM23" i="13"/>
  <c r="AN23" i="13" s="1"/>
  <c r="AO23" i="13" s="1"/>
  <c r="AL23" i="3"/>
  <c r="AQ23" i="13" l="1"/>
  <c r="AP23" i="3"/>
  <c r="AQ23" i="3" s="1"/>
  <c r="AN23" i="3"/>
  <c r="AT23" i="3" l="1"/>
  <c r="AU23" i="3" s="1"/>
  <c r="AO23" i="3"/>
  <c r="AS23" i="3" l="1"/>
  <c r="AV23" i="3" s="1"/>
  <c r="I24" i="3" l="1"/>
  <c r="J24" i="3"/>
  <c r="I24" i="13"/>
  <c r="J24" i="13"/>
  <c r="AA24" i="13" l="1"/>
  <c r="AE24" i="13"/>
  <c r="AA24" i="3"/>
  <c r="AE24" i="3"/>
  <c r="AG24" i="13"/>
  <c r="AH24" i="13" s="1"/>
  <c r="L24" i="13"/>
  <c r="V24" i="13" s="1"/>
  <c r="M24" i="13"/>
  <c r="K24" i="13"/>
  <c r="U24" i="13" s="1"/>
  <c r="N24" i="13"/>
  <c r="W24" i="13" s="1"/>
  <c r="K24" i="3"/>
  <c r="U24" i="3" s="1"/>
  <c r="L24" i="3"/>
  <c r="V24" i="3" s="1"/>
  <c r="M24" i="3"/>
  <c r="N24" i="3"/>
  <c r="W24" i="3" s="1"/>
  <c r="AG24" i="3"/>
  <c r="AH24" i="3" s="1"/>
  <c r="X24" i="3" l="1"/>
  <c r="AI24" i="3"/>
  <c r="AI24" i="13"/>
  <c r="X24" i="13"/>
  <c r="AJ24" i="13" l="1"/>
  <c r="AK24" i="13" s="1"/>
  <c r="AL24" i="13" s="1"/>
  <c r="AJ24" i="3"/>
  <c r="AK24" i="3" s="1"/>
  <c r="AM24" i="3" s="1"/>
  <c r="AL24" i="3" l="1"/>
  <c r="AP24" i="13"/>
  <c r="AP24" i="3" l="1"/>
  <c r="AQ24" i="3" s="1"/>
  <c r="AN24" i="3"/>
  <c r="AM24" i="13"/>
  <c r="AN24" i="13" l="1"/>
  <c r="AO24" i="13" s="1"/>
  <c r="AT24" i="3"/>
  <c r="AU24" i="3" s="1"/>
  <c r="AO24" i="3"/>
  <c r="AQ24" i="13"/>
  <c r="AS24" i="3" l="1"/>
  <c r="AV24" i="3" s="1"/>
  <c r="J25" i="3" l="1"/>
  <c r="I25" i="3"/>
  <c r="I25" i="13"/>
  <c r="J25" i="13"/>
  <c r="AA25" i="13" l="1"/>
  <c r="AE25" i="13"/>
  <c r="AA25" i="3"/>
  <c r="AE25" i="3"/>
  <c r="AG25" i="13"/>
  <c r="AH25" i="13" s="1"/>
  <c r="AG25" i="3"/>
  <c r="AH25" i="3" s="1"/>
  <c r="M25" i="13"/>
  <c r="K25" i="13"/>
  <c r="U25" i="13" s="1"/>
  <c r="L25" i="13"/>
  <c r="V25" i="13" s="1"/>
  <c r="N25" i="13"/>
  <c r="W25" i="13" s="1"/>
  <c r="N25" i="3"/>
  <c r="W25" i="3" s="1"/>
  <c r="K25" i="3"/>
  <c r="U25" i="3" s="1"/>
  <c r="L25" i="3"/>
  <c r="V25" i="3" s="1"/>
  <c r="M25" i="3"/>
  <c r="X25" i="3" l="1"/>
  <c r="AI25" i="3"/>
  <c r="X25" i="13"/>
  <c r="AI25" i="13"/>
  <c r="AJ25" i="3" l="1"/>
  <c r="AK25" i="3" s="1"/>
  <c r="AM25" i="3" s="1"/>
  <c r="AJ25" i="13"/>
  <c r="AK25" i="13" s="1"/>
  <c r="AL25" i="13" s="1"/>
  <c r="AM25" i="13" l="1"/>
  <c r="AN25" i="13" s="1"/>
  <c r="AO25" i="13" s="1"/>
  <c r="AP25" i="13"/>
  <c r="AQ25" i="13" s="1"/>
  <c r="AL25" i="3"/>
  <c r="AP25" i="3" l="1"/>
  <c r="AQ25" i="3" s="1"/>
  <c r="AN25" i="3"/>
  <c r="AT25" i="3" l="1"/>
  <c r="AU25" i="3" s="1"/>
  <c r="AO25" i="3"/>
  <c r="AS25" i="3" l="1"/>
  <c r="AV25" i="3" s="1"/>
  <c r="I26" i="3" l="1"/>
  <c r="J26" i="3"/>
  <c r="I26" i="13"/>
  <c r="J26" i="13"/>
  <c r="AA26" i="13" l="1"/>
  <c r="AE26" i="13"/>
  <c r="AA26" i="3"/>
  <c r="AE26" i="3"/>
  <c r="M26" i="13"/>
  <c r="N26" i="13"/>
  <c r="W26" i="13" s="1"/>
  <c r="K26" i="13"/>
  <c r="U26" i="13" s="1"/>
  <c r="L26" i="13"/>
  <c r="V26" i="13" s="1"/>
  <c r="AG26" i="13"/>
  <c r="AH26" i="13" s="1"/>
  <c r="K26" i="3"/>
  <c r="U26" i="3" s="1"/>
  <c r="M26" i="3"/>
  <c r="N26" i="3"/>
  <c r="W26" i="3" s="1"/>
  <c r="L26" i="3"/>
  <c r="V26" i="3" s="1"/>
  <c r="AG26" i="3"/>
  <c r="AH26" i="3" s="1"/>
  <c r="X26" i="3" l="1"/>
  <c r="AI26" i="3"/>
  <c r="AI26" i="13"/>
  <c r="X26" i="13"/>
  <c r="AJ26" i="13" l="1"/>
  <c r="AK26" i="13" s="1"/>
  <c r="AL26" i="13" s="1"/>
  <c r="AJ26" i="3"/>
  <c r="AK26" i="3" s="1"/>
  <c r="AM26" i="3" s="1"/>
  <c r="AL26" i="3" l="1"/>
  <c r="AP26" i="3" s="1"/>
  <c r="AQ26" i="3" s="1"/>
  <c r="AP26" i="13"/>
  <c r="AN26" i="3" l="1"/>
  <c r="AO26" i="3" s="1"/>
  <c r="AM26" i="13"/>
  <c r="AN26" i="13" s="1"/>
  <c r="AO26" i="13" s="1"/>
  <c r="AT26" i="3"/>
  <c r="AU26" i="3" s="1"/>
  <c r="AQ26" i="13" l="1"/>
  <c r="AS26" i="3"/>
  <c r="AV26" i="3" s="1"/>
  <c r="I27" i="3" l="1"/>
  <c r="J27" i="3"/>
  <c r="I27" i="13"/>
  <c r="J27" i="13"/>
  <c r="AA27" i="13" l="1"/>
  <c r="AE27" i="13"/>
  <c r="AA27" i="3"/>
  <c r="AE27" i="3"/>
  <c r="M27" i="13"/>
  <c r="L27" i="13"/>
  <c r="V27" i="13" s="1"/>
  <c r="N27" i="13"/>
  <c r="W27" i="13" s="1"/>
  <c r="K27" i="13"/>
  <c r="U27" i="13" s="1"/>
  <c r="AG27" i="13"/>
  <c r="AH27" i="13" s="1"/>
  <c r="L27" i="3"/>
  <c r="V27" i="3" s="1"/>
  <c r="N27" i="3"/>
  <c r="W27" i="3" s="1"/>
  <c r="K27" i="3"/>
  <c r="U27" i="3" s="1"/>
  <c r="M27" i="3"/>
  <c r="AG27" i="3"/>
  <c r="AH27" i="3" s="1"/>
  <c r="X27" i="13" l="1"/>
  <c r="AI27" i="13"/>
  <c r="X27" i="3"/>
  <c r="AI27" i="3"/>
  <c r="AJ27" i="13" l="1"/>
  <c r="AK27" i="13" s="1"/>
  <c r="AL27" i="13" s="1"/>
  <c r="AJ27" i="3"/>
  <c r="AK27" i="3" s="1"/>
  <c r="AM27" i="3" s="1"/>
  <c r="AL27" i="3" l="1"/>
  <c r="AP27" i="13"/>
  <c r="AP27" i="3" l="1"/>
  <c r="AQ27" i="3" s="1"/>
  <c r="AN27" i="3"/>
  <c r="AM27" i="13"/>
  <c r="AN27" i="13" l="1"/>
  <c r="AO27" i="13" s="1"/>
  <c r="AT27" i="3"/>
  <c r="AU27" i="3" s="1"/>
  <c r="AO27" i="3"/>
  <c r="AQ27" i="13"/>
  <c r="AS27" i="3" l="1"/>
  <c r="AV27" i="3" s="1"/>
  <c r="I28" i="3" l="1"/>
  <c r="J28" i="3"/>
  <c r="I28" i="13"/>
  <c r="J28" i="13"/>
  <c r="AA28" i="13" l="1"/>
  <c r="AE28" i="13"/>
  <c r="AA28" i="3"/>
  <c r="AE28" i="3"/>
  <c r="M28" i="13"/>
  <c r="K28" i="13"/>
  <c r="U28" i="13" s="1"/>
  <c r="L28" i="13"/>
  <c r="V28" i="13" s="1"/>
  <c r="N28" i="13"/>
  <c r="W28" i="13" s="1"/>
  <c r="AG28" i="13"/>
  <c r="AH28" i="13" s="1"/>
  <c r="K28" i="3"/>
  <c r="U28" i="3" s="1"/>
  <c r="L28" i="3"/>
  <c r="V28" i="3" s="1"/>
  <c r="M28" i="3"/>
  <c r="N28" i="3"/>
  <c r="W28" i="3" s="1"/>
  <c r="AG28" i="3"/>
  <c r="AH28" i="3" s="1"/>
  <c r="AI28" i="3" l="1"/>
  <c r="X28" i="3"/>
  <c r="X28" i="13"/>
  <c r="AI28" i="13"/>
  <c r="AJ28" i="3" l="1"/>
  <c r="AK28" i="3" s="1"/>
  <c r="AM28" i="3" s="1"/>
  <c r="AJ28" i="13"/>
  <c r="AK28" i="13" s="1"/>
  <c r="AL28" i="13" s="1"/>
  <c r="AP28" i="13" l="1"/>
  <c r="AL28" i="3"/>
  <c r="AN28" i="3" l="1"/>
  <c r="AP28" i="3"/>
  <c r="AQ28" i="3" s="1"/>
  <c r="AM28" i="13"/>
  <c r="AQ28" i="13" s="1"/>
  <c r="AN28" i="13" l="1"/>
  <c r="AO28" i="13" s="1"/>
  <c r="AT28" i="3"/>
  <c r="AU28" i="3" s="1"/>
  <c r="AO28" i="3"/>
  <c r="AS28" i="3" l="1"/>
  <c r="AV28" i="3" s="1"/>
  <c r="I29" i="3" l="1"/>
  <c r="J29" i="3"/>
  <c r="I29" i="13"/>
  <c r="J29" i="13"/>
  <c r="AA29" i="13" l="1"/>
  <c r="AE29" i="13"/>
  <c r="AA29" i="3"/>
  <c r="AE29" i="3"/>
  <c r="M29" i="13"/>
  <c r="K29" i="13"/>
  <c r="U29" i="13" s="1"/>
  <c r="L29" i="13"/>
  <c r="V29" i="13" s="1"/>
  <c r="N29" i="13"/>
  <c r="W29" i="13" s="1"/>
  <c r="AG29" i="13"/>
  <c r="AH29" i="13" s="1"/>
  <c r="L29" i="3"/>
  <c r="V29" i="3" s="1"/>
  <c r="M29" i="3"/>
  <c r="N29" i="3"/>
  <c r="W29" i="3" s="1"/>
  <c r="K29" i="3"/>
  <c r="U29" i="3" s="1"/>
  <c r="AG29" i="3"/>
  <c r="AH29" i="3" s="1"/>
  <c r="AI29" i="3" l="1"/>
  <c r="X29" i="3"/>
  <c r="X29" i="13"/>
  <c r="AI29" i="13"/>
  <c r="AJ29" i="3" l="1"/>
  <c r="AK29" i="3" s="1"/>
  <c r="AM29" i="3" s="1"/>
  <c r="AJ29" i="13"/>
  <c r="AK29" i="13" s="1"/>
  <c r="AL29" i="13" s="1"/>
  <c r="AM29" i="13" l="1"/>
  <c r="AN29" i="13" s="1"/>
  <c r="AO29" i="13" s="1"/>
  <c r="X9" i="15" s="1"/>
  <c r="AP29" i="13"/>
  <c r="AL29" i="3"/>
  <c r="AQ29" i="13" l="1"/>
  <c r="Y9" i="15" s="1"/>
  <c r="AN29" i="3"/>
  <c r="AP29" i="3"/>
  <c r="AQ29" i="3" s="1"/>
  <c r="Y9" i="14" s="1"/>
  <c r="AT29" i="3" l="1"/>
  <c r="AU29" i="3" s="1"/>
  <c r="AO29" i="3"/>
  <c r="X9" i="14" s="1"/>
  <c r="AS29" i="3" l="1"/>
  <c r="AV29" i="3" s="1"/>
  <c r="I30" i="3" l="1"/>
  <c r="J30" i="3"/>
  <c r="I30" i="13"/>
  <c r="J30" i="13"/>
  <c r="AA30" i="13" l="1"/>
  <c r="AE30" i="13"/>
  <c r="AA30" i="3"/>
  <c r="AE30" i="3"/>
  <c r="M30" i="13"/>
  <c r="N30" i="13"/>
  <c r="W30" i="13" s="1"/>
  <c r="K30" i="13"/>
  <c r="U30" i="13" s="1"/>
  <c r="L30" i="13"/>
  <c r="V30" i="13" s="1"/>
  <c r="AG30" i="13"/>
  <c r="AH30" i="13" s="1"/>
  <c r="M30" i="3"/>
  <c r="N30" i="3"/>
  <c r="W30" i="3" s="1"/>
  <c r="K30" i="3"/>
  <c r="U30" i="3" s="1"/>
  <c r="L30" i="3"/>
  <c r="V30" i="3" s="1"/>
  <c r="AG30" i="3"/>
  <c r="AH30" i="3" s="1"/>
  <c r="X30" i="13" l="1"/>
  <c r="AI30" i="13"/>
  <c r="X30" i="3"/>
  <c r="AI30" i="3"/>
  <c r="AJ30" i="3" l="1"/>
  <c r="AK30" i="3" s="1"/>
  <c r="AM30" i="3" s="1"/>
  <c r="AJ30" i="13"/>
  <c r="AK30" i="13" s="1"/>
  <c r="AL30" i="13" s="1"/>
  <c r="AP30" i="13" l="1"/>
  <c r="AM30" i="13"/>
  <c r="AN30" i="13" s="1"/>
  <c r="AO30" i="13" s="1"/>
  <c r="AL30" i="3"/>
  <c r="AQ30" i="13" l="1"/>
  <c r="AP30" i="3"/>
  <c r="AQ30" i="3" s="1"/>
  <c r="AN30" i="3"/>
  <c r="AT30" i="3" l="1"/>
  <c r="AU30" i="3" s="1"/>
  <c r="AO30" i="3"/>
  <c r="AS30" i="3" l="1"/>
  <c r="AV30" i="3" s="1"/>
  <c r="J31" i="3" l="1"/>
  <c r="I31" i="3"/>
  <c r="I31" i="13"/>
  <c r="J31" i="13"/>
  <c r="AA31" i="13" l="1"/>
  <c r="AE31" i="13"/>
  <c r="AA31" i="3"/>
  <c r="AE31" i="3"/>
  <c r="M31" i="13"/>
  <c r="L31" i="13"/>
  <c r="V31" i="13" s="1"/>
  <c r="N31" i="13"/>
  <c r="W31" i="13" s="1"/>
  <c r="K31" i="13"/>
  <c r="U31" i="13" s="1"/>
  <c r="AG31" i="13"/>
  <c r="AH31" i="13" s="1"/>
  <c r="AG31" i="3"/>
  <c r="AH31" i="3" s="1"/>
  <c r="N31" i="3"/>
  <c r="W31" i="3" s="1"/>
  <c r="K31" i="3"/>
  <c r="U31" i="3" s="1"/>
  <c r="L31" i="3"/>
  <c r="V31" i="3" s="1"/>
  <c r="M31" i="3"/>
  <c r="X31" i="13" l="1"/>
  <c r="AI31" i="13"/>
  <c r="X31" i="3"/>
  <c r="AI31" i="3"/>
  <c r="AJ31" i="3" l="1"/>
  <c r="AK31" i="3" s="1"/>
  <c r="AM31" i="3" s="1"/>
  <c r="AJ31" i="13"/>
  <c r="AK31" i="13" s="1"/>
  <c r="AL31" i="13" s="1"/>
  <c r="AM31" i="13" l="1"/>
  <c r="AN31" i="13" s="1"/>
  <c r="AO31" i="13" s="1"/>
  <c r="AP31" i="13"/>
  <c r="AL31" i="3"/>
  <c r="AQ31" i="13" l="1"/>
  <c r="AP31" i="3"/>
  <c r="AQ31" i="3" s="1"/>
  <c r="AN31" i="3"/>
  <c r="AT31" i="3" l="1"/>
  <c r="AU31" i="3" s="1"/>
  <c r="AO31" i="3"/>
  <c r="AS31" i="3" l="1"/>
  <c r="AV31" i="3" s="1"/>
  <c r="I32" i="3" l="1"/>
  <c r="J32" i="3"/>
  <c r="I32" i="13"/>
  <c r="J32" i="13"/>
  <c r="AA32" i="13" l="1"/>
  <c r="AE32" i="13"/>
  <c r="AA32" i="3"/>
  <c r="AE32" i="3"/>
  <c r="AG32" i="13"/>
  <c r="AH32" i="13" s="1"/>
  <c r="K32" i="3"/>
  <c r="U32" i="3" s="1"/>
  <c r="L32" i="3"/>
  <c r="V32" i="3" s="1"/>
  <c r="M32" i="3"/>
  <c r="N32" i="3"/>
  <c r="W32" i="3" s="1"/>
  <c r="M32" i="13"/>
  <c r="K32" i="13"/>
  <c r="U32" i="13" s="1"/>
  <c r="L32" i="13"/>
  <c r="V32" i="13" s="1"/>
  <c r="N32" i="13"/>
  <c r="W32" i="13" s="1"/>
  <c r="AG32" i="3"/>
  <c r="AH32" i="3" s="1"/>
  <c r="AI32" i="3" l="1"/>
  <c r="X32" i="3"/>
  <c r="X32" i="13"/>
  <c r="AI32" i="13"/>
  <c r="AJ32" i="13" l="1"/>
  <c r="AK32" i="13" s="1"/>
  <c r="AL32" i="13" s="1"/>
  <c r="AJ32" i="3"/>
  <c r="AK32" i="3" s="1"/>
  <c r="AM32" i="3" s="1"/>
  <c r="AM32" i="13" l="1"/>
  <c r="AN32" i="13" s="1"/>
  <c r="AO32" i="13" s="1"/>
  <c r="AL32" i="3"/>
  <c r="AP32" i="13"/>
  <c r="AQ32" i="13" l="1"/>
  <c r="AN32" i="3"/>
  <c r="AP32" i="3"/>
  <c r="AQ32" i="3" s="1"/>
  <c r="AT32" i="3" l="1"/>
  <c r="AU32" i="3" s="1"/>
  <c r="AO32" i="3"/>
  <c r="AS32" i="3" l="1"/>
  <c r="AV32" i="3" s="1"/>
  <c r="I33" i="3" l="1"/>
  <c r="J33" i="3"/>
  <c r="I33" i="13"/>
  <c r="J33" i="13"/>
  <c r="AA33" i="13" l="1"/>
  <c r="AE33" i="13"/>
  <c r="AA33" i="3"/>
  <c r="AE33" i="3"/>
  <c r="M33" i="13"/>
  <c r="K33" i="13"/>
  <c r="U33" i="13" s="1"/>
  <c r="L33" i="13"/>
  <c r="V33" i="13" s="1"/>
  <c r="N33" i="13"/>
  <c r="W33" i="13" s="1"/>
  <c r="AG33" i="13"/>
  <c r="AH33" i="13" s="1"/>
  <c r="L33" i="3"/>
  <c r="V33" i="3" s="1"/>
  <c r="M33" i="3"/>
  <c r="N33" i="3"/>
  <c r="W33" i="3" s="1"/>
  <c r="K33" i="3"/>
  <c r="U33" i="3" s="1"/>
  <c r="AG33" i="3"/>
  <c r="AH33" i="3" s="1"/>
  <c r="AI33" i="3" l="1"/>
  <c r="X33" i="3"/>
  <c r="X33" i="13"/>
  <c r="AI33" i="13"/>
  <c r="AJ33" i="3" l="1"/>
  <c r="AK33" i="3" s="1"/>
  <c r="AM33" i="3" s="1"/>
  <c r="AJ33" i="13"/>
  <c r="AK33" i="13" s="1"/>
  <c r="AL33" i="13" s="1"/>
  <c r="AM33" i="13" l="1"/>
  <c r="AN33" i="13" s="1"/>
  <c r="AO33" i="13" s="1"/>
  <c r="AP33" i="13"/>
  <c r="AL33" i="3"/>
  <c r="AQ33" i="13" l="1"/>
  <c r="AN33" i="3"/>
  <c r="AP33" i="3"/>
  <c r="AQ33" i="3" s="1"/>
  <c r="AT33" i="3" l="1"/>
  <c r="AU33" i="3" s="1"/>
  <c r="AO33" i="3"/>
  <c r="AS33" i="3" l="1"/>
  <c r="AV33" i="3" s="1"/>
  <c r="I34" i="3" l="1"/>
  <c r="J34" i="3"/>
  <c r="I34" i="13"/>
  <c r="J34" i="13"/>
  <c r="AA34" i="13" l="1"/>
  <c r="AE34" i="13"/>
  <c r="AA34" i="3"/>
  <c r="AE34" i="3"/>
  <c r="M34" i="13"/>
  <c r="N34" i="13"/>
  <c r="W34" i="13" s="1"/>
  <c r="K34" i="13"/>
  <c r="U34" i="13" s="1"/>
  <c r="L34" i="13"/>
  <c r="V34" i="13" s="1"/>
  <c r="AG34" i="13"/>
  <c r="AH34" i="13" s="1"/>
  <c r="M34" i="3"/>
  <c r="K34" i="3"/>
  <c r="U34" i="3" s="1"/>
  <c r="L34" i="3"/>
  <c r="V34" i="3" s="1"/>
  <c r="N34" i="3"/>
  <c r="W34" i="3" s="1"/>
  <c r="AG34" i="3"/>
  <c r="AH34" i="3" s="1"/>
  <c r="AI34" i="3" l="1"/>
  <c r="X34" i="3"/>
  <c r="X34" i="13"/>
  <c r="AI34" i="13"/>
  <c r="AJ34" i="13" l="1"/>
  <c r="AK34" i="13" s="1"/>
  <c r="AL34" i="13" s="1"/>
  <c r="AJ34" i="3"/>
  <c r="AK34" i="3" s="1"/>
  <c r="AM34" i="3" s="1"/>
  <c r="AL34" i="3" l="1"/>
  <c r="AM34" i="13"/>
  <c r="AN34" i="13" s="1"/>
  <c r="AO34" i="13" s="1"/>
  <c r="AP34" i="13"/>
  <c r="AQ34" i="13" s="1"/>
  <c r="AN34" i="3" l="1"/>
  <c r="AP34" i="3"/>
  <c r="AQ34" i="3" s="1"/>
  <c r="AT34" i="3" l="1"/>
  <c r="AU34" i="3" s="1"/>
  <c r="AO34" i="3"/>
  <c r="AS34" i="3" l="1"/>
  <c r="AV34" i="3" s="1"/>
  <c r="J35" i="3" l="1"/>
  <c r="I35" i="3"/>
  <c r="I35" i="13"/>
  <c r="J35" i="13"/>
  <c r="AA35" i="13" l="1"/>
  <c r="AE35" i="13"/>
  <c r="AA35" i="3"/>
  <c r="AE35" i="3"/>
  <c r="M35" i="13"/>
  <c r="L35" i="13"/>
  <c r="V35" i="13" s="1"/>
  <c r="N35" i="13"/>
  <c r="W35" i="13" s="1"/>
  <c r="K35" i="13"/>
  <c r="U35" i="13" s="1"/>
  <c r="AG35" i="13"/>
  <c r="AH35" i="13" s="1"/>
  <c r="AG35" i="3"/>
  <c r="AH35" i="3" s="1"/>
  <c r="N35" i="3"/>
  <c r="W35" i="3" s="1"/>
  <c r="M35" i="3"/>
  <c r="K35" i="3"/>
  <c r="U35" i="3" s="1"/>
  <c r="L35" i="3"/>
  <c r="V35" i="3" s="1"/>
  <c r="X35" i="13" l="1"/>
  <c r="AI35" i="13"/>
  <c r="X35" i="3"/>
  <c r="AI35" i="3"/>
  <c r="AJ35" i="3" l="1"/>
  <c r="AK35" i="3" s="1"/>
  <c r="AM35" i="3" s="1"/>
  <c r="AJ35" i="13"/>
  <c r="AK35" i="13" s="1"/>
  <c r="AL35" i="13" s="1"/>
  <c r="AP35" i="13" l="1"/>
  <c r="AM35" i="13"/>
  <c r="AN35" i="13" s="1"/>
  <c r="AO35" i="13" s="1"/>
  <c r="AL35" i="3"/>
  <c r="AP35" i="3" l="1"/>
  <c r="AQ35" i="3" s="1"/>
  <c r="AN35" i="3"/>
  <c r="AQ35" i="13"/>
  <c r="AT35" i="3" l="1"/>
  <c r="AU35" i="3" s="1"/>
  <c r="AO35" i="3"/>
  <c r="AS35" i="3" l="1"/>
  <c r="AV35" i="3" s="1"/>
  <c r="I36" i="3" l="1"/>
  <c r="J36" i="3"/>
  <c r="I36" i="13"/>
  <c r="J36" i="13"/>
  <c r="AA36" i="13" l="1"/>
  <c r="AE36" i="13"/>
  <c r="AA36" i="3"/>
  <c r="AE36" i="3"/>
  <c r="AG36" i="13"/>
  <c r="AH36" i="13" s="1"/>
  <c r="K36" i="3"/>
  <c r="U36" i="3" s="1"/>
  <c r="L36" i="3"/>
  <c r="V36" i="3" s="1"/>
  <c r="M36" i="3"/>
  <c r="N36" i="3"/>
  <c r="W36" i="3" s="1"/>
  <c r="M36" i="13"/>
  <c r="K36" i="13"/>
  <c r="U36" i="13" s="1"/>
  <c r="L36" i="13"/>
  <c r="V36" i="13" s="1"/>
  <c r="N36" i="13"/>
  <c r="W36" i="13" s="1"/>
  <c r="AG36" i="3"/>
  <c r="AH36" i="3" s="1"/>
  <c r="X36" i="3" l="1"/>
  <c r="AI36" i="3"/>
  <c r="X36" i="13"/>
  <c r="AI36" i="13"/>
  <c r="AJ36" i="13" l="1"/>
  <c r="AK36" i="13" s="1"/>
  <c r="AL36" i="13" s="1"/>
  <c r="AJ36" i="3"/>
  <c r="AK36" i="3" s="1"/>
  <c r="AM36" i="3" s="1"/>
  <c r="AL36" i="3" l="1"/>
  <c r="AP36" i="13"/>
  <c r="AP36" i="3" l="1"/>
  <c r="AQ36" i="3" s="1"/>
  <c r="AN36" i="3"/>
  <c r="AM36" i="13"/>
  <c r="AT36" i="3" l="1"/>
  <c r="AU36" i="3" s="1"/>
  <c r="AO36" i="3"/>
  <c r="AN36" i="13"/>
  <c r="AO36" i="13" s="1"/>
  <c r="AQ36" i="13"/>
  <c r="AS36" i="3" l="1"/>
  <c r="AV36" i="3" s="1"/>
  <c r="I37" i="3" l="1"/>
  <c r="J37" i="3"/>
  <c r="I37" i="13"/>
  <c r="J37" i="13"/>
  <c r="AA37" i="13" l="1"/>
  <c r="AE37" i="13"/>
  <c r="AA37" i="3"/>
  <c r="AE37" i="3"/>
  <c r="K37" i="3"/>
  <c r="U37" i="3" s="1"/>
  <c r="L37" i="3"/>
  <c r="V37" i="3" s="1"/>
  <c r="M37" i="3"/>
  <c r="N37" i="3"/>
  <c r="W37" i="3" s="1"/>
  <c r="M37" i="13"/>
  <c r="K37" i="13"/>
  <c r="U37" i="13" s="1"/>
  <c r="L37" i="13"/>
  <c r="V37" i="13" s="1"/>
  <c r="N37" i="13"/>
  <c r="W37" i="13" s="1"/>
  <c r="AG37" i="13"/>
  <c r="AH37" i="13" s="1"/>
  <c r="AG37" i="3"/>
  <c r="AH37" i="3" s="1"/>
  <c r="X37" i="13" l="1"/>
  <c r="AI37" i="13"/>
  <c r="AI37" i="3"/>
  <c r="X37" i="3"/>
  <c r="AJ37" i="3" l="1"/>
  <c r="AK37" i="3" s="1"/>
  <c r="AM37" i="3" s="1"/>
  <c r="AJ37" i="13"/>
  <c r="AK37" i="13" s="1"/>
  <c r="AL37" i="13" s="1"/>
  <c r="AP37" i="13" l="1"/>
  <c r="AM37" i="13"/>
  <c r="AL37" i="3"/>
  <c r="AQ37" i="13" l="1"/>
  <c r="AN37" i="3"/>
  <c r="AP37" i="3"/>
  <c r="AQ37" i="3" s="1"/>
  <c r="AN37" i="13"/>
  <c r="AO37" i="13" s="1"/>
  <c r="AT37" i="3" l="1"/>
  <c r="AU37" i="3" s="1"/>
  <c r="AO37" i="3"/>
  <c r="AS37" i="3" l="1"/>
  <c r="AV37" i="3" s="1"/>
  <c r="I38" i="3" l="1"/>
  <c r="J38" i="3"/>
  <c r="I38" i="13"/>
  <c r="J38" i="13"/>
  <c r="AA38" i="13" l="1"/>
  <c r="AE38" i="13"/>
  <c r="AA38" i="3"/>
  <c r="AE38" i="3"/>
  <c r="M38" i="13"/>
  <c r="N38" i="13"/>
  <c r="W38" i="13" s="1"/>
  <c r="K38" i="13"/>
  <c r="U38" i="13" s="1"/>
  <c r="L38" i="13"/>
  <c r="V38" i="13" s="1"/>
  <c r="AG38" i="13"/>
  <c r="AH38" i="13" s="1"/>
  <c r="L38" i="3"/>
  <c r="V38" i="3" s="1"/>
  <c r="M38" i="3"/>
  <c r="K38" i="3"/>
  <c r="U38" i="3" s="1"/>
  <c r="N38" i="3"/>
  <c r="W38" i="3" s="1"/>
  <c r="AG38" i="3"/>
  <c r="AH38" i="3" s="1"/>
  <c r="AI38" i="13" l="1"/>
  <c r="X38" i="13"/>
  <c r="AI38" i="3"/>
  <c r="X38" i="3"/>
  <c r="AJ38" i="13" l="1"/>
  <c r="AK38" i="13" s="1"/>
  <c r="AL38" i="13" s="1"/>
  <c r="AJ38" i="3"/>
  <c r="AK38" i="3" s="1"/>
  <c r="AM38" i="3" s="1"/>
  <c r="AL38" i="3" l="1"/>
  <c r="AP38" i="13"/>
  <c r="AN38" i="3" l="1"/>
  <c r="AP38" i="3"/>
  <c r="AQ38" i="3" s="1"/>
  <c r="AM38" i="13"/>
  <c r="AT38" i="3" l="1"/>
  <c r="AU38" i="3" s="1"/>
  <c r="AO38" i="3"/>
  <c r="AN38" i="13"/>
  <c r="AO38" i="13" s="1"/>
  <c r="AQ38" i="13"/>
  <c r="AS38" i="3" l="1"/>
  <c r="AV38" i="3" s="1"/>
  <c r="I39" i="3" l="1"/>
  <c r="J39" i="3"/>
  <c r="I39" i="13"/>
  <c r="J39" i="13"/>
  <c r="AA39" i="13" l="1"/>
  <c r="AE39" i="13"/>
  <c r="AA39" i="3"/>
  <c r="AE39" i="3"/>
  <c r="M39" i="13"/>
  <c r="L39" i="13"/>
  <c r="V39" i="13" s="1"/>
  <c r="N39" i="13"/>
  <c r="W39" i="13" s="1"/>
  <c r="K39" i="13"/>
  <c r="U39" i="13" s="1"/>
  <c r="AG39" i="13"/>
  <c r="AH39" i="13" s="1"/>
  <c r="M39" i="3"/>
  <c r="N39" i="3"/>
  <c r="W39" i="3" s="1"/>
  <c r="K39" i="3"/>
  <c r="U39" i="3" s="1"/>
  <c r="L39" i="3"/>
  <c r="V39" i="3" s="1"/>
  <c r="AG39" i="3"/>
  <c r="AH39" i="3" s="1"/>
  <c r="X39" i="3" l="1"/>
  <c r="AI39" i="3"/>
  <c r="X39" i="13"/>
  <c r="AI39" i="13"/>
  <c r="AJ39" i="13" l="1"/>
  <c r="AK39" i="13" s="1"/>
  <c r="AL39" i="13" s="1"/>
  <c r="AJ39" i="3"/>
  <c r="AK39" i="3" s="1"/>
  <c r="AM39" i="3" s="1"/>
  <c r="AL39" i="3" l="1"/>
  <c r="AP39" i="13"/>
  <c r="AM39" i="13" l="1"/>
  <c r="AQ39" i="13" s="1"/>
  <c r="AP39" i="3"/>
  <c r="AQ39" i="3" s="1"/>
  <c r="AN39" i="3"/>
  <c r="AT39" i="3" l="1"/>
  <c r="AU39" i="3" s="1"/>
  <c r="AO39" i="3"/>
  <c r="AN39" i="13"/>
  <c r="AO39" i="13" s="1"/>
  <c r="AS39" i="3" l="1"/>
  <c r="AV39" i="3" s="1"/>
  <c r="J40" i="3" l="1"/>
  <c r="I40" i="3"/>
  <c r="I40" i="13"/>
  <c r="J40" i="13"/>
  <c r="AA40" i="13" l="1"/>
  <c r="AE40" i="13"/>
  <c r="AA40" i="3"/>
  <c r="AE40" i="3"/>
  <c r="M40" i="13"/>
  <c r="K40" i="13"/>
  <c r="U40" i="13" s="1"/>
  <c r="L40" i="13"/>
  <c r="V40" i="13" s="1"/>
  <c r="N40" i="13"/>
  <c r="W40" i="13" s="1"/>
  <c r="AG40" i="13"/>
  <c r="AH40" i="13" s="1"/>
  <c r="AG40" i="3"/>
  <c r="AH40" i="3" s="1"/>
  <c r="N40" i="3"/>
  <c r="W40" i="3" s="1"/>
  <c r="K40" i="3"/>
  <c r="U40" i="3" s="1"/>
  <c r="L40" i="3"/>
  <c r="V40" i="3" s="1"/>
  <c r="M40" i="3"/>
  <c r="X40" i="3" l="1"/>
  <c r="AI40" i="3"/>
  <c r="X40" i="13"/>
  <c r="AI40" i="13"/>
  <c r="AJ40" i="13" l="1"/>
  <c r="AK40" i="13" s="1"/>
  <c r="AL40" i="13" s="1"/>
  <c r="AJ40" i="3"/>
  <c r="AK40" i="3" s="1"/>
  <c r="AM40" i="3" s="1"/>
  <c r="AL40" i="3" l="1"/>
  <c r="AP40" i="13"/>
  <c r="AP40" i="3" l="1"/>
  <c r="AQ40" i="3" s="1"/>
  <c r="AN40" i="3"/>
  <c r="AM40" i="13"/>
  <c r="AN40" i="13" l="1"/>
  <c r="AO40" i="13" s="1"/>
  <c r="AT40" i="3"/>
  <c r="AU40" i="3" s="1"/>
  <c r="AO40" i="3"/>
  <c r="AQ40" i="13"/>
  <c r="AS40" i="3" l="1"/>
  <c r="AV40" i="3" s="1"/>
  <c r="I41" i="3" l="1"/>
  <c r="J41" i="3"/>
  <c r="I41" i="13"/>
  <c r="J41" i="13"/>
  <c r="AA41" i="13" l="1"/>
  <c r="AE41" i="13"/>
  <c r="AA41" i="3"/>
  <c r="AE41" i="3"/>
  <c r="AG41" i="13"/>
  <c r="AH41" i="13" s="1"/>
  <c r="M41" i="13"/>
  <c r="K41" i="13"/>
  <c r="U41" i="13" s="1"/>
  <c r="L41" i="13"/>
  <c r="V41" i="13" s="1"/>
  <c r="N41" i="13"/>
  <c r="W41" i="13" s="1"/>
  <c r="K41" i="3"/>
  <c r="U41" i="3" s="1"/>
  <c r="L41" i="3"/>
  <c r="V41" i="3" s="1"/>
  <c r="M41" i="3"/>
  <c r="N41" i="3"/>
  <c r="W41" i="3" s="1"/>
  <c r="AG41" i="3"/>
  <c r="AH41" i="3" s="1"/>
  <c r="AI41" i="3" l="1"/>
  <c r="X41" i="3"/>
  <c r="X41" i="13"/>
  <c r="AI41" i="13"/>
  <c r="AJ41" i="13" l="1"/>
  <c r="AK41" i="13" s="1"/>
  <c r="AL41" i="13" s="1"/>
  <c r="AJ41" i="3"/>
  <c r="AK41" i="3" s="1"/>
  <c r="AM41" i="3" s="1"/>
  <c r="AM41" i="13" l="1"/>
  <c r="AN41" i="13" s="1"/>
  <c r="AO41" i="13" s="1"/>
  <c r="X10" i="15" s="1"/>
  <c r="AL41" i="3"/>
  <c r="AP41" i="13"/>
  <c r="AQ41" i="13" l="1"/>
  <c r="Y10" i="15" s="1"/>
  <c r="AN41" i="3"/>
  <c r="AP41" i="3"/>
  <c r="AQ41" i="3" s="1"/>
  <c r="Y10" i="14" s="1"/>
  <c r="AT41" i="3" l="1"/>
  <c r="AU41" i="3" s="1"/>
  <c r="AO41" i="3"/>
  <c r="X10" i="14" s="1"/>
  <c r="AS41" i="3" l="1"/>
  <c r="AV41" i="3" s="1"/>
  <c r="I42" i="3" l="1"/>
  <c r="J42" i="3"/>
  <c r="I42" i="13"/>
  <c r="J42" i="13"/>
  <c r="AA42" i="13" l="1"/>
  <c r="AE42" i="13"/>
  <c r="AA42" i="3"/>
  <c r="AE42" i="3"/>
  <c r="M42" i="13"/>
  <c r="N42" i="13"/>
  <c r="W42" i="13" s="1"/>
  <c r="K42" i="13"/>
  <c r="U42" i="13" s="1"/>
  <c r="L42" i="13"/>
  <c r="V42" i="13" s="1"/>
  <c r="AG42" i="13"/>
  <c r="AH42" i="13" s="1"/>
  <c r="L42" i="3"/>
  <c r="V42" i="3" s="1"/>
  <c r="M42" i="3"/>
  <c r="N42" i="3"/>
  <c r="W42" i="3" s="1"/>
  <c r="K42" i="3"/>
  <c r="U42" i="3" s="1"/>
  <c r="AG42" i="3"/>
  <c r="AH42" i="3" s="1"/>
  <c r="AI42" i="13" l="1"/>
  <c r="X42" i="13"/>
  <c r="AI42" i="3"/>
  <c r="X42" i="3"/>
  <c r="AJ42" i="13" l="1"/>
  <c r="AK42" i="13" s="1"/>
  <c r="AL42" i="13" s="1"/>
  <c r="AJ42" i="3"/>
  <c r="AK42" i="3" s="1"/>
  <c r="AM42" i="3" s="1"/>
  <c r="AL42" i="3" l="1"/>
  <c r="AM42" i="13"/>
  <c r="AN42" i="13" s="1"/>
  <c r="AO42" i="13" s="1"/>
  <c r="AP42" i="13"/>
  <c r="AQ42" i="13" l="1"/>
  <c r="AN42" i="3"/>
  <c r="AP42" i="3"/>
  <c r="AQ42" i="3" s="1"/>
  <c r="AT42" i="3" l="1"/>
  <c r="AU42" i="3" s="1"/>
  <c r="AO42" i="3"/>
  <c r="AS42" i="3" l="1"/>
  <c r="AV42" i="3" s="1"/>
  <c r="I43" i="3" l="1"/>
  <c r="J43" i="3"/>
  <c r="I43" i="13"/>
  <c r="J43" i="13"/>
  <c r="AA43" i="13" l="1"/>
  <c r="AE43" i="13"/>
  <c r="AA43" i="3"/>
  <c r="AE43" i="3"/>
  <c r="AG43" i="13"/>
  <c r="AH43" i="13" s="1"/>
  <c r="M43" i="13"/>
  <c r="L43" i="13"/>
  <c r="V43" i="13" s="1"/>
  <c r="N43" i="13"/>
  <c r="W43" i="13" s="1"/>
  <c r="K43" i="13"/>
  <c r="U43" i="13" s="1"/>
  <c r="M43" i="3"/>
  <c r="N43" i="3"/>
  <c r="W43" i="3" s="1"/>
  <c r="K43" i="3"/>
  <c r="U43" i="3" s="1"/>
  <c r="L43" i="3"/>
  <c r="V43" i="3" s="1"/>
  <c r="AG43" i="3"/>
  <c r="AH43" i="3" s="1"/>
  <c r="X43" i="13" l="1"/>
  <c r="AI43" i="13"/>
  <c r="X43" i="3"/>
  <c r="AI43" i="3"/>
  <c r="AJ43" i="3" l="1"/>
  <c r="AK43" i="3" s="1"/>
  <c r="AM43" i="3" s="1"/>
  <c r="AJ43" i="13"/>
  <c r="AK43" i="13" s="1"/>
  <c r="AL43" i="13" s="1"/>
  <c r="AP43" i="13" l="1"/>
  <c r="AM43" i="13"/>
  <c r="AN43" i="13" s="1"/>
  <c r="AO43" i="13" s="1"/>
  <c r="AL43" i="3"/>
  <c r="AP43" i="3" l="1"/>
  <c r="AQ43" i="3" s="1"/>
  <c r="AN43" i="3"/>
  <c r="AQ43" i="13"/>
  <c r="AT43" i="3" l="1"/>
  <c r="AU43" i="3" s="1"/>
  <c r="AO43" i="3"/>
  <c r="AS43" i="3" l="1"/>
  <c r="AV43" i="3" s="1"/>
  <c r="J44" i="3" l="1"/>
  <c r="I44" i="3"/>
  <c r="I44" i="13"/>
  <c r="J44" i="13"/>
  <c r="AA44" i="13" l="1"/>
  <c r="AE44" i="13"/>
  <c r="AA44" i="3"/>
  <c r="AE44" i="3"/>
  <c r="M44" i="13"/>
  <c r="K44" i="13"/>
  <c r="U44" i="13" s="1"/>
  <c r="L44" i="13"/>
  <c r="V44" i="13" s="1"/>
  <c r="N44" i="13"/>
  <c r="W44" i="13" s="1"/>
  <c r="AG44" i="13"/>
  <c r="AH44" i="13" s="1"/>
  <c r="AG44" i="3"/>
  <c r="AH44" i="3" s="1"/>
  <c r="N44" i="3"/>
  <c r="W44" i="3" s="1"/>
  <c r="K44" i="3"/>
  <c r="U44" i="3" s="1"/>
  <c r="L44" i="3"/>
  <c r="V44" i="3" s="1"/>
  <c r="M44" i="3"/>
  <c r="X44" i="3" l="1"/>
  <c r="AI44" i="3"/>
  <c r="X44" i="13"/>
  <c r="AI44" i="13"/>
  <c r="AJ44" i="13" l="1"/>
  <c r="AK44" i="13" s="1"/>
  <c r="AL44" i="13" s="1"/>
  <c r="AJ44" i="3"/>
  <c r="AK44" i="3" s="1"/>
  <c r="AM44" i="3" s="1"/>
  <c r="AL44" i="3" l="1"/>
  <c r="AM44" i="13"/>
  <c r="AN44" i="13" s="1"/>
  <c r="AO44" i="13" s="1"/>
  <c r="AP44" i="13"/>
  <c r="AQ44" i="13" l="1"/>
  <c r="AP44" i="3"/>
  <c r="AQ44" i="3" s="1"/>
  <c r="AN44" i="3"/>
  <c r="AT44" i="3" l="1"/>
  <c r="AU44" i="3" s="1"/>
  <c r="AO44" i="3"/>
  <c r="AS44" i="3" l="1"/>
  <c r="AV44" i="3" s="1"/>
  <c r="I45" i="3" l="1"/>
  <c r="J45" i="3"/>
  <c r="I45" i="13"/>
  <c r="J45" i="13"/>
  <c r="AA45" i="13" l="1"/>
  <c r="AE45" i="13"/>
  <c r="AA45" i="3"/>
  <c r="AE45" i="3"/>
  <c r="M45" i="13"/>
  <c r="K45" i="13"/>
  <c r="U45" i="13" s="1"/>
  <c r="L45" i="13"/>
  <c r="V45" i="13" s="1"/>
  <c r="N45" i="13"/>
  <c r="W45" i="13" s="1"/>
  <c r="AG45" i="13"/>
  <c r="AH45" i="13" s="1"/>
  <c r="L45" i="3"/>
  <c r="V45" i="3" s="1"/>
  <c r="M45" i="3"/>
  <c r="N45" i="3"/>
  <c r="W45" i="3" s="1"/>
  <c r="K45" i="3"/>
  <c r="U45" i="3" s="1"/>
  <c r="AG45" i="3"/>
  <c r="AH45" i="3" s="1"/>
  <c r="AI45" i="3" l="1"/>
  <c r="X45" i="3"/>
  <c r="X45" i="13"/>
  <c r="AI45" i="13"/>
  <c r="AJ45" i="3" l="1"/>
  <c r="AK45" i="3" s="1"/>
  <c r="AM45" i="3" s="1"/>
  <c r="AJ45" i="13"/>
  <c r="AK45" i="13" s="1"/>
  <c r="AL45" i="13" s="1"/>
  <c r="AM45" i="13" l="1"/>
  <c r="AN45" i="13" s="1"/>
  <c r="AO45" i="13" s="1"/>
  <c r="AP45" i="13"/>
  <c r="AL45" i="3"/>
  <c r="AQ45" i="13" l="1"/>
  <c r="AN45" i="3"/>
  <c r="AP45" i="3"/>
  <c r="AQ45" i="3" s="1"/>
  <c r="AT45" i="3" l="1"/>
  <c r="AU45" i="3" s="1"/>
  <c r="AO45" i="3"/>
  <c r="AS45" i="3" l="1"/>
  <c r="AV45" i="3" s="1"/>
  <c r="I46" i="3" l="1"/>
  <c r="J46" i="3"/>
  <c r="I46" i="13"/>
  <c r="J46" i="13"/>
  <c r="AA46" i="13" l="1"/>
  <c r="AE46" i="13"/>
  <c r="AA46" i="3"/>
  <c r="AE46" i="3"/>
  <c r="M46" i="13"/>
  <c r="N46" i="13"/>
  <c r="W46" i="13" s="1"/>
  <c r="K46" i="13"/>
  <c r="U46" i="13" s="1"/>
  <c r="L46" i="13"/>
  <c r="V46" i="13" s="1"/>
  <c r="AG46" i="13"/>
  <c r="AH46" i="13" s="1"/>
  <c r="M46" i="3"/>
  <c r="N46" i="3"/>
  <c r="W46" i="3" s="1"/>
  <c r="K46" i="3"/>
  <c r="U46" i="3" s="1"/>
  <c r="L46" i="3"/>
  <c r="V46" i="3" s="1"/>
  <c r="AG46" i="3"/>
  <c r="AH46" i="3" s="1"/>
  <c r="X46" i="13" l="1"/>
  <c r="AI46" i="13"/>
  <c r="X46" i="3"/>
  <c r="AI46" i="3"/>
  <c r="AJ46" i="3" l="1"/>
  <c r="AK46" i="3" s="1"/>
  <c r="AM46" i="3" s="1"/>
  <c r="AJ46" i="13"/>
  <c r="AK46" i="13" s="1"/>
  <c r="AL46" i="13" s="1"/>
  <c r="AP46" i="13" l="1"/>
  <c r="AM46" i="13"/>
  <c r="AN46" i="13" s="1"/>
  <c r="AO46" i="13" s="1"/>
  <c r="AL46" i="3"/>
  <c r="AN46" i="3" l="1"/>
  <c r="AP46" i="3"/>
  <c r="AQ46" i="3" s="1"/>
  <c r="AQ46" i="13"/>
  <c r="AT46" i="3" l="1"/>
  <c r="AU46" i="3" s="1"/>
  <c r="AO46" i="3"/>
  <c r="AS46" i="3" l="1"/>
  <c r="AV46" i="3" s="1"/>
  <c r="J47" i="3" l="1"/>
  <c r="I47" i="3"/>
  <c r="I47" i="13"/>
  <c r="J47" i="13"/>
  <c r="AA47" i="13" l="1"/>
  <c r="AE47" i="13"/>
  <c r="AA47" i="3"/>
  <c r="AE47" i="3"/>
  <c r="M47" i="13"/>
  <c r="L47" i="13"/>
  <c r="V47" i="13" s="1"/>
  <c r="N47" i="13"/>
  <c r="W47" i="13" s="1"/>
  <c r="K47" i="13"/>
  <c r="U47" i="13" s="1"/>
  <c r="AG47" i="13"/>
  <c r="AH47" i="13" s="1"/>
  <c r="AG47" i="3"/>
  <c r="AH47" i="3" s="1"/>
  <c r="N47" i="3"/>
  <c r="W47" i="3" s="1"/>
  <c r="K47" i="3"/>
  <c r="U47" i="3" s="1"/>
  <c r="L47" i="3"/>
  <c r="V47" i="3" s="1"/>
  <c r="M47" i="3"/>
  <c r="X47" i="13" l="1"/>
  <c r="AI47" i="13"/>
  <c r="X47" i="3"/>
  <c r="AI47" i="3"/>
  <c r="AJ47" i="3" l="1"/>
  <c r="AK47" i="3" s="1"/>
  <c r="AM47" i="3" s="1"/>
  <c r="AJ47" i="13"/>
  <c r="AK47" i="13" s="1"/>
  <c r="AL47" i="13" s="1"/>
  <c r="AM47" i="13" l="1"/>
  <c r="AN47" i="13" s="1"/>
  <c r="AO47" i="13" s="1"/>
  <c r="AP47" i="13"/>
  <c r="AL47" i="3"/>
  <c r="AQ47" i="13" l="1"/>
  <c r="AP47" i="3"/>
  <c r="AQ47" i="3" s="1"/>
  <c r="AN47" i="3"/>
  <c r="AT47" i="3" l="1"/>
  <c r="AU47" i="3" s="1"/>
  <c r="AO47" i="3"/>
  <c r="AS47" i="3" l="1"/>
  <c r="AV47" i="3" s="1"/>
  <c r="J48" i="3" l="1"/>
  <c r="I48" i="3"/>
  <c r="I48" i="13"/>
  <c r="J48" i="13"/>
  <c r="AA48" i="13" l="1"/>
  <c r="AE48" i="13"/>
  <c r="AA48" i="3"/>
  <c r="AE48" i="3"/>
  <c r="M48" i="13"/>
  <c r="K48" i="13"/>
  <c r="U48" i="13" s="1"/>
  <c r="L48" i="13"/>
  <c r="V48" i="13" s="1"/>
  <c r="N48" i="13"/>
  <c r="W48" i="13" s="1"/>
  <c r="AG48" i="13"/>
  <c r="AH48" i="13" s="1"/>
  <c r="AG48" i="3"/>
  <c r="AH48" i="3" s="1"/>
  <c r="K48" i="3"/>
  <c r="U48" i="3" s="1"/>
  <c r="L48" i="3"/>
  <c r="V48" i="3" s="1"/>
  <c r="M48" i="3"/>
  <c r="N48" i="3"/>
  <c r="W48" i="3" s="1"/>
  <c r="AI48" i="3" l="1"/>
  <c r="X48" i="3"/>
  <c r="X48" i="13"/>
  <c r="AI48" i="13"/>
  <c r="AJ48" i="13" l="1"/>
  <c r="AK48" i="13" s="1"/>
  <c r="AL48" i="13" s="1"/>
  <c r="AJ48" i="3"/>
  <c r="AK48" i="3" s="1"/>
  <c r="AM48" i="3" s="1"/>
  <c r="AL48" i="3" l="1"/>
  <c r="AP48" i="13"/>
  <c r="AN48" i="3" l="1"/>
  <c r="AP48" i="3"/>
  <c r="AQ48" i="3" s="1"/>
  <c r="AM48" i="13"/>
  <c r="AN48" i="13" l="1"/>
  <c r="AO48" i="13" s="1"/>
  <c r="AT48" i="3"/>
  <c r="AU48" i="3" s="1"/>
  <c r="AO48" i="3"/>
  <c r="AQ48" i="13"/>
  <c r="AS48" i="3" l="1"/>
  <c r="AV48" i="3" s="1"/>
  <c r="J49" i="3" l="1"/>
  <c r="I49" i="3"/>
  <c r="I49" i="13"/>
  <c r="J49" i="13"/>
  <c r="AA49" i="13" l="1"/>
  <c r="AE49" i="13"/>
  <c r="AA49" i="3"/>
  <c r="AE49" i="3"/>
  <c r="M49" i="13"/>
  <c r="K49" i="13"/>
  <c r="U49" i="13" s="1"/>
  <c r="L49" i="13"/>
  <c r="V49" i="13" s="1"/>
  <c r="N49" i="13"/>
  <c r="W49" i="13" s="1"/>
  <c r="AG49" i="13"/>
  <c r="AH49" i="13" s="1"/>
  <c r="AG49" i="3"/>
  <c r="AH49" i="3" s="1"/>
  <c r="L49" i="3"/>
  <c r="V49" i="3" s="1"/>
  <c r="K49" i="3"/>
  <c r="U49" i="3" s="1"/>
  <c r="M49" i="3"/>
  <c r="N49" i="3"/>
  <c r="W49" i="3" s="1"/>
  <c r="AI49" i="3" l="1"/>
  <c r="X49" i="3"/>
  <c r="X49" i="13"/>
  <c r="AI49" i="13"/>
  <c r="AJ49" i="3" l="1"/>
  <c r="AK49" i="3" s="1"/>
  <c r="AM49" i="3" s="1"/>
  <c r="AJ49" i="13"/>
  <c r="AK49" i="13" s="1"/>
  <c r="AL49" i="13" s="1"/>
  <c r="AL49" i="3" l="1"/>
  <c r="AN49" i="3" s="1"/>
  <c r="AM49" i="13"/>
  <c r="AN49" i="13" s="1"/>
  <c r="AO49" i="13" s="1"/>
  <c r="AP49" i="13"/>
  <c r="AQ49" i="13" s="1"/>
  <c r="AP49" i="3" l="1"/>
  <c r="AQ49" i="3" s="1"/>
  <c r="AT49" i="3"/>
  <c r="AU49" i="3" s="1"/>
  <c r="AO49" i="3"/>
  <c r="AS49" i="3" l="1"/>
  <c r="AV49" i="3" s="1"/>
  <c r="I50" i="3" l="1"/>
  <c r="J50" i="3"/>
  <c r="I50" i="13"/>
  <c r="J50" i="13"/>
  <c r="AA50" i="13" l="1"/>
  <c r="AE50" i="13"/>
  <c r="AA50" i="3"/>
  <c r="AE50" i="3"/>
  <c r="M50" i="13"/>
  <c r="N50" i="13"/>
  <c r="W50" i="13" s="1"/>
  <c r="K50" i="13"/>
  <c r="U50" i="13" s="1"/>
  <c r="L50" i="13"/>
  <c r="V50" i="13" s="1"/>
  <c r="AG50" i="13"/>
  <c r="AH50" i="13" s="1"/>
  <c r="M50" i="3"/>
  <c r="L50" i="3"/>
  <c r="V50" i="3" s="1"/>
  <c r="N50" i="3"/>
  <c r="W50" i="3" s="1"/>
  <c r="K50" i="3"/>
  <c r="U50" i="3" s="1"/>
  <c r="AG50" i="3"/>
  <c r="AH50" i="3" s="1"/>
  <c r="X50" i="3" l="1"/>
  <c r="AI50" i="3"/>
  <c r="X50" i="13"/>
  <c r="AI50" i="13"/>
  <c r="AJ50" i="13" l="1"/>
  <c r="AK50" i="13" s="1"/>
  <c r="AL50" i="13" s="1"/>
  <c r="AJ50" i="3"/>
  <c r="AK50" i="3" s="1"/>
  <c r="AM50" i="3" s="1"/>
  <c r="AL50" i="3" l="1"/>
  <c r="AP50" i="3" s="1"/>
  <c r="AQ50" i="3" s="1"/>
  <c r="AP50" i="13"/>
  <c r="AM50" i="13"/>
  <c r="AN50" i="13" s="1"/>
  <c r="AO50" i="13" s="1"/>
  <c r="AN50" i="3" l="1"/>
  <c r="AO50" i="3" s="1"/>
  <c r="AQ50" i="13"/>
  <c r="AT50" i="3" l="1"/>
  <c r="AU50" i="3" s="1"/>
  <c r="AS50" i="3"/>
  <c r="AV50" i="3" l="1"/>
  <c r="I51" i="3" s="1"/>
  <c r="J51" i="3" l="1"/>
  <c r="L51" i="3" s="1"/>
  <c r="V51" i="3" s="1"/>
  <c r="J51" i="13"/>
  <c r="M51" i="13" s="1"/>
  <c r="I51" i="13"/>
  <c r="AA51" i="3"/>
  <c r="AE51" i="3"/>
  <c r="AG51" i="3"/>
  <c r="AH51" i="3" s="1"/>
  <c r="AA51" i="13" l="1"/>
  <c r="AE51" i="13"/>
  <c r="N51" i="13"/>
  <c r="W51" i="13" s="1"/>
  <c r="N51" i="3"/>
  <c r="W51" i="3" s="1"/>
  <c r="AG51" i="13"/>
  <c r="AH51" i="13" s="1"/>
  <c r="M51" i="3"/>
  <c r="K51" i="3"/>
  <c r="U51" i="3" s="1"/>
  <c r="K51" i="13"/>
  <c r="U51" i="13" s="1"/>
  <c r="L51" i="13"/>
  <c r="V51" i="13" s="1"/>
  <c r="AI51" i="3" l="1"/>
  <c r="X51" i="3"/>
  <c r="AJ51" i="3" s="1"/>
  <c r="X51" i="13"/>
  <c r="AJ51" i="13" s="1"/>
  <c r="AI51" i="13"/>
  <c r="AK51" i="3" l="1"/>
  <c r="AM51" i="3" s="1"/>
  <c r="AK51" i="13"/>
  <c r="AL51" i="13" s="1"/>
  <c r="AP51" i="13" s="1"/>
  <c r="AL51" i="3" l="1"/>
  <c r="AN51" i="3" s="1"/>
  <c r="AM51" i="13"/>
  <c r="AP51" i="3" l="1"/>
  <c r="AQ51" i="3" s="1"/>
  <c r="AN51" i="13"/>
  <c r="AO51" i="13" s="1"/>
  <c r="AT51" i="3"/>
  <c r="AU51" i="3" s="1"/>
  <c r="AO51" i="3"/>
  <c r="AQ51" i="13"/>
  <c r="AS51" i="3" l="1"/>
  <c r="AV51" i="3" s="1"/>
  <c r="I52" i="3" l="1"/>
  <c r="J52" i="3"/>
  <c r="I52" i="13"/>
  <c r="J52" i="13"/>
  <c r="AA52" i="13" l="1"/>
  <c r="AE52" i="13"/>
  <c r="AA52" i="3"/>
  <c r="AE52" i="3"/>
  <c r="AG52" i="13"/>
  <c r="AH52" i="13" s="1"/>
  <c r="M52" i="13"/>
  <c r="K52" i="13"/>
  <c r="U52" i="13" s="1"/>
  <c r="L52" i="13"/>
  <c r="V52" i="13" s="1"/>
  <c r="N52" i="13"/>
  <c r="W52" i="13" s="1"/>
  <c r="K52" i="3"/>
  <c r="U52" i="3" s="1"/>
  <c r="N52" i="3"/>
  <c r="W52" i="3" s="1"/>
  <c r="M52" i="3"/>
  <c r="L52" i="3"/>
  <c r="V52" i="3" s="1"/>
  <c r="AG52" i="3"/>
  <c r="AH52" i="3" s="1"/>
  <c r="AI52" i="3" l="1"/>
  <c r="X52" i="3"/>
  <c r="X52" i="13"/>
  <c r="AI52" i="13"/>
  <c r="AJ52" i="13" l="1"/>
  <c r="AK52" i="13" s="1"/>
  <c r="AL52" i="13" s="1"/>
  <c r="AJ52" i="3"/>
  <c r="AK52" i="3" s="1"/>
  <c r="AM52" i="3" s="1"/>
  <c r="AL52" i="3" l="1"/>
  <c r="AP52" i="3" s="1"/>
  <c r="AP52" i="13"/>
  <c r="AN52" i="3" l="1"/>
  <c r="AO52" i="3" s="1"/>
  <c r="AQ52" i="3"/>
  <c r="AM52" i="13"/>
  <c r="AN52" i="13" s="1"/>
  <c r="AO52" i="13" s="1"/>
  <c r="AT52" i="3"/>
  <c r="AU52" i="3" s="1"/>
  <c r="AQ52" i="13" l="1"/>
  <c r="AS52" i="3"/>
  <c r="AV52" i="3" s="1"/>
  <c r="J53" i="3" l="1"/>
  <c r="I53" i="3"/>
  <c r="I53" i="13"/>
  <c r="J53" i="13"/>
  <c r="AA53" i="13" l="1"/>
  <c r="AE53" i="13"/>
  <c r="AA53" i="3"/>
  <c r="AE53" i="3"/>
  <c r="M53" i="13"/>
  <c r="K53" i="13"/>
  <c r="U53" i="13" s="1"/>
  <c r="L53" i="13"/>
  <c r="V53" i="13" s="1"/>
  <c r="N53" i="13"/>
  <c r="W53" i="13" s="1"/>
  <c r="AG53" i="13"/>
  <c r="AH53" i="13" s="1"/>
  <c r="AG53" i="3"/>
  <c r="AH53" i="3" s="1"/>
  <c r="L53" i="3"/>
  <c r="V53" i="3" s="1"/>
  <c r="K53" i="3"/>
  <c r="U53" i="3" s="1"/>
  <c r="N53" i="3"/>
  <c r="W53" i="3" s="1"/>
  <c r="M53" i="3"/>
  <c r="AI53" i="3" l="1"/>
  <c r="X53" i="3"/>
  <c r="X53" i="13"/>
  <c r="AI53" i="13"/>
  <c r="AJ53" i="3" l="1"/>
  <c r="AK53" i="3" s="1"/>
  <c r="AM53" i="3" s="1"/>
  <c r="AJ53" i="13"/>
  <c r="AK53" i="13" s="1"/>
  <c r="AL53" i="13" s="1"/>
  <c r="AP53" i="13" l="1"/>
  <c r="AQ53" i="13" s="1"/>
  <c r="Y11" i="15" s="1"/>
  <c r="AM53" i="13"/>
  <c r="AN53" i="13" s="1"/>
  <c r="AO53" i="13" s="1"/>
  <c r="X11" i="15" s="1"/>
  <c r="AL53" i="3"/>
  <c r="AN53" i="3" l="1"/>
  <c r="AP53" i="3"/>
  <c r="AQ53" i="3" s="1"/>
  <c r="Y11" i="14" s="1"/>
  <c r="AT53" i="3" l="1"/>
  <c r="AU53" i="3" s="1"/>
  <c r="AO53" i="3"/>
  <c r="X11" i="14" s="1"/>
  <c r="AS53" i="3" l="1"/>
  <c r="AV53" i="3" s="1"/>
  <c r="I54" i="3" l="1"/>
  <c r="J54" i="3"/>
  <c r="I54" i="13"/>
  <c r="J54" i="13"/>
  <c r="AA54" i="13" l="1"/>
  <c r="AE54" i="13"/>
  <c r="AA54" i="3"/>
  <c r="AE54" i="3"/>
  <c r="M54" i="13"/>
  <c r="N54" i="13"/>
  <c r="W54" i="13" s="1"/>
  <c r="K54" i="13"/>
  <c r="U54" i="13" s="1"/>
  <c r="L54" i="13"/>
  <c r="V54" i="13" s="1"/>
  <c r="M54" i="3"/>
  <c r="K54" i="3"/>
  <c r="U54" i="3" s="1"/>
  <c r="L54" i="3"/>
  <c r="V54" i="3" s="1"/>
  <c r="N54" i="3"/>
  <c r="W54" i="3" s="1"/>
  <c r="AG54" i="13"/>
  <c r="AH54" i="13" s="1"/>
  <c r="AG54" i="3"/>
  <c r="AH54" i="3" s="1"/>
  <c r="AI54" i="13" l="1"/>
  <c r="X54" i="13"/>
  <c r="X54" i="3"/>
  <c r="AI54" i="3"/>
  <c r="AJ54" i="13" l="1"/>
  <c r="AK54" i="13" s="1"/>
  <c r="AL54" i="13" s="1"/>
  <c r="AJ54" i="3"/>
  <c r="AK54" i="3" s="1"/>
  <c r="AM54" i="3" s="1"/>
  <c r="AL54" i="3" l="1"/>
  <c r="AM54" i="13"/>
  <c r="AN54" i="13" s="1"/>
  <c r="AO54" i="13" s="1"/>
  <c r="AP54" i="13"/>
  <c r="AQ54" i="13" s="1"/>
  <c r="AN54" i="3" l="1"/>
  <c r="AP54" i="3"/>
  <c r="AQ54" i="3" s="1"/>
  <c r="AT54" i="3" l="1"/>
  <c r="AU54" i="3" s="1"/>
  <c r="AO54" i="3"/>
  <c r="AS54" i="3" l="1"/>
  <c r="AV54" i="3" s="1"/>
  <c r="J55" i="3" l="1"/>
  <c r="I55" i="3"/>
  <c r="I55" i="13"/>
  <c r="J55" i="13"/>
  <c r="AA55" i="13" l="1"/>
  <c r="AE55" i="13"/>
  <c r="AA55" i="3"/>
  <c r="AE55" i="3"/>
  <c r="AG55" i="13"/>
  <c r="AH55" i="13" s="1"/>
  <c r="M55" i="13"/>
  <c r="L55" i="13"/>
  <c r="V55" i="13" s="1"/>
  <c r="N55" i="13"/>
  <c r="W55" i="13" s="1"/>
  <c r="K55" i="13"/>
  <c r="U55" i="13" s="1"/>
  <c r="AG55" i="3"/>
  <c r="AH55" i="3" s="1"/>
  <c r="N55" i="3"/>
  <c r="W55" i="3" s="1"/>
  <c r="L55" i="3"/>
  <c r="V55" i="3" s="1"/>
  <c r="M55" i="3"/>
  <c r="K55" i="3"/>
  <c r="U55" i="3" s="1"/>
  <c r="X55" i="3" l="1"/>
  <c r="AI55" i="3"/>
  <c r="X55" i="13"/>
  <c r="AI55" i="13"/>
  <c r="AJ55" i="13" l="1"/>
  <c r="AK55" i="13" s="1"/>
  <c r="AL55" i="13" s="1"/>
  <c r="AJ55" i="3"/>
  <c r="AK55" i="3" s="1"/>
  <c r="AM55" i="3" s="1"/>
  <c r="AL55" i="3" l="1"/>
  <c r="AP55" i="3" s="1"/>
  <c r="AQ55" i="3" s="1"/>
  <c r="AM55" i="13"/>
  <c r="AN55" i="13" s="1"/>
  <c r="AO55" i="13" s="1"/>
  <c r="AP55" i="13"/>
  <c r="AQ55" i="13" l="1"/>
  <c r="AN55" i="3"/>
  <c r="AO55" i="3" s="1"/>
  <c r="AT55" i="3"/>
  <c r="AU55" i="3" s="1"/>
  <c r="AS55" i="3" l="1"/>
  <c r="AV55" i="3" s="1"/>
  <c r="I56" i="3" l="1"/>
  <c r="J56" i="3"/>
  <c r="I56" i="13"/>
  <c r="J56" i="13"/>
  <c r="AA56" i="13" l="1"/>
  <c r="AE56" i="13"/>
  <c r="AA56" i="3"/>
  <c r="AE56" i="3"/>
  <c r="AG56" i="13"/>
  <c r="AH56" i="13" s="1"/>
  <c r="K56" i="3"/>
  <c r="U56" i="3" s="1"/>
  <c r="M56" i="3"/>
  <c r="N56" i="3"/>
  <c r="W56" i="3" s="1"/>
  <c r="L56" i="3"/>
  <c r="V56" i="3" s="1"/>
  <c r="M56" i="13"/>
  <c r="K56" i="13"/>
  <c r="U56" i="13" s="1"/>
  <c r="L56" i="13"/>
  <c r="V56" i="13" s="1"/>
  <c r="N56" i="13"/>
  <c r="W56" i="13" s="1"/>
  <c r="AG56" i="3"/>
  <c r="AH56" i="3" s="1"/>
  <c r="X56" i="3" l="1"/>
  <c r="AI56" i="3"/>
  <c r="X56" i="13"/>
  <c r="AI56" i="13"/>
  <c r="AJ56" i="13" l="1"/>
  <c r="AK56" i="13" s="1"/>
  <c r="AL56" i="13" s="1"/>
  <c r="AJ56" i="3"/>
  <c r="AK56" i="3" s="1"/>
  <c r="AM56" i="3" s="1"/>
  <c r="AM56" i="13" l="1"/>
  <c r="AN56" i="13" s="1"/>
  <c r="AO56" i="13" s="1"/>
  <c r="AL56" i="3"/>
  <c r="AP56" i="13"/>
  <c r="AQ56" i="13" s="1"/>
  <c r="AP56" i="3" l="1"/>
  <c r="AQ56" i="3" s="1"/>
  <c r="AN56" i="3"/>
  <c r="AT56" i="3" l="1"/>
  <c r="AU56" i="3" s="1"/>
  <c r="AO56" i="3"/>
  <c r="AS56" i="3" l="1"/>
  <c r="AV56" i="3" s="1"/>
  <c r="I57" i="3" l="1"/>
  <c r="J57" i="3"/>
  <c r="I57" i="13"/>
  <c r="J57" i="13"/>
  <c r="AA57" i="13" l="1"/>
  <c r="AE57" i="13"/>
  <c r="AA57" i="3"/>
  <c r="AE57" i="3"/>
  <c r="AG57" i="13"/>
  <c r="AH57" i="13" s="1"/>
  <c r="M57" i="3"/>
  <c r="N57" i="3"/>
  <c r="W57" i="3" s="1"/>
  <c r="K57" i="3"/>
  <c r="U57" i="3" s="1"/>
  <c r="L57" i="3"/>
  <c r="V57" i="3" s="1"/>
  <c r="M57" i="13"/>
  <c r="K57" i="13"/>
  <c r="U57" i="13" s="1"/>
  <c r="L57" i="13"/>
  <c r="V57" i="13" s="1"/>
  <c r="N57" i="13"/>
  <c r="W57" i="13" s="1"/>
  <c r="AG57" i="3"/>
  <c r="AH57" i="3" s="1"/>
  <c r="X57" i="13" l="1"/>
  <c r="AI57" i="13"/>
  <c r="X57" i="3"/>
  <c r="AI57" i="3"/>
  <c r="AJ57" i="3" l="1"/>
  <c r="AK57" i="3" s="1"/>
  <c r="AM57" i="3" s="1"/>
  <c r="AJ57" i="13"/>
  <c r="AK57" i="13" s="1"/>
  <c r="AL57" i="13" s="1"/>
  <c r="AP57" i="13" l="1"/>
  <c r="AM57" i="13"/>
  <c r="AN57" i="13" s="1"/>
  <c r="AO57" i="13" s="1"/>
  <c r="AL57" i="3"/>
  <c r="AQ57" i="13" l="1"/>
  <c r="AP57" i="3"/>
  <c r="AQ57" i="3" s="1"/>
  <c r="AN57" i="3"/>
  <c r="AT57" i="3" l="1"/>
  <c r="AU57" i="3" s="1"/>
  <c r="AO57" i="3"/>
  <c r="AS57" i="3" l="1"/>
  <c r="AV57" i="3" s="1"/>
  <c r="J58" i="3" l="1"/>
  <c r="I58" i="3"/>
  <c r="I58" i="13"/>
  <c r="J58" i="13"/>
  <c r="AA58" i="13" l="1"/>
  <c r="AE58" i="13"/>
  <c r="AA58" i="3"/>
  <c r="AE58" i="3"/>
  <c r="AG58" i="13"/>
  <c r="AH58" i="13" s="1"/>
  <c r="AG58" i="3"/>
  <c r="AH58" i="3" s="1"/>
  <c r="M58" i="13"/>
  <c r="N58" i="13"/>
  <c r="W58" i="13" s="1"/>
  <c r="K58" i="13"/>
  <c r="U58" i="13" s="1"/>
  <c r="L58" i="13"/>
  <c r="V58" i="13" s="1"/>
  <c r="N58" i="3"/>
  <c r="W58" i="3" s="1"/>
  <c r="K58" i="3"/>
  <c r="U58" i="3" s="1"/>
  <c r="L58" i="3"/>
  <c r="V58" i="3" s="1"/>
  <c r="M58" i="3"/>
  <c r="AI58" i="13" l="1"/>
  <c r="X58" i="13"/>
  <c r="X58" i="3"/>
  <c r="AI58" i="3"/>
  <c r="AJ58" i="3" l="1"/>
  <c r="AK58" i="3" s="1"/>
  <c r="AM58" i="3" s="1"/>
  <c r="AJ58" i="13"/>
  <c r="AK58" i="13" s="1"/>
  <c r="AL58" i="13" s="1"/>
  <c r="AP58" i="13" l="1"/>
  <c r="AM58" i="13"/>
  <c r="AN58" i="13" s="1"/>
  <c r="AO58" i="13" s="1"/>
  <c r="AL58" i="3"/>
  <c r="AQ58" i="13" l="1"/>
  <c r="AP58" i="3"/>
  <c r="AQ58" i="3" s="1"/>
  <c r="AN58" i="3"/>
  <c r="AT58" i="3" l="1"/>
  <c r="AU58" i="3" s="1"/>
  <c r="AO58" i="3"/>
  <c r="AS58" i="3" l="1"/>
  <c r="AV58" i="3" s="1"/>
  <c r="J59" i="3" l="1"/>
  <c r="I59" i="3"/>
  <c r="I59" i="13"/>
  <c r="J59" i="13"/>
  <c r="AA59" i="13" l="1"/>
  <c r="AE59" i="13"/>
  <c r="AA59" i="3"/>
  <c r="AE59" i="3"/>
  <c r="M59" i="13"/>
  <c r="L59" i="13"/>
  <c r="V59" i="13" s="1"/>
  <c r="N59" i="13"/>
  <c r="W59" i="13" s="1"/>
  <c r="K59" i="13"/>
  <c r="U59" i="13" s="1"/>
  <c r="AG59" i="3"/>
  <c r="AH59" i="3" s="1"/>
  <c r="AG59" i="13"/>
  <c r="AH59" i="13" s="1"/>
  <c r="K59" i="3"/>
  <c r="U59" i="3" s="1"/>
  <c r="L59" i="3"/>
  <c r="V59" i="3" s="1"/>
  <c r="M59" i="3"/>
  <c r="N59" i="3"/>
  <c r="W59" i="3" s="1"/>
  <c r="X59" i="13" l="1"/>
  <c r="AI59" i="13"/>
  <c r="AI59" i="3"/>
  <c r="X59" i="3"/>
  <c r="AJ59" i="3" l="1"/>
  <c r="AK59" i="3" s="1"/>
  <c r="AM59" i="3" s="1"/>
  <c r="AJ59" i="13"/>
  <c r="AK59" i="13" s="1"/>
  <c r="AL59" i="13" s="1"/>
  <c r="AP59" i="13" l="1"/>
  <c r="AM59" i="13"/>
  <c r="AN59" i="13" s="1"/>
  <c r="AO59" i="13" s="1"/>
  <c r="AL59" i="3"/>
  <c r="AQ59" i="13" l="1"/>
  <c r="AN59" i="3"/>
  <c r="AP59" i="3"/>
  <c r="AQ59" i="3" s="1"/>
  <c r="AT59" i="3" l="1"/>
  <c r="AU59" i="3" s="1"/>
  <c r="AO59" i="3"/>
  <c r="AS59" i="3" l="1"/>
  <c r="AV59" i="3" s="1"/>
  <c r="I60" i="3" l="1"/>
  <c r="J60" i="3"/>
  <c r="I60" i="13"/>
  <c r="J60" i="13"/>
  <c r="AA60" i="13" l="1"/>
  <c r="AE60" i="13"/>
  <c r="AA60" i="3"/>
  <c r="AE60" i="3"/>
  <c r="AG60" i="13"/>
  <c r="AH60" i="13" s="1"/>
  <c r="L60" i="3"/>
  <c r="V60" i="3" s="1"/>
  <c r="M60" i="3"/>
  <c r="K60" i="3"/>
  <c r="U60" i="3" s="1"/>
  <c r="N60" i="3"/>
  <c r="W60" i="3" s="1"/>
  <c r="M60" i="13"/>
  <c r="K60" i="13"/>
  <c r="U60" i="13" s="1"/>
  <c r="L60" i="13"/>
  <c r="V60" i="13" s="1"/>
  <c r="N60" i="13"/>
  <c r="W60" i="13" s="1"/>
  <c r="AG60" i="3"/>
  <c r="AH60" i="3" s="1"/>
  <c r="X60" i="13" l="1"/>
  <c r="AI60" i="13"/>
  <c r="AI60" i="3"/>
  <c r="X60" i="3"/>
  <c r="AJ60" i="13" l="1"/>
  <c r="AK60" i="13" s="1"/>
  <c r="AL60" i="13" s="1"/>
  <c r="AJ60" i="3"/>
  <c r="AK60" i="3" s="1"/>
  <c r="AM60" i="3" s="1"/>
  <c r="AL60" i="3" l="1"/>
  <c r="AP60" i="13"/>
  <c r="AN60" i="3" l="1"/>
  <c r="AP60" i="3"/>
  <c r="AQ60" i="3" s="1"/>
  <c r="AM60" i="13"/>
  <c r="AN60" i="13" l="1"/>
  <c r="AO60" i="13" s="1"/>
  <c r="AQ60" i="13"/>
  <c r="AT60" i="3"/>
  <c r="AU60" i="3" s="1"/>
  <c r="AO60" i="3"/>
  <c r="AS60" i="3" l="1"/>
  <c r="AV60" i="3" s="1"/>
  <c r="I61" i="3" l="1"/>
  <c r="J61" i="3"/>
  <c r="I61" i="13"/>
  <c r="J61" i="13"/>
  <c r="AA61" i="13" l="1"/>
  <c r="AE61" i="13"/>
  <c r="AA61" i="3"/>
  <c r="AE61" i="3"/>
  <c r="M61" i="13"/>
  <c r="K61" i="13"/>
  <c r="U61" i="13" s="1"/>
  <c r="L61" i="13"/>
  <c r="V61" i="13" s="1"/>
  <c r="N61" i="13"/>
  <c r="W61" i="13" s="1"/>
  <c r="AG61" i="13"/>
  <c r="AH61" i="13" s="1"/>
  <c r="M61" i="3"/>
  <c r="N61" i="3"/>
  <c r="W61" i="3" s="1"/>
  <c r="L61" i="3"/>
  <c r="V61" i="3" s="1"/>
  <c r="K61" i="3"/>
  <c r="U61" i="3" s="1"/>
  <c r="AG61" i="3"/>
  <c r="AH61" i="3" s="1"/>
  <c r="X61" i="3" l="1"/>
  <c r="AI61" i="3"/>
  <c r="X61" i="13"/>
  <c r="AI61" i="13"/>
  <c r="AJ61" i="13" l="1"/>
  <c r="AK61" i="13" s="1"/>
  <c r="AL61" i="13" s="1"/>
  <c r="AJ61" i="3"/>
  <c r="AK61" i="3" s="1"/>
  <c r="AM61" i="3" s="1"/>
  <c r="AP61" i="13" l="1"/>
  <c r="AL61" i="3"/>
  <c r="AM61" i="13" l="1"/>
  <c r="AP61" i="3"/>
  <c r="AQ61" i="3" s="1"/>
  <c r="AN61" i="3"/>
  <c r="AT61" i="3" l="1"/>
  <c r="AU61" i="3" s="1"/>
  <c r="AO61" i="3"/>
  <c r="AN61" i="13"/>
  <c r="AO61" i="13" s="1"/>
  <c r="AQ61" i="13"/>
  <c r="AS61" i="3" l="1"/>
  <c r="AV61" i="3" s="1"/>
  <c r="J62" i="3" l="1"/>
  <c r="I62" i="3"/>
  <c r="I62" i="13"/>
  <c r="J62" i="13"/>
  <c r="AA62" i="13" l="1"/>
  <c r="AE62" i="13"/>
  <c r="AA62" i="3"/>
  <c r="AE62" i="3"/>
  <c r="AG62" i="13"/>
  <c r="AH62" i="13" s="1"/>
  <c r="M62" i="13"/>
  <c r="N62" i="13"/>
  <c r="W62" i="13" s="1"/>
  <c r="K62" i="13"/>
  <c r="U62" i="13" s="1"/>
  <c r="L62" i="13"/>
  <c r="V62" i="13" s="1"/>
  <c r="AG62" i="3"/>
  <c r="AH62" i="3" s="1"/>
  <c r="N62" i="3"/>
  <c r="W62" i="3" s="1"/>
  <c r="K62" i="3"/>
  <c r="U62" i="3" s="1"/>
  <c r="M62" i="3"/>
  <c r="L62" i="3"/>
  <c r="V62" i="3" s="1"/>
  <c r="X62" i="3" l="1"/>
  <c r="AI62" i="3"/>
  <c r="X62" i="13"/>
  <c r="AI62" i="13"/>
  <c r="AJ62" i="13" l="1"/>
  <c r="AK62" i="13" s="1"/>
  <c r="AL62" i="13" s="1"/>
  <c r="AJ62" i="3"/>
  <c r="AK62" i="3" s="1"/>
  <c r="AM62" i="3" s="1"/>
  <c r="AL62" i="3" l="1"/>
  <c r="AP62" i="13"/>
  <c r="AM62" i="13" l="1"/>
  <c r="AQ62" i="13" s="1"/>
  <c r="AP62" i="3"/>
  <c r="AQ62" i="3" s="1"/>
  <c r="AN62" i="3"/>
  <c r="AT62" i="3" l="1"/>
  <c r="AU62" i="3" s="1"/>
  <c r="AO62" i="3"/>
  <c r="AN62" i="13"/>
  <c r="AO62" i="13" s="1"/>
  <c r="AS62" i="3" l="1"/>
  <c r="AV62" i="3" s="1"/>
  <c r="I63" i="3" l="1"/>
  <c r="J63" i="3"/>
  <c r="I63" i="13"/>
  <c r="J63" i="13"/>
  <c r="AA63" i="13" l="1"/>
  <c r="AE63" i="13"/>
  <c r="AA63" i="3"/>
  <c r="AE63" i="3"/>
  <c r="M63" i="13"/>
  <c r="L63" i="13"/>
  <c r="V63" i="13" s="1"/>
  <c r="N63" i="13"/>
  <c r="W63" i="13" s="1"/>
  <c r="K63" i="13"/>
  <c r="U63" i="13" s="1"/>
  <c r="AG63" i="13"/>
  <c r="AH63" i="13" s="1"/>
  <c r="K63" i="3"/>
  <c r="U63" i="3" s="1"/>
  <c r="L63" i="3"/>
  <c r="V63" i="3" s="1"/>
  <c r="N63" i="3"/>
  <c r="W63" i="3" s="1"/>
  <c r="M63" i="3"/>
  <c r="AG63" i="3"/>
  <c r="AH63" i="3" s="1"/>
  <c r="AI63" i="3" l="1"/>
  <c r="X63" i="3"/>
  <c r="X63" i="13"/>
  <c r="AI63" i="13"/>
  <c r="AJ63" i="13" l="1"/>
  <c r="AK63" i="13" s="1"/>
  <c r="AL63" i="13" s="1"/>
  <c r="AJ63" i="3"/>
  <c r="AK63" i="3" s="1"/>
  <c r="AM63" i="3" s="1"/>
  <c r="AL63" i="3" l="1"/>
  <c r="AP63" i="13"/>
  <c r="AM63" i="13" l="1"/>
  <c r="AN63" i="3"/>
  <c r="AP63" i="3"/>
  <c r="AQ63" i="3" s="1"/>
  <c r="AT63" i="3" l="1"/>
  <c r="AU63" i="3" s="1"/>
  <c r="AO63" i="3"/>
  <c r="AN63" i="13"/>
  <c r="AO63" i="13" s="1"/>
  <c r="AQ63" i="13"/>
  <c r="AS63" i="3" l="1"/>
  <c r="AV63" i="3" s="1"/>
  <c r="I64" i="3" l="1"/>
  <c r="J64" i="3"/>
  <c r="I64" i="13"/>
  <c r="J64" i="13"/>
  <c r="AA64" i="13" l="1"/>
  <c r="AE64" i="13"/>
  <c r="AA64" i="3"/>
  <c r="AE64" i="3"/>
  <c r="AG64" i="13"/>
  <c r="AH64" i="13" s="1"/>
  <c r="L64" i="3"/>
  <c r="V64" i="3" s="1"/>
  <c r="M64" i="3"/>
  <c r="K64" i="3"/>
  <c r="U64" i="3" s="1"/>
  <c r="N64" i="3"/>
  <c r="W64" i="3" s="1"/>
  <c r="M64" i="13"/>
  <c r="K64" i="13"/>
  <c r="U64" i="13" s="1"/>
  <c r="L64" i="13"/>
  <c r="V64" i="13" s="1"/>
  <c r="N64" i="13"/>
  <c r="W64" i="13" s="1"/>
  <c r="AG64" i="3"/>
  <c r="AH64" i="3" s="1"/>
  <c r="X64" i="13" l="1"/>
  <c r="AI64" i="13"/>
  <c r="AI64" i="3"/>
  <c r="X64" i="3"/>
  <c r="AJ64" i="3" l="1"/>
  <c r="AK64" i="3" s="1"/>
  <c r="AM64" i="3" s="1"/>
  <c r="AJ64" i="13"/>
  <c r="AK64" i="13" s="1"/>
  <c r="AL64" i="13" s="1"/>
  <c r="AP64" i="13" l="1"/>
  <c r="AL64" i="3"/>
  <c r="AN64" i="3" l="1"/>
  <c r="AP64" i="3"/>
  <c r="AQ64" i="3" s="1"/>
  <c r="AM64" i="13"/>
  <c r="AQ64" i="13" s="1"/>
  <c r="AN64" i="13" l="1"/>
  <c r="AO64" i="13" s="1"/>
  <c r="AT64" i="3"/>
  <c r="AU64" i="3" s="1"/>
  <c r="AO64" i="3"/>
  <c r="AS64" i="3" l="1"/>
  <c r="AV64" i="3" s="1"/>
  <c r="J65" i="3" l="1"/>
  <c r="I65" i="3"/>
  <c r="I65" i="13"/>
  <c r="J65" i="13"/>
  <c r="AA65" i="13" l="1"/>
  <c r="AE65" i="13"/>
  <c r="AA65" i="3"/>
  <c r="AE65" i="3"/>
  <c r="M65" i="13"/>
  <c r="K65" i="13"/>
  <c r="U65" i="13" s="1"/>
  <c r="L65" i="13"/>
  <c r="V65" i="13" s="1"/>
  <c r="N65" i="13"/>
  <c r="W65" i="13" s="1"/>
  <c r="AG65" i="13"/>
  <c r="AH65" i="13" s="1"/>
  <c r="AG65" i="3"/>
  <c r="AH65" i="3" s="1"/>
  <c r="N65" i="3"/>
  <c r="W65" i="3" s="1"/>
  <c r="M65" i="3"/>
  <c r="K65" i="3"/>
  <c r="U65" i="3" s="1"/>
  <c r="L65" i="3"/>
  <c r="V65" i="3" s="1"/>
  <c r="X65" i="3" l="1"/>
  <c r="AI65" i="3"/>
  <c r="X65" i="13"/>
  <c r="AI65" i="13"/>
  <c r="AJ65" i="13" l="1"/>
  <c r="AK65" i="13" s="1"/>
  <c r="AL65" i="13" s="1"/>
  <c r="AJ65" i="3"/>
  <c r="AK65" i="3" s="1"/>
  <c r="AM65" i="3" s="1"/>
  <c r="AM65" i="13" l="1"/>
  <c r="AN65" i="13" s="1"/>
  <c r="AO65" i="13" s="1"/>
  <c r="X12" i="15" s="1"/>
  <c r="AL65" i="3"/>
  <c r="AP65" i="13"/>
  <c r="AQ65" i="13" s="1"/>
  <c r="Y12" i="15" s="1"/>
  <c r="AP65" i="3" l="1"/>
  <c r="AQ65" i="3" s="1"/>
  <c r="Y12" i="14" s="1"/>
  <c r="AN65" i="3"/>
  <c r="AT65" i="3" l="1"/>
  <c r="AU65" i="3" s="1"/>
  <c r="AO65" i="3"/>
  <c r="X12" i="14" s="1"/>
  <c r="AS65" i="3" l="1"/>
  <c r="AV65" i="3" s="1"/>
  <c r="I66" i="3" l="1"/>
  <c r="J66" i="3"/>
  <c r="I66" i="13"/>
  <c r="J66" i="13"/>
  <c r="AA66" i="13" l="1"/>
  <c r="AE66" i="13"/>
  <c r="AA66" i="3"/>
  <c r="AE66" i="3"/>
  <c r="M66" i="13"/>
  <c r="N66" i="13"/>
  <c r="W66" i="13" s="1"/>
  <c r="K66" i="13"/>
  <c r="U66" i="13" s="1"/>
  <c r="L66" i="13"/>
  <c r="V66" i="13" s="1"/>
  <c r="AG66" i="13"/>
  <c r="AH66" i="13" s="1"/>
  <c r="K66" i="3"/>
  <c r="U66" i="3" s="1"/>
  <c r="L66" i="3"/>
  <c r="V66" i="3" s="1"/>
  <c r="M66" i="3"/>
  <c r="N66" i="3"/>
  <c r="W66" i="3" s="1"/>
  <c r="AG66" i="3"/>
  <c r="AH66" i="3" s="1"/>
  <c r="AI66" i="3" l="1"/>
  <c r="X66" i="3"/>
  <c r="X66" i="13"/>
  <c r="AI66" i="13"/>
  <c r="AJ66" i="3" l="1"/>
  <c r="AK66" i="3" s="1"/>
  <c r="AM66" i="3" s="1"/>
  <c r="AJ66" i="13"/>
  <c r="AK66" i="13" s="1"/>
  <c r="AL66" i="13" s="1"/>
  <c r="AP66" i="13" l="1"/>
  <c r="AM66" i="13"/>
  <c r="AN66" i="13" s="1"/>
  <c r="AO66" i="13" s="1"/>
  <c r="AL66" i="3"/>
  <c r="AN66" i="3" l="1"/>
  <c r="AP66" i="3"/>
  <c r="AQ66" i="3" s="1"/>
  <c r="AQ66" i="13"/>
  <c r="AT66" i="3" l="1"/>
  <c r="AU66" i="3" s="1"/>
  <c r="AO66" i="3"/>
  <c r="AS66" i="3" l="1"/>
  <c r="AV66" i="3" s="1"/>
  <c r="I67" i="3" l="1"/>
  <c r="J67" i="3"/>
  <c r="I67" i="13"/>
  <c r="J67" i="13"/>
  <c r="AA67" i="13" l="1"/>
  <c r="AE67" i="13"/>
  <c r="AA67" i="3"/>
  <c r="AE67" i="3"/>
  <c r="M67" i="13"/>
  <c r="L67" i="13"/>
  <c r="V67" i="13" s="1"/>
  <c r="N67" i="13"/>
  <c r="W67" i="13" s="1"/>
  <c r="K67" i="13"/>
  <c r="U67" i="13" s="1"/>
  <c r="AG67" i="13"/>
  <c r="AH67" i="13" s="1"/>
  <c r="L67" i="3"/>
  <c r="V67" i="3" s="1"/>
  <c r="M67" i="3"/>
  <c r="N67" i="3"/>
  <c r="W67" i="3" s="1"/>
  <c r="K67" i="3"/>
  <c r="U67" i="3" s="1"/>
  <c r="AG67" i="3"/>
  <c r="AH67" i="3" s="1"/>
  <c r="X67" i="13" l="1"/>
  <c r="AI67" i="13"/>
  <c r="AI67" i="3"/>
  <c r="X67" i="3"/>
  <c r="AJ67" i="13" l="1"/>
  <c r="AK67" i="13" s="1"/>
  <c r="AL67" i="13" s="1"/>
  <c r="AJ67" i="3"/>
  <c r="AK67" i="3" s="1"/>
  <c r="AM67" i="3" s="1"/>
  <c r="AM67" i="13" l="1"/>
  <c r="AN67" i="13" s="1"/>
  <c r="AO67" i="13" s="1"/>
  <c r="AL67" i="3"/>
  <c r="AP67" i="13"/>
  <c r="AQ67" i="13" l="1"/>
  <c r="AN67" i="3"/>
  <c r="AP67" i="3"/>
  <c r="AQ67" i="3" s="1"/>
  <c r="AT67" i="3" l="1"/>
  <c r="AU67" i="3" s="1"/>
  <c r="AO67" i="3"/>
  <c r="AS67" i="3" l="1"/>
  <c r="AV67" i="3" s="1"/>
  <c r="I68" i="3" l="1"/>
  <c r="J68" i="3"/>
  <c r="I68" i="13"/>
  <c r="J68" i="13"/>
  <c r="AA68" i="13" l="1"/>
  <c r="AE68" i="13"/>
  <c r="AA68" i="3"/>
  <c r="AE68" i="3"/>
  <c r="M68" i="13"/>
  <c r="N68" i="13"/>
  <c r="W68" i="13" s="1"/>
  <c r="K68" i="13"/>
  <c r="U68" i="13" s="1"/>
  <c r="L68" i="13"/>
  <c r="V68" i="13" s="1"/>
  <c r="AG68" i="13"/>
  <c r="AH68" i="13" s="1"/>
  <c r="M68" i="3"/>
  <c r="N68" i="3"/>
  <c r="W68" i="3" s="1"/>
  <c r="K68" i="3"/>
  <c r="U68" i="3" s="1"/>
  <c r="L68" i="3"/>
  <c r="V68" i="3" s="1"/>
  <c r="AG68" i="3"/>
  <c r="AH68" i="3" s="1"/>
  <c r="X68" i="13" l="1"/>
  <c r="AI68" i="13"/>
  <c r="X68" i="3"/>
  <c r="AI68" i="3"/>
  <c r="AJ68" i="3" l="1"/>
  <c r="AK68" i="3" s="1"/>
  <c r="AM68" i="3" s="1"/>
  <c r="AJ68" i="13"/>
  <c r="AK68" i="13" s="1"/>
  <c r="AL68" i="13" s="1"/>
  <c r="AP68" i="13" l="1"/>
  <c r="AM68" i="13"/>
  <c r="AN68" i="13" s="1"/>
  <c r="AO68" i="13" s="1"/>
  <c r="AL68" i="3"/>
  <c r="AQ68" i="13" l="1"/>
  <c r="AP68" i="3"/>
  <c r="AQ68" i="3" s="1"/>
  <c r="AN68" i="3"/>
  <c r="AT68" i="3" l="1"/>
  <c r="AU68" i="3" s="1"/>
  <c r="AO68" i="3"/>
  <c r="AS68" i="3" l="1"/>
  <c r="AV68" i="3" s="1"/>
  <c r="J69" i="3" l="1"/>
  <c r="I69" i="3"/>
  <c r="I69" i="13"/>
  <c r="J69" i="13"/>
  <c r="AA69" i="13" l="1"/>
  <c r="AE69" i="13"/>
  <c r="AA69" i="3"/>
  <c r="AE69" i="3"/>
  <c r="M69" i="13"/>
  <c r="N69" i="13"/>
  <c r="W69" i="13" s="1"/>
  <c r="K69" i="13"/>
  <c r="U69" i="13" s="1"/>
  <c r="L69" i="13"/>
  <c r="V69" i="13" s="1"/>
  <c r="AG69" i="13"/>
  <c r="AH69" i="13" s="1"/>
  <c r="AG69" i="3"/>
  <c r="AH69" i="3" s="1"/>
  <c r="N69" i="3"/>
  <c r="W69" i="3" s="1"/>
  <c r="K69" i="3"/>
  <c r="U69" i="3" s="1"/>
  <c r="L69" i="3"/>
  <c r="V69" i="3" s="1"/>
  <c r="M69" i="3"/>
  <c r="X69" i="13" l="1"/>
  <c r="AI69" i="13"/>
  <c r="X69" i="3"/>
  <c r="AI69" i="3"/>
  <c r="AJ69" i="13" l="1"/>
  <c r="AK69" i="13" s="1"/>
  <c r="AL69" i="13" s="1"/>
  <c r="AJ69" i="3"/>
  <c r="AK69" i="3" s="1"/>
  <c r="AM69" i="3" s="1"/>
  <c r="AM69" i="13" l="1"/>
  <c r="AN69" i="13" s="1"/>
  <c r="AO69" i="13" s="1"/>
  <c r="AL69" i="3"/>
  <c r="AP69" i="13"/>
  <c r="AQ69" i="13" l="1"/>
  <c r="AP69" i="3"/>
  <c r="AQ69" i="3" s="1"/>
  <c r="AN69" i="3"/>
  <c r="AT69" i="3" l="1"/>
  <c r="AU69" i="3" s="1"/>
  <c r="AO69" i="3"/>
  <c r="AS69" i="3" l="1"/>
  <c r="AV69" i="3" s="1"/>
  <c r="I70" i="3" l="1"/>
  <c r="J70" i="3"/>
  <c r="I70" i="13"/>
  <c r="J70" i="13"/>
  <c r="AA70" i="13" l="1"/>
  <c r="AE70" i="13"/>
  <c r="AA70" i="3"/>
  <c r="AE70" i="3"/>
  <c r="M70" i="13"/>
  <c r="N70" i="13"/>
  <c r="W70" i="13" s="1"/>
  <c r="K70" i="13"/>
  <c r="U70" i="13" s="1"/>
  <c r="L70" i="13"/>
  <c r="V70" i="13" s="1"/>
  <c r="K70" i="3"/>
  <c r="U70" i="3" s="1"/>
  <c r="L70" i="3"/>
  <c r="V70" i="3" s="1"/>
  <c r="M70" i="3"/>
  <c r="N70" i="3"/>
  <c r="W70" i="3" s="1"/>
  <c r="AG70" i="13"/>
  <c r="AH70" i="13" s="1"/>
  <c r="AG70" i="3"/>
  <c r="AH70" i="3" s="1"/>
  <c r="X70" i="13" l="1"/>
  <c r="AI70" i="13"/>
  <c r="AI70" i="3"/>
  <c r="X70" i="3"/>
  <c r="AJ70" i="13" l="1"/>
  <c r="AK70" i="13" s="1"/>
  <c r="AL70" i="13" s="1"/>
  <c r="AJ70" i="3"/>
  <c r="AK70" i="3" s="1"/>
  <c r="AM70" i="3" s="1"/>
  <c r="AM70" i="13" l="1"/>
  <c r="AN70" i="13" s="1"/>
  <c r="AO70" i="13" s="1"/>
  <c r="AL70" i="3"/>
  <c r="AP70" i="13"/>
  <c r="AQ70" i="13" l="1"/>
  <c r="AN70" i="3"/>
  <c r="AP70" i="3"/>
  <c r="AQ70" i="3" s="1"/>
  <c r="AT70" i="3" l="1"/>
  <c r="AU70" i="3" s="1"/>
  <c r="AO70" i="3"/>
  <c r="AS70" i="3" l="1"/>
  <c r="AV70" i="3" s="1"/>
  <c r="I71" i="3" l="1"/>
  <c r="J71" i="3"/>
  <c r="I71" i="13"/>
  <c r="J71" i="13"/>
  <c r="AA71" i="13" l="1"/>
  <c r="AE71" i="13"/>
  <c r="AA71" i="3"/>
  <c r="AE71" i="3"/>
  <c r="M71" i="13"/>
  <c r="N71" i="13"/>
  <c r="W71" i="13" s="1"/>
  <c r="K71" i="13"/>
  <c r="U71" i="13" s="1"/>
  <c r="L71" i="13"/>
  <c r="V71" i="13" s="1"/>
  <c r="AG71" i="13"/>
  <c r="AH71" i="13" s="1"/>
  <c r="L71" i="3"/>
  <c r="V71" i="3" s="1"/>
  <c r="M71" i="3"/>
  <c r="N71" i="3"/>
  <c r="W71" i="3" s="1"/>
  <c r="K71" i="3"/>
  <c r="U71" i="3" s="1"/>
  <c r="AG71" i="3"/>
  <c r="AH71" i="3" s="1"/>
  <c r="X71" i="13" l="1"/>
  <c r="AI71" i="13"/>
  <c r="AI71" i="3"/>
  <c r="X71" i="3"/>
  <c r="AJ71" i="3" l="1"/>
  <c r="AK71" i="3" s="1"/>
  <c r="AM71" i="3" s="1"/>
  <c r="AJ71" i="13"/>
  <c r="AK71" i="13" s="1"/>
  <c r="AL71" i="13" s="1"/>
  <c r="AP71" i="13" l="1"/>
  <c r="AM71" i="13"/>
  <c r="AN71" i="13" s="1"/>
  <c r="AO71" i="13" s="1"/>
  <c r="AL71" i="3"/>
  <c r="AQ71" i="13" l="1"/>
  <c r="AN71" i="3"/>
  <c r="AP71" i="3"/>
  <c r="AQ71" i="3" s="1"/>
  <c r="AT71" i="3" l="1"/>
  <c r="AU71" i="3" s="1"/>
  <c r="AO71" i="3"/>
  <c r="AS71" i="3" l="1"/>
  <c r="AV71" i="3" s="1"/>
  <c r="I72" i="3" l="1"/>
  <c r="J72" i="3"/>
  <c r="I72" i="13"/>
  <c r="J72" i="13"/>
  <c r="AA72" i="13" l="1"/>
  <c r="AE72" i="13"/>
  <c r="AA72" i="3"/>
  <c r="AE72" i="3"/>
  <c r="AG72" i="13"/>
  <c r="AH72" i="13" s="1"/>
  <c r="M72" i="13"/>
  <c r="N72" i="13"/>
  <c r="W72" i="13" s="1"/>
  <c r="K72" i="13"/>
  <c r="U72" i="13" s="1"/>
  <c r="L72" i="13"/>
  <c r="V72" i="13" s="1"/>
  <c r="M72" i="3"/>
  <c r="N72" i="3"/>
  <c r="W72" i="3" s="1"/>
  <c r="K72" i="3"/>
  <c r="U72" i="3" s="1"/>
  <c r="L72" i="3"/>
  <c r="V72" i="3" s="1"/>
  <c r="AG72" i="3"/>
  <c r="AH72" i="3" s="1"/>
  <c r="X72" i="3" l="1"/>
  <c r="AI72" i="3"/>
  <c r="X72" i="13"/>
  <c r="AI72" i="13"/>
  <c r="AJ72" i="13" l="1"/>
  <c r="AK72" i="13" s="1"/>
  <c r="AL72" i="13" s="1"/>
  <c r="AJ72" i="3"/>
  <c r="AK72" i="3" s="1"/>
  <c r="AM72" i="3" s="1"/>
  <c r="AP72" i="13" l="1"/>
  <c r="AL72" i="3"/>
  <c r="AM72" i="13" l="1"/>
  <c r="AQ72" i="13" s="1"/>
  <c r="AP72" i="3"/>
  <c r="AQ72" i="3" s="1"/>
  <c r="AN72" i="3"/>
  <c r="AT72" i="3" l="1"/>
  <c r="AU72" i="3" s="1"/>
  <c r="AO72" i="3"/>
  <c r="AN72" i="13"/>
  <c r="AO72" i="13" s="1"/>
  <c r="AS72" i="3" l="1"/>
  <c r="AV72" i="3" s="1"/>
  <c r="J73" i="3" l="1"/>
  <c r="I73" i="3"/>
  <c r="I73" i="13"/>
  <c r="J73" i="13"/>
  <c r="AA73" i="13" l="1"/>
  <c r="AE73" i="13"/>
  <c r="AA73" i="3"/>
  <c r="AE73" i="3"/>
  <c r="M73" i="13"/>
  <c r="N73" i="13"/>
  <c r="W73" i="13" s="1"/>
  <c r="K73" i="13"/>
  <c r="U73" i="13" s="1"/>
  <c r="L73" i="13"/>
  <c r="V73" i="13" s="1"/>
  <c r="AG73" i="13"/>
  <c r="AH73" i="13" s="1"/>
  <c r="AG73" i="3"/>
  <c r="AH73" i="3" s="1"/>
  <c r="N73" i="3"/>
  <c r="W73" i="3" s="1"/>
  <c r="K73" i="3"/>
  <c r="U73" i="3" s="1"/>
  <c r="L73" i="3"/>
  <c r="V73" i="3" s="1"/>
  <c r="M73" i="3"/>
  <c r="X73" i="13" l="1"/>
  <c r="AI73" i="13"/>
  <c r="X73" i="3"/>
  <c r="AI73" i="3"/>
  <c r="AJ73" i="3" l="1"/>
  <c r="AK73" i="3" s="1"/>
  <c r="AM73" i="3" s="1"/>
  <c r="AJ73" i="13"/>
  <c r="AK73" i="13" s="1"/>
  <c r="AL73" i="13" s="1"/>
  <c r="AP73" i="13" l="1"/>
  <c r="AL73" i="3"/>
  <c r="AM73" i="13" l="1"/>
  <c r="AQ73" i="13" s="1"/>
  <c r="AP73" i="3"/>
  <c r="AQ73" i="3" s="1"/>
  <c r="AN73" i="3"/>
  <c r="AT73" i="3" l="1"/>
  <c r="AU73" i="3" s="1"/>
  <c r="AO73" i="3"/>
  <c r="AN73" i="13"/>
  <c r="AO73" i="13" s="1"/>
  <c r="AS73" i="3" l="1"/>
  <c r="AV73" i="3" s="1"/>
  <c r="I74" i="3" l="1"/>
  <c r="J74" i="3"/>
  <c r="I74" i="13"/>
  <c r="J74" i="13"/>
  <c r="AA74" i="13" l="1"/>
  <c r="AE74" i="13"/>
  <c r="AA74" i="3"/>
  <c r="AE74" i="3"/>
  <c r="M74" i="13"/>
  <c r="N74" i="13"/>
  <c r="W74" i="13" s="1"/>
  <c r="K74" i="13"/>
  <c r="U74" i="13" s="1"/>
  <c r="L74" i="13"/>
  <c r="V74" i="13" s="1"/>
  <c r="AG74" i="13"/>
  <c r="AH74" i="13" s="1"/>
  <c r="K74" i="3"/>
  <c r="U74" i="3" s="1"/>
  <c r="L74" i="3"/>
  <c r="V74" i="3" s="1"/>
  <c r="M74" i="3"/>
  <c r="N74" i="3"/>
  <c r="W74" i="3" s="1"/>
  <c r="AG74" i="3"/>
  <c r="AH74" i="3" s="1"/>
  <c r="AI74" i="3" l="1"/>
  <c r="X74" i="3"/>
  <c r="X74" i="13"/>
  <c r="AI74" i="13"/>
  <c r="AJ74" i="13" l="1"/>
  <c r="AK74" i="13" s="1"/>
  <c r="AL74" i="13" s="1"/>
  <c r="AJ74" i="3"/>
  <c r="AK74" i="3" s="1"/>
  <c r="AM74" i="3" s="1"/>
  <c r="AL74" i="3" l="1"/>
  <c r="AP74" i="13"/>
  <c r="AM74" i="13" l="1"/>
  <c r="AN74" i="3"/>
  <c r="AP74" i="3"/>
  <c r="AQ74" i="3" s="1"/>
  <c r="AT74" i="3" l="1"/>
  <c r="AU74" i="3" s="1"/>
  <c r="AO74" i="3"/>
  <c r="AN74" i="13"/>
  <c r="AO74" i="13" s="1"/>
  <c r="AQ74" i="13"/>
  <c r="AS74" i="3" l="1"/>
  <c r="AV74" i="3" s="1"/>
  <c r="I75" i="3" l="1"/>
  <c r="J75" i="3"/>
  <c r="I75" i="13"/>
  <c r="J75" i="13"/>
  <c r="AA75" i="13" l="1"/>
  <c r="AE75" i="13"/>
  <c r="AA75" i="3"/>
  <c r="AE75" i="3"/>
  <c r="M75" i="13"/>
  <c r="N75" i="13"/>
  <c r="W75" i="13" s="1"/>
  <c r="K75" i="13"/>
  <c r="U75" i="13" s="1"/>
  <c r="L75" i="13"/>
  <c r="V75" i="13" s="1"/>
  <c r="L75" i="3"/>
  <c r="V75" i="3" s="1"/>
  <c r="M75" i="3"/>
  <c r="N75" i="3"/>
  <c r="W75" i="3" s="1"/>
  <c r="K75" i="3"/>
  <c r="U75" i="3" s="1"/>
  <c r="AG75" i="13"/>
  <c r="AH75" i="13" s="1"/>
  <c r="AG75" i="3"/>
  <c r="AH75" i="3" s="1"/>
  <c r="AI75" i="3" l="1"/>
  <c r="X75" i="3"/>
  <c r="X75" i="13"/>
  <c r="AI75" i="13"/>
  <c r="AJ75" i="13" l="1"/>
  <c r="AK75" i="13" s="1"/>
  <c r="AL75" i="13" s="1"/>
  <c r="AJ75" i="3"/>
  <c r="AK75" i="3" s="1"/>
  <c r="AM75" i="3" s="1"/>
  <c r="AL75" i="3" l="1"/>
  <c r="AP75" i="13"/>
  <c r="AM75" i="13" l="1"/>
  <c r="AN75" i="3"/>
  <c r="AP75" i="3"/>
  <c r="AQ75" i="3" s="1"/>
  <c r="AT75" i="3" l="1"/>
  <c r="AU75" i="3" s="1"/>
  <c r="AO75" i="3"/>
  <c r="AN75" i="13"/>
  <c r="AO75" i="13" s="1"/>
  <c r="AQ75" i="13"/>
  <c r="AS75" i="3" l="1"/>
  <c r="AV75" i="3" s="1"/>
  <c r="I76" i="3" l="1"/>
  <c r="J76" i="3"/>
  <c r="I76" i="13"/>
  <c r="J76" i="13"/>
  <c r="AA76" i="13" l="1"/>
  <c r="AE76" i="13"/>
  <c r="AA76" i="3"/>
  <c r="AE76" i="3"/>
  <c r="M76" i="13"/>
  <c r="N76" i="13"/>
  <c r="W76" i="13" s="1"/>
  <c r="K76" i="13"/>
  <c r="U76" i="13" s="1"/>
  <c r="L76" i="13"/>
  <c r="V76" i="13" s="1"/>
  <c r="AG76" i="13"/>
  <c r="AH76" i="13" s="1"/>
  <c r="M76" i="3"/>
  <c r="N76" i="3"/>
  <c r="W76" i="3" s="1"/>
  <c r="K76" i="3"/>
  <c r="U76" i="3" s="1"/>
  <c r="L76" i="3"/>
  <c r="V76" i="3" s="1"/>
  <c r="AG76" i="3"/>
  <c r="AH76" i="3" s="1"/>
  <c r="X76" i="13" l="1"/>
  <c r="AI76" i="13"/>
  <c r="X76" i="3"/>
  <c r="AI76" i="3"/>
  <c r="AJ76" i="3" l="1"/>
  <c r="AK76" i="3" s="1"/>
  <c r="AM76" i="3" s="1"/>
  <c r="AJ76" i="13"/>
  <c r="AK76" i="13" s="1"/>
  <c r="AL76" i="13" s="1"/>
  <c r="AP76" i="13" l="1"/>
  <c r="AL76" i="3"/>
  <c r="AM76" i="13" l="1"/>
  <c r="AQ76" i="13" s="1"/>
  <c r="AP76" i="3"/>
  <c r="AQ76" i="3" s="1"/>
  <c r="AN76" i="3"/>
  <c r="AT76" i="3" l="1"/>
  <c r="AU76" i="3" s="1"/>
  <c r="AO76" i="3"/>
  <c r="AN76" i="13"/>
  <c r="AO76" i="13" s="1"/>
  <c r="AS76" i="3" l="1"/>
  <c r="AV76" i="3" s="1"/>
  <c r="J77" i="3" l="1"/>
  <c r="I77" i="3"/>
  <c r="I77" i="13"/>
  <c r="J77" i="13"/>
  <c r="AA77" i="13" l="1"/>
  <c r="AE77" i="13"/>
  <c r="AA77" i="3"/>
  <c r="AE77" i="3"/>
  <c r="M77" i="13"/>
  <c r="N77" i="13"/>
  <c r="W77" i="13" s="1"/>
  <c r="K77" i="13"/>
  <c r="U77" i="13" s="1"/>
  <c r="L77" i="13"/>
  <c r="V77" i="13" s="1"/>
  <c r="AG77" i="3"/>
  <c r="AH77" i="3" s="1"/>
  <c r="AG77" i="13"/>
  <c r="AH77" i="13" s="1"/>
  <c r="N77" i="3"/>
  <c r="W77" i="3" s="1"/>
  <c r="K77" i="3"/>
  <c r="U77" i="3" s="1"/>
  <c r="L77" i="3"/>
  <c r="V77" i="3" s="1"/>
  <c r="M77" i="3"/>
  <c r="X77" i="13" l="1"/>
  <c r="AI77" i="13"/>
  <c r="X77" i="3"/>
  <c r="AI77" i="3"/>
  <c r="AJ77" i="3" l="1"/>
  <c r="AK77" i="3" s="1"/>
  <c r="AM77" i="3" s="1"/>
  <c r="AJ77" i="13"/>
  <c r="AK77" i="13" s="1"/>
  <c r="AL77" i="13" s="1"/>
  <c r="AP77" i="13" l="1"/>
  <c r="AM77" i="13"/>
  <c r="AN77" i="13" s="1"/>
  <c r="AO77" i="13" s="1"/>
  <c r="X13" i="15" s="1"/>
  <c r="AL77" i="3"/>
  <c r="AQ77" i="13" l="1"/>
  <c r="Y13" i="15" s="1"/>
  <c r="AP77" i="3"/>
  <c r="AQ77" i="3" s="1"/>
  <c r="Y13" i="14" s="1"/>
  <c r="AN77" i="3"/>
  <c r="AT77" i="3" l="1"/>
  <c r="AU77" i="3" s="1"/>
  <c r="AO77" i="3"/>
  <c r="X13" i="14" s="1"/>
  <c r="AS77" i="3" l="1"/>
  <c r="AV77" i="3" s="1"/>
  <c r="I78" i="3" l="1"/>
  <c r="J78" i="3"/>
  <c r="I78" i="13"/>
  <c r="J78" i="13"/>
  <c r="AA78" i="13" l="1"/>
  <c r="AE78" i="13"/>
  <c r="AA78" i="3"/>
  <c r="AE78" i="3"/>
  <c r="AG78" i="13"/>
  <c r="AH78" i="13" s="1"/>
  <c r="K78" i="3"/>
  <c r="U78" i="3" s="1"/>
  <c r="L78" i="3"/>
  <c r="V78" i="3" s="1"/>
  <c r="M78" i="3"/>
  <c r="N78" i="3"/>
  <c r="W78" i="3" s="1"/>
  <c r="M78" i="13"/>
  <c r="N78" i="13"/>
  <c r="W78" i="13" s="1"/>
  <c r="K78" i="13"/>
  <c r="U78" i="13" s="1"/>
  <c r="L78" i="13"/>
  <c r="V78" i="13" s="1"/>
  <c r="AG78" i="3"/>
  <c r="AH78" i="3" s="1"/>
  <c r="AI78" i="3" l="1"/>
  <c r="X78" i="3"/>
  <c r="X78" i="13"/>
  <c r="AI78" i="13"/>
  <c r="AJ78" i="3" l="1"/>
  <c r="AK78" i="3" s="1"/>
  <c r="AM78" i="3" s="1"/>
  <c r="AJ78" i="13"/>
  <c r="AK78" i="13" s="1"/>
  <c r="AL78" i="13" s="1"/>
  <c r="AP78" i="13" l="1"/>
  <c r="AM78" i="13"/>
  <c r="AN78" i="13" s="1"/>
  <c r="AO78" i="13" s="1"/>
  <c r="AL78" i="3"/>
  <c r="AQ78" i="13" l="1"/>
  <c r="AN78" i="3"/>
  <c r="AP78" i="3"/>
  <c r="AQ78" i="3" s="1"/>
  <c r="AT78" i="3" l="1"/>
  <c r="AU78" i="3" s="1"/>
  <c r="AO78" i="3"/>
  <c r="AS78" i="3" l="1"/>
  <c r="AV78" i="3" s="1"/>
  <c r="I79" i="3" l="1"/>
  <c r="J79" i="3"/>
  <c r="I79" i="13"/>
  <c r="J79" i="13"/>
  <c r="AA79" i="13" l="1"/>
  <c r="AE79" i="13"/>
  <c r="AA79" i="3"/>
  <c r="AE79" i="3"/>
  <c r="AG79" i="13"/>
  <c r="AH79" i="13" s="1"/>
  <c r="L79" i="3"/>
  <c r="V79" i="3" s="1"/>
  <c r="M79" i="3"/>
  <c r="N79" i="3"/>
  <c r="W79" i="3" s="1"/>
  <c r="K79" i="3"/>
  <c r="U79" i="3" s="1"/>
  <c r="M79" i="13"/>
  <c r="N79" i="13"/>
  <c r="W79" i="13" s="1"/>
  <c r="K79" i="13"/>
  <c r="U79" i="13" s="1"/>
  <c r="L79" i="13"/>
  <c r="V79" i="13" s="1"/>
  <c r="AG79" i="3"/>
  <c r="AH79" i="3" s="1"/>
  <c r="X79" i="13" l="1"/>
  <c r="AI79" i="13"/>
  <c r="AI79" i="3"/>
  <c r="X79" i="3"/>
  <c r="AJ79" i="13" l="1"/>
  <c r="AK79" i="13" s="1"/>
  <c r="AL79" i="13" s="1"/>
  <c r="AJ79" i="3"/>
  <c r="AK79" i="3" s="1"/>
  <c r="AM79" i="3" s="1"/>
  <c r="AL79" i="3" l="1"/>
  <c r="AM79" i="13"/>
  <c r="AN79" i="13" s="1"/>
  <c r="AO79" i="13" s="1"/>
  <c r="AP79" i="13"/>
  <c r="AQ79" i="13" l="1"/>
  <c r="AN79" i="3"/>
  <c r="AP79" i="3"/>
  <c r="AQ79" i="3" s="1"/>
  <c r="AT79" i="3" l="1"/>
  <c r="AU79" i="3" s="1"/>
  <c r="AO79" i="3"/>
  <c r="AS79" i="3" l="1"/>
  <c r="AV79" i="3" s="1"/>
  <c r="I80" i="3" l="1"/>
  <c r="J80" i="3"/>
  <c r="I80" i="13"/>
  <c r="J80" i="13"/>
  <c r="AA80" i="13" l="1"/>
  <c r="AE80" i="13"/>
  <c r="AA80" i="3"/>
  <c r="AE80" i="3"/>
  <c r="M80" i="13"/>
  <c r="N80" i="13"/>
  <c r="W80" i="13" s="1"/>
  <c r="K80" i="13"/>
  <c r="U80" i="13" s="1"/>
  <c r="L80" i="13"/>
  <c r="V80" i="13" s="1"/>
  <c r="AG80" i="13"/>
  <c r="AH80" i="13" s="1"/>
  <c r="M80" i="3"/>
  <c r="N80" i="3"/>
  <c r="W80" i="3" s="1"/>
  <c r="K80" i="3"/>
  <c r="U80" i="3" s="1"/>
  <c r="L80" i="3"/>
  <c r="V80" i="3" s="1"/>
  <c r="AG80" i="3"/>
  <c r="AH80" i="3" s="1"/>
  <c r="X80" i="13" l="1"/>
  <c r="AI80" i="13"/>
  <c r="X80" i="3"/>
  <c r="AI80" i="3"/>
  <c r="AJ80" i="3" l="1"/>
  <c r="AK80" i="3" s="1"/>
  <c r="AM80" i="3" s="1"/>
  <c r="AJ80" i="13"/>
  <c r="AK80" i="13" s="1"/>
  <c r="AL80" i="13" s="1"/>
  <c r="AP80" i="13" l="1"/>
  <c r="AL80" i="3"/>
  <c r="AM80" i="13"/>
  <c r="AN80" i="13" s="1"/>
  <c r="AO80" i="13" s="1"/>
  <c r="AQ80" i="13" l="1"/>
  <c r="AP80" i="3"/>
  <c r="AQ80" i="3" s="1"/>
  <c r="AN80" i="3"/>
  <c r="AT80" i="3" l="1"/>
  <c r="AU80" i="3" s="1"/>
  <c r="AO80" i="3"/>
  <c r="AS80" i="3" l="1"/>
  <c r="AV80" i="3" s="1"/>
  <c r="J81" i="3" l="1"/>
  <c r="I81" i="3"/>
  <c r="I81" i="13"/>
  <c r="J81" i="13"/>
  <c r="AA81" i="13" l="1"/>
  <c r="AE81" i="13"/>
  <c r="AA81" i="3"/>
  <c r="AE81" i="3"/>
  <c r="AG81" i="13"/>
  <c r="AH81" i="13" s="1"/>
  <c r="AG81" i="3"/>
  <c r="AH81" i="3" s="1"/>
  <c r="M81" i="13"/>
  <c r="N81" i="13"/>
  <c r="W81" i="13" s="1"/>
  <c r="K81" i="13"/>
  <c r="U81" i="13" s="1"/>
  <c r="L81" i="13"/>
  <c r="V81" i="13" s="1"/>
  <c r="N81" i="3"/>
  <c r="W81" i="3" s="1"/>
  <c r="K81" i="3"/>
  <c r="U81" i="3" s="1"/>
  <c r="L81" i="3"/>
  <c r="V81" i="3" s="1"/>
  <c r="M81" i="3"/>
  <c r="X81" i="13" l="1"/>
  <c r="AI81" i="13"/>
  <c r="X81" i="3"/>
  <c r="AI81" i="3"/>
  <c r="AJ81" i="13" l="1"/>
  <c r="AK81" i="13" s="1"/>
  <c r="AL81" i="13" s="1"/>
  <c r="AJ81" i="3"/>
  <c r="AK81" i="3" s="1"/>
  <c r="AM81" i="3" s="1"/>
  <c r="AM81" i="13" l="1"/>
  <c r="AN81" i="13" s="1"/>
  <c r="AO81" i="13" s="1"/>
  <c r="AL81" i="3"/>
  <c r="AP81" i="13"/>
  <c r="AQ81" i="13" s="1"/>
  <c r="AP81" i="3" l="1"/>
  <c r="AQ81" i="3" s="1"/>
  <c r="AN81" i="3"/>
  <c r="AT81" i="3" l="1"/>
  <c r="AU81" i="3" s="1"/>
  <c r="AO81" i="3"/>
  <c r="AS81" i="3" l="1"/>
  <c r="AV81" i="3" s="1"/>
  <c r="I82" i="3" l="1"/>
  <c r="J82" i="3"/>
  <c r="I82" i="13"/>
  <c r="J82" i="13"/>
  <c r="AA82" i="13" l="1"/>
  <c r="AE82" i="13"/>
  <c r="AA82" i="3"/>
  <c r="AE82" i="3"/>
  <c r="M82" i="13"/>
  <c r="N82" i="13"/>
  <c r="W82" i="13" s="1"/>
  <c r="K82" i="13"/>
  <c r="U82" i="13" s="1"/>
  <c r="L82" i="13"/>
  <c r="V82" i="13" s="1"/>
  <c r="AG82" i="13"/>
  <c r="AH82" i="13" s="1"/>
  <c r="K82" i="3"/>
  <c r="U82" i="3" s="1"/>
  <c r="L82" i="3"/>
  <c r="V82" i="3" s="1"/>
  <c r="M82" i="3"/>
  <c r="N82" i="3"/>
  <c r="W82" i="3" s="1"/>
  <c r="AG82" i="3"/>
  <c r="AH82" i="3" s="1"/>
  <c r="AI82" i="3" l="1"/>
  <c r="X82" i="3"/>
  <c r="X82" i="13"/>
  <c r="AI82" i="13"/>
  <c r="AJ82" i="13" l="1"/>
  <c r="AK82" i="13" s="1"/>
  <c r="AL82" i="13" s="1"/>
  <c r="AJ82" i="3"/>
  <c r="AK82" i="3" s="1"/>
  <c r="AM82" i="3" s="1"/>
  <c r="AL82" i="3" l="1"/>
  <c r="AM82" i="13"/>
  <c r="AN82" i="13" s="1"/>
  <c r="AO82" i="13" s="1"/>
  <c r="AP82" i="13"/>
  <c r="AQ82" i="13" s="1"/>
  <c r="AN82" i="3" l="1"/>
  <c r="AP82" i="3"/>
  <c r="AQ82" i="3" s="1"/>
  <c r="AT82" i="3" l="1"/>
  <c r="AU82" i="3" s="1"/>
  <c r="AO82" i="3"/>
  <c r="AS82" i="3" l="1"/>
  <c r="AV82" i="3" s="1"/>
  <c r="I83" i="3" l="1"/>
  <c r="J83" i="3"/>
  <c r="I83" i="13"/>
  <c r="J83" i="13"/>
  <c r="AA83" i="13" l="1"/>
  <c r="AE83" i="13"/>
  <c r="AA83" i="3"/>
  <c r="AE83" i="3"/>
  <c r="M83" i="13"/>
  <c r="N83" i="13"/>
  <c r="W83" i="13" s="1"/>
  <c r="K83" i="13"/>
  <c r="U83" i="13" s="1"/>
  <c r="L83" i="13"/>
  <c r="V83" i="13" s="1"/>
  <c r="AG83" i="13"/>
  <c r="AH83" i="13" s="1"/>
  <c r="L83" i="3"/>
  <c r="V83" i="3" s="1"/>
  <c r="M83" i="3"/>
  <c r="K83" i="3"/>
  <c r="U83" i="3" s="1"/>
  <c r="N83" i="3"/>
  <c r="W83" i="3" s="1"/>
  <c r="AG83" i="3"/>
  <c r="AH83" i="3" s="1"/>
  <c r="X83" i="13" l="1"/>
  <c r="AI83" i="13"/>
  <c r="AI83" i="3"/>
  <c r="X83" i="3"/>
  <c r="AJ83" i="13" l="1"/>
  <c r="AK83" i="13" s="1"/>
  <c r="AL83" i="13" s="1"/>
  <c r="AJ83" i="3"/>
  <c r="AK83" i="3" s="1"/>
  <c r="AM83" i="3" s="1"/>
  <c r="AL83" i="3" l="1"/>
  <c r="AM83" i="13"/>
  <c r="AN83" i="13" s="1"/>
  <c r="AO83" i="13" s="1"/>
  <c r="AP83" i="13"/>
  <c r="AQ83" i="13" s="1"/>
  <c r="AN83" i="3" l="1"/>
  <c r="AP83" i="3"/>
  <c r="AQ83" i="3" s="1"/>
  <c r="AT83" i="3" l="1"/>
  <c r="AU83" i="3" s="1"/>
  <c r="AO83" i="3"/>
  <c r="AS83" i="3" l="1"/>
  <c r="AV83" i="3" s="1"/>
  <c r="I84" i="3" l="1"/>
  <c r="J84" i="3"/>
  <c r="I84" i="13"/>
  <c r="J84" i="13"/>
  <c r="AA84" i="13" l="1"/>
  <c r="AE84" i="13"/>
  <c r="AA84" i="3"/>
  <c r="AE84" i="3"/>
  <c r="M84" i="13"/>
  <c r="N84" i="13"/>
  <c r="W84" i="13" s="1"/>
  <c r="K84" i="13"/>
  <c r="U84" i="13" s="1"/>
  <c r="L84" i="13"/>
  <c r="V84" i="13" s="1"/>
  <c r="AG84" i="13"/>
  <c r="AH84" i="13" s="1"/>
  <c r="M84" i="3"/>
  <c r="N84" i="3"/>
  <c r="W84" i="3" s="1"/>
  <c r="K84" i="3"/>
  <c r="U84" i="3" s="1"/>
  <c r="L84" i="3"/>
  <c r="V84" i="3" s="1"/>
  <c r="AG84" i="3"/>
  <c r="AH84" i="3" s="1"/>
  <c r="X84" i="13" l="1"/>
  <c r="AI84" i="13"/>
  <c r="X84" i="3"/>
  <c r="AI84" i="3"/>
  <c r="AJ84" i="3" l="1"/>
  <c r="AK84" i="3" s="1"/>
  <c r="AM84" i="3" s="1"/>
  <c r="AJ84" i="13"/>
  <c r="AK84" i="13" s="1"/>
  <c r="AL84" i="13" s="1"/>
  <c r="AP84" i="13" l="1"/>
  <c r="AL84" i="3"/>
  <c r="AM84" i="13" l="1"/>
  <c r="AQ84" i="13" s="1"/>
  <c r="AP84" i="3"/>
  <c r="AQ84" i="3" s="1"/>
  <c r="AN84" i="3"/>
  <c r="AT84" i="3" l="1"/>
  <c r="AU84" i="3" s="1"/>
  <c r="AO84" i="3"/>
  <c r="AN84" i="13"/>
  <c r="AO84" i="13" s="1"/>
  <c r="AS84" i="3" l="1"/>
  <c r="AV84" i="3" s="1"/>
  <c r="J85" i="3" l="1"/>
  <c r="I85" i="3"/>
  <c r="I85" i="13"/>
  <c r="J85" i="13"/>
  <c r="AA85" i="13" l="1"/>
  <c r="AE85" i="13"/>
  <c r="AA85" i="3"/>
  <c r="AE85" i="3"/>
  <c r="M85" i="13"/>
  <c r="N85" i="13"/>
  <c r="W85" i="13" s="1"/>
  <c r="K85" i="13"/>
  <c r="U85" i="13" s="1"/>
  <c r="L85" i="13"/>
  <c r="V85" i="13" s="1"/>
  <c r="AG85" i="13"/>
  <c r="AH85" i="13" s="1"/>
  <c r="AG85" i="3"/>
  <c r="AH85" i="3" s="1"/>
  <c r="N85" i="3"/>
  <c r="W85" i="3" s="1"/>
  <c r="K85" i="3"/>
  <c r="U85" i="3" s="1"/>
  <c r="L85" i="3"/>
  <c r="V85" i="3" s="1"/>
  <c r="M85" i="3"/>
  <c r="X85" i="13" l="1"/>
  <c r="AI85" i="13"/>
  <c r="X85" i="3"/>
  <c r="AI85" i="3"/>
  <c r="AJ85" i="13" l="1"/>
  <c r="AK85" i="13" s="1"/>
  <c r="AL85" i="13" s="1"/>
  <c r="AJ85" i="3"/>
  <c r="AK85" i="3" s="1"/>
  <c r="AM85" i="3" s="1"/>
  <c r="AL85" i="3" l="1"/>
  <c r="AP85" i="13"/>
  <c r="AP85" i="3" l="1"/>
  <c r="AQ85" i="3" s="1"/>
  <c r="AN85" i="3"/>
  <c r="AM85" i="13"/>
  <c r="AN85" i="13" l="1"/>
  <c r="AO85" i="13" s="1"/>
  <c r="AT85" i="3"/>
  <c r="AU85" i="3" s="1"/>
  <c r="AO85" i="3"/>
  <c r="AQ85" i="13"/>
  <c r="AS85" i="3" l="1"/>
  <c r="AV85" i="3" s="1"/>
  <c r="I86" i="3" l="1"/>
  <c r="J86" i="3"/>
  <c r="I86" i="13"/>
  <c r="J86" i="13"/>
  <c r="AA86" i="13" l="1"/>
  <c r="AE86" i="13"/>
  <c r="AA86" i="3"/>
  <c r="AE86" i="3"/>
  <c r="M86" i="13"/>
  <c r="N86" i="13"/>
  <c r="W86" i="13" s="1"/>
  <c r="K86" i="13"/>
  <c r="U86" i="13" s="1"/>
  <c r="L86" i="13"/>
  <c r="V86" i="13" s="1"/>
  <c r="K86" i="3"/>
  <c r="U86" i="3" s="1"/>
  <c r="L86" i="3"/>
  <c r="V86" i="3" s="1"/>
  <c r="M86" i="3"/>
  <c r="N86" i="3"/>
  <c r="W86" i="3" s="1"/>
  <c r="AG86" i="13"/>
  <c r="AH86" i="13" s="1"/>
  <c r="AG86" i="3"/>
  <c r="AH86" i="3" s="1"/>
  <c r="X86" i="13" l="1"/>
  <c r="AI86" i="13"/>
  <c r="AI86" i="3"/>
  <c r="X86" i="3"/>
  <c r="AJ86" i="13" l="1"/>
  <c r="AK86" i="13" s="1"/>
  <c r="AL86" i="13" s="1"/>
  <c r="AJ86" i="3"/>
  <c r="AK86" i="3" s="1"/>
  <c r="AM86" i="3" s="1"/>
  <c r="AL86" i="3" l="1"/>
  <c r="AP86" i="13"/>
  <c r="AN86" i="3" l="1"/>
  <c r="AP86" i="3"/>
  <c r="AQ86" i="3" s="1"/>
  <c r="AM86" i="13"/>
  <c r="AN86" i="13" l="1"/>
  <c r="AO86" i="13" s="1"/>
  <c r="AQ86" i="13"/>
  <c r="AT86" i="3"/>
  <c r="AU86" i="3" s="1"/>
  <c r="AO86" i="3"/>
  <c r="AS86" i="3" l="1"/>
  <c r="AV86" i="3" s="1"/>
  <c r="I87" i="3" l="1"/>
  <c r="J87" i="3"/>
  <c r="I87" i="13"/>
  <c r="J87" i="13"/>
  <c r="AA87" i="13" l="1"/>
  <c r="AE87" i="13"/>
  <c r="AA87" i="3"/>
  <c r="AE87" i="3"/>
  <c r="AG87" i="13"/>
  <c r="AH87" i="13" s="1"/>
  <c r="L87" i="3"/>
  <c r="V87" i="3" s="1"/>
  <c r="M87" i="3"/>
  <c r="N87" i="3"/>
  <c r="W87" i="3" s="1"/>
  <c r="K87" i="3"/>
  <c r="U87" i="3" s="1"/>
  <c r="M87" i="13"/>
  <c r="N87" i="13"/>
  <c r="W87" i="13" s="1"/>
  <c r="K87" i="13"/>
  <c r="U87" i="13" s="1"/>
  <c r="L87" i="13"/>
  <c r="V87" i="13" s="1"/>
  <c r="AG87" i="3"/>
  <c r="AH87" i="3" s="1"/>
  <c r="X87" i="13" l="1"/>
  <c r="AI87" i="13"/>
  <c r="X87" i="3"/>
  <c r="AI87" i="3"/>
  <c r="AJ87" i="13" l="1"/>
  <c r="AK87" i="13" s="1"/>
  <c r="AL87" i="13" s="1"/>
  <c r="AJ87" i="3"/>
  <c r="AK87" i="3" s="1"/>
  <c r="AM87" i="3" s="1"/>
  <c r="AM87" i="13" l="1"/>
  <c r="AN87" i="13" s="1"/>
  <c r="AO87" i="13" s="1"/>
  <c r="AP87" i="13"/>
  <c r="AQ87" i="13" s="1"/>
  <c r="AL87" i="3"/>
  <c r="AN87" i="3" l="1"/>
  <c r="AP87" i="3"/>
  <c r="AQ87" i="3" s="1"/>
  <c r="AT87" i="3" l="1"/>
  <c r="AU87" i="3" s="1"/>
  <c r="AO87" i="3"/>
  <c r="AS87" i="3" l="1"/>
  <c r="AV87" i="3" s="1"/>
  <c r="I88" i="3" l="1"/>
  <c r="J88" i="3"/>
  <c r="I88" i="13"/>
  <c r="J88" i="13"/>
  <c r="AA88" i="13" l="1"/>
  <c r="AE88" i="13"/>
  <c r="AA88" i="3"/>
  <c r="AE88" i="3"/>
  <c r="AG88" i="13"/>
  <c r="AH88" i="13" s="1"/>
  <c r="L88" i="3"/>
  <c r="V88" i="3" s="1"/>
  <c r="M88" i="3"/>
  <c r="N88" i="3"/>
  <c r="W88" i="3" s="1"/>
  <c r="K88" i="3"/>
  <c r="U88" i="3" s="1"/>
  <c r="M88" i="13"/>
  <c r="N88" i="13"/>
  <c r="W88" i="13" s="1"/>
  <c r="K88" i="13"/>
  <c r="U88" i="13" s="1"/>
  <c r="L88" i="13"/>
  <c r="V88" i="13" s="1"/>
  <c r="AG88" i="3"/>
  <c r="AH88" i="3" s="1"/>
  <c r="X88" i="13" l="1"/>
  <c r="AI88" i="13"/>
  <c r="AI88" i="3"/>
  <c r="X88" i="3"/>
  <c r="AJ88" i="13" l="1"/>
  <c r="AK88" i="13" s="1"/>
  <c r="AL88" i="13" s="1"/>
  <c r="AJ88" i="3"/>
  <c r="AK88" i="3" s="1"/>
  <c r="AM88" i="3" s="1"/>
  <c r="AL88" i="3" l="1"/>
  <c r="AP88" i="13"/>
  <c r="AM88" i="13" l="1"/>
  <c r="AQ88" i="13" s="1"/>
  <c r="AN88" i="3"/>
  <c r="AP88" i="3"/>
  <c r="AQ88" i="3" s="1"/>
  <c r="AT88" i="3" l="1"/>
  <c r="AU88" i="3" s="1"/>
  <c r="AO88" i="3"/>
  <c r="AN88" i="13"/>
  <c r="AO88" i="13" s="1"/>
  <c r="AS88" i="3" l="1"/>
  <c r="AV88" i="3" s="1"/>
  <c r="I89" i="3" l="1"/>
  <c r="J89" i="3"/>
  <c r="I89" i="13"/>
  <c r="J89" i="13"/>
  <c r="AA89" i="13" l="1"/>
  <c r="AE89" i="13"/>
  <c r="AA89" i="3"/>
  <c r="AE89" i="3"/>
  <c r="M89" i="3"/>
  <c r="N89" i="3"/>
  <c r="W89" i="3" s="1"/>
  <c r="K89" i="3"/>
  <c r="U89" i="3" s="1"/>
  <c r="L89" i="3"/>
  <c r="V89" i="3" s="1"/>
  <c r="M89" i="13"/>
  <c r="N89" i="13"/>
  <c r="W89" i="13" s="1"/>
  <c r="K89" i="13"/>
  <c r="U89" i="13" s="1"/>
  <c r="L89" i="13"/>
  <c r="V89" i="13" s="1"/>
  <c r="AG89" i="13"/>
  <c r="AH89" i="13" s="1"/>
  <c r="AG89" i="3"/>
  <c r="AH89" i="3" s="1"/>
  <c r="X89" i="13" l="1"/>
  <c r="AI89" i="13"/>
  <c r="X89" i="3"/>
  <c r="AI89" i="3"/>
  <c r="AJ89" i="3" l="1"/>
  <c r="AK89" i="3" s="1"/>
  <c r="AM89" i="3" s="1"/>
  <c r="AJ89" i="13"/>
  <c r="AK89" i="13" s="1"/>
  <c r="AL89" i="13" s="1"/>
  <c r="AM89" i="13" l="1"/>
  <c r="AN89" i="13" s="1"/>
  <c r="AO89" i="13" s="1"/>
  <c r="X14" i="15" s="1"/>
  <c r="AP89" i="13"/>
  <c r="AL89" i="3"/>
  <c r="AQ89" i="13" l="1"/>
  <c r="Y14" i="15" s="1"/>
  <c r="AP89" i="3"/>
  <c r="AQ89" i="3" s="1"/>
  <c r="Y14" i="14" s="1"/>
  <c r="AN89" i="3"/>
  <c r="AT89" i="3" l="1"/>
  <c r="AU89" i="3" s="1"/>
  <c r="AO89" i="3"/>
  <c r="X14" i="14" s="1"/>
  <c r="AS89" i="3" l="1"/>
  <c r="AV89" i="3" s="1"/>
  <c r="J90" i="3" l="1"/>
  <c r="I90" i="3"/>
  <c r="I90" i="13"/>
  <c r="J90" i="13"/>
  <c r="AA90" i="13" l="1"/>
  <c r="AE90" i="13"/>
  <c r="AA90" i="3"/>
  <c r="AE90" i="3"/>
  <c r="AG90" i="13"/>
  <c r="AH90" i="13" s="1"/>
  <c r="AG90" i="3"/>
  <c r="AH90" i="3" s="1"/>
  <c r="M90" i="13"/>
  <c r="N90" i="13"/>
  <c r="W90" i="13" s="1"/>
  <c r="K90" i="13"/>
  <c r="U90" i="13" s="1"/>
  <c r="L90" i="13"/>
  <c r="V90" i="13" s="1"/>
  <c r="N90" i="3"/>
  <c r="W90" i="3" s="1"/>
  <c r="K90" i="3"/>
  <c r="U90" i="3" s="1"/>
  <c r="L90" i="3"/>
  <c r="V90" i="3" s="1"/>
  <c r="M90" i="3"/>
  <c r="X90" i="13" l="1"/>
  <c r="AI90" i="13"/>
  <c r="X90" i="3"/>
  <c r="AI90" i="3"/>
  <c r="AJ90" i="3" l="1"/>
  <c r="AK90" i="3" s="1"/>
  <c r="AM90" i="3" s="1"/>
  <c r="AJ90" i="13"/>
  <c r="AK90" i="13" s="1"/>
  <c r="AL90" i="13" s="1"/>
  <c r="AP90" i="13" l="1"/>
  <c r="AM90" i="13"/>
  <c r="AN90" i="13" s="1"/>
  <c r="AO90" i="13" s="1"/>
  <c r="AL90" i="3"/>
  <c r="AQ90" i="13" l="1"/>
  <c r="AP90" i="3"/>
  <c r="AQ90" i="3" s="1"/>
  <c r="AN90" i="3"/>
  <c r="AT90" i="3" l="1"/>
  <c r="AU90" i="3" s="1"/>
  <c r="AO90" i="3"/>
  <c r="AS90" i="3" l="1"/>
  <c r="AV90" i="3" s="1"/>
  <c r="I91" i="3" l="1"/>
  <c r="J91" i="3"/>
  <c r="I91" i="13"/>
  <c r="J91" i="13"/>
  <c r="AA91" i="13" l="1"/>
  <c r="AE91" i="13"/>
  <c r="AA91" i="3"/>
  <c r="AE91" i="3"/>
  <c r="AG91" i="13"/>
  <c r="AH91" i="13" s="1"/>
  <c r="K91" i="3"/>
  <c r="U91" i="3" s="1"/>
  <c r="L91" i="3"/>
  <c r="V91" i="3" s="1"/>
  <c r="M91" i="3"/>
  <c r="N91" i="3"/>
  <c r="W91" i="3" s="1"/>
  <c r="M91" i="13"/>
  <c r="N91" i="13"/>
  <c r="W91" i="13" s="1"/>
  <c r="K91" i="13"/>
  <c r="U91" i="13" s="1"/>
  <c r="L91" i="13"/>
  <c r="V91" i="13" s="1"/>
  <c r="AG91" i="3"/>
  <c r="AH91" i="3" s="1"/>
  <c r="AI91" i="3" l="1"/>
  <c r="X91" i="3"/>
  <c r="X91" i="13"/>
  <c r="AI91" i="13"/>
  <c r="AJ91" i="13" l="1"/>
  <c r="AK91" i="13" s="1"/>
  <c r="AL91" i="13" s="1"/>
  <c r="AJ91" i="3"/>
  <c r="AK91" i="3" s="1"/>
  <c r="AM91" i="3" s="1"/>
  <c r="AL91" i="3" l="1"/>
  <c r="AP91" i="3" s="1"/>
  <c r="AM91" i="13"/>
  <c r="AN91" i="13" s="1"/>
  <c r="AO91" i="13" s="1"/>
  <c r="AP91" i="13"/>
  <c r="AQ91" i="3" l="1"/>
  <c r="AQ91" i="13"/>
  <c r="AN91" i="3"/>
  <c r="AO91" i="3" s="1"/>
  <c r="AT91" i="3"/>
  <c r="AU91" i="3" s="1"/>
  <c r="AS91" i="3" l="1"/>
  <c r="AV91" i="3" s="1"/>
  <c r="I92" i="3" l="1"/>
  <c r="J92" i="3"/>
  <c r="I92" i="13"/>
  <c r="J92" i="13"/>
  <c r="AA92" i="13" l="1"/>
  <c r="AE92" i="13"/>
  <c r="AA92" i="3"/>
  <c r="AE92" i="3"/>
  <c r="M92" i="13"/>
  <c r="N92" i="13"/>
  <c r="W92" i="13" s="1"/>
  <c r="K92" i="13"/>
  <c r="U92" i="13" s="1"/>
  <c r="L92" i="13"/>
  <c r="V92" i="13" s="1"/>
  <c r="AG92" i="13"/>
  <c r="AH92" i="13" s="1"/>
  <c r="L92" i="3"/>
  <c r="V92" i="3" s="1"/>
  <c r="M92" i="3"/>
  <c r="N92" i="3"/>
  <c r="W92" i="3" s="1"/>
  <c r="K92" i="3"/>
  <c r="U92" i="3" s="1"/>
  <c r="AG92" i="3"/>
  <c r="AH92" i="3" s="1"/>
  <c r="X92" i="13" l="1"/>
  <c r="AI92" i="13"/>
  <c r="AI92" i="3"/>
  <c r="X92" i="3"/>
  <c r="AJ92" i="13" l="1"/>
  <c r="AK92" i="13" s="1"/>
  <c r="AL92" i="13" s="1"/>
  <c r="AJ92" i="3"/>
  <c r="AK92" i="3" s="1"/>
  <c r="AM92" i="3" s="1"/>
  <c r="AL92" i="3" l="1"/>
  <c r="AM92" i="13"/>
  <c r="AN92" i="13" s="1"/>
  <c r="AO92" i="13" s="1"/>
  <c r="AP92" i="13"/>
  <c r="AQ92" i="13" l="1"/>
  <c r="AN92" i="3"/>
  <c r="AP92" i="3"/>
  <c r="AQ92" i="3" s="1"/>
  <c r="AT92" i="3" l="1"/>
  <c r="AU92" i="3" s="1"/>
  <c r="AO92" i="3"/>
  <c r="AS92" i="3" l="1"/>
  <c r="AV92" i="3" s="1"/>
  <c r="I93" i="3" l="1"/>
  <c r="J93" i="3"/>
  <c r="I93" i="13"/>
  <c r="J93" i="13"/>
  <c r="AA93" i="13" l="1"/>
  <c r="AE93" i="13"/>
  <c r="AA93" i="3"/>
  <c r="AE93" i="3"/>
  <c r="AG93" i="13"/>
  <c r="AH93" i="13" s="1"/>
  <c r="M93" i="3"/>
  <c r="N93" i="3"/>
  <c r="W93" i="3" s="1"/>
  <c r="K93" i="3"/>
  <c r="U93" i="3" s="1"/>
  <c r="L93" i="3"/>
  <c r="V93" i="3" s="1"/>
  <c r="M93" i="13"/>
  <c r="N93" i="13"/>
  <c r="W93" i="13" s="1"/>
  <c r="K93" i="13"/>
  <c r="U93" i="13" s="1"/>
  <c r="L93" i="13"/>
  <c r="V93" i="13" s="1"/>
  <c r="AG93" i="3"/>
  <c r="AH93" i="3" s="1"/>
  <c r="X93" i="13" l="1"/>
  <c r="AI93" i="13"/>
  <c r="X93" i="3"/>
  <c r="AI93" i="3"/>
  <c r="AJ93" i="3" l="1"/>
  <c r="AK93" i="3" s="1"/>
  <c r="AM93" i="3" s="1"/>
  <c r="AJ93" i="13"/>
  <c r="AK93" i="13" s="1"/>
  <c r="AL93" i="13" s="1"/>
  <c r="AP93" i="13" l="1"/>
  <c r="AL93" i="3"/>
  <c r="AM93" i="13"/>
  <c r="AN93" i="13" s="1"/>
  <c r="AO93" i="13" s="1"/>
  <c r="AQ93" i="13" l="1"/>
  <c r="AP93" i="3"/>
  <c r="AQ93" i="3" s="1"/>
  <c r="AN93" i="3"/>
  <c r="AT93" i="3" l="1"/>
  <c r="AU93" i="3" s="1"/>
  <c r="AO93" i="3"/>
  <c r="AS93" i="3" l="1"/>
  <c r="AV93" i="3" s="1"/>
  <c r="J94" i="3" l="1"/>
  <c r="I94" i="3"/>
  <c r="I94" i="13"/>
  <c r="J94" i="13"/>
  <c r="AA94" i="13" l="1"/>
  <c r="AE94" i="13"/>
  <c r="AA94" i="3"/>
  <c r="AE94" i="3"/>
  <c r="AG94" i="13"/>
  <c r="AH94" i="13" s="1"/>
  <c r="AG94" i="3"/>
  <c r="AH94" i="3" s="1"/>
  <c r="M94" i="13"/>
  <c r="N94" i="13"/>
  <c r="W94" i="13" s="1"/>
  <c r="K94" i="13"/>
  <c r="U94" i="13" s="1"/>
  <c r="L94" i="13"/>
  <c r="V94" i="13" s="1"/>
  <c r="N94" i="3"/>
  <c r="W94" i="3" s="1"/>
  <c r="K94" i="3"/>
  <c r="U94" i="3" s="1"/>
  <c r="L94" i="3"/>
  <c r="V94" i="3" s="1"/>
  <c r="M94" i="3"/>
  <c r="X94" i="13" l="1"/>
  <c r="AI94" i="13"/>
  <c r="X94" i="3"/>
  <c r="AI94" i="3"/>
  <c r="AJ94" i="3" l="1"/>
  <c r="AK94" i="3" s="1"/>
  <c r="AM94" i="3" s="1"/>
  <c r="AJ94" i="13"/>
  <c r="AK94" i="13" s="1"/>
  <c r="AL94" i="13" s="1"/>
  <c r="AP94" i="13" l="1"/>
  <c r="AQ94" i="13" s="1"/>
  <c r="AM94" i="13"/>
  <c r="AN94" i="13" s="1"/>
  <c r="AO94" i="13" s="1"/>
  <c r="AL94" i="3"/>
  <c r="AP94" i="3" l="1"/>
  <c r="AQ94" i="3" s="1"/>
  <c r="AN94" i="3"/>
  <c r="AT94" i="3" l="1"/>
  <c r="AU94" i="3" s="1"/>
  <c r="AO94" i="3"/>
  <c r="AS94" i="3" l="1"/>
  <c r="AV94" i="3" s="1"/>
  <c r="I95" i="3" l="1"/>
  <c r="J95" i="3"/>
  <c r="I95" i="13"/>
  <c r="J95" i="13"/>
  <c r="AA95" i="13" l="1"/>
  <c r="AE95" i="13"/>
  <c r="AA95" i="3"/>
  <c r="AE95" i="3"/>
  <c r="AG95" i="13"/>
  <c r="AH95" i="13" s="1"/>
  <c r="K95" i="3"/>
  <c r="U95" i="3" s="1"/>
  <c r="L95" i="3"/>
  <c r="V95" i="3" s="1"/>
  <c r="M95" i="3"/>
  <c r="N95" i="3"/>
  <c r="W95" i="3" s="1"/>
  <c r="M95" i="13"/>
  <c r="N95" i="13"/>
  <c r="W95" i="13" s="1"/>
  <c r="K95" i="13"/>
  <c r="U95" i="13" s="1"/>
  <c r="L95" i="13"/>
  <c r="V95" i="13" s="1"/>
  <c r="AG95" i="3"/>
  <c r="AH95" i="3" s="1"/>
  <c r="AI95" i="3" l="1"/>
  <c r="X95" i="3"/>
  <c r="X95" i="13"/>
  <c r="AI95" i="13"/>
  <c r="AJ95" i="13" l="1"/>
  <c r="AK95" i="13" s="1"/>
  <c r="AL95" i="13" s="1"/>
  <c r="AJ95" i="3"/>
  <c r="AK95" i="3" s="1"/>
  <c r="AM95" i="3" s="1"/>
  <c r="AL95" i="3" l="1"/>
  <c r="AM95" i="13"/>
  <c r="AN95" i="13" s="1"/>
  <c r="AO95" i="13" s="1"/>
  <c r="AP95" i="13"/>
  <c r="AQ95" i="13" s="1"/>
  <c r="AN95" i="3" l="1"/>
  <c r="AP95" i="3"/>
  <c r="AQ95" i="3" s="1"/>
  <c r="AT95" i="3" l="1"/>
  <c r="AU95" i="3" s="1"/>
  <c r="AO95" i="3"/>
  <c r="AS95" i="3" l="1"/>
  <c r="AV95" i="3" s="1"/>
  <c r="I96" i="3" l="1"/>
  <c r="J96" i="3"/>
  <c r="I96" i="13"/>
  <c r="J96" i="13"/>
  <c r="AA96" i="13" l="1"/>
  <c r="AE96" i="13"/>
  <c r="AA96" i="3"/>
  <c r="AE96" i="3"/>
  <c r="AG96" i="13"/>
  <c r="AH96" i="13" s="1"/>
  <c r="M96" i="13"/>
  <c r="N96" i="13"/>
  <c r="W96" i="13" s="1"/>
  <c r="K96" i="13"/>
  <c r="U96" i="13" s="1"/>
  <c r="L96" i="13"/>
  <c r="V96" i="13" s="1"/>
  <c r="L96" i="3"/>
  <c r="V96" i="3" s="1"/>
  <c r="M96" i="3"/>
  <c r="N96" i="3"/>
  <c r="W96" i="3" s="1"/>
  <c r="K96" i="3"/>
  <c r="U96" i="3" s="1"/>
  <c r="AG96" i="3"/>
  <c r="AH96" i="3" s="1"/>
  <c r="X96" i="3" l="1"/>
  <c r="AI96" i="3"/>
  <c r="X96" i="13"/>
  <c r="AI96" i="13"/>
  <c r="AJ96" i="13" l="1"/>
  <c r="AK96" i="13" s="1"/>
  <c r="AL96" i="13" s="1"/>
  <c r="AJ96" i="3"/>
  <c r="AK96" i="3" s="1"/>
  <c r="AM96" i="3" s="1"/>
  <c r="AL96" i="3" l="1"/>
  <c r="AP96" i="13"/>
  <c r="AP96" i="3" l="1"/>
  <c r="AQ96" i="3" s="1"/>
  <c r="AN96" i="3"/>
  <c r="AM96" i="13"/>
  <c r="AN96" i="13" l="1"/>
  <c r="AO96" i="13" s="1"/>
  <c r="AT96" i="3"/>
  <c r="AU96" i="3" s="1"/>
  <c r="AO96" i="3"/>
  <c r="AQ96" i="13"/>
  <c r="AS96" i="3" l="1"/>
  <c r="AV96" i="3" s="1"/>
  <c r="I97" i="3" l="1"/>
  <c r="J97" i="3"/>
  <c r="I97" i="13"/>
  <c r="J97" i="13"/>
  <c r="AA97" i="13" l="1"/>
  <c r="AE97" i="13"/>
  <c r="AA97" i="3"/>
  <c r="AE97" i="3"/>
  <c r="M97" i="13"/>
  <c r="N97" i="13"/>
  <c r="W97" i="13" s="1"/>
  <c r="K97" i="13"/>
  <c r="U97" i="13" s="1"/>
  <c r="L97" i="13"/>
  <c r="V97" i="13" s="1"/>
  <c r="AG97" i="13"/>
  <c r="AH97" i="13" s="1"/>
  <c r="K97" i="3"/>
  <c r="U97" i="3" s="1"/>
  <c r="L97" i="3"/>
  <c r="V97" i="3" s="1"/>
  <c r="N97" i="3"/>
  <c r="W97" i="3" s="1"/>
  <c r="M97" i="3"/>
  <c r="AG97" i="3"/>
  <c r="AH97" i="3" s="1"/>
  <c r="AI97" i="3" l="1"/>
  <c r="X97" i="3"/>
  <c r="X97" i="13"/>
  <c r="AI97" i="13"/>
  <c r="AJ97" i="13" l="1"/>
  <c r="AK97" i="13" s="1"/>
  <c r="AL97" i="13" s="1"/>
  <c r="AJ97" i="3"/>
  <c r="AK97" i="3" s="1"/>
  <c r="AL97" i="3" s="1"/>
  <c r="AM97" i="3" l="1"/>
  <c r="AN97" i="3" s="1"/>
  <c r="AP97" i="3"/>
  <c r="AQ97" i="3" s="1"/>
  <c r="AP97" i="13"/>
  <c r="AM97" i="13" l="1"/>
  <c r="AN97" i="13" s="1"/>
  <c r="AO97" i="13" s="1"/>
  <c r="AT97" i="3"/>
  <c r="AU97" i="3" s="1"/>
  <c r="AO97" i="3"/>
  <c r="AQ97" i="13" l="1"/>
  <c r="AS97" i="3"/>
  <c r="AV97" i="3" s="1"/>
  <c r="I98" i="3" l="1"/>
  <c r="J98" i="3"/>
  <c r="I98" i="13"/>
  <c r="J98" i="13"/>
  <c r="AA98" i="13" l="1"/>
  <c r="AE98" i="13"/>
  <c r="AA98" i="3"/>
  <c r="AE98" i="3"/>
  <c r="AG98" i="13"/>
  <c r="AH98" i="13" s="1"/>
  <c r="L98" i="3"/>
  <c r="V98" i="3" s="1"/>
  <c r="M98" i="3"/>
  <c r="K98" i="3"/>
  <c r="U98" i="3" s="1"/>
  <c r="N98" i="3"/>
  <c r="W98" i="3" s="1"/>
  <c r="M98" i="13"/>
  <c r="N98" i="13"/>
  <c r="W98" i="13" s="1"/>
  <c r="K98" i="13"/>
  <c r="U98" i="13" s="1"/>
  <c r="L98" i="13"/>
  <c r="V98" i="13" s="1"/>
  <c r="AG98" i="3"/>
  <c r="AH98" i="3" s="1"/>
  <c r="X98" i="13" l="1"/>
  <c r="AI98" i="13"/>
  <c r="AI98" i="3"/>
  <c r="X98" i="3"/>
  <c r="AJ98" i="3" l="1"/>
  <c r="AK98" i="3" s="1"/>
  <c r="AM98" i="3" s="1"/>
  <c r="AJ98" i="13"/>
  <c r="AK98" i="13" s="1"/>
  <c r="AL98" i="13" s="1"/>
  <c r="AP98" i="13" l="1"/>
  <c r="AL98" i="3"/>
  <c r="AN98" i="3" l="1"/>
  <c r="AP98" i="3"/>
  <c r="AQ98" i="3" s="1"/>
  <c r="AM98" i="13"/>
  <c r="AQ98" i="13" s="1"/>
  <c r="AN98" i="13" l="1"/>
  <c r="AO98" i="13" s="1"/>
  <c r="AT98" i="3"/>
  <c r="AU98" i="3" s="1"/>
  <c r="AO98" i="3"/>
  <c r="AS98" i="3" l="1"/>
  <c r="AV98" i="3" s="1"/>
  <c r="I99" i="3" l="1"/>
  <c r="J99" i="3"/>
  <c r="I99" i="13"/>
  <c r="J99" i="13"/>
  <c r="AA99" i="13" l="1"/>
  <c r="AE99" i="13"/>
  <c r="AA99" i="3"/>
  <c r="AE99" i="3"/>
  <c r="M99" i="13"/>
  <c r="N99" i="13"/>
  <c r="W99" i="13" s="1"/>
  <c r="K99" i="13"/>
  <c r="U99" i="13" s="1"/>
  <c r="L99" i="13"/>
  <c r="V99" i="13" s="1"/>
  <c r="M99" i="3"/>
  <c r="K99" i="3"/>
  <c r="U99" i="3" s="1"/>
  <c r="L99" i="3"/>
  <c r="V99" i="3" s="1"/>
  <c r="N99" i="3"/>
  <c r="W99" i="3" s="1"/>
  <c r="AG99" i="13"/>
  <c r="AH99" i="13" s="1"/>
  <c r="AG99" i="3"/>
  <c r="AH99" i="3" s="1"/>
  <c r="X99" i="13" l="1"/>
  <c r="AI99" i="13"/>
  <c r="X99" i="3"/>
  <c r="AI99" i="3"/>
  <c r="AJ99" i="3" l="1"/>
  <c r="AK99" i="3" s="1"/>
  <c r="AM99" i="3" s="1"/>
  <c r="AJ99" i="13"/>
  <c r="AK99" i="13" s="1"/>
  <c r="AL99" i="13" s="1"/>
  <c r="AP99" i="13" l="1"/>
  <c r="AL99" i="3"/>
  <c r="AM99" i="13" l="1"/>
  <c r="AQ99" i="13" s="1"/>
  <c r="AN99" i="3"/>
  <c r="AP99" i="3"/>
  <c r="AQ99" i="3" s="1"/>
  <c r="AT99" i="3" l="1"/>
  <c r="AU99" i="3" s="1"/>
  <c r="AO99" i="3"/>
  <c r="AN99" i="13"/>
  <c r="AO99" i="13" s="1"/>
  <c r="AS99" i="3" l="1"/>
  <c r="AV99" i="3" s="1"/>
  <c r="I100" i="3" l="1"/>
  <c r="J100" i="3"/>
  <c r="I100" i="13"/>
  <c r="J100" i="13"/>
  <c r="AA100" i="13" l="1"/>
  <c r="AE100" i="13"/>
  <c r="AA100" i="3"/>
  <c r="AE100" i="3"/>
  <c r="AG100" i="13"/>
  <c r="AH100" i="13" s="1"/>
  <c r="M100" i="3"/>
  <c r="N100" i="3"/>
  <c r="W100" i="3" s="1"/>
  <c r="K100" i="3"/>
  <c r="U100" i="3" s="1"/>
  <c r="L100" i="3"/>
  <c r="V100" i="3" s="1"/>
  <c r="M100" i="13"/>
  <c r="N100" i="13"/>
  <c r="W100" i="13" s="1"/>
  <c r="K100" i="13"/>
  <c r="U100" i="13" s="1"/>
  <c r="L100" i="13"/>
  <c r="V100" i="13" s="1"/>
  <c r="AG100" i="3"/>
  <c r="AH100" i="3" s="1"/>
  <c r="X100" i="13" l="1"/>
  <c r="AI100" i="13"/>
  <c r="X100" i="3"/>
  <c r="AI100" i="3"/>
  <c r="AJ100" i="3" l="1"/>
  <c r="AK100" i="3" s="1"/>
  <c r="AM100" i="3" s="1"/>
  <c r="AJ100" i="13"/>
  <c r="AK100" i="13" s="1"/>
  <c r="AL100" i="13" s="1"/>
  <c r="AP100" i="13" l="1"/>
  <c r="AL100" i="3"/>
  <c r="AM100" i="13" l="1"/>
  <c r="AQ100" i="13" s="1"/>
  <c r="AP100" i="3"/>
  <c r="AQ100" i="3" s="1"/>
  <c r="AN100" i="3"/>
  <c r="AT100" i="3" l="1"/>
  <c r="AU100" i="3" s="1"/>
  <c r="AO100" i="3"/>
  <c r="AN100" i="13"/>
  <c r="AO100" i="13" s="1"/>
  <c r="AS100" i="3" l="1"/>
  <c r="AV100" i="3" s="1"/>
  <c r="J101" i="3" l="1"/>
  <c r="I101" i="3"/>
  <c r="I101" i="13"/>
  <c r="J101" i="13"/>
  <c r="AA101" i="13" l="1"/>
  <c r="AE101" i="13"/>
  <c r="AA101" i="3"/>
  <c r="AE101" i="3"/>
  <c r="M101" i="13"/>
  <c r="N101" i="13"/>
  <c r="W101" i="13" s="1"/>
  <c r="K101" i="13"/>
  <c r="U101" i="13" s="1"/>
  <c r="L101" i="13"/>
  <c r="V101" i="13" s="1"/>
  <c r="AG101" i="13"/>
  <c r="AH101" i="13" s="1"/>
  <c r="AG101" i="3"/>
  <c r="AH101" i="3" s="1"/>
  <c r="N101" i="3"/>
  <c r="W101" i="3" s="1"/>
  <c r="K101" i="3"/>
  <c r="U101" i="3" s="1"/>
  <c r="L101" i="3"/>
  <c r="V101" i="3" s="1"/>
  <c r="M101" i="3"/>
  <c r="X101" i="13" l="1"/>
  <c r="AI101" i="13"/>
  <c r="X101" i="3"/>
  <c r="AI101" i="3"/>
  <c r="AJ101" i="3" l="1"/>
  <c r="AK101" i="3" s="1"/>
  <c r="AM101" i="3" s="1"/>
  <c r="AJ101" i="13"/>
  <c r="AK101" i="13" s="1"/>
  <c r="AL101" i="13" s="1"/>
  <c r="AP101" i="13" l="1"/>
  <c r="AM101" i="13"/>
  <c r="AN101" i="13" s="1"/>
  <c r="AO101" i="13" s="1"/>
  <c r="X15" i="15" s="1"/>
  <c r="AL101" i="3"/>
  <c r="AQ101" i="13" l="1"/>
  <c r="Y15" i="15" s="1"/>
  <c r="AP101" i="3"/>
  <c r="AQ101" i="3" s="1"/>
  <c r="Y15" i="14" s="1"/>
  <c r="AN101" i="3"/>
  <c r="AT101" i="3" l="1"/>
  <c r="AU101" i="3" s="1"/>
  <c r="AO101" i="3"/>
  <c r="X15" i="14" s="1"/>
  <c r="AS101" i="3" l="1"/>
  <c r="AV101" i="3" s="1"/>
  <c r="I102" i="3" l="1"/>
  <c r="J102" i="3"/>
  <c r="I102" i="13"/>
  <c r="J102" i="13"/>
  <c r="AA102" i="13" l="1"/>
  <c r="AE102" i="13"/>
  <c r="AA102" i="3"/>
  <c r="AE102" i="3"/>
  <c r="AG102" i="13"/>
  <c r="AH102" i="13" s="1"/>
  <c r="K102" i="3"/>
  <c r="U102" i="3" s="1"/>
  <c r="L102" i="3"/>
  <c r="V102" i="3" s="1"/>
  <c r="M102" i="3"/>
  <c r="N102" i="3"/>
  <c r="W102" i="3" s="1"/>
  <c r="M102" i="13"/>
  <c r="N102" i="13"/>
  <c r="W102" i="13" s="1"/>
  <c r="K102" i="13"/>
  <c r="U102" i="13" s="1"/>
  <c r="L102" i="13"/>
  <c r="V102" i="13" s="1"/>
  <c r="AG102" i="3"/>
  <c r="AH102" i="3" s="1"/>
  <c r="AI102" i="3" l="1"/>
  <c r="X102" i="3"/>
  <c r="X102" i="13"/>
  <c r="AI102" i="13"/>
  <c r="AJ102" i="13" l="1"/>
  <c r="AK102" i="13" s="1"/>
  <c r="AL102" i="13" s="1"/>
  <c r="AJ102" i="3"/>
  <c r="AK102" i="3" s="1"/>
  <c r="AM102" i="3" s="1"/>
  <c r="AM102" i="13" l="1"/>
  <c r="AN102" i="13" s="1"/>
  <c r="AO102" i="13" s="1"/>
  <c r="AL102" i="3"/>
  <c r="AP102" i="3" s="1"/>
  <c r="AQ102" i="3" s="1"/>
  <c r="AP102" i="13"/>
  <c r="AQ102" i="13" s="1"/>
  <c r="AN102" i="3" l="1"/>
  <c r="AO102" i="3" s="1"/>
  <c r="AT102" i="3"/>
  <c r="AU102" i="3" s="1"/>
  <c r="AS102" i="3" l="1"/>
  <c r="AV102" i="3" s="1"/>
  <c r="I103" i="3" l="1"/>
  <c r="J103" i="3"/>
  <c r="I103" i="13"/>
  <c r="J103" i="13"/>
  <c r="AA103" i="13" l="1"/>
  <c r="AE103" i="13"/>
  <c r="AA103" i="3"/>
  <c r="AE103" i="3"/>
  <c r="AG103" i="13"/>
  <c r="AH103" i="13" s="1"/>
  <c r="L103" i="3"/>
  <c r="V103" i="3" s="1"/>
  <c r="M103" i="3"/>
  <c r="N103" i="3"/>
  <c r="W103" i="3" s="1"/>
  <c r="K103" i="3"/>
  <c r="U103" i="3" s="1"/>
  <c r="M103" i="13"/>
  <c r="N103" i="13"/>
  <c r="W103" i="13" s="1"/>
  <c r="K103" i="13"/>
  <c r="U103" i="13" s="1"/>
  <c r="L103" i="13"/>
  <c r="V103" i="13" s="1"/>
  <c r="AG103" i="3"/>
  <c r="AH103" i="3" s="1"/>
  <c r="X103" i="13" l="1"/>
  <c r="AI103" i="13"/>
  <c r="AI103" i="3"/>
  <c r="X103" i="3"/>
  <c r="AJ103" i="13" l="1"/>
  <c r="AK103" i="13" s="1"/>
  <c r="AL103" i="13" s="1"/>
  <c r="AJ103" i="3"/>
  <c r="AK103" i="3" s="1"/>
  <c r="AM103" i="3" s="1"/>
  <c r="AM103" i="13" l="1"/>
  <c r="AN103" i="13" s="1"/>
  <c r="AO103" i="13" s="1"/>
  <c r="AL103" i="3"/>
  <c r="AP103" i="13"/>
  <c r="AQ103" i="13" s="1"/>
  <c r="AN103" i="3" l="1"/>
  <c r="AP103" i="3"/>
  <c r="AQ103" i="3" s="1"/>
  <c r="AT103" i="3" l="1"/>
  <c r="AU103" i="3" s="1"/>
  <c r="AO103" i="3"/>
  <c r="AS103" i="3" l="1"/>
  <c r="AV103" i="3" s="1"/>
  <c r="I104" i="3" l="1"/>
  <c r="J104" i="3"/>
  <c r="I104" i="13"/>
  <c r="J104" i="13"/>
  <c r="AA104" i="13" l="1"/>
  <c r="AE104" i="13"/>
  <c r="AA104" i="3"/>
  <c r="AE104" i="3"/>
  <c r="M104" i="13"/>
  <c r="N104" i="13"/>
  <c r="W104" i="13" s="1"/>
  <c r="K104" i="13"/>
  <c r="U104" i="13" s="1"/>
  <c r="L104" i="13"/>
  <c r="V104" i="13" s="1"/>
  <c r="M104" i="3"/>
  <c r="N104" i="3"/>
  <c r="W104" i="3" s="1"/>
  <c r="K104" i="3"/>
  <c r="U104" i="3" s="1"/>
  <c r="L104" i="3"/>
  <c r="V104" i="3" s="1"/>
  <c r="AG104" i="13"/>
  <c r="AH104" i="13" s="1"/>
  <c r="AG104" i="3"/>
  <c r="AH104" i="3" s="1"/>
  <c r="X104" i="3" l="1"/>
  <c r="AI104" i="3"/>
  <c r="X104" i="13"/>
  <c r="AI104" i="13"/>
  <c r="AJ104" i="3" l="1"/>
  <c r="AK104" i="3" s="1"/>
  <c r="AM104" i="3" s="1"/>
  <c r="AJ104" i="13"/>
  <c r="AK104" i="13" s="1"/>
  <c r="AL104" i="13" s="1"/>
  <c r="AM104" i="13" l="1"/>
  <c r="AN104" i="13" s="1"/>
  <c r="AO104" i="13" s="1"/>
  <c r="AP104" i="13"/>
  <c r="AL104" i="3"/>
  <c r="AQ104" i="13" l="1"/>
  <c r="AP104" i="3"/>
  <c r="AQ104" i="3" s="1"/>
  <c r="AN104" i="3"/>
  <c r="AT104" i="3" l="1"/>
  <c r="AU104" i="3" s="1"/>
  <c r="AO104" i="3"/>
  <c r="AS104" i="3" l="1"/>
  <c r="AV104" i="3" s="1"/>
  <c r="J105" i="3" l="1"/>
  <c r="I105" i="3"/>
  <c r="I105" i="13"/>
  <c r="J105" i="13"/>
  <c r="AA105" i="13" l="1"/>
  <c r="AE105" i="13"/>
  <c r="AA105" i="3"/>
  <c r="AE105" i="3"/>
  <c r="AG105" i="13"/>
  <c r="AH105" i="13" s="1"/>
  <c r="AG105" i="3"/>
  <c r="AH105" i="3" s="1"/>
  <c r="M105" i="13"/>
  <c r="N105" i="13"/>
  <c r="W105" i="13" s="1"/>
  <c r="K105" i="13"/>
  <c r="U105" i="13" s="1"/>
  <c r="L105" i="13"/>
  <c r="V105" i="13" s="1"/>
  <c r="N105" i="3"/>
  <c r="W105" i="3" s="1"/>
  <c r="K105" i="3"/>
  <c r="U105" i="3" s="1"/>
  <c r="L105" i="3"/>
  <c r="V105" i="3" s="1"/>
  <c r="M105" i="3"/>
  <c r="X105" i="13" l="1"/>
  <c r="AI105" i="13"/>
  <c r="X105" i="3"/>
  <c r="AI105" i="3"/>
  <c r="AJ105" i="3" l="1"/>
  <c r="AK105" i="3" s="1"/>
  <c r="AM105" i="3" s="1"/>
  <c r="AJ105" i="13"/>
  <c r="AK105" i="13" s="1"/>
  <c r="AL105" i="13" s="1"/>
  <c r="AM105" i="13" l="1"/>
  <c r="AN105" i="13" s="1"/>
  <c r="AO105" i="13" s="1"/>
  <c r="AL105" i="3"/>
  <c r="AP105" i="3" s="1"/>
  <c r="AQ105" i="3" s="1"/>
  <c r="AP105" i="13"/>
  <c r="AQ105" i="13" l="1"/>
  <c r="AN105" i="3"/>
  <c r="AO105" i="3" s="1"/>
  <c r="AT105" i="3"/>
  <c r="AU105" i="3" s="1"/>
  <c r="AS105" i="3" l="1"/>
  <c r="AV105" i="3" s="1"/>
  <c r="I106" i="3" l="1"/>
  <c r="J106" i="3"/>
  <c r="I106" i="13"/>
  <c r="J106" i="13"/>
  <c r="AA106" i="13" l="1"/>
  <c r="AE106" i="13"/>
  <c r="AA106" i="3"/>
  <c r="AE106" i="3"/>
  <c r="AG106" i="13"/>
  <c r="AH106" i="13" s="1"/>
  <c r="K106" i="3"/>
  <c r="U106" i="3" s="1"/>
  <c r="L106" i="3"/>
  <c r="V106" i="3" s="1"/>
  <c r="M106" i="3"/>
  <c r="N106" i="3"/>
  <c r="W106" i="3" s="1"/>
  <c r="M106" i="13"/>
  <c r="N106" i="13"/>
  <c r="W106" i="13" s="1"/>
  <c r="K106" i="13"/>
  <c r="U106" i="13" s="1"/>
  <c r="L106" i="13"/>
  <c r="V106" i="13" s="1"/>
  <c r="AG106" i="3"/>
  <c r="AH106" i="3" s="1"/>
  <c r="AI106" i="3" l="1"/>
  <c r="X106" i="3"/>
  <c r="X106" i="13"/>
  <c r="AI106" i="13"/>
  <c r="AJ106" i="3" l="1"/>
  <c r="AK106" i="3" s="1"/>
  <c r="AM106" i="3" s="1"/>
  <c r="AJ106" i="13"/>
  <c r="AK106" i="13" s="1"/>
  <c r="AL106" i="13" s="1"/>
  <c r="AP106" i="13" l="1"/>
  <c r="AQ106" i="13" s="1"/>
  <c r="AL106" i="3"/>
  <c r="AM106" i="13"/>
  <c r="AN106" i="13" s="1"/>
  <c r="AO106" i="13" s="1"/>
  <c r="AN106" i="3" l="1"/>
  <c r="AP106" i="3"/>
  <c r="AQ106" i="3" s="1"/>
  <c r="AT106" i="3" l="1"/>
  <c r="AU106" i="3" s="1"/>
  <c r="AO106" i="3"/>
  <c r="AS106" i="3" l="1"/>
  <c r="AV106" i="3" s="1"/>
  <c r="I107" i="3" l="1"/>
  <c r="J107" i="3"/>
  <c r="I107" i="13"/>
  <c r="J107" i="13"/>
  <c r="AA107" i="13" l="1"/>
  <c r="AE107" i="13"/>
  <c r="AA107" i="3"/>
  <c r="AE107" i="3"/>
  <c r="M107" i="13"/>
  <c r="N107" i="13"/>
  <c r="W107" i="13" s="1"/>
  <c r="K107" i="13"/>
  <c r="U107" i="13" s="1"/>
  <c r="L107" i="13"/>
  <c r="V107" i="13" s="1"/>
  <c r="AG107" i="13"/>
  <c r="AH107" i="13" s="1"/>
  <c r="L107" i="3"/>
  <c r="V107" i="3" s="1"/>
  <c r="M107" i="3"/>
  <c r="N107" i="3"/>
  <c r="W107" i="3" s="1"/>
  <c r="K107" i="3"/>
  <c r="U107" i="3" s="1"/>
  <c r="AG107" i="3"/>
  <c r="AH107" i="3" s="1"/>
  <c r="X107" i="13" l="1"/>
  <c r="AI107" i="13"/>
  <c r="AI107" i="3"/>
  <c r="X107" i="3"/>
  <c r="AJ107" i="13" l="1"/>
  <c r="AK107" i="13" s="1"/>
  <c r="AL107" i="13" s="1"/>
  <c r="AJ107" i="3"/>
  <c r="AK107" i="3" s="1"/>
  <c r="AM107" i="3" s="1"/>
  <c r="AM107" i="13" l="1"/>
  <c r="AN107" i="13" s="1"/>
  <c r="AO107" i="13" s="1"/>
  <c r="AL107" i="3"/>
  <c r="AP107" i="13"/>
  <c r="AQ107" i="13" l="1"/>
  <c r="AN107" i="3"/>
  <c r="AP107" i="3"/>
  <c r="AQ107" i="3" s="1"/>
  <c r="AT107" i="3" l="1"/>
  <c r="AU107" i="3" s="1"/>
  <c r="AO107" i="3"/>
  <c r="AS107" i="3" l="1"/>
  <c r="AV107" i="3" s="1"/>
  <c r="I108" i="3" l="1"/>
  <c r="J108" i="3"/>
  <c r="I108" i="13"/>
  <c r="J108" i="13"/>
  <c r="AA108" i="13" l="1"/>
  <c r="AE108" i="13"/>
  <c r="AA108" i="3"/>
  <c r="AE108" i="3"/>
  <c r="AG108" i="13"/>
  <c r="AH108" i="13" s="1"/>
  <c r="M108" i="13"/>
  <c r="N108" i="13"/>
  <c r="W108" i="13" s="1"/>
  <c r="K108" i="13"/>
  <c r="U108" i="13" s="1"/>
  <c r="L108" i="13"/>
  <c r="V108" i="13" s="1"/>
  <c r="M108" i="3"/>
  <c r="N108" i="3"/>
  <c r="W108" i="3" s="1"/>
  <c r="K108" i="3"/>
  <c r="U108" i="3" s="1"/>
  <c r="L108" i="3"/>
  <c r="V108" i="3" s="1"/>
  <c r="AG108" i="3"/>
  <c r="AH108" i="3" s="1"/>
  <c r="X108" i="3" l="1"/>
  <c r="AI108" i="3"/>
  <c r="X108" i="13"/>
  <c r="AI108" i="13"/>
  <c r="AJ108" i="13" l="1"/>
  <c r="AK108" i="13" s="1"/>
  <c r="AL108" i="13" s="1"/>
  <c r="AJ108" i="3"/>
  <c r="AK108" i="3" s="1"/>
  <c r="AM108" i="3" s="1"/>
  <c r="AL108" i="3" l="1"/>
  <c r="AP108" i="13"/>
  <c r="AP108" i="3" l="1"/>
  <c r="AQ108" i="3" s="1"/>
  <c r="AN108" i="3"/>
  <c r="AM108" i="13"/>
  <c r="AN108" i="13" l="1"/>
  <c r="AO108" i="13" s="1"/>
  <c r="AT108" i="3"/>
  <c r="AU108" i="3" s="1"/>
  <c r="AO108" i="3"/>
  <c r="AQ108" i="13"/>
  <c r="AS108" i="3" l="1"/>
  <c r="AV108" i="3" s="1"/>
  <c r="J109" i="3" l="1"/>
  <c r="I109" i="3"/>
  <c r="I109" i="13"/>
  <c r="J109" i="13"/>
  <c r="AA109" i="13" l="1"/>
  <c r="AE109" i="13"/>
  <c r="AA109" i="3"/>
  <c r="AE109" i="3"/>
  <c r="M109" i="13"/>
  <c r="N109" i="13"/>
  <c r="W109" i="13" s="1"/>
  <c r="K109" i="13"/>
  <c r="U109" i="13" s="1"/>
  <c r="L109" i="13"/>
  <c r="V109" i="13" s="1"/>
  <c r="AG109" i="3"/>
  <c r="AH109" i="3" s="1"/>
  <c r="AG109" i="13"/>
  <c r="AH109" i="13" s="1"/>
  <c r="N109" i="3"/>
  <c r="W109" i="3" s="1"/>
  <c r="K109" i="3"/>
  <c r="U109" i="3" s="1"/>
  <c r="L109" i="3"/>
  <c r="V109" i="3" s="1"/>
  <c r="M109" i="3"/>
  <c r="X109" i="13" l="1"/>
  <c r="AI109" i="13"/>
  <c r="X109" i="3"/>
  <c r="AI109" i="3"/>
  <c r="AJ109" i="13" l="1"/>
  <c r="AK109" i="13" s="1"/>
  <c r="AL109" i="13" s="1"/>
  <c r="AJ109" i="3"/>
  <c r="AK109" i="3" s="1"/>
  <c r="AM109" i="3" s="1"/>
  <c r="AL109" i="3" l="1"/>
  <c r="AP109" i="13"/>
  <c r="AP109" i="3" l="1"/>
  <c r="AQ109" i="3" s="1"/>
  <c r="AN109" i="3"/>
  <c r="AM109" i="13"/>
  <c r="AN109" i="13" l="1"/>
  <c r="AO109" i="13" s="1"/>
  <c r="AT109" i="3"/>
  <c r="AU109" i="3" s="1"/>
  <c r="AO109" i="3"/>
  <c r="AQ109" i="13"/>
  <c r="AS109" i="3" l="1"/>
  <c r="AV109" i="3" s="1"/>
  <c r="I110" i="3" l="1"/>
  <c r="J110" i="3"/>
  <c r="I110" i="13"/>
  <c r="J110" i="13"/>
  <c r="AA110" i="13" l="1"/>
  <c r="AE110" i="13"/>
  <c r="AA110" i="3"/>
  <c r="AE110" i="3"/>
  <c r="M110" i="13"/>
  <c r="N110" i="13"/>
  <c r="W110" i="13" s="1"/>
  <c r="K110" i="13"/>
  <c r="U110" i="13" s="1"/>
  <c r="L110" i="13"/>
  <c r="V110" i="13" s="1"/>
  <c r="AG110" i="13"/>
  <c r="AH110" i="13" s="1"/>
  <c r="K110" i="3"/>
  <c r="U110" i="3" s="1"/>
  <c r="L110" i="3"/>
  <c r="V110" i="3" s="1"/>
  <c r="M110" i="3"/>
  <c r="N110" i="3"/>
  <c r="W110" i="3" s="1"/>
  <c r="AG110" i="3"/>
  <c r="AH110" i="3" s="1"/>
  <c r="AI110" i="3" l="1"/>
  <c r="X110" i="3"/>
  <c r="X110" i="13"/>
  <c r="AI110" i="13"/>
  <c r="AJ110" i="13" l="1"/>
  <c r="AK110" i="13" s="1"/>
  <c r="AL110" i="13" s="1"/>
  <c r="AJ110" i="3"/>
  <c r="AK110" i="3" s="1"/>
  <c r="AM110" i="3" s="1"/>
  <c r="AP110" i="13" l="1"/>
  <c r="AL110" i="3"/>
  <c r="AN110" i="3" l="1"/>
  <c r="AP110" i="3"/>
  <c r="AQ110" i="3" s="1"/>
  <c r="AM110" i="13"/>
  <c r="AQ110" i="13" s="1"/>
  <c r="AN110" i="13" l="1"/>
  <c r="AO110" i="13" s="1"/>
  <c r="AT110" i="3"/>
  <c r="AU110" i="3" s="1"/>
  <c r="AO110" i="3"/>
  <c r="AS110" i="3" l="1"/>
  <c r="AV110" i="3" s="1"/>
  <c r="I111" i="3" l="1"/>
  <c r="J111" i="3"/>
  <c r="I111" i="13"/>
  <c r="J111" i="13"/>
  <c r="AA111" i="13" l="1"/>
  <c r="AE111" i="13"/>
  <c r="AA111" i="3"/>
  <c r="AE111" i="3"/>
  <c r="AG111" i="13"/>
  <c r="AH111" i="13" s="1"/>
  <c r="M111" i="13"/>
  <c r="N111" i="13"/>
  <c r="W111" i="13" s="1"/>
  <c r="K111" i="13"/>
  <c r="U111" i="13" s="1"/>
  <c r="L111" i="13"/>
  <c r="V111" i="13" s="1"/>
  <c r="L111" i="3"/>
  <c r="V111" i="3" s="1"/>
  <c r="M111" i="3"/>
  <c r="N111" i="3"/>
  <c r="W111" i="3" s="1"/>
  <c r="K111" i="3"/>
  <c r="U111" i="3" s="1"/>
  <c r="AG111" i="3"/>
  <c r="AH111" i="3" s="1"/>
  <c r="AI111" i="3" l="1"/>
  <c r="X111" i="3"/>
  <c r="X111" i="13"/>
  <c r="AI111" i="13"/>
  <c r="AJ111" i="3" l="1"/>
  <c r="AK111" i="3" s="1"/>
  <c r="AM111" i="3" s="1"/>
  <c r="AJ111" i="13"/>
  <c r="AK111" i="13" s="1"/>
  <c r="AL111" i="13" s="1"/>
  <c r="AP111" i="13" l="1"/>
  <c r="AL111" i="3"/>
  <c r="AN111" i="3" l="1"/>
  <c r="AP111" i="3"/>
  <c r="AQ111" i="3" s="1"/>
  <c r="AM111" i="13"/>
  <c r="AN111" i="13" l="1"/>
  <c r="AO111" i="13" s="1"/>
  <c r="AQ111" i="13"/>
  <c r="AT111" i="3"/>
  <c r="AU111" i="3" s="1"/>
  <c r="AO111" i="3"/>
  <c r="AS111" i="3" l="1"/>
  <c r="AV111" i="3" s="1"/>
  <c r="I112" i="3" l="1"/>
  <c r="J112" i="3"/>
  <c r="I112" i="13"/>
  <c r="J112" i="13"/>
  <c r="AA112" i="13" l="1"/>
  <c r="AE112" i="13"/>
  <c r="AA112" i="3"/>
  <c r="AE112" i="3"/>
  <c r="M112" i="13"/>
  <c r="N112" i="13"/>
  <c r="W112" i="13" s="1"/>
  <c r="K112" i="13"/>
  <c r="U112" i="13" s="1"/>
  <c r="L112" i="13"/>
  <c r="V112" i="13" s="1"/>
  <c r="AG112" i="13"/>
  <c r="AH112" i="13" s="1"/>
  <c r="M112" i="3"/>
  <c r="N112" i="3"/>
  <c r="W112" i="3" s="1"/>
  <c r="K112" i="3"/>
  <c r="U112" i="3" s="1"/>
  <c r="L112" i="3"/>
  <c r="V112" i="3" s="1"/>
  <c r="AG112" i="3"/>
  <c r="AH112" i="3" s="1"/>
  <c r="X112" i="13" l="1"/>
  <c r="AI112" i="13"/>
  <c r="X112" i="3"/>
  <c r="AI112" i="3"/>
  <c r="AJ112" i="13" l="1"/>
  <c r="AK112" i="13" s="1"/>
  <c r="AL112" i="13" s="1"/>
  <c r="AJ112" i="3"/>
  <c r="AK112" i="3" s="1"/>
  <c r="AM112" i="3" s="1"/>
  <c r="AL112" i="3" l="1"/>
  <c r="AP112" i="13"/>
  <c r="AM112" i="13" l="1"/>
  <c r="AP112" i="3"/>
  <c r="AQ112" i="3" s="1"/>
  <c r="AN112" i="3"/>
  <c r="AT112" i="3" l="1"/>
  <c r="AU112" i="3" s="1"/>
  <c r="AO112" i="3"/>
  <c r="AN112" i="13"/>
  <c r="AO112" i="13" s="1"/>
  <c r="AQ112" i="13"/>
  <c r="AS112" i="3" l="1"/>
  <c r="AV112" i="3" s="1"/>
  <c r="J113" i="3" l="1"/>
  <c r="I113" i="3"/>
  <c r="I113" i="13"/>
  <c r="J113" i="13"/>
  <c r="AA113" i="13" l="1"/>
  <c r="AE113" i="13"/>
  <c r="AA113" i="3"/>
  <c r="AE113" i="3"/>
  <c r="M113" i="13"/>
  <c r="N113" i="13"/>
  <c r="W113" i="13" s="1"/>
  <c r="K113" i="13"/>
  <c r="U113" i="13" s="1"/>
  <c r="L113" i="13"/>
  <c r="V113" i="13" s="1"/>
  <c r="AG113" i="13"/>
  <c r="AH113" i="13" s="1"/>
  <c r="AG113" i="3"/>
  <c r="AH113" i="3" s="1"/>
  <c r="N113" i="3"/>
  <c r="W113" i="3" s="1"/>
  <c r="K113" i="3"/>
  <c r="U113" i="3" s="1"/>
  <c r="L113" i="3"/>
  <c r="V113" i="3" s="1"/>
  <c r="M113" i="3"/>
  <c r="X113" i="13" l="1"/>
  <c r="AI113" i="13"/>
  <c r="X113" i="3"/>
  <c r="AI113" i="3"/>
  <c r="AJ113" i="13" l="1"/>
  <c r="AK113" i="13" s="1"/>
  <c r="AL113" i="13" s="1"/>
  <c r="AJ113" i="3"/>
  <c r="AK113" i="3" s="1"/>
  <c r="AM113" i="3" s="1"/>
  <c r="AM113" i="13" l="1"/>
  <c r="AN113" i="13" s="1"/>
  <c r="AO113" i="13" s="1"/>
  <c r="X16" i="15" s="1"/>
  <c r="AL113" i="3"/>
  <c r="AP113" i="13"/>
  <c r="AQ113" i="13" l="1"/>
  <c r="Y16" i="15" s="1"/>
  <c r="AP113" i="3"/>
  <c r="AQ113" i="3" s="1"/>
  <c r="Y16" i="14" s="1"/>
  <c r="AN113" i="3"/>
  <c r="AT113" i="3" l="1"/>
  <c r="AU113" i="3" s="1"/>
  <c r="AO113" i="3"/>
  <c r="X16" i="14" s="1"/>
  <c r="AS113" i="3" l="1"/>
  <c r="AV113" i="3" s="1"/>
  <c r="I114" i="3" l="1"/>
  <c r="J114" i="3"/>
  <c r="I114" i="13"/>
  <c r="J114" i="13"/>
  <c r="AA114" i="13" l="1"/>
  <c r="AE114" i="13"/>
  <c r="AA114" i="3"/>
  <c r="AE114" i="3"/>
  <c r="AG114" i="13"/>
  <c r="AH114" i="13" s="1"/>
  <c r="K114" i="3"/>
  <c r="U114" i="3" s="1"/>
  <c r="L114" i="3"/>
  <c r="V114" i="3" s="1"/>
  <c r="M114" i="3"/>
  <c r="N114" i="3"/>
  <c r="W114" i="3" s="1"/>
  <c r="M114" i="13"/>
  <c r="K114" i="13"/>
  <c r="U114" i="13" s="1"/>
  <c r="L114" i="13"/>
  <c r="V114" i="13" s="1"/>
  <c r="N114" i="13"/>
  <c r="W114" i="13" s="1"/>
  <c r="AG114" i="3"/>
  <c r="AH114" i="3" s="1"/>
  <c r="AI114" i="3" l="1"/>
  <c r="X114" i="3"/>
  <c r="X114" i="13"/>
  <c r="AI114" i="13"/>
  <c r="AJ114" i="13" l="1"/>
  <c r="AK114" i="13" s="1"/>
  <c r="AL114" i="13" s="1"/>
  <c r="AJ114" i="3"/>
  <c r="AK114" i="3" s="1"/>
  <c r="AM114" i="3" s="1"/>
  <c r="AL114" i="3" l="1"/>
  <c r="AM114" i="13"/>
  <c r="AN114" i="13" s="1"/>
  <c r="AO114" i="13" s="1"/>
  <c r="AP114" i="13"/>
  <c r="AQ114" i="13" l="1"/>
  <c r="AN114" i="3"/>
  <c r="AP114" i="3"/>
  <c r="AQ114" i="3" s="1"/>
  <c r="AT114" i="3" l="1"/>
  <c r="AU114" i="3" s="1"/>
  <c r="AO114" i="3"/>
  <c r="AS114" i="3" l="1"/>
  <c r="AV114" i="3" s="1"/>
  <c r="I115" i="3" l="1"/>
  <c r="J115" i="3"/>
  <c r="I115" i="13"/>
  <c r="J115" i="13"/>
  <c r="AA115" i="13" l="1"/>
  <c r="AE115" i="13"/>
  <c r="AA115" i="3"/>
  <c r="AE115" i="3"/>
  <c r="M115" i="13"/>
  <c r="K115" i="13"/>
  <c r="U115" i="13" s="1"/>
  <c r="L115" i="13"/>
  <c r="V115" i="13" s="1"/>
  <c r="N115" i="13"/>
  <c r="W115" i="13" s="1"/>
  <c r="AG115" i="13"/>
  <c r="AH115" i="13" s="1"/>
  <c r="L115" i="3"/>
  <c r="V115" i="3" s="1"/>
  <c r="M115" i="3"/>
  <c r="N115" i="3"/>
  <c r="W115" i="3" s="1"/>
  <c r="K115" i="3"/>
  <c r="U115" i="3" s="1"/>
  <c r="AG115" i="3"/>
  <c r="AH115" i="3" s="1"/>
  <c r="AI115" i="3" l="1"/>
  <c r="X115" i="3"/>
  <c r="X115" i="13"/>
  <c r="AI115" i="13"/>
  <c r="AJ115" i="13" l="1"/>
  <c r="AK115" i="13" s="1"/>
  <c r="AL115" i="13" s="1"/>
  <c r="AJ115" i="3"/>
  <c r="AK115" i="3" s="1"/>
  <c r="AM115" i="3" s="1"/>
  <c r="AM115" i="13" l="1"/>
  <c r="AN115" i="13" s="1"/>
  <c r="AO115" i="13" s="1"/>
  <c r="AL115" i="3"/>
  <c r="AP115" i="13"/>
  <c r="AQ115" i="13" s="1"/>
  <c r="AN115" i="3" l="1"/>
  <c r="AP115" i="3"/>
  <c r="AQ115" i="3" s="1"/>
  <c r="AT115" i="3" l="1"/>
  <c r="AU115" i="3" s="1"/>
  <c r="AO115" i="3"/>
  <c r="AS115" i="3" l="1"/>
  <c r="AV115" i="3" s="1"/>
  <c r="I116" i="3" l="1"/>
  <c r="J116" i="3"/>
  <c r="I116" i="13"/>
  <c r="J116" i="13"/>
  <c r="AA116" i="13" l="1"/>
  <c r="AE116" i="13"/>
  <c r="AA116" i="3"/>
  <c r="AE116" i="3"/>
  <c r="M116" i="13"/>
  <c r="N116" i="13"/>
  <c r="W116" i="13" s="1"/>
  <c r="K116" i="13"/>
  <c r="U116" i="13" s="1"/>
  <c r="L116" i="13"/>
  <c r="V116" i="13" s="1"/>
  <c r="AG116" i="13"/>
  <c r="AH116" i="13" s="1"/>
  <c r="M116" i="3"/>
  <c r="N116" i="3"/>
  <c r="W116" i="3" s="1"/>
  <c r="K116" i="3"/>
  <c r="U116" i="3" s="1"/>
  <c r="L116" i="3"/>
  <c r="V116" i="3" s="1"/>
  <c r="AG116" i="3"/>
  <c r="AH116" i="3" s="1"/>
  <c r="AI116" i="13" l="1"/>
  <c r="X116" i="13"/>
  <c r="X116" i="3"/>
  <c r="AI116" i="3"/>
  <c r="AJ116" i="3" l="1"/>
  <c r="AK116" i="3" s="1"/>
  <c r="AM116" i="3" s="1"/>
  <c r="AJ116" i="13"/>
  <c r="AK116" i="13" s="1"/>
  <c r="AL116" i="13" s="1"/>
  <c r="AP116" i="13" l="1"/>
  <c r="AM116" i="13"/>
  <c r="AN116" i="13" s="1"/>
  <c r="AO116" i="13" s="1"/>
  <c r="AL116" i="3"/>
  <c r="AP116" i="3" l="1"/>
  <c r="AQ116" i="3" s="1"/>
  <c r="AN116" i="3"/>
  <c r="AQ116" i="13"/>
  <c r="AT116" i="3" l="1"/>
  <c r="AU116" i="3" s="1"/>
  <c r="AO116" i="3"/>
  <c r="AS116" i="3" l="1"/>
  <c r="AV116" i="3" s="1"/>
  <c r="J117" i="3" l="1"/>
  <c r="I117" i="3"/>
  <c r="I117" i="13"/>
  <c r="J117" i="13"/>
  <c r="AA117" i="13" l="1"/>
  <c r="AE117" i="13"/>
  <c r="AA117" i="3"/>
  <c r="AE117" i="3"/>
  <c r="AG117" i="13"/>
  <c r="AH117" i="13" s="1"/>
  <c r="AG117" i="3"/>
  <c r="AH117" i="3" s="1"/>
  <c r="M117" i="13"/>
  <c r="L117" i="13"/>
  <c r="V117" i="13" s="1"/>
  <c r="N117" i="13"/>
  <c r="W117" i="13" s="1"/>
  <c r="K117" i="13"/>
  <c r="U117" i="13" s="1"/>
  <c r="N117" i="3"/>
  <c r="W117" i="3" s="1"/>
  <c r="K117" i="3"/>
  <c r="U117" i="3" s="1"/>
  <c r="L117" i="3"/>
  <c r="V117" i="3" s="1"/>
  <c r="M117" i="3"/>
  <c r="X117" i="13" l="1"/>
  <c r="AI117" i="13"/>
  <c r="X117" i="3"/>
  <c r="AI117" i="3"/>
  <c r="AJ117" i="3" l="1"/>
  <c r="AK117" i="3" s="1"/>
  <c r="AM117" i="3" s="1"/>
  <c r="AJ117" i="13"/>
  <c r="AK117" i="13" s="1"/>
  <c r="AL117" i="13" s="1"/>
  <c r="AP117" i="13" l="1"/>
  <c r="AM117" i="13"/>
  <c r="AN117" i="13" s="1"/>
  <c r="AO117" i="13" s="1"/>
  <c r="AL117" i="3"/>
  <c r="AQ117" i="13" l="1"/>
  <c r="AP117" i="3"/>
  <c r="AQ117" i="3" s="1"/>
  <c r="AN117" i="3"/>
  <c r="AT117" i="3" l="1"/>
  <c r="AU117" i="3" s="1"/>
  <c r="AO117" i="3"/>
  <c r="AS117" i="3" l="1"/>
  <c r="AV117" i="3" s="1"/>
  <c r="I118" i="3" l="1"/>
  <c r="J118" i="3"/>
  <c r="I118" i="13"/>
  <c r="J118" i="13"/>
  <c r="AA118" i="13" l="1"/>
  <c r="AE118" i="13"/>
  <c r="AA118" i="3"/>
  <c r="AE118" i="3"/>
  <c r="M118" i="13"/>
  <c r="K118" i="13"/>
  <c r="U118" i="13" s="1"/>
  <c r="L118" i="13"/>
  <c r="V118" i="13" s="1"/>
  <c r="N118" i="13"/>
  <c r="W118" i="13" s="1"/>
  <c r="AG118" i="13"/>
  <c r="AH118" i="13" s="1"/>
  <c r="K118" i="3"/>
  <c r="U118" i="3" s="1"/>
  <c r="L118" i="3"/>
  <c r="V118" i="3" s="1"/>
  <c r="M118" i="3"/>
  <c r="N118" i="3"/>
  <c r="W118" i="3" s="1"/>
  <c r="AG118" i="3"/>
  <c r="AH118" i="3" s="1"/>
  <c r="AI118" i="3" l="1"/>
  <c r="X118" i="3"/>
  <c r="X118" i="13"/>
  <c r="AI118" i="13"/>
  <c r="AJ118" i="3" l="1"/>
  <c r="AK118" i="3" s="1"/>
  <c r="AM118" i="3" s="1"/>
  <c r="AJ118" i="13"/>
  <c r="AK118" i="13" s="1"/>
  <c r="AL118" i="13" s="1"/>
  <c r="AP118" i="13" l="1"/>
  <c r="AM118" i="13"/>
  <c r="AN118" i="13" s="1"/>
  <c r="AO118" i="13" s="1"/>
  <c r="AL118" i="3"/>
  <c r="AQ118" i="13" l="1"/>
  <c r="AN118" i="3"/>
  <c r="AP118" i="3"/>
  <c r="AQ118" i="3" s="1"/>
  <c r="AT118" i="3" l="1"/>
  <c r="AU118" i="3" s="1"/>
  <c r="AO118" i="3"/>
  <c r="AS118" i="3" l="1"/>
  <c r="AV118" i="3" s="1"/>
  <c r="I119" i="3" l="1"/>
  <c r="J119" i="3"/>
  <c r="I119" i="13"/>
  <c r="J119" i="13"/>
  <c r="AA119" i="13" l="1"/>
  <c r="AE119" i="13"/>
  <c r="AA119" i="3"/>
  <c r="AE119" i="3"/>
  <c r="M119" i="13"/>
  <c r="K119" i="13"/>
  <c r="U119" i="13" s="1"/>
  <c r="L119" i="13"/>
  <c r="V119" i="13" s="1"/>
  <c r="N119" i="13"/>
  <c r="W119" i="13" s="1"/>
  <c r="AG119" i="13"/>
  <c r="AH119" i="13" s="1"/>
  <c r="L119" i="3"/>
  <c r="V119" i="3" s="1"/>
  <c r="M119" i="3"/>
  <c r="N119" i="3"/>
  <c r="W119" i="3" s="1"/>
  <c r="K119" i="3"/>
  <c r="U119" i="3" s="1"/>
  <c r="AG119" i="3"/>
  <c r="AH119" i="3" s="1"/>
  <c r="X119" i="13" l="1"/>
  <c r="AI119" i="13"/>
  <c r="AI119" i="3"/>
  <c r="X119" i="3"/>
  <c r="AJ119" i="3" l="1"/>
  <c r="AK119" i="3" s="1"/>
  <c r="AM119" i="3" s="1"/>
  <c r="AJ119" i="13"/>
  <c r="AK119" i="13" s="1"/>
  <c r="AL119" i="13" s="1"/>
  <c r="AP119" i="13" l="1"/>
  <c r="AQ119" i="13" s="1"/>
  <c r="AM119" i="13"/>
  <c r="AN119" i="13" s="1"/>
  <c r="AO119" i="13" s="1"/>
  <c r="AL119" i="3"/>
  <c r="AN119" i="3" l="1"/>
  <c r="AP119" i="3"/>
  <c r="AQ119" i="3" s="1"/>
  <c r="AT119" i="3" l="1"/>
  <c r="AU119" i="3" s="1"/>
  <c r="AO119" i="3"/>
  <c r="AS119" i="3" l="1"/>
  <c r="AV119" i="3" s="1"/>
  <c r="I120" i="3" l="1"/>
  <c r="J120" i="3"/>
  <c r="I120" i="13"/>
  <c r="J120" i="13"/>
  <c r="AA120" i="13" l="1"/>
  <c r="AE120" i="13"/>
  <c r="AA120" i="3"/>
  <c r="AE120" i="3"/>
  <c r="M120" i="13"/>
  <c r="N120" i="13"/>
  <c r="W120" i="13" s="1"/>
  <c r="K120" i="13"/>
  <c r="U120" i="13" s="1"/>
  <c r="L120" i="13"/>
  <c r="V120" i="13" s="1"/>
  <c r="AG120" i="13"/>
  <c r="AH120" i="13" s="1"/>
  <c r="M120" i="3"/>
  <c r="N120" i="3"/>
  <c r="W120" i="3" s="1"/>
  <c r="K120" i="3"/>
  <c r="U120" i="3" s="1"/>
  <c r="L120" i="3"/>
  <c r="V120" i="3" s="1"/>
  <c r="AG120" i="3"/>
  <c r="AH120" i="3" s="1"/>
  <c r="AI120" i="13" l="1"/>
  <c r="X120" i="13"/>
  <c r="X120" i="3"/>
  <c r="AI120" i="3"/>
  <c r="AJ120" i="3" l="1"/>
  <c r="AK120" i="3" s="1"/>
  <c r="AM120" i="3" s="1"/>
  <c r="AJ120" i="13"/>
  <c r="AK120" i="13" s="1"/>
  <c r="AL120" i="13" s="1"/>
  <c r="AP120" i="13" l="1"/>
  <c r="AL120" i="3"/>
  <c r="AM120" i="13" l="1"/>
  <c r="AQ120" i="13" s="1"/>
  <c r="AP120" i="3"/>
  <c r="AQ120" i="3" s="1"/>
  <c r="AN120" i="3"/>
  <c r="AT120" i="3" l="1"/>
  <c r="AU120" i="3" s="1"/>
  <c r="AO120" i="3"/>
  <c r="AN120" i="13"/>
  <c r="AO120" i="13" s="1"/>
  <c r="AS120" i="3" l="1"/>
  <c r="AV120" i="3" s="1"/>
  <c r="J121" i="3" l="1"/>
  <c r="I121" i="3"/>
  <c r="I121" i="13"/>
  <c r="J121" i="13"/>
  <c r="AA121" i="13" l="1"/>
  <c r="AE121" i="13"/>
  <c r="AA121" i="3"/>
  <c r="AE121" i="3"/>
  <c r="M121" i="13"/>
  <c r="L121" i="13"/>
  <c r="V121" i="13" s="1"/>
  <c r="N121" i="13"/>
  <c r="W121" i="13" s="1"/>
  <c r="K121" i="13"/>
  <c r="U121" i="13" s="1"/>
  <c r="AG121" i="3"/>
  <c r="AH121" i="3" s="1"/>
  <c r="AG121" i="13"/>
  <c r="AH121" i="13" s="1"/>
  <c r="N121" i="3"/>
  <c r="W121" i="3" s="1"/>
  <c r="K121" i="3"/>
  <c r="U121" i="3" s="1"/>
  <c r="L121" i="3"/>
  <c r="V121" i="3" s="1"/>
  <c r="M121" i="3"/>
  <c r="X121" i="3" l="1"/>
  <c r="AI121" i="3"/>
  <c r="X121" i="13"/>
  <c r="AI121" i="13"/>
  <c r="AJ121" i="13" l="1"/>
  <c r="AK121" i="13" s="1"/>
  <c r="AL121" i="13" s="1"/>
  <c r="AJ121" i="3"/>
  <c r="AK121" i="3" s="1"/>
  <c r="AM121" i="3" s="1"/>
  <c r="AL121" i="3" l="1"/>
  <c r="AP121" i="13"/>
  <c r="AP121" i="3" l="1"/>
  <c r="AQ121" i="3" s="1"/>
  <c r="AN121" i="3"/>
  <c r="AM121" i="13"/>
  <c r="AN121" i="13" l="1"/>
  <c r="AO121" i="13" s="1"/>
  <c r="AT121" i="3"/>
  <c r="AU121" i="3" s="1"/>
  <c r="AO121" i="3"/>
  <c r="AQ121" i="13"/>
  <c r="AS121" i="3" l="1"/>
  <c r="AV121" i="3" s="1"/>
  <c r="I122" i="3" l="1"/>
  <c r="J122" i="3"/>
  <c r="I122" i="13"/>
  <c r="J122" i="13"/>
  <c r="AA122" i="13" l="1"/>
  <c r="AE122" i="13"/>
  <c r="AA122" i="3"/>
  <c r="AE122" i="3"/>
  <c r="M122" i="13"/>
  <c r="K122" i="13"/>
  <c r="U122" i="13" s="1"/>
  <c r="L122" i="13"/>
  <c r="V122" i="13" s="1"/>
  <c r="N122" i="13"/>
  <c r="W122" i="13" s="1"/>
  <c r="K122" i="3"/>
  <c r="U122" i="3" s="1"/>
  <c r="L122" i="3"/>
  <c r="V122" i="3" s="1"/>
  <c r="M122" i="3"/>
  <c r="N122" i="3"/>
  <c r="W122" i="3" s="1"/>
  <c r="AG122" i="13"/>
  <c r="AH122" i="13" s="1"/>
  <c r="AG122" i="3"/>
  <c r="AH122" i="3" s="1"/>
  <c r="X122" i="13" l="1"/>
  <c r="AI122" i="13"/>
  <c r="AI122" i="3"/>
  <c r="X122" i="3"/>
  <c r="AJ122" i="3" l="1"/>
  <c r="AK122" i="3" s="1"/>
  <c r="AM122" i="3" s="1"/>
  <c r="AJ122" i="13"/>
  <c r="AK122" i="13" s="1"/>
  <c r="AL122" i="13" s="1"/>
  <c r="AP122" i="13" l="1"/>
  <c r="AL122" i="3"/>
  <c r="AN122" i="3" l="1"/>
  <c r="AP122" i="3"/>
  <c r="AQ122" i="3" s="1"/>
  <c r="AM122" i="13"/>
  <c r="AN122" i="13" l="1"/>
  <c r="AO122" i="13" s="1"/>
  <c r="AQ122" i="13"/>
  <c r="AT122" i="3"/>
  <c r="AU122" i="3" s="1"/>
  <c r="AO122" i="3"/>
  <c r="AS122" i="3" l="1"/>
  <c r="AV122" i="3" s="1"/>
  <c r="I123" i="3" l="1"/>
  <c r="J123" i="3"/>
  <c r="I123" i="13"/>
  <c r="J123" i="13"/>
  <c r="AA123" i="13" l="1"/>
  <c r="AE123" i="13"/>
  <c r="AA123" i="3"/>
  <c r="AE123" i="3"/>
  <c r="M123" i="13"/>
  <c r="K123" i="13"/>
  <c r="U123" i="13" s="1"/>
  <c r="L123" i="13"/>
  <c r="V123" i="13" s="1"/>
  <c r="N123" i="13"/>
  <c r="W123" i="13" s="1"/>
  <c r="AG123" i="13"/>
  <c r="AH123" i="13" s="1"/>
  <c r="L123" i="3"/>
  <c r="V123" i="3" s="1"/>
  <c r="M123" i="3"/>
  <c r="N123" i="3"/>
  <c r="W123" i="3" s="1"/>
  <c r="K123" i="3"/>
  <c r="U123" i="3" s="1"/>
  <c r="AG123" i="3"/>
  <c r="AH123" i="3" s="1"/>
  <c r="AI123" i="3" l="1"/>
  <c r="X123" i="3"/>
  <c r="X123" i="13"/>
  <c r="AI123" i="13"/>
  <c r="AJ123" i="3" l="1"/>
  <c r="AK123" i="3" s="1"/>
  <c r="AM123" i="3" s="1"/>
  <c r="AJ123" i="13"/>
  <c r="AK123" i="13" s="1"/>
  <c r="AL123" i="13" s="1"/>
  <c r="AP123" i="13" l="1"/>
  <c r="AL123" i="3"/>
  <c r="AM123" i="13" l="1"/>
  <c r="AQ123" i="13" s="1"/>
  <c r="AN123" i="3"/>
  <c r="AP123" i="3"/>
  <c r="AQ123" i="3" s="1"/>
  <c r="AT123" i="3" l="1"/>
  <c r="AU123" i="3" s="1"/>
  <c r="AO123" i="3"/>
  <c r="AN123" i="13"/>
  <c r="AO123" i="13" s="1"/>
  <c r="AS123" i="3" l="1"/>
  <c r="AV123" i="3" s="1"/>
  <c r="I124" i="3" l="1"/>
  <c r="J124" i="3"/>
  <c r="I124" i="13"/>
  <c r="J124" i="13"/>
  <c r="AA124" i="13" l="1"/>
  <c r="AE124" i="13"/>
  <c r="AA124" i="3"/>
  <c r="AE124" i="3"/>
  <c r="M124" i="13"/>
  <c r="N124" i="13"/>
  <c r="W124" i="13" s="1"/>
  <c r="K124" i="13"/>
  <c r="U124" i="13" s="1"/>
  <c r="L124" i="13"/>
  <c r="V124" i="13" s="1"/>
  <c r="AG124" i="13"/>
  <c r="AH124" i="13" s="1"/>
  <c r="M124" i="3"/>
  <c r="N124" i="3"/>
  <c r="W124" i="3" s="1"/>
  <c r="K124" i="3"/>
  <c r="U124" i="3" s="1"/>
  <c r="L124" i="3"/>
  <c r="V124" i="3" s="1"/>
  <c r="AG124" i="3"/>
  <c r="AH124" i="3" s="1"/>
  <c r="X124" i="13" l="1"/>
  <c r="AI124" i="13"/>
  <c r="X124" i="3"/>
  <c r="AI124" i="3"/>
  <c r="AJ124" i="3" l="1"/>
  <c r="AK124" i="3" s="1"/>
  <c r="AM124" i="3" s="1"/>
  <c r="AJ124" i="13"/>
  <c r="AK124" i="13" s="1"/>
  <c r="AL124" i="13" s="1"/>
  <c r="AP124" i="13" l="1"/>
  <c r="AL124" i="3"/>
  <c r="AM124" i="13" l="1"/>
  <c r="AQ124" i="13" s="1"/>
  <c r="AP124" i="3"/>
  <c r="AQ124" i="3" s="1"/>
  <c r="AN124" i="3"/>
  <c r="AT124" i="3" l="1"/>
  <c r="AU124" i="3" s="1"/>
  <c r="AO124" i="3"/>
  <c r="AN124" i="13"/>
  <c r="AO124" i="13" s="1"/>
  <c r="AS124" i="3" l="1"/>
  <c r="AV124" i="3" s="1"/>
  <c r="J125" i="3" l="1"/>
  <c r="I125" i="3"/>
  <c r="I125" i="13"/>
  <c r="J125" i="13"/>
  <c r="AA125" i="13" l="1"/>
  <c r="AE125" i="13"/>
  <c r="AA125" i="3"/>
  <c r="AE125" i="3"/>
  <c r="M125" i="13"/>
  <c r="L125" i="13"/>
  <c r="V125" i="13" s="1"/>
  <c r="N125" i="13"/>
  <c r="W125" i="13" s="1"/>
  <c r="K125" i="13"/>
  <c r="U125" i="13" s="1"/>
  <c r="AG125" i="13"/>
  <c r="AH125" i="13" s="1"/>
  <c r="AG125" i="3"/>
  <c r="AH125" i="3" s="1"/>
  <c r="N125" i="3"/>
  <c r="W125" i="3" s="1"/>
  <c r="K125" i="3"/>
  <c r="U125" i="3" s="1"/>
  <c r="L125" i="3"/>
  <c r="V125" i="3" s="1"/>
  <c r="M125" i="3"/>
  <c r="X125" i="3" l="1"/>
  <c r="AI125" i="3"/>
  <c r="X125" i="13"/>
  <c r="AI125" i="13"/>
  <c r="AJ125" i="13" l="1"/>
  <c r="AK125" i="13" s="1"/>
  <c r="AL125" i="13" s="1"/>
  <c r="AJ125" i="3"/>
  <c r="AK125" i="3" s="1"/>
  <c r="AM125" i="3" s="1"/>
  <c r="AM125" i="13" l="1"/>
  <c r="AN125" i="13" s="1"/>
  <c r="AO125" i="13" s="1"/>
  <c r="X17" i="15" s="1"/>
  <c r="AL125" i="3"/>
  <c r="AP125" i="13"/>
  <c r="AQ125" i="13" s="1"/>
  <c r="Y17" i="15" s="1"/>
  <c r="AP125" i="3" l="1"/>
  <c r="AQ125" i="3" s="1"/>
  <c r="Y17" i="14" s="1"/>
  <c r="AN125" i="3"/>
  <c r="AT125" i="3" l="1"/>
  <c r="AU125" i="3" s="1"/>
  <c r="AO125" i="3"/>
  <c r="X17" i="14" s="1"/>
  <c r="AS125" i="3" l="1"/>
  <c r="AV125" i="3" s="1"/>
  <c r="I126" i="3" l="1"/>
  <c r="J126" i="3"/>
  <c r="I126" i="13"/>
  <c r="J126" i="13"/>
  <c r="AA126" i="13" l="1"/>
  <c r="AE126" i="13"/>
  <c r="AA126" i="3"/>
  <c r="AE126" i="3"/>
  <c r="AG126" i="13"/>
  <c r="AH126" i="13" s="1"/>
  <c r="K126" i="3"/>
  <c r="U126" i="3" s="1"/>
  <c r="L126" i="3"/>
  <c r="V126" i="3" s="1"/>
  <c r="M126" i="3"/>
  <c r="N126" i="3"/>
  <c r="W126" i="3" s="1"/>
  <c r="M126" i="13"/>
  <c r="K126" i="13"/>
  <c r="U126" i="13" s="1"/>
  <c r="L126" i="13"/>
  <c r="V126" i="13" s="1"/>
  <c r="N126" i="13"/>
  <c r="W126" i="13" s="1"/>
  <c r="AG126" i="3"/>
  <c r="AH126" i="3" s="1"/>
  <c r="AI126" i="3" l="1"/>
  <c r="X126" i="3"/>
  <c r="X126" i="13"/>
  <c r="AI126" i="13"/>
  <c r="AJ126" i="13" l="1"/>
  <c r="AK126" i="13" s="1"/>
  <c r="AL126" i="13" s="1"/>
  <c r="AJ126" i="3"/>
  <c r="AK126" i="3" s="1"/>
  <c r="AM126" i="3" s="1"/>
  <c r="AL126" i="3" l="1"/>
  <c r="AP126" i="3" s="1"/>
  <c r="AM126" i="13"/>
  <c r="AN126" i="13" s="1"/>
  <c r="AO126" i="13" s="1"/>
  <c r="AP126" i="13"/>
  <c r="AQ126" i="13" l="1"/>
  <c r="AQ126" i="3"/>
  <c r="AN126" i="3"/>
  <c r="AT126" i="3" l="1"/>
  <c r="AU126" i="3" s="1"/>
  <c r="AO126" i="3"/>
  <c r="AS126" i="3" l="1"/>
  <c r="AV126" i="3" s="1"/>
  <c r="I127" i="3" l="1"/>
  <c r="J127" i="3"/>
  <c r="I127" i="13"/>
  <c r="J127" i="13"/>
  <c r="AA127" i="13" l="1"/>
  <c r="AE127" i="13"/>
  <c r="AA127" i="3"/>
  <c r="AE127" i="3"/>
  <c r="M127" i="13"/>
  <c r="K127" i="13"/>
  <c r="U127" i="13" s="1"/>
  <c r="L127" i="13"/>
  <c r="V127" i="13" s="1"/>
  <c r="N127" i="13"/>
  <c r="W127" i="13" s="1"/>
  <c r="L127" i="3"/>
  <c r="V127" i="3" s="1"/>
  <c r="M127" i="3"/>
  <c r="N127" i="3"/>
  <c r="W127" i="3" s="1"/>
  <c r="K127" i="3"/>
  <c r="U127" i="3" s="1"/>
  <c r="AG127" i="13"/>
  <c r="AH127" i="13" s="1"/>
  <c r="AG127" i="3"/>
  <c r="AH127" i="3" s="1"/>
  <c r="AI127" i="3" l="1"/>
  <c r="X127" i="3"/>
  <c r="X127" i="13"/>
  <c r="AI127" i="13"/>
  <c r="AJ127" i="13" l="1"/>
  <c r="AK127" i="13" s="1"/>
  <c r="AL127" i="13" s="1"/>
  <c r="AJ127" i="3"/>
  <c r="AK127" i="3" s="1"/>
  <c r="AM127" i="3" s="1"/>
  <c r="AP127" i="13" l="1"/>
  <c r="AL127" i="3"/>
  <c r="AM127" i="13"/>
  <c r="AN127" i="13" s="1"/>
  <c r="AO127" i="13" s="1"/>
  <c r="AQ127" i="13" l="1"/>
  <c r="AN127" i="3"/>
  <c r="AP127" i="3"/>
  <c r="AQ127" i="3" s="1"/>
  <c r="AT127" i="3" l="1"/>
  <c r="AU127" i="3" s="1"/>
  <c r="AO127" i="3"/>
  <c r="AS127" i="3" l="1"/>
  <c r="AV127" i="3" s="1"/>
  <c r="I128" i="3" l="1"/>
  <c r="J128" i="3"/>
  <c r="I128" i="13"/>
  <c r="J128" i="13"/>
  <c r="AA128" i="13" l="1"/>
  <c r="AE128" i="13"/>
  <c r="AA128" i="3"/>
  <c r="AE128" i="3"/>
  <c r="M128" i="13"/>
  <c r="N128" i="13"/>
  <c r="W128" i="13" s="1"/>
  <c r="K128" i="13"/>
  <c r="U128" i="13" s="1"/>
  <c r="L128" i="13"/>
  <c r="V128" i="13" s="1"/>
  <c r="AG128" i="13"/>
  <c r="AH128" i="13" s="1"/>
  <c r="M128" i="3"/>
  <c r="N128" i="3"/>
  <c r="W128" i="3" s="1"/>
  <c r="K128" i="3"/>
  <c r="U128" i="3" s="1"/>
  <c r="L128" i="3"/>
  <c r="V128" i="3" s="1"/>
  <c r="AG128" i="3"/>
  <c r="AH128" i="3" s="1"/>
  <c r="X128" i="13" l="1"/>
  <c r="AI128" i="13"/>
  <c r="X128" i="3"/>
  <c r="AI128" i="3"/>
  <c r="AJ128" i="3" l="1"/>
  <c r="AK128" i="3" s="1"/>
  <c r="AM128" i="3" s="1"/>
  <c r="AJ128" i="13"/>
  <c r="AK128" i="13" s="1"/>
  <c r="AL128" i="13" s="1"/>
  <c r="AP128" i="13" l="1"/>
  <c r="AM128" i="13"/>
  <c r="AN128" i="13" s="1"/>
  <c r="AO128" i="13" s="1"/>
  <c r="AL128" i="3"/>
  <c r="AQ128" i="13" l="1"/>
  <c r="AP128" i="3"/>
  <c r="AQ128" i="3" s="1"/>
  <c r="AN128" i="3"/>
  <c r="AT128" i="3" l="1"/>
  <c r="AU128" i="3" s="1"/>
  <c r="AO128" i="3"/>
  <c r="AS128" i="3" l="1"/>
  <c r="AV128" i="3" s="1"/>
  <c r="J129" i="3" l="1"/>
  <c r="I129" i="3"/>
  <c r="I129" i="13"/>
  <c r="J129" i="13"/>
  <c r="AA129" i="13" l="1"/>
  <c r="AE129" i="13"/>
  <c r="AA129" i="3"/>
  <c r="AE129" i="3"/>
  <c r="M129" i="13"/>
  <c r="L129" i="13"/>
  <c r="V129" i="13" s="1"/>
  <c r="N129" i="13"/>
  <c r="W129" i="13" s="1"/>
  <c r="K129" i="13"/>
  <c r="U129" i="13" s="1"/>
  <c r="AG129" i="13"/>
  <c r="AH129" i="13" s="1"/>
  <c r="AG129" i="3"/>
  <c r="AH129" i="3" s="1"/>
  <c r="N129" i="3"/>
  <c r="W129" i="3" s="1"/>
  <c r="K129" i="3"/>
  <c r="U129" i="3" s="1"/>
  <c r="L129" i="3"/>
  <c r="V129" i="3" s="1"/>
  <c r="M129" i="3"/>
  <c r="X129" i="13" l="1"/>
  <c r="AI129" i="13"/>
  <c r="X129" i="3"/>
  <c r="AI129" i="3"/>
  <c r="AJ129" i="3" l="1"/>
  <c r="AK129" i="3" s="1"/>
  <c r="AM129" i="3" s="1"/>
  <c r="AJ129" i="13"/>
  <c r="AK129" i="13" s="1"/>
  <c r="AL129" i="13" s="1"/>
  <c r="AP129" i="13" l="1"/>
  <c r="AM129" i="13"/>
  <c r="AN129" i="13" s="1"/>
  <c r="AO129" i="13" s="1"/>
  <c r="AL129" i="3"/>
  <c r="AQ129" i="13" l="1"/>
  <c r="AP129" i="3"/>
  <c r="AQ129" i="3" s="1"/>
  <c r="AN129" i="3"/>
  <c r="AT129" i="3" l="1"/>
  <c r="AU129" i="3" s="1"/>
  <c r="AO129" i="3"/>
  <c r="AS129" i="3" l="1"/>
  <c r="AV129" i="3" s="1"/>
  <c r="I130" i="3" l="1"/>
  <c r="J130" i="3"/>
  <c r="I130" i="13"/>
  <c r="J130" i="13"/>
  <c r="AA130" i="13" l="1"/>
  <c r="AE130" i="13"/>
  <c r="AA130" i="3"/>
  <c r="AE130" i="3"/>
  <c r="M130" i="13"/>
  <c r="K130" i="13"/>
  <c r="U130" i="13" s="1"/>
  <c r="L130" i="13"/>
  <c r="V130" i="13" s="1"/>
  <c r="N130" i="13"/>
  <c r="W130" i="13" s="1"/>
  <c r="AG130" i="13"/>
  <c r="AH130" i="13" s="1"/>
  <c r="K130" i="3"/>
  <c r="U130" i="3" s="1"/>
  <c r="L130" i="3"/>
  <c r="V130" i="3" s="1"/>
  <c r="M130" i="3"/>
  <c r="N130" i="3"/>
  <c r="W130" i="3" s="1"/>
  <c r="AG130" i="3"/>
  <c r="AH130" i="3" s="1"/>
  <c r="AI130" i="3" l="1"/>
  <c r="X130" i="3"/>
  <c r="X130" i="13"/>
  <c r="AI130" i="13"/>
  <c r="AJ130" i="3" l="1"/>
  <c r="AK130" i="3" s="1"/>
  <c r="AM130" i="3" s="1"/>
  <c r="AJ130" i="13"/>
  <c r="AK130" i="13" s="1"/>
  <c r="AL130" i="13" s="1"/>
  <c r="AP130" i="13" l="1"/>
  <c r="AM130" i="13"/>
  <c r="AN130" i="13" s="1"/>
  <c r="AO130" i="13" s="1"/>
  <c r="AL130" i="3"/>
  <c r="AQ130" i="13" l="1"/>
  <c r="AN130" i="3"/>
  <c r="AP130" i="3"/>
  <c r="AQ130" i="3" s="1"/>
  <c r="AT130" i="3" l="1"/>
  <c r="AU130" i="3" s="1"/>
  <c r="AO130" i="3"/>
  <c r="AS130" i="3" l="1"/>
  <c r="AV130" i="3" s="1"/>
  <c r="I131" i="3" l="1"/>
  <c r="J131" i="3"/>
  <c r="I131" i="13"/>
  <c r="J131" i="13"/>
  <c r="AA131" i="13" l="1"/>
  <c r="AE131" i="13"/>
  <c r="AA131" i="3"/>
  <c r="AE131" i="3"/>
  <c r="M131" i="13"/>
  <c r="K131" i="13"/>
  <c r="U131" i="13" s="1"/>
  <c r="L131" i="13"/>
  <c r="V131" i="13" s="1"/>
  <c r="N131" i="13"/>
  <c r="W131" i="13" s="1"/>
  <c r="AG131" i="13"/>
  <c r="AH131" i="13" s="1"/>
  <c r="L131" i="3"/>
  <c r="V131" i="3" s="1"/>
  <c r="M131" i="3"/>
  <c r="N131" i="3"/>
  <c r="W131" i="3" s="1"/>
  <c r="K131" i="3"/>
  <c r="U131" i="3" s="1"/>
  <c r="AG131" i="3"/>
  <c r="AH131" i="3" s="1"/>
  <c r="X131" i="13" l="1"/>
  <c r="AI131" i="13"/>
  <c r="AI131" i="3"/>
  <c r="X131" i="3"/>
  <c r="AJ131" i="3" l="1"/>
  <c r="AK131" i="3" s="1"/>
  <c r="AM131" i="3" s="1"/>
  <c r="AJ131" i="13"/>
  <c r="AK131" i="13" s="1"/>
  <c r="AL131" i="13" s="1"/>
  <c r="AP131" i="13" l="1"/>
  <c r="AM131" i="13"/>
  <c r="AN131" i="13" s="1"/>
  <c r="AO131" i="13" s="1"/>
  <c r="AL131" i="3"/>
  <c r="AQ131" i="13" l="1"/>
  <c r="AN131" i="3"/>
  <c r="AP131" i="3"/>
  <c r="AQ131" i="3" s="1"/>
  <c r="AT131" i="3" l="1"/>
  <c r="AU131" i="3" s="1"/>
  <c r="AO131" i="3"/>
  <c r="AS131" i="3" l="1"/>
  <c r="AV131" i="3" s="1"/>
  <c r="I132" i="3" l="1"/>
  <c r="J132" i="3"/>
  <c r="I132" i="13"/>
  <c r="J132" i="13"/>
  <c r="AA132" i="13" l="1"/>
  <c r="AE132" i="13"/>
  <c r="AA132" i="3"/>
  <c r="AE132" i="3"/>
  <c r="M132" i="13"/>
  <c r="N132" i="13"/>
  <c r="W132" i="13" s="1"/>
  <c r="K132" i="13"/>
  <c r="U132" i="13" s="1"/>
  <c r="L132" i="13"/>
  <c r="V132" i="13" s="1"/>
  <c r="AG132" i="13"/>
  <c r="AH132" i="13" s="1"/>
  <c r="M132" i="3"/>
  <c r="N132" i="3"/>
  <c r="W132" i="3" s="1"/>
  <c r="K132" i="3"/>
  <c r="U132" i="3" s="1"/>
  <c r="L132" i="3"/>
  <c r="V132" i="3" s="1"/>
  <c r="AG132" i="3"/>
  <c r="AH132" i="3" s="1"/>
  <c r="AI132" i="13" l="1"/>
  <c r="X132" i="13"/>
  <c r="X132" i="3"/>
  <c r="AI132" i="3"/>
  <c r="AJ132" i="13" l="1"/>
  <c r="AK132" i="13" s="1"/>
  <c r="AL132" i="13" s="1"/>
  <c r="AJ132" i="3"/>
  <c r="AK132" i="3" s="1"/>
  <c r="AM132" i="3" s="1"/>
  <c r="AL132" i="3" l="1"/>
  <c r="AP132" i="13"/>
  <c r="AM132" i="13" l="1"/>
  <c r="AP132" i="3"/>
  <c r="AQ132" i="3" s="1"/>
  <c r="AN132" i="3"/>
  <c r="AT132" i="3" l="1"/>
  <c r="AU132" i="3" s="1"/>
  <c r="AO132" i="3"/>
  <c r="AN132" i="13"/>
  <c r="AO132" i="13" s="1"/>
  <c r="AQ132" i="13"/>
  <c r="AS132" i="3" l="1"/>
  <c r="AV132" i="3" s="1"/>
  <c r="J133" i="3" l="1"/>
  <c r="I133" i="3"/>
  <c r="I133" i="13"/>
  <c r="J133" i="13"/>
  <c r="AA133" i="13" l="1"/>
  <c r="AE133" i="13"/>
  <c r="AA133" i="3"/>
  <c r="AE133" i="3"/>
  <c r="AG133" i="13"/>
  <c r="AH133" i="13" s="1"/>
  <c r="M133" i="13"/>
  <c r="L133" i="13"/>
  <c r="V133" i="13" s="1"/>
  <c r="N133" i="13"/>
  <c r="W133" i="13" s="1"/>
  <c r="K133" i="13"/>
  <c r="U133" i="13" s="1"/>
  <c r="AG133" i="3"/>
  <c r="AH133" i="3" s="1"/>
  <c r="N133" i="3"/>
  <c r="W133" i="3" s="1"/>
  <c r="K133" i="3"/>
  <c r="U133" i="3" s="1"/>
  <c r="L133" i="3"/>
  <c r="V133" i="3" s="1"/>
  <c r="M133" i="3"/>
  <c r="X133" i="3" l="1"/>
  <c r="AI133" i="3"/>
  <c r="X133" i="13"/>
  <c r="AI133" i="13"/>
  <c r="AJ133" i="3" l="1"/>
  <c r="AK133" i="3" s="1"/>
  <c r="AM133" i="3" s="1"/>
  <c r="AJ133" i="13"/>
  <c r="AK133" i="13" s="1"/>
  <c r="AL133" i="13" s="1"/>
  <c r="AP133" i="13" l="1"/>
  <c r="AL133" i="3"/>
  <c r="AP133" i="3" l="1"/>
  <c r="AQ133" i="3" s="1"/>
  <c r="AN133" i="3"/>
  <c r="AM133" i="13"/>
  <c r="AN133" i="13" l="1"/>
  <c r="AO133" i="13" s="1"/>
  <c r="AQ133" i="13"/>
  <c r="AT133" i="3"/>
  <c r="AU133" i="3" s="1"/>
  <c r="AO133" i="3"/>
  <c r="AS133" i="3" l="1"/>
  <c r="AV133" i="3" s="1"/>
  <c r="I134" i="3" l="1"/>
  <c r="J134" i="3"/>
  <c r="I134" i="13"/>
  <c r="J134" i="13"/>
  <c r="AA134" i="13" l="1"/>
  <c r="AE134" i="13"/>
  <c r="AA134" i="3"/>
  <c r="AE134" i="3"/>
  <c r="M134" i="13"/>
  <c r="K134" i="13"/>
  <c r="U134" i="13" s="1"/>
  <c r="L134" i="13"/>
  <c r="V134" i="13" s="1"/>
  <c r="N134" i="13"/>
  <c r="W134" i="13" s="1"/>
  <c r="K134" i="3"/>
  <c r="U134" i="3" s="1"/>
  <c r="L134" i="3"/>
  <c r="V134" i="3" s="1"/>
  <c r="M134" i="3"/>
  <c r="N134" i="3"/>
  <c r="W134" i="3" s="1"/>
  <c r="AG134" i="13"/>
  <c r="AH134" i="13" s="1"/>
  <c r="AG134" i="3"/>
  <c r="AH134" i="3" s="1"/>
  <c r="X134" i="13" l="1"/>
  <c r="AI134" i="13"/>
  <c r="AI134" i="3"/>
  <c r="X134" i="3"/>
  <c r="AJ134" i="13" l="1"/>
  <c r="AK134" i="13" s="1"/>
  <c r="AL134" i="13" s="1"/>
  <c r="AJ134" i="3"/>
  <c r="AK134" i="3" s="1"/>
  <c r="AM134" i="3" s="1"/>
  <c r="AL134" i="3" l="1"/>
  <c r="AP134" i="13"/>
  <c r="AM134" i="13" l="1"/>
  <c r="AN134" i="3"/>
  <c r="AP134" i="3"/>
  <c r="AQ134" i="3" s="1"/>
  <c r="AT134" i="3" l="1"/>
  <c r="AU134" i="3" s="1"/>
  <c r="AO134" i="3"/>
  <c r="AN134" i="13"/>
  <c r="AO134" i="13" s="1"/>
  <c r="AQ134" i="13"/>
  <c r="AS134" i="3" l="1"/>
  <c r="AV134" i="3" s="1"/>
  <c r="I135" i="3" l="1"/>
  <c r="J135" i="3"/>
  <c r="I135" i="13"/>
  <c r="J135" i="13"/>
  <c r="AA135" i="13" l="1"/>
  <c r="AE135" i="13"/>
  <c r="AA135" i="3"/>
  <c r="AE135" i="3"/>
  <c r="M135" i="13"/>
  <c r="K135" i="13"/>
  <c r="U135" i="13" s="1"/>
  <c r="L135" i="13"/>
  <c r="V135" i="13" s="1"/>
  <c r="N135" i="13"/>
  <c r="W135" i="13" s="1"/>
  <c r="AG135" i="13"/>
  <c r="AH135" i="13" s="1"/>
  <c r="L135" i="3"/>
  <c r="V135" i="3" s="1"/>
  <c r="M135" i="3"/>
  <c r="N135" i="3"/>
  <c r="W135" i="3" s="1"/>
  <c r="K135" i="3"/>
  <c r="U135" i="3" s="1"/>
  <c r="AG135" i="3"/>
  <c r="AH135" i="3" s="1"/>
  <c r="AI135" i="3" l="1"/>
  <c r="X135" i="3"/>
  <c r="X135" i="13"/>
  <c r="AI135" i="13"/>
  <c r="AJ135" i="13" l="1"/>
  <c r="AK135" i="13" s="1"/>
  <c r="AL135" i="13" s="1"/>
  <c r="AJ135" i="3"/>
  <c r="AK135" i="3" s="1"/>
  <c r="AM135" i="3" s="1"/>
  <c r="AL135" i="3" l="1"/>
  <c r="AP135" i="13"/>
  <c r="AN135" i="3" l="1"/>
  <c r="AP135" i="3"/>
  <c r="AQ135" i="3" s="1"/>
  <c r="AM135" i="13"/>
  <c r="AN135" i="13" l="1"/>
  <c r="AO135" i="13" s="1"/>
  <c r="AT135" i="3"/>
  <c r="AU135" i="3" s="1"/>
  <c r="AO135" i="3"/>
  <c r="AQ135" i="13"/>
  <c r="AS135" i="3" l="1"/>
  <c r="AV135" i="3" s="1"/>
  <c r="I136" i="3" l="1"/>
  <c r="J136" i="3"/>
  <c r="I136" i="13"/>
  <c r="J136" i="13"/>
  <c r="AA136" i="13" l="1"/>
  <c r="AE136" i="13"/>
  <c r="AA136" i="3"/>
  <c r="AE136" i="3"/>
  <c r="AG136" i="13"/>
  <c r="AH136" i="13" s="1"/>
  <c r="M136" i="3"/>
  <c r="N136" i="3"/>
  <c r="W136" i="3" s="1"/>
  <c r="K136" i="3"/>
  <c r="U136" i="3" s="1"/>
  <c r="L136" i="3"/>
  <c r="V136" i="3" s="1"/>
  <c r="M136" i="13"/>
  <c r="N136" i="13"/>
  <c r="W136" i="13" s="1"/>
  <c r="K136" i="13"/>
  <c r="U136" i="13" s="1"/>
  <c r="L136" i="13"/>
  <c r="V136" i="13" s="1"/>
  <c r="AG136" i="3"/>
  <c r="AH136" i="3" s="1"/>
  <c r="AI136" i="13" l="1"/>
  <c r="X136" i="13"/>
  <c r="X136" i="3"/>
  <c r="AI136" i="3"/>
  <c r="AJ136" i="3" l="1"/>
  <c r="AK136" i="3" s="1"/>
  <c r="AM136" i="3" s="1"/>
  <c r="AJ136" i="13"/>
  <c r="AK136" i="13" s="1"/>
  <c r="AL136" i="13" s="1"/>
  <c r="AP136" i="13" l="1"/>
  <c r="AL136" i="3"/>
  <c r="AM136" i="13" l="1"/>
  <c r="AQ136" i="13" s="1"/>
  <c r="AN136" i="3"/>
  <c r="AP136" i="3"/>
  <c r="AQ136" i="3" s="1"/>
  <c r="AT136" i="3" l="1"/>
  <c r="AU136" i="3" s="1"/>
  <c r="AO136" i="3"/>
  <c r="AN136" i="13"/>
  <c r="AO136" i="13" s="1"/>
  <c r="AS136" i="3" l="1"/>
  <c r="AV136" i="3" s="1"/>
  <c r="I137" i="3" l="1"/>
  <c r="J137" i="3"/>
  <c r="I137" i="13"/>
  <c r="J137" i="13"/>
  <c r="AA137" i="13" l="1"/>
  <c r="AE137" i="13"/>
  <c r="AA137" i="3"/>
  <c r="AE137" i="3"/>
  <c r="M137" i="13"/>
  <c r="L137" i="13"/>
  <c r="V137" i="13" s="1"/>
  <c r="N137" i="13"/>
  <c r="W137" i="13" s="1"/>
  <c r="K137" i="13"/>
  <c r="U137" i="13" s="1"/>
  <c r="AG137" i="13"/>
  <c r="AH137" i="13" s="1"/>
  <c r="L137" i="3"/>
  <c r="V137" i="3" s="1"/>
  <c r="M137" i="3"/>
  <c r="N137" i="3"/>
  <c r="W137" i="3" s="1"/>
  <c r="K137" i="3"/>
  <c r="U137" i="3" s="1"/>
  <c r="AG137" i="3"/>
  <c r="AH137" i="3" s="1"/>
  <c r="X137" i="13" l="1"/>
  <c r="AI137" i="13"/>
  <c r="AI137" i="3"/>
  <c r="X137" i="3"/>
  <c r="AJ137" i="3" l="1"/>
  <c r="AK137" i="3" s="1"/>
  <c r="AM137" i="3" s="1"/>
  <c r="AJ137" i="13"/>
  <c r="AK137" i="13" s="1"/>
  <c r="AL137" i="13" s="1"/>
  <c r="AP137" i="13" l="1"/>
  <c r="AM137" i="13"/>
  <c r="AN137" i="13" s="1"/>
  <c r="AO137" i="13" s="1"/>
  <c r="X18" i="15" s="1"/>
  <c r="AL137" i="3"/>
  <c r="AQ137" i="13" l="1"/>
  <c r="Y18" i="15" s="1"/>
  <c r="AN137" i="3"/>
  <c r="AP137" i="3"/>
  <c r="AQ137" i="3" s="1"/>
  <c r="Y18" i="14" s="1"/>
  <c r="AT137" i="3" l="1"/>
  <c r="AU137" i="3" s="1"/>
  <c r="AO137" i="3"/>
  <c r="X18" i="14" s="1"/>
  <c r="AS137" i="3" l="1"/>
  <c r="AV137" i="3" s="1"/>
  <c r="I138" i="3" l="1"/>
  <c r="J138" i="3"/>
  <c r="I138" i="13"/>
  <c r="J138" i="13"/>
  <c r="AA138" i="13" l="1"/>
  <c r="AE138" i="13"/>
  <c r="AA138" i="3"/>
  <c r="AE138" i="3"/>
  <c r="AG138" i="13"/>
  <c r="AH138" i="13" s="1"/>
  <c r="M138" i="3"/>
  <c r="N138" i="3"/>
  <c r="W138" i="3" s="1"/>
  <c r="K138" i="3"/>
  <c r="U138" i="3" s="1"/>
  <c r="L138" i="3"/>
  <c r="V138" i="3" s="1"/>
  <c r="M138" i="13"/>
  <c r="N138" i="13"/>
  <c r="W138" i="13" s="1"/>
  <c r="K138" i="13"/>
  <c r="U138" i="13" s="1"/>
  <c r="L138" i="13"/>
  <c r="V138" i="13" s="1"/>
  <c r="AG138" i="3"/>
  <c r="AH138" i="3" s="1"/>
  <c r="X138" i="13" l="1"/>
  <c r="AI138" i="13"/>
  <c r="X138" i="3"/>
  <c r="AI138" i="3"/>
  <c r="AJ138" i="3" l="1"/>
  <c r="AK138" i="3" s="1"/>
  <c r="AM138" i="3" s="1"/>
  <c r="AJ138" i="13"/>
  <c r="AK138" i="13" s="1"/>
  <c r="AL138" i="13" s="1"/>
  <c r="AP138" i="13" l="1"/>
  <c r="AM138" i="13"/>
  <c r="AN138" i="13" s="1"/>
  <c r="AO138" i="13" s="1"/>
  <c r="AL138" i="3"/>
  <c r="AQ138" i="13" l="1"/>
  <c r="AP138" i="3"/>
  <c r="AQ138" i="3" s="1"/>
  <c r="AN138" i="3"/>
  <c r="AT138" i="3" l="1"/>
  <c r="AU138" i="3" s="1"/>
  <c r="AO138" i="3"/>
  <c r="AS138" i="3" l="1"/>
  <c r="AV138" i="3" s="1"/>
  <c r="J139" i="3" l="1"/>
  <c r="I139" i="3"/>
  <c r="I139" i="13"/>
  <c r="J139" i="13"/>
  <c r="AA139" i="13" l="1"/>
  <c r="AE139" i="13"/>
  <c r="AA139" i="3"/>
  <c r="AE139" i="3"/>
  <c r="M139" i="13"/>
  <c r="N139" i="13"/>
  <c r="W139" i="13" s="1"/>
  <c r="K139" i="13"/>
  <c r="U139" i="13" s="1"/>
  <c r="L139" i="13"/>
  <c r="V139" i="13" s="1"/>
  <c r="AG139" i="13"/>
  <c r="AH139" i="13" s="1"/>
  <c r="AG139" i="3"/>
  <c r="AH139" i="3" s="1"/>
  <c r="N139" i="3"/>
  <c r="W139" i="3" s="1"/>
  <c r="K139" i="3"/>
  <c r="U139" i="3" s="1"/>
  <c r="L139" i="3"/>
  <c r="V139" i="3" s="1"/>
  <c r="M139" i="3"/>
  <c r="X139" i="13" l="1"/>
  <c r="AI139" i="13"/>
  <c r="X139" i="3"/>
  <c r="AI139" i="3"/>
  <c r="AJ139" i="3" l="1"/>
  <c r="AK139" i="3" s="1"/>
  <c r="AM139" i="3" s="1"/>
  <c r="AJ139" i="13"/>
  <c r="AK139" i="13" s="1"/>
  <c r="AL139" i="13" s="1"/>
  <c r="AP139" i="13" l="1"/>
  <c r="AM139" i="13"/>
  <c r="AN139" i="13" s="1"/>
  <c r="AO139" i="13" s="1"/>
  <c r="AL139" i="3"/>
  <c r="AQ139" i="13" l="1"/>
  <c r="AP139" i="3"/>
  <c r="AQ139" i="3" s="1"/>
  <c r="AN139" i="3"/>
  <c r="AT139" i="3" l="1"/>
  <c r="AU139" i="3" s="1"/>
  <c r="AO139" i="3"/>
  <c r="AS139" i="3" l="1"/>
  <c r="AV139" i="3" s="1"/>
  <c r="I140" i="3" l="1"/>
  <c r="J140" i="3"/>
  <c r="I140" i="13"/>
  <c r="J140" i="13"/>
  <c r="AA140" i="13" l="1"/>
  <c r="AE140" i="13"/>
  <c r="AA140" i="3"/>
  <c r="AE140" i="3"/>
  <c r="M140" i="13"/>
  <c r="N140" i="13"/>
  <c r="W140" i="13" s="1"/>
  <c r="K140" i="13"/>
  <c r="U140" i="13" s="1"/>
  <c r="L140" i="13"/>
  <c r="V140" i="13" s="1"/>
  <c r="AG140" i="13"/>
  <c r="AH140" i="13" s="1"/>
  <c r="K140" i="3"/>
  <c r="U140" i="3" s="1"/>
  <c r="L140" i="3"/>
  <c r="V140" i="3" s="1"/>
  <c r="M140" i="3"/>
  <c r="N140" i="3"/>
  <c r="W140" i="3" s="1"/>
  <c r="AG140" i="3"/>
  <c r="AH140" i="3" s="1"/>
  <c r="AI140" i="3" l="1"/>
  <c r="X140" i="3"/>
  <c r="X140" i="13"/>
  <c r="AI140" i="13"/>
  <c r="AJ140" i="13" l="1"/>
  <c r="AK140" i="13" s="1"/>
  <c r="AL140" i="13" s="1"/>
  <c r="AJ140" i="3"/>
  <c r="AK140" i="3" s="1"/>
  <c r="AM140" i="3" s="1"/>
  <c r="AL140" i="3" l="1"/>
  <c r="AM140" i="13"/>
  <c r="AN140" i="13" s="1"/>
  <c r="AO140" i="13" s="1"/>
  <c r="AP140" i="13"/>
  <c r="AQ140" i="13" l="1"/>
  <c r="AN140" i="3"/>
  <c r="AP140" i="3"/>
  <c r="AQ140" i="3" s="1"/>
  <c r="AT140" i="3" l="1"/>
  <c r="AU140" i="3" s="1"/>
  <c r="AO140" i="3"/>
  <c r="AS140" i="3" l="1"/>
  <c r="AV140" i="3" s="1"/>
  <c r="I141" i="3" l="1"/>
  <c r="J141" i="3"/>
  <c r="I141" i="13"/>
  <c r="J141" i="13"/>
  <c r="AA141" i="13" l="1"/>
  <c r="AE141" i="13"/>
  <c r="AA141" i="3"/>
  <c r="AE141" i="3"/>
  <c r="M141" i="13"/>
  <c r="N141" i="13"/>
  <c r="W141" i="13" s="1"/>
  <c r="K141" i="13"/>
  <c r="U141" i="13" s="1"/>
  <c r="L141" i="13"/>
  <c r="V141" i="13" s="1"/>
  <c r="AG141" i="13"/>
  <c r="AH141" i="13" s="1"/>
  <c r="L141" i="3"/>
  <c r="V141" i="3" s="1"/>
  <c r="M141" i="3"/>
  <c r="K141" i="3"/>
  <c r="U141" i="3" s="1"/>
  <c r="N141" i="3"/>
  <c r="W141" i="3" s="1"/>
  <c r="AG141" i="3"/>
  <c r="AH141" i="3" s="1"/>
  <c r="X141" i="13" l="1"/>
  <c r="AI141" i="13"/>
  <c r="X141" i="3"/>
  <c r="AI141" i="3"/>
  <c r="AJ141" i="13" l="1"/>
  <c r="AK141" i="13" s="1"/>
  <c r="AL141" i="13" s="1"/>
  <c r="AJ141" i="3"/>
  <c r="AK141" i="3" s="1"/>
  <c r="AM141" i="3" s="1"/>
  <c r="AM141" i="13" l="1"/>
  <c r="AN141" i="13" s="1"/>
  <c r="AO141" i="13" s="1"/>
  <c r="AL141" i="3"/>
  <c r="AP141" i="13"/>
  <c r="AQ141" i="13" l="1"/>
  <c r="AN141" i="3"/>
  <c r="AP141" i="3"/>
  <c r="AQ141" i="3" s="1"/>
  <c r="AT141" i="3" l="1"/>
  <c r="AU141" i="3" s="1"/>
  <c r="AO141" i="3"/>
  <c r="AS141" i="3" l="1"/>
  <c r="AV141" i="3" s="1"/>
  <c r="I142" i="3" l="1"/>
  <c r="J142" i="3"/>
  <c r="I142" i="13"/>
  <c r="J142" i="13"/>
  <c r="AA142" i="13" l="1"/>
  <c r="AE142" i="13"/>
  <c r="AA142" i="3"/>
  <c r="AE142" i="3"/>
  <c r="M142" i="13"/>
  <c r="N142" i="13"/>
  <c r="W142" i="13" s="1"/>
  <c r="K142" i="13"/>
  <c r="U142" i="13" s="1"/>
  <c r="L142" i="13"/>
  <c r="V142" i="13" s="1"/>
  <c r="AG142" i="13"/>
  <c r="AH142" i="13" s="1"/>
  <c r="M142" i="3"/>
  <c r="N142" i="3"/>
  <c r="W142" i="3" s="1"/>
  <c r="K142" i="3"/>
  <c r="U142" i="3" s="1"/>
  <c r="L142" i="3"/>
  <c r="V142" i="3" s="1"/>
  <c r="AG142" i="3"/>
  <c r="AH142" i="3" s="1"/>
  <c r="X142" i="13" l="1"/>
  <c r="AI142" i="13"/>
  <c r="X142" i="3"/>
  <c r="AI142" i="3"/>
  <c r="AJ142" i="3" l="1"/>
  <c r="AK142" i="3" s="1"/>
  <c r="AM142" i="3" s="1"/>
  <c r="AJ142" i="13"/>
  <c r="AK142" i="13" s="1"/>
  <c r="AL142" i="13" s="1"/>
  <c r="AP142" i="13" l="1"/>
  <c r="AM142" i="13"/>
  <c r="AN142" i="13" s="1"/>
  <c r="AO142" i="13" s="1"/>
  <c r="AL142" i="3"/>
  <c r="AQ142" i="13" l="1"/>
  <c r="AP142" i="3"/>
  <c r="AQ142" i="3" s="1"/>
  <c r="AN142" i="3"/>
  <c r="AT142" i="3" l="1"/>
  <c r="AU142" i="3" s="1"/>
  <c r="AO142" i="3"/>
  <c r="AS142" i="3" l="1"/>
  <c r="AV142" i="3" s="1"/>
  <c r="J143" i="3" l="1"/>
  <c r="I143" i="3"/>
  <c r="I143" i="13"/>
  <c r="J143" i="13"/>
  <c r="AA143" i="13" l="1"/>
  <c r="AE143" i="13"/>
  <c r="AA143" i="3"/>
  <c r="AE143" i="3"/>
  <c r="M143" i="13"/>
  <c r="N143" i="13"/>
  <c r="W143" i="13" s="1"/>
  <c r="K143" i="13"/>
  <c r="U143" i="13" s="1"/>
  <c r="L143" i="13"/>
  <c r="V143" i="13" s="1"/>
  <c r="AG143" i="13"/>
  <c r="AH143" i="13" s="1"/>
  <c r="AG143" i="3"/>
  <c r="AH143" i="3" s="1"/>
  <c r="N143" i="3"/>
  <c r="W143" i="3" s="1"/>
  <c r="K143" i="3"/>
  <c r="U143" i="3" s="1"/>
  <c r="L143" i="3"/>
  <c r="V143" i="3" s="1"/>
  <c r="M143" i="3"/>
  <c r="X143" i="3" l="1"/>
  <c r="AI143" i="3"/>
  <c r="X143" i="13"/>
  <c r="AI143" i="13"/>
  <c r="AJ143" i="13" l="1"/>
  <c r="AK143" i="13" s="1"/>
  <c r="AL143" i="13" s="1"/>
  <c r="AJ143" i="3"/>
  <c r="AK143" i="3" s="1"/>
  <c r="AM143" i="3" s="1"/>
  <c r="AL143" i="3" l="1"/>
  <c r="AM143" i="13"/>
  <c r="AN143" i="13" s="1"/>
  <c r="AO143" i="13" s="1"/>
  <c r="AP143" i="13"/>
  <c r="AQ143" i="13" s="1"/>
  <c r="AP143" i="3" l="1"/>
  <c r="AQ143" i="3" s="1"/>
  <c r="AN143" i="3"/>
  <c r="AT143" i="3" l="1"/>
  <c r="AU143" i="3" s="1"/>
  <c r="AO143" i="3"/>
  <c r="AS143" i="3" l="1"/>
  <c r="AV143" i="3" s="1"/>
  <c r="I144" i="3" l="1"/>
  <c r="J144" i="3"/>
  <c r="I144" i="13"/>
  <c r="J144" i="13"/>
  <c r="AA144" i="13" l="1"/>
  <c r="AE144" i="13"/>
  <c r="AA144" i="3"/>
  <c r="AE144" i="3"/>
  <c r="M144" i="13"/>
  <c r="N144" i="13"/>
  <c r="W144" i="13" s="1"/>
  <c r="K144" i="13"/>
  <c r="U144" i="13" s="1"/>
  <c r="L144" i="13"/>
  <c r="V144" i="13" s="1"/>
  <c r="AG144" i="13"/>
  <c r="AH144" i="13" s="1"/>
  <c r="K144" i="3"/>
  <c r="U144" i="3" s="1"/>
  <c r="L144" i="3"/>
  <c r="V144" i="3" s="1"/>
  <c r="M144" i="3"/>
  <c r="N144" i="3"/>
  <c r="W144" i="3" s="1"/>
  <c r="AG144" i="3"/>
  <c r="AH144" i="3" s="1"/>
  <c r="AI144" i="3" l="1"/>
  <c r="X144" i="3"/>
  <c r="X144" i="13"/>
  <c r="AI144" i="13"/>
  <c r="AJ144" i="13" l="1"/>
  <c r="AK144" i="13" s="1"/>
  <c r="AL144" i="13" s="1"/>
  <c r="AJ144" i="3"/>
  <c r="AK144" i="3" s="1"/>
  <c r="AM144" i="3" s="1"/>
  <c r="AL144" i="3" l="1"/>
  <c r="AN144" i="3" s="1"/>
  <c r="AP144" i="13"/>
  <c r="AM144" i="13"/>
  <c r="AP144" i="3" l="1"/>
  <c r="AQ144" i="3" s="1"/>
  <c r="AQ144" i="13"/>
  <c r="AT144" i="3"/>
  <c r="AU144" i="3" s="1"/>
  <c r="AO144" i="3"/>
  <c r="AN144" i="13"/>
  <c r="AO144" i="13" s="1"/>
  <c r="AS144" i="3" l="1"/>
  <c r="AV144" i="3" s="1"/>
  <c r="I145" i="3" l="1"/>
  <c r="J145" i="3"/>
  <c r="I145" i="13"/>
  <c r="J145" i="13"/>
  <c r="AA145" i="13" l="1"/>
  <c r="AE145" i="13"/>
  <c r="AA145" i="3"/>
  <c r="AE145" i="3"/>
  <c r="M145" i="13"/>
  <c r="N145" i="13"/>
  <c r="W145" i="13" s="1"/>
  <c r="K145" i="13"/>
  <c r="U145" i="13" s="1"/>
  <c r="L145" i="13"/>
  <c r="V145" i="13" s="1"/>
  <c r="AG145" i="13"/>
  <c r="AH145" i="13" s="1"/>
  <c r="L145" i="3"/>
  <c r="V145" i="3" s="1"/>
  <c r="M145" i="3"/>
  <c r="N145" i="3"/>
  <c r="W145" i="3" s="1"/>
  <c r="K145" i="3"/>
  <c r="U145" i="3" s="1"/>
  <c r="AG145" i="3"/>
  <c r="AH145" i="3" s="1"/>
  <c r="X145" i="13" l="1"/>
  <c r="AI145" i="13"/>
  <c r="AI145" i="3"/>
  <c r="X145" i="3"/>
  <c r="AJ145" i="3" l="1"/>
  <c r="AK145" i="3" s="1"/>
  <c r="AM145" i="3" s="1"/>
  <c r="AJ145" i="13"/>
  <c r="AK145" i="13" s="1"/>
  <c r="AL145" i="13" s="1"/>
  <c r="AP145" i="13" l="1"/>
  <c r="AL145" i="3"/>
  <c r="AN145" i="3" l="1"/>
  <c r="AP145" i="3"/>
  <c r="AQ145" i="3" s="1"/>
  <c r="AM145" i="13"/>
  <c r="AQ145" i="13" s="1"/>
  <c r="AN145" i="13" l="1"/>
  <c r="AO145" i="13" s="1"/>
  <c r="AT145" i="3"/>
  <c r="AU145" i="3" s="1"/>
  <c r="AO145" i="3"/>
  <c r="AS145" i="3" l="1"/>
  <c r="AV145" i="3" s="1"/>
  <c r="I146" i="3" l="1"/>
  <c r="J146" i="3"/>
  <c r="I146" i="13"/>
  <c r="J146" i="13"/>
  <c r="AA146" i="13" l="1"/>
  <c r="AE146" i="13"/>
  <c r="AA146" i="3"/>
  <c r="AE146" i="3"/>
  <c r="M146" i="13"/>
  <c r="N146" i="13"/>
  <c r="W146" i="13" s="1"/>
  <c r="K146" i="13"/>
  <c r="U146" i="13" s="1"/>
  <c r="L146" i="13"/>
  <c r="V146" i="13" s="1"/>
  <c r="AG146" i="13"/>
  <c r="AH146" i="13" s="1"/>
  <c r="M146" i="3"/>
  <c r="N146" i="3"/>
  <c r="W146" i="3" s="1"/>
  <c r="K146" i="3"/>
  <c r="U146" i="3" s="1"/>
  <c r="L146" i="3"/>
  <c r="V146" i="3" s="1"/>
  <c r="AG146" i="3"/>
  <c r="AH146" i="3" s="1"/>
  <c r="X146" i="13" l="1"/>
  <c r="AI146" i="13"/>
  <c r="X146" i="3"/>
  <c r="AI146" i="3"/>
  <c r="AJ146" i="3" l="1"/>
  <c r="AK146" i="3" s="1"/>
  <c r="AM146" i="3" s="1"/>
  <c r="AJ146" i="13"/>
  <c r="AK146" i="13" s="1"/>
  <c r="AL146" i="13" s="1"/>
  <c r="AP146" i="13" l="1"/>
  <c r="AL146" i="3"/>
  <c r="AM146" i="13" l="1"/>
  <c r="AQ146" i="13" s="1"/>
  <c r="AP146" i="3"/>
  <c r="AQ146" i="3" s="1"/>
  <c r="AN146" i="3"/>
  <c r="AT146" i="3" l="1"/>
  <c r="AU146" i="3" s="1"/>
  <c r="AO146" i="3"/>
  <c r="AN146" i="13"/>
  <c r="AO146" i="13" s="1"/>
  <c r="AS146" i="3" l="1"/>
  <c r="AV146" i="3" s="1"/>
  <c r="J147" i="3" l="1"/>
  <c r="I147" i="3"/>
  <c r="I147" i="13"/>
  <c r="J147" i="13"/>
  <c r="AA147" i="13" l="1"/>
  <c r="AE147" i="13"/>
  <c r="AA147" i="3"/>
  <c r="AE147" i="3"/>
  <c r="M147" i="13"/>
  <c r="N147" i="13"/>
  <c r="W147" i="13" s="1"/>
  <c r="K147" i="13"/>
  <c r="U147" i="13" s="1"/>
  <c r="L147" i="13"/>
  <c r="V147" i="13" s="1"/>
  <c r="AG147" i="13"/>
  <c r="AH147" i="13" s="1"/>
  <c r="AG147" i="3"/>
  <c r="AH147" i="3" s="1"/>
  <c r="N147" i="3"/>
  <c r="W147" i="3" s="1"/>
  <c r="K147" i="3"/>
  <c r="U147" i="3" s="1"/>
  <c r="L147" i="3"/>
  <c r="V147" i="3" s="1"/>
  <c r="M147" i="3"/>
  <c r="X147" i="13" l="1"/>
  <c r="AI147" i="13"/>
  <c r="X147" i="3"/>
  <c r="AI147" i="3"/>
  <c r="AJ147" i="3" l="1"/>
  <c r="AK147" i="3" s="1"/>
  <c r="AM147" i="3" s="1"/>
  <c r="AJ147" i="13"/>
  <c r="AK147" i="13" s="1"/>
  <c r="AL147" i="13" s="1"/>
  <c r="AP147" i="13" l="1"/>
  <c r="AL147" i="3"/>
  <c r="AM147" i="13" l="1"/>
  <c r="AQ147" i="13" s="1"/>
  <c r="AP147" i="3"/>
  <c r="AQ147" i="3" s="1"/>
  <c r="AN147" i="3"/>
  <c r="AT147" i="3" l="1"/>
  <c r="AU147" i="3" s="1"/>
  <c r="AO147" i="3"/>
  <c r="AN147" i="13"/>
  <c r="AO147" i="13" s="1"/>
  <c r="AS147" i="3" l="1"/>
  <c r="AV147" i="3" s="1"/>
  <c r="I148" i="3" l="1"/>
  <c r="J148" i="3"/>
  <c r="I148" i="13"/>
  <c r="J148" i="13"/>
  <c r="AA148" i="13" l="1"/>
  <c r="AE148" i="13"/>
  <c r="AA148" i="3"/>
  <c r="AE148" i="3"/>
  <c r="M148" i="13"/>
  <c r="N148" i="13"/>
  <c r="W148" i="13" s="1"/>
  <c r="K148" i="13"/>
  <c r="U148" i="13" s="1"/>
  <c r="L148" i="13"/>
  <c r="V148" i="13" s="1"/>
  <c r="AG148" i="13"/>
  <c r="AH148" i="13" s="1"/>
  <c r="K148" i="3"/>
  <c r="U148" i="3" s="1"/>
  <c r="L148" i="3"/>
  <c r="V148" i="3" s="1"/>
  <c r="M148" i="3"/>
  <c r="N148" i="3"/>
  <c r="W148" i="3" s="1"/>
  <c r="AG148" i="3"/>
  <c r="AH148" i="3" s="1"/>
  <c r="AI148" i="3" l="1"/>
  <c r="X148" i="3"/>
  <c r="X148" i="13"/>
  <c r="AI148" i="13"/>
  <c r="AJ148" i="13" l="1"/>
  <c r="AK148" i="13" s="1"/>
  <c r="AL148" i="13" s="1"/>
  <c r="AJ148" i="3"/>
  <c r="AK148" i="3" s="1"/>
  <c r="AM148" i="3" s="1"/>
  <c r="AL148" i="3" l="1"/>
  <c r="AP148" i="13"/>
  <c r="AN148" i="3" l="1"/>
  <c r="AP148" i="3"/>
  <c r="AQ148" i="3" s="1"/>
  <c r="AM148" i="13"/>
  <c r="AN148" i="13" l="1"/>
  <c r="AO148" i="13" s="1"/>
  <c r="AT148" i="3"/>
  <c r="AU148" i="3" s="1"/>
  <c r="AO148" i="3"/>
  <c r="AQ148" i="13"/>
  <c r="AS148" i="3" l="1"/>
  <c r="AV148" i="3" s="1"/>
  <c r="I149" i="3" l="1"/>
  <c r="J149" i="3"/>
  <c r="I149" i="13"/>
  <c r="J149" i="13"/>
  <c r="AA149" i="13" l="1"/>
  <c r="AE149" i="13"/>
  <c r="AA149" i="3"/>
  <c r="AE149" i="3"/>
  <c r="M149" i="13"/>
  <c r="N149" i="13"/>
  <c r="W149" i="13" s="1"/>
  <c r="K149" i="13"/>
  <c r="U149" i="13" s="1"/>
  <c r="L149" i="13"/>
  <c r="V149" i="13" s="1"/>
  <c r="AG149" i="13"/>
  <c r="AH149" i="13" s="1"/>
  <c r="L149" i="3"/>
  <c r="V149" i="3" s="1"/>
  <c r="M149" i="3"/>
  <c r="N149" i="3"/>
  <c r="W149" i="3" s="1"/>
  <c r="K149" i="3"/>
  <c r="U149" i="3" s="1"/>
  <c r="AG149" i="3"/>
  <c r="AH149" i="3" s="1"/>
  <c r="X149" i="13" l="1"/>
  <c r="AI149" i="13"/>
  <c r="AI149" i="3"/>
  <c r="X149" i="3"/>
  <c r="AJ149" i="3" l="1"/>
  <c r="AK149" i="3" s="1"/>
  <c r="AM149" i="3" s="1"/>
  <c r="AJ149" i="13"/>
  <c r="AK149" i="13" s="1"/>
  <c r="AL149" i="13" s="1"/>
  <c r="AP149" i="13" l="1"/>
  <c r="AQ149" i="13" s="1"/>
  <c r="Y19" i="15" s="1"/>
  <c r="AM149" i="13"/>
  <c r="AN149" i="13" s="1"/>
  <c r="AO149" i="13" s="1"/>
  <c r="X19" i="15" s="1"/>
  <c r="AL149" i="3"/>
  <c r="AN149" i="3" l="1"/>
  <c r="AP149" i="3"/>
  <c r="AQ149" i="3" s="1"/>
  <c r="Y19" i="14" s="1"/>
  <c r="AT149" i="3" l="1"/>
  <c r="AU149" i="3" s="1"/>
  <c r="AO149" i="3"/>
  <c r="X19" i="14" s="1"/>
  <c r="AS149" i="3" l="1"/>
  <c r="AV149" i="3" s="1"/>
  <c r="I150" i="3" l="1"/>
  <c r="J150" i="3"/>
  <c r="I150" i="13"/>
  <c r="J150" i="13"/>
  <c r="AA150" i="13" l="1"/>
  <c r="AE150" i="13"/>
  <c r="AA150" i="3"/>
  <c r="AE150" i="3"/>
  <c r="M150" i="13"/>
  <c r="N150" i="13"/>
  <c r="W150" i="13" s="1"/>
  <c r="K150" i="13"/>
  <c r="U150" i="13" s="1"/>
  <c r="L150" i="13"/>
  <c r="V150" i="13" s="1"/>
  <c r="AG150" i="13"/>
  <c r="AH150" i="13" s="1"/>
  <c r="M150" i="3"/>
  <c r="N150" i="3"/>
  <c r="W150" i="3" s="1"/>
  <c r="K150" i="3"/>
  <c r="U150" i="3" s="1"/>
  <c r="L150" i="3"/>
  <c r="V150" i="3" s="1"/>
  <c r="AG150" i="3"/>
  <c r="AH150" i="3" s="1"/>
  <c r="X150" i="13" l="1"/>
  <c r="AI150" i="13"/>
  <c r="X150" i="3"/>
  <c r="AI150" i="3"/>
  <c r="AJ150" i="3" l="1"/>
  <c r="AK150" i="3" s="1"/>
  <c r="AM150" i="3" s="1"/>
  <c r="AJ150" i="13"/>
  <c r="AK150" i="13" s="1"/>
  <c r="AL150" i="13" s="1"/>
  <c r="AP150" i="13" l="1"/>
  <c r="AQ150" i="13" s="1"/>
  <c r="AM150" i="13"/>
  <c r="AN150" i="13" s="1"/>
  <c r="AO150" i="13" s="1"/>
  <c r="AL150" i="3"/>
  <c r="AP150" i="3" l="1"/>
  <c r="AQ150" i="3" s="1"/>
  <c r="AN150" i="3"/>
  <c r="AT150" i="3" l="1"/>
  <c r="AU150" i="3" s="1"/>
  <c r="AO150" i="3"/>
  <c r="AS150" i="3" l="1"/>
  <c r="AV150" i="3" s="1"/>
  <c r="J151" i="3" l="1"/>
  <c r="I151" i="3"/>
  <c r="I151" i="13"/>
  <c r="J151" i="13"/>
  <c r="AA151" i="13" l="1"/>
  <c r="AE151" i="13"/>
  <c r="AA151" i="3"/>
  <c r="AE151" i="3"/>
  <c r="M151" i="13"/>
  <c r="N151" i="13"/>
  <c r="W151" i="13" s="1"/>
  <c r="K151" i="13"/>
  <c r="U151" i="13" s="1"/>
  <c r="L151" i="13"/>
  <c r="V151" i="13" s="1"/>
  <c r="AG151" i="13"/>
  <c r="AH151" i="13" s="1"/>
  <c r="AG151" i="3"/>
  <c r="AH151" i="3" s="1"/>
  <c r="N151" i="3"/>
  <c r="W151" i="3" s="1"/>
  <c r="K151" i="3"/>
  <c r="U151" i="3" s="1"/>
  <c r="L151" i="3"/>
  <c r="V151" i="3" s="1"/>
  <c r="M151" i="3"/>
  <c r="X151" i="13" l="1"/>
  <c r="AI151" i="13"/>
  <c r="X151" i="3"/>
  <c r="AI151" i="3"/>
  <c r="AJ151" i="3" l="1"/>
  <c r="AK151" i="3" s="1"/>
  <c r="AM151" i="3" s="1"/>
  <c r="AJ151" i="13"/>
  <c r="AK151" i="13" s="1"/>
  <c r="AL151" i="13" s="1"/>
  <c r="AP151" i="13" l="1"/>
  <c r="AM151" i="13"/>
  <c r="AN151" i="13" s="1"/>
  <c r="AO151" i="13" s="1"/>
  <c r="AL151" i="3"/>
  <c r="AQ151" i="13" l="1"/>
  <c r="AP151" i="3"/>
  <c r="AQ151" i="3" s="1"/>
  <c r="AN151" i="3"/>
  <c r="AT151" i="3" l="1"/>
  <c r="AU151" i="3" s="1"/>
  <c r="AO151" i="3"/>
  <c r="AS151" i="3" l="1"/>
  <c r="AV151" i="3" s="1"/>
  <c r="I152" i="3" l="1"/>
  <c r="J152" i="3"/>
  <c r="I152" i="13"/>
  <c r="J152" i="13"/>
  <c r="AA152" i="13" l="1"/>
  <c r="AE152" i="13"/>
  <c r="AA152" i="3"/>
  <c r="AE152" i="3"/>
  <c r="M152" i="13"/>
  <c r="N152" i="13"/>
  <c r="W152" i="13" s="1"/>
  <c r="K152" i="13"/>
  <c r="U152" i="13" s="1"/>
  <c r="L152" i="13"/>
  <c r="V152" i="13" s="1"/>
  <c r="AG152" i="13"/>
  <c r="AH152" i="13" s="1"/>
  <c r="K152" i="3"/>
  <c r="U152" i="3" s="1"/>
  <c r="L152" i="3"/>
  <c r="V152" i="3" s="1"/>
  <c r="M152" i="3"/>
  <c r="N152" i="3"/>
  <c r="W152" i="3" s="1"/>
  <c r="AG152" i="3"/>
  <c r="AH152" i="3" s="1"/>
  <c r="AI152" i="3" l="1"/>
  <c r="X152" i="3"/>
  <c r="X152" i="13"/>
  <c r="AI152" i="13"/>
  <c r="AJ152" i="13" l="1"/>
  <c r="AK152" i="13" s="1"/>
  <c r="AL152" i="13" s="1"/>
  <c r="AJ152" i="3"/>
  <c r="AK152" i="3" s="1"/>
  <c r="AM152" i="3" s="1"/>
  <c r="AM152" i="13" l="1"/>
  <c r="AN152" i="13" s="1"/>
  <c r="AO152" i="13" s="1"/>
  <c r="AL152" i="3"/>
  <c r="AP152" i="13"/>
  <c r="AQ152" i="13" l="1"/>
  <c r="AN152" i="3"/>
  <c r="AP152" i="3"/>
  <c r="AQ152" i="3" s="1"/>
  <c r="AT152" i="3" l="1"/>
  <c r="AU152" i="3" s="1"/>
  <c r="AO152" i="3"/>
  <c r="AS152" i="3" l="1"/>
  <c r="AV152" i="3" s="1"/>
  <c r="I153" i="3" l="1"/>
  <c r="J153" i="3"/>
  <c r="I153" i="13"/>
  <c r="J153" i="13"/>
  <c r="AA153" i="13" l="1"/>
  <c r="AE153" i="13"/>
  <c r="AA153" i="3"/>
  <c r="AE153" i="3"/>
  <c r="M153" i="13"/>
  <c r="N153" i="13"/>
  <c r="W153" i="13" s="1"/>
  <c r="K153" i="13"/>
  <c r="U153" i="13" s="1"/>
  <c r="L153" i="13"/>
  <c r="V153" i="13" s="1"/>
  <c r="AG153" i="13"/>
  <c r="AH153" i="13" s="1"/>
  <c r="L153" i="3"/>
  <c r="V153" i="3" s="1"/>
  <c r="M153" i="3"/>
  <c r="N153" i="3"/>
  <c r="W153" i="3" s="1"/>
  <c r="K153" i="3"/>
  <c r="U153" i="3" s="1"/>
  <c r="AG153" i="3"/>
  <c r="AH153" i="3" s="1"/>
  <c r="X153" i="13" l="1"/>
  <c r="AI153" i="13"/>
  <c r="AI153" i="3"/>
  <c r="X153" i="3"/>
  <c r="AJ153" i="3" l="1"/>
  <c r="AK153" i="3" s="1"/>
  <c r="AM153" i="3" s="1"/>
  <c r="AJ153" i="13"/>
  <c r="AK153" i="13" s="1"/>
  <c r="AL153" i="13" s="1"/>
  <c r="AP153" i="13" l="1"/>
  <c r="AQ153" i="13" s="1"/>
  <c r="AM153" i="13"/>
  <c r="AN153" i="13" s="1"/>
  <c r="AO153" i="13" s="1"/>
  <c r="AL153" i="3"/>
  <c r="AN153" i="3" l="1"/>
  <c r="AP153" i="3"/>
  <c r="AQ153" i="3" s="1"/>
  <c r="AT153" i="3" l="1"/>
  <c r="AU153" i="3" s="1"/>
  <c r="AO153" i="3"/>
  <c r="AS153" i="3" l="1"/>
  <c r="AV153" i="3" s="1"/>
  <c r="I154" i="3" l="1"/>
  <c r="J154" i="3"/>
  <c r="I154" i="13"/>
  <c r="J154" i="13"/>
  <c r="AA154" i="13" l="1"/>
  <c r="AE154" i="13"/>
  <c r="AA154" i="3"/>
  <c r="AE154" i="3"/>
  <c r="M154" i="13"/>
  <c r="N154" i="13"/>
  <c r="W154" i="13" s="1"/>
  <c r="K154" i="13"/>
  <c r="U154" i="13" s="1"/>
  <c r="L154" i="13"/>
  <c r="V154" i="13" s="1"/>
  <c r="AG154" i="13"/>
  <c r="AH154" i="13" s="1"/>
  <c r="M154" i="3"/>
  <c r="N154" i="3"/>
  <c r="W154" i="3" s="1"/>
  <c r="K154" i="3"/>
  <c r="U154" i="3" s="1"/>
  <c r="L154" i="3"/>
  <c r="V154" i="3" s="1"/>
  <c r="AG154" i="3"/>
  <c r="AH154" i="3" s="1"/>
  <c r="X154" i="13" l="1"/>
  <c r="AI154" i="13"/>
  <c r="X154" i="3"/>
  <c r="AI154" i="3"/>
  <c r="AJ154" i="3" l="1"/>
  <c r="AK154" i="3" s="1"/>
  <c r="AM154" i="3" s="1"/>
  <c r="AJ154" i="13"/>
  <c r="AK154" i="13" s="1"/>
  <c r="AL154" i="13" s="1"/>
  <c r="AP154" i="13" l="1"/>
  <c r="AQ154" i="13" s="1"/>
  <c r="AM154" i="13"/>
  <c r="AN154" i="13" s="1"/>
  <c r="AO154" i="13" s="1"/>
  <c r="AL154" i="3"/>
  <c r="AP154" i="3" l="1"/>
  <c r="AQ154" i="3" s="1"/>
  <c r="AN154" i="3"/>
  <c r="AT154" i="3" l="1"/>
  <c r="AU154" i="3" s="1"/>
  <c r="AO154" i="3"/>
  <c r="AS154" i="3" l="1"/>
  <c r="AV154" i="3" s="1"/>
  <c r="J155" i="3" l="1"/>
  <c r="I155" i="3"/>
  <c r="I155" i="13"/>
  <c r="J155" i="13"/>
  <c r="AA155" i="13" l="1"/>
  <c r="AE155" i="13"/>
  <c r="AA155" i="3"/>
  <c r="AE155" i="3"/>
  <c r="M155" i="13"/>
  <c r="N155" i="13"/>
  <c r="W155" i="13" s="1"/>
  <c r="K155" i="13"/>
  <c r="U155" i="13" s="1"/>
  <c r="L155" i="13"/>
  <c r="V155" i="13" s="1"/>
  <c r="AG155" i="13"/>
  <c r="AH155" i="13" s="1"/>
  <c r="AG155" i="3"/>
  <c r="AH155" i="3" s="1"/>
  <c r="N155" i="3"/>
  <c r="W155" i="3" s="1"/>
  <c r="K155" i="3"/>
  <c r="U155" i="3" s="1"/>
  <c r="L155" i="3"/>
  <c r="V155" i="3" s="1"/>
  <c r="M155" i="3"/>
  <c r="X155" i="13" l="1"/>
  <c r="AI155" i="13"/>
  <c r="X155" i="3"/>
  <c r="AI155" i="3"/>
  <c r="AJ155" i="3" l="1"/>
  <c r="AK155" i="3" s="1"/>
  <c r="AM155" i="3" s="1"/>
  <c r="AJ155" i="13"/>
  <c r="AK155" i="13" s="1"/>
  <c r="AL155" i="13" s="1"/>
  <c r="AP155" i="13" l="1"/>
  <c r="AQ155" i="13" s="1"/>
  <c r="AM155" i="13"/>
  <c r="AN155" i="13" s="1"/>
  <c r="AO155" i="13" s="1"/>
  <c r="AL155" i="3"/>
  <c r="AP155" i="3" l="1"/>
  <c r="AQ155" i="3" s="1"/>
  <c r="AN155" i="3"/>
  <c r="AT155" i="3" l="1"/>
  <c r="AU155" i="3" s="1"/>
  <c r="AO155" i="3"/>
  <c r="AS155" i="3" l="1"/>
  <c r="AV155" i="3" s="1"/>
  <c r="I156" i="3" l="1"/>
  <c r="J156" i="3"/>
  <c r="I156" i="13"/>
  <c r="J156" i="13"/>
  <c r="AA156" i="13" l="1"/>
  <c r="AE156" i="13"/>
  <c r="AA156" i="3"/>
  <c r="AE156" i="3"/>
  <c r="M156" i="13"/>
  <c r="N156" i="13"/>
  <c r="W156" i="13" s="1"/>
  <c r="K156" i="13"/>
  <c r="U156" i="13" s="1"/>
  <c r="L156" i="13"/>
  <c r="V156" i="13" s="1"/>
  <c r="AG156" i="13"/>
  <c r="AH156" i="13" s="1"/>
  <c r="K156" i="3"/>
  <c r="U156" i="3" s="1"/>
  <c r="L156" i="3"/>
  <c r="V156" i="3" s="1"/>
  <c r="M156" i="3"/>
  <c r="N156" i="3"/>
  <c r="W156" i="3" s="1"/>
  <c r="AG156" i="3"/>
  <c r="AH156" i="3" s="1"/>
  <c r="AI156" i="3" l="1"/>
  <c r="X156" i="3"/>
  <c r="X156" i="13"/>
  <c r="AI156" i="13"/>
  <c r="AJ156" i="13" l="1"/>
  <c r="AK156" i="13" s="1"/>
  <c r="AL156" i="13" s="1"/>
  <c r="AJ156" i="3"/>
  <c r="AK156" i="3" s="1"/>
  <c r="AM156" i="3" s="1"/>
  <c r="AP156" i="13" l="1"/>
  <c r="AL156" i="3"/>
  <c r="AN156" i="3" l="1"/>
  <c r="AP156" i="3"/>
  <c r="AQ156" i="3" s="1"/>
  <c r="AM156" i="13"/>
  <c r="AQ156" i="13" s="1"/>
  <c r="AN156" i="13" l="1"/>
  <c r="AO156" i="13" s="1"/>
  <c r="AT156" i="3"/>
  <c r="AU156" i="3" s="1"/>
  <c r="AO156" i="3"/>
  <c r="AS156" i="3" l="1"/>
  <c r="AV156" i="3" s="1"/>
  <c r="I157" i="3" l="1"/>
  <c r="J157" i="3"/>
  <c r="I157" i="13"/>
  <c r="J157" i="13"/>
  <c r="AA157" i="13" l="1"/>
  <c r="AE157" i="13"/>
  <c r="AA157" i="3"/>
  <c r="AE157" i="3"/>
  <c r="M157" i="13"/>
  <c r="N157" i="13"/>
  <c r="W157" i="13" s="1"/>
  <c r="K157" i="13"/>
  <c r="U157" i="13" s="1"/>
  <c r="L157" i="13"/>
  <c r="V157" i="13" s="1"/>
  <c r="AG157" i="13"/>
  <c r="AH157" i="13" s="1"/>
  <c r="L157" i="3"/>
  <c r="V157" i="3" s="1"/>
  <c r="M157" i="3"/>
  <c r="N157" i="3"/>
  <c r="W157" i="3" s="1"/>
  <c r="K157" i="3"/>
  <c r="U157" i="3" s="1"/>
  <c r="AG157" i="3"/>
  <c r="AH157" i="3" s="1"/>
  <c r="X157" i="13" l="1"/>
  <c r="AI157" i="13"/>
  <c r="AI157" i="3"/>
  <c r="X157" i="3"/>
  <c r="AJ157" i="3" l="1"/>
  <c r="AK157" i="3" s="1"/>
  <c r="AM157" i="3" s="1"/>
  <c r="AJ157" i="13"/>
  <c r="AK157" i="13" s="1"/>
  <c r="AL157" i="13" s="1"/>
  <c r="AP157" i="13" l="1"/>
  <c r="AL157" i="3"/>
  <c r="AM157" i="13" l="1"/>
  <c r="AQ157" i="13" s="1"/>
  <c r="AN157" i="3"/>
  <c r="AP157" i="3"/>
  <c r="AQ157" i="3" s="1"/>
  <c r="AT157" i="3" l="1"/>
  <c r="AU157" i="3" s="1"/>
  <c r="AO157" i="3"/>
  <c r="AN157" i="13"/>
  <c r="AO157" i="13" s="1"/>
  <c r="AS157" i="3" l="1"/>
  <c r="AV157" i="3" s="1"/>
  <c r="I158" i="3" l="1"/>
  <c r="J158" i="3"/>
  <c r="I158" i="13"/>
  <c r="J158" i="13"/>
  <c r="AA158" i="13" l="1"/>
  <c r="AE158" i="13"/>
  <c r="AA158" i="3"/>
  <c r="AE158" i="3"/>
  <c r="M158" i="13"/>
  <c r="N158" i="13"/>
  <c r="W158" i="13" s="1"/>
  <c r="K158" i="13"/>
  <c r="U158" i="13" s="1"/>
  <c r="L158" i="13"/>
  <c r="V158" i="13" s="1"/>
  <c r="M158" i="3"/>
  <c r="N158" i="3"/>
  <c r="W158" i="3" s="1"/>
  <c r="K158" i="3"/>
  <c r="U158" i="3" s="1"/>
  <c r="L158" i="3"/>
  <c r="V158" i="3" s="1"/>
  <c r="AG158" i="13"/>
  <c r="AH158" i="13" s="1"/>
  <c r="AG158" i="3"/>
  <c r="AH158" i="3" s="1"/>
  <c r="X158" i="3" l="1"/>
  <c r="AI158" i="3"/>
  <c r="X158" i="13"/>
  <c r="AI158" i="13"/>
  <c r="AJ158" i="13" l="1"/>
  <c r="AK158" i="13" s="1"/>
  <c r="AL158" i="13" s="1"/>
  <c r="AJ158" i="3"/>
  <c r="AK158" i="3" s="1"/>
  <c r="AM158" i="3" s="1"/>
  <c r="AL158" i="3" l="1"/>
  <c r="AP158" i="13"/>
  <c r="AP158" i="3" l="1"/>
  <c r="AQ158" i="3" s="1"/>
  <c r="AN158" i="3"/>
  <c r="AM158" i="13"/>
  <c r="AN158" i="13" l="1"/>
  <c r="AO158" i="13" s="1"/>
  <c r="AT158" i="3"/>
  <c r="AU158" i="3" s="1"/>
  <c r="AO158" i="3"/>
  <c r="AQ158" i="13"/>
  <c r="AS158" i="3" l="1"/>
  <c r="AV158" i="3" s="1"/>
  <c r="J159" i="3" l="1"/>
  <c r="I159" i="3"/>
  <c r="I159" i="13"/>
  <c r="J159" i="13"/>
  <c r="AA159" i="13" l="1"/>
  <c r="AE159" i="13"/>
  <c r="AA159" i="3"/>
  <c r="AE159" i="3"/>
  <c r="M159" i="13"/>
  <c r="N159" i="13"/>
  <c r="W159" i="13" s="1"/>
  <c r="K159" i="13"/>
  <c r="U159" i="13" s="1"/>
  <c r="L159" i="13"/>
  <c r="V159" i="13" s="1"/>
  <c r="AG159" i="13"/>
  <c r="AH159" i="13" s="1"/>
  <c r="AG159" i="3"/>
  <c r="AH159" i="3" s="1"/>
  <c r="N159" i="3"/>
  <c r="W159" i="3" s="1"/>
  <c r="K159" i="3"/>
  <c r="U159" i="3" s="1"/>
  <c r="L159" i="3"/>
  <c r="V159" i="3" s="1"/>
  <c r="M159" i="3"/>
  <c r="X159" i="13" l="1"/>
  <c r="AI159" i="13"/>
  <c r="X159" i="3"/>
  <c r="AI159" i="3"/>
  <c r="AJ159" i="3" l="1"/>
  <c r="AK159" i="3" s="1"/>
  <c r="AM159" i="3" s="1"/>
  <c r="AJ159" i="13"/>
  <c r="AK159" i="13" s="1"/>
  <c r="AL159" i="13" s="1"/>
  <c r="AP159" i="13" l="1"/>
  <c r="AL159" i="3"/>
  <c r="AM159" i="13" l="1"/>
  <c r="AQ159" i="13" s="1"/>
  <c r="AP159" i="3"/>
  <c r="AQ159" i="3" s="1"/>
  <c r="AN159" i="3"/>
  <c r="AT159" i="3" l="1"/>
  <c r="AU159" i="3" s="1"/>
  <c r="AO159" i="3"/>
  <c r="AN159" i="13"/>
  <c r="AO159" i="13" s="1"/>
  <c r="AS159" i="3" l="1"/>
  <c r="AV159" i="3" s="1"/>
  <c r="I160" i="3" l="1"/>
  <c r="J160" i="3"/>
  <c r="I160" i="13"/>
  <c r="J160" i="13"/>
  <c r="AA160" i="13" l="1"/>
  <c r="AE160" i="13"/>
  <c r="AA160" i="3"/>
  <c r="AE160" i="3"/>
  <c r="M160" i="13"/>
  <c r="N160" i="13"/>
  <c r="W160" i="13" s="1"/>
  <c r="K160" i="13"/>
  <c r="U160" i="13" s="1"/>
  <c r="L160" i="13"/>
  <c r="V160" i="13" s="1"/>
  <c r="AG160" i="13"/>
  <c r="AH160" i="13" s="1"/>
  <c r="K160" i="3"/>
  <c r="U160" i="3" s="1"/>
  <c r="L160" i="3"/>
  <c r="V160" i="3" s="1"/>
  <c r="M160" i="3"/>
  <c r="N160" i="3"/>
  <c r="W160" i="3" s="1"/>
  <c r="AG160" i="3"/>
  <c r="AH160" i="3" s="1"/>
  <c r="AI160" i="3" l="1"/>
  <c r="X160" i="3"/>
  <c r="X160" i="13"/>
  <c r="AI160" i="13"/>
  <c r="AJ160" i="13" l="1"/>
  <c r="AK160" i="13" s="1"/>
  <c r="AL160" i="13" s="1"/>
  <c r="AJ160" i="3"/>
  <c r="AK160" i="3" s="1"/>
  <c r="AM160" i="3" s="1"/>
  <c r="AL160" i="3" l="1"/>
  <c r="AP160" i="13"/>
  <c r="AN160" i="3" l="1"/>
  <c r="AP160" i="3"/>
  <c r="AQ160" i="3" s="1"/>
  <c r="AM160" i="13"/>
  <c r="AN160" i="13" l="1"/>
  <c r="AO160" i="13" s="1"/>
  <c r="AT160" i="3"/>
  <c r="AU160" i="3" s="1"/>
  <c r="AO160" i="3"/>
  <c r="AQ160" i="13"/>
  <c r="AS160" i="3" l="1"/>
  <c r="AV160" i="3" s="1"/>
  <c r="I161" i="3" l="1"/>
  <c r="J161" i="3"/>
  <c r="I161" i="13"/>
  <c r="J161" i="13"/>
  <c r="AA161" i="13" l="1"/>
  <c r="AE161" i="13"/>
  <c r="AA161" i="3"/>
  <c r="AE161" i="3"/>
  <c r="M161" i="13"/>
  <c r="N161" i="13"/>
  <c r="W161" i="13" s="1"/>
  <c r="K161" i="13"/>
  <c r="U161" i="13" s="1"/>
  <c r="L161" i="13"/>
  <c r="V161" i="13" s="1"/>
  <c r="AG161" i="13"/>
  <c r="AH161" i="13" s="1"/>
  <c r="L161" i="3"/>
  <c r="V161" i="3" s="1"/>
  <c r="M161" i="3"/>
  <c r="N161" i="3"/>
  <c r="W161" i="3" s="1"/>
  <c r="K161" i="3"/>
  <c r="U161" i="3" s="1"/>
  <c r="AG161" i="3"/>
  <c r="AH161" i="3" s="1"/>
  <c r="X161" i="13" l="1"/>
  <c r="AI161" i="13"/>
  <c r="AI161" i="3"/>
  <c r="X161" i="3"/>
  <c r="AJ161" i="3" l="1"/>
  <c r="AK161" i="3" s="1"/>
  <c r="AM161" i="3" s="1"/>
  <c r="AJ161" i="13"/>
  <c r="AK161" i="13" s="1"/>
  <c r="AL161" i="13" s="1"/>
  <c r="AP161" i="13" l="1"/>
  <c r="AM161" i="13"/>
  <c r="AN161" i="13" s="1"/>
  <c r="AO161" i="13" s="1"/>
  <c r="X20" i="15" s="1"/>
  <c r="AL161" i="3"/>
  <c r="AQ161" i="13" l="1"/>
  <c r="Y20" i="15" s="1"/>
  <c r="AN161" i="3"/>
  <c r="AP161" i="3"/>
  <c r="AQ161" i="3" s="1"/>
  <c r="Y20" i="14" s="1"/>
  <c r="AT161" i="3" l="1"/>
  <c r="AU161" i="3" s="1"/>
  <c r="AO161" i="3"/>
  <c r="X20" i="14" s="1"/>
  <c r="AS161" i="3" l="1"/>
  <c r="AV161" i="3" s="1"/>
  <c r="I162" i="3" l="1"/>
  <c r="J162" i="3"/>
  <c r="I162" i="13"/>
  <c r="J162" i="13"/>
  <c r="AA162" i="13" l="1"/>
  <c r="AE162" i="13"/>
  <c r="AA162" i="3"/>
  <c r="AE162" i="3"/>
  <c r="M162" i="13"/>
  <c r="N162" i="13"/>
  <c r="W162" i="13" s="1"/>
  <c r="K162" i="13"/>
  <c r="U162" i="13" s="1"/>
  <c r="L162" i="13"/>
  <c r="V162" i="13" s="1"/>
  <c r="AG162" i="13"/>
  <c r="AH162" i="13" s="1"/>
  <c r="M162" i="3"/>
  <c r="N162" i="3"/>
  <c r="W162" i="3" s="1"/>
  <c r="K162" i="3"/>
  <c r="U162" i="3" s="1"/>
  <c r="L162" i="3"/>
  <c r="V162" i="3" s="1"/>
  <c r="AG162" i="3"/>
  <c r="AH162" i="3" s="1"/>
  <c r="X162" i="13" l="1"/>
  <c r="AI162" i="13"/>
  <c r="X162" i="3"/>
  <c r="AI162" i="3"/>
  <c r="AJ162" i="3" l="1"/>
  <c r="AK162" i="3" s="1"/>
  <c r="AM162" i="3" s="1"/>
  <c r="AJ162" i="13"/>
  <c r="AK162" i="13" s="1"/>
  <c r="AL162" i="13" s="1"/>
  <c r="AM162" i="13" l="1"/>
  <c r="AN162" i="13" s="1"/>
  <c r="AO162" i="13" s="1"/>
  <c r="AP162" i="13"/>
  <c r="AL162" i="3"/>
  <c r="AQ162" i="13" l="1"/>
  <c r="AP162" i="3"/>
  <c r="AQ162" i="3" s="1"/>
  <c r="AN162" i="3"/>
  <c r="AT162" i="3" l="1"/>
  <c r="AU162" i="3" s="1"/>
  <c r="AO162" i="3"/>
  <c r="AS162" i="3" l="1"/>
  <c r="AV162" i="3" s="1"/>
  <c r="J163" i="3" l="1"/>
  <c r="I163" i="3"/>
  <c r="I163" i="13"/>
  <c r="J163" i="13"/>
  <c r="AA163" i="13" l="1"/>
  <c r="AE163" i="13"/>
  <c r="AA163" i="3"/>
  <c r="AE163" i="3"/>
  <c r="AG163" i="13"/>
  <c r="AH163" i="13" s="1"/>
  <c r="AG163" i="3"/>
  <c r="AH163" i="3" s="1"/>
  <c r="M163" i="13"/>
  <c r="N163" i="13"/>
  <c r="W163" i="13" s="1"/>
  <c r="K163" i="13"/>
  <c r="U163" i="13" s="1"/>
  <c r="L163" i="13"/>
  <c r="V163" i="13" s="1"/>
  <c r="N163" i="3"/>
  <c r="W163" i="3" s="1"/>
  <c r="K163" i="3"/>
  <c r="U163" i="3" s="1"/>
  <c r="L163" i="3"/>
  <c r="V163" i="3" s="1"/>
  <c r="M163" i="3"/>
  <c r="X163" i="13" l="1"/>
  <c r="AI163" i="13"/>
  <c r="X163" i="3"/>
  <c r="AI163" i="3"/>
  <c r="AJ163" i="3" l="1"/>
  <c r="AK163" i="3" s="1"/>
  <c r="AM163" i="3" s="1"/>
  <c r="AJ163" i="13"/>
  <c r="AK163" i="13" s="1"/>
  <c r="AL163" i="13" s="1"/>
  <c r="AP163" i="13" l="1"/>
  <c r="AM163" i="13"/>
  <c r="AN163" i="13" s="1"/>
  <c r="AO163" i="13" s="1"/>
  <c r="AL163" i="3"/>
  <c r="AQ163" i="13" l="1"/>
  <c r="AP163" i="3"/>
  <c r="AQ163" i="3" s="1"/>
  <c r="AN163" i="3"/>
  <c r="AT163" i="3" l="1"/>
  <c r="AU163" i="3" s="1"/>
  <c r="AO163" i="3"/>
  <c r="AS163" i="3" l="1"/>
  <c r="AV163" i="3" s="1"/>
  <c r="I164" i="3" l="1"/>
  <c r="J164" i="3"/>
  <c r="I164" i="13"/>
  <c r="J164" i="13"/>
  <c r="AA164" i="13" l="1"/>
  <c r="AE164" i="13"/>
  <c r="AA164" i="3"/>
  <c r="AE164" i="3"/>
  <c r="AG164" i="13"/>
  <c r="AH164" i="13" s="1"/>
  <c r="K164" i="3"/>
  <c r="U164" i="3" s="1"/>
  <c r="L164" i="3"/>
  <c r="V164" i="3" s="1"/>
  <c r="M164" i="3"/>
  <c r="N164" i="3"/>
  <c r="W164" i="3" s="1"/>
  <c r="M164" i="13"/>
  <c r="N164" i="13"/>
  <c r="W164" i="13" s="1"/>
  <c r="K164" i="13"/>
  <c r="U164" i="13" s="1"/>
  <c r="L164" i="13"/>
  <c r="V164" i="13" s="1"/>
  <c r="AG164" i="3"/>
  <c r="AH164" i="3" s="1"/>
  <c r="AI164" i="3" l="1"/>
  <c r="X164" i="3"/>
  <c r="X164" i="13"/>
  <c r="AI164" i="13"/>
  <c r="AJ164" i="13" l="1"/>
  <c r="AK164" i="13" s="1"/>
  <c r="AL164" i="13" s="1"/>
  <c r="AJ164" i="3"/>
  <c r="AK164" i="3" s="1"/>
  <c r="AM164" i="3" s="1"/>
  <c r="AL164" i="3" l="1"/>
  <c r="AM164" i="13"/>
  <c r="AN164" i="13" s="1"/>
  <c r="AO164" i="13" s="1"/>
  <c r="AP164" i="13"/>
  <c r="AQ164" i="13" l="1"/>
  <c r="AN164" i="3"/>
  <c r="AP164" i="3"/>
  <c r="AQ164" i="3" s="1"/>
  <c r="AT164" i="3" l="1"/>
  <c r="AU164" i="3" s="1"/>
  <c r="AO164" i="3"/>
  <c r="AS164" i="3" l="1"/>
  <c r="AV164" i="3" s="1"/>
  <c r="I165" i="3" l="1"/>
  <c r="J165" i="3"/>
  <c r="I165" i="13"/>
  <c r="J165" i="13"/>
  <c r="AA165" i="13" l="1"/>
  <c r="AE165" i="13"/>
  <c r="AA165" i="3"/>
  <c r="AE165" i="3"/>
  <c r="M165" i="13"/>
  <c r="N165" i="13"/>
  <c r="W165" i="13" s="1"/>
  <c r="K165" i="13"/>
  <c r="U165" i="13" s="1"/>
  <c r="L165" i="13"/>
  <c r="V165" i="13" s="1"/>
  <c r="AG165" i="13"/>
  <c r="AH165" i="13" s="1"/>
  <c r="L165" i="3"/>
  <c r="V165" i="3" s="1"/>
  <c r="M165" i="3"/>
  <c r="N165" i="3"/>
  <c r="W165" i="3" s="1"/>
  <c r="K165" i="3"/>
  <c r="U165" i="3" s="1"/>
  <c r="AG165" i="3"/>
  <c r="AH165" i="3" s="1"/>
  <c r="X165" i="13" l="1"/>
  <c r="AI165" i="13"/>
  <c r="AI165" i="3"/>
  <c r="X165" i="3"/>
  <c r="AJ165" i="3" l="1"/>
  <c r="AK165" i="3" s="1"/>
  <c r="AM165" i="3" s="1"/>
  <c r="AJ165" i="13"/>
  <c r="AK165" i="13" s="1"/>
  <c r="AL165" i="13" s="1"/>
  <c r="AP165" i="13" l="1"/>
  <c r="AQ165" i="13" s="1"/>
  <c r="AM165" i="13"/>
  <c r="AN165" i="13" s="1"/>
  <c r="AO165" i="13" s="1"/>
  <c r="AL165" i="3"/>
  <c r="AN165" i="3" l="1"/>
  <c r="AP165" i="3"/>
  <c r="AQ165" i="3" s="1"/>
  <c r="AT165" i="3" l="1"/>
  <c r="AU165" i="3" s="1"/>
  <c r="AO165" i="3"/>
  <c r="AS165" i="3" l="1"/>
  <c r="AV165" i="3" s="1"/>
  <c r="I166" i="3" l="1"/>
  <c r="J166" i="3"/>
  <c r="I166" i="13"/>
  <c r="J166" i="13"/>
  <c r="AA166" i="13" l="1"/>
  <c r="AE166" i="13"/>
  <c r="AA166" i="3"/>
  <c r="AE166" i="3"/>
  <c r="M166" i="13"/>
  <c r="N166" i="13"/>
  <c r="W166" i="13" s="1"/>
  <c r="K166" i="13"/>
  <c r="U166" i="13" s="1"/>
  <c r="L166" i="13"/>
  <c r="V166" i="13" s="1"/>
  <c r="AG166" i="13"/>
  <c r="AH166" i="13" s="1"/>
  <c r="M166" i="3"/>
  <c r="N166" i="3"/>
  <c r="W166" i="3" s="1"/>
  <c r="K166" i="3"/>
  <c r="U166" i="3" s="1"/>
  <c r="L166" i="3"/>
  <c r="V166" i="3" s="1"/>
  <c r="AG166" i="3"/>
  <c r="AH166" i="3" s="1"/>
  <c r="X166" i="13" l="1"/>
  <c r="AI166" i="13"/>
  <c r="X166" i="3"/>
  <c r="AI166" i="3"/>
  <c r="AJ166" i="3" l="1"/>
  <c r="AK166" i="3" s="1"/>
  <c r="AM166" i="3" s="1"/>
  <c r="AJ166" i="13"/>
  <c r="AK166" i="13" s="1"/>
  <c r="AL166" i="13" s="1"/>
  <c r="AP166" i="13" l="1"/>
  <c r="AQ166" i="13" s="1"/>
  <c r="AM166" i="13"/>
  <c r="AN166" i="13" s="1"/>
  <c r="AO166" i="13" s="1"/>
  <c r="AL166" i="3"/>
  <c r="AP166" i="3" l="1"/>
  <c r="AQ166" i="3" s="1"/>
  <c r="AN166" i="3"/>
  <c r="AT166" i="3" l="1"/>
  <c r="AU166" i="3" s="1"/>
  <c r="AO166" i="3"/>
  <c r="AS166" i="3" l="1"/>
  <c r="AV166" i="3" s="1"/>
  <c r="J167" i="3" l="1"/>
  <c r="I167" i="3"/>
  <c r="I167" i="13"/>
  <c r="J167" i="13"/>
  <c r="AA167" i="13" l="1"/>
  <c r="AE167" i="13"/>
  <c r="AA167" i="3"/>
  <c r="AE167" i="3"/>
  <c r="M167" i="13"/>
  <c r="N167" i="13"/>
  <c r="W167" i="13" s="1"/>
  <c r="K167" i="13"/>
  <c r="U167" i="13" s="1"/>
  <c r="L167" i="13"/>
  <c r="V167" i="13" s="1"/>
  <c r="AG167" i="13"/>
  <c r="AH167" i="13" s="1"/>
  <c r="AG167" i="3"/>
  <c r="AH167" i="3" s="1"/>
  <c r="N167" i="3"/>
  <c r="W167" i="3" s="1"/>
  <c r="K167" i="3"/>
  <c r="U167" i="3" s="1"/>
  <c r="L167" i="3"/>
  <c r="V167" i="3" s="1"/>
  <c r="M167" i="3"/>
  <c r="X167" i="13" l="1"/>
  <c r="AI167" i="13"/>
  <c r="X167" i="3"/>
  <c r="AI167" i="3"/>
  <c r="AJ167" i="3" l="1"/>
  <c r="AK167" i="3" s="1"/>
  <c r="AM167" i="3" s="1"/>
  <c r="AJ167" i="13"/>
  <c r="AK167" i="13" s="1"/>
  <c r="AL167" i="13" s="1"/>
  <c r="AP167" i="13" l="1"/>
  <c r="AL167" i="3"/>
  <c r="AM167" i="13"/>
  <c r="AN167" i="13" s="1"/>
  <c r="AO167" i="13" s="1"/>
  <c r="AQ167" i="13" l="1"/>
  <c r="AP167" i="3"/>
  <c r="AQ167" i="3" s="1"/>
  <c r="AN167" i="3"/>
  <c r="AT167" i="3" l="1"/>
  <c r="AU167" i="3" s="1"/>
  <c r="AO167" i="3"/>
  <c r="AS167" i="3" l="1"/>
  <c r="AV167" i="3" s="1"/>
  <c r="I168" i="3" l="1"/>
  <c r="J168" i="3"/>
  <c r="I168" i="13"/>
  <c r="J168" i="13"/>
  <c r="AA168" i="13" l="1"/>
  <c r="AE168" i="13"/>
  <c r="AA168" i="3"/>
  <c r="AE168" i="3"/>
  <c r="K168" i="3"/>
  <c r="U168" i="3" s="1"/>
  <c r="L168" i="3"/>
  <c r="V168" i="3" s="1"/>
  <c r="M168" i="3"/>
  <c r="N168" i="3"/>
  <c r="W168" i="3" s="1"/>
  <c r="M168" i="13"/>
  <c r="N168" i="13"/>
  <c r="W168" i="13" s="1"/>
  <c r="K168" i="13"/>
  <c r="U168" i="13" s="1"/>
  <c r="L168" i="13"/>
  <c r="V168" i="13" s="1"/>
  <c r="AG168" i="3"/>
  <c r="AH168" i="3" s="1"/>
  <c r="AG168" i="13"/>
  <c r="AH168" i="13" s="1"/>
  <c r="X168" i="13" l="1"/>
  <c r="AI168" i="13"/>
  <c r="AI168" i="3"/>
  <c r="X168" i="3"/>
  <c r="AJ168" i="3" l="1"/>
  <c r="AK168" i="3" s="1"/>
  <c r="AM168" i="3" s="1"/>
  <c r="AJ168" i="13"/>
  <c r="AK168" i="13" s="1"/>
  <c r="AL168" i="13" s="1"/>
  <c r="AP168" i="13" l="1"/>
  <c r="AL168" i="3"/>
  <c r="AM168" i="13" l="1"/>
  <c r="AQ168" i="13" s="1"/>
  <c r="AN168" i="3"/>
  <c r="AP168" i="3"/>
  <c r="AQ168" i="3" s="1"/>
  <c r="AT168" i="3" l="1"/>
  <c r="AU168" i="3" s="1"/>
  <c r="AO168" i="3"/>
  <c r="AN168" i="13"/>
  <c r="AO168" i="13" s="1"/>
  <c r="AS168" i="3" l="1"/>
  <c r="AV168" i="3" s="1"/>
  <c r="I169" i="3" l="1"/>
  <c r="J169" i="3"/>
  <c r="I169" i="13"/>
  <c r="J169" i="13"/>
  <c r="AA169" i="13" l="1"/>
  <c r="AE169" i="13"/>
  <c r="AA169" i="3"/>
  <c r="AE169" i="3"/>
  <c r="M169" i="13"/>
  <c r="N169" i="13"/>
  <c r="W169" i="13" s="1"/>
  <c r="K169" i="13"/>
  <c r="U169" i="13" s="1"/>
  <c r="L169" i="13"/>
  <c r="V169" i="13" s="1"/>
  <c r="AG169" i="13"/>
  <c r="AH169" i="13" s="1"/>
  <c r="L169" i="3"/>
  <c r="V169" i="3" s="1"/>
  <c r="M169" i="3"/>
  <c r="N169" i="3"/>
  <c r="W169" i="3" s="1"/>
  <c r="K169" i="3"/>
  <c r="U169" i="3" s="1"/>
  <c r="AG169" i="3"/>
  <c r="AH169" i="3" s="1"/>
  <c r="X169" i="13" l="1"/>
  <c r="AI169" i="13"/>
  <c r="AI169" i="3"/>
  <c r="X169" i="3"/>
  <c r="AJ169" i="3" l="1"/>
  <c r="AK169" i="3" s="1"/>
  <c r="AM169" i="3" s="1"/>
  <c r="AJ169" i="13"/>
  <c r="AK169" i="13" s="1"/>
  <c r="AL169" i="13" s="1"/>
  <c r="AP169" i="13" l="1"/>
  <c r="AL169" i="3"/>
  <c r="AM169" i="13" l="1"/>
  <c r="AQ169" i="13" s="1"/>
  <c r="AN169" i="3"/>
  <c r="AP169" i="3"/>
  <c r="AQ169" i="3" s="1"/>
  <c r="AT169" i="3" l="1"/>
  <c r="AU169" i="3" s="1"/>
  <c r="AO169" i="3"/>
  <c r="AN169" i="13"/>
  <c r="AO169" i="13" s="1"/>
  <c r="AS169" i="3" l="1"/>
  <c r="AV169" i="3" s="1"/>
  <c r="I170" i="3" l="1"/>
  <c r="J170" i="3"/>
  <c r="I170" i="13"/>
  <c r="J170" i="13"/>
  <c r="AA170" i="13" l="1"/>
  <c r="AE170" i="13"/>
  <c r="AA170" i="3"/>
  <c r="AE170" i="3"/>
  <c r="M170" i="13"/>
  <c r="N170" i="13"/>
  <c r="W170" i="13" s="1"/>
  <c r="K170" i="13"/>
  <c r="U170" i="13" s="1"/>
  <c r="L170" i="13"/>
  <c r="V170" i="13" s="1"/>
  <c r="AG170" i="13"/>
  <c r="AH170" i="13" s="1"/>
  <c r="M170" i="3"/>
  <c r="N170" i="3"/>
  <c r="W170" i="3" s="1"/>
  <c r="K170" i="3"/>
  <c r="U170" i="3" s="1"/>
  <c r="L170" i="3"/>
  <c r="V170" i="3" s="1"/>
  <c r="AG170" i="3"/>
  <c r="AH170" i="3" s="1"/>
  <c r="X170" i="13" l="1"/>
  <c r="AI170" i="13"/>
  <c r="X170" i="3"/>
  <c r="AI170" i="3"/>
  <c r="AJ170" i="3" l="1"/>
  <c r="AK170" i="3" s="1"/>
  <c r="AM170" i="3" s="1"/>
  <c r="AJ170" i="13"/>
  <c r="AK170" i="13" s="1"/>
  <c r="AL170" i="13" s="1"/>
  <c r="AL170" i="3" l="1"/>
  <c r="AP170" i="13"/>
  <c r="AM170" i="13" l="1"/>
  <c r="AP170" i="3"/>
  <c r="AQ170" i="3" s="1"/>
  <c r="AN170" i="3"/>
  <c r="AT170" i="3" l="1"/>
  <c r="AU170" i="3" s="1"/>
  <c r="AO170" i="3"/>
  <c r="AN170" i="13"/>
  <c r="AO170" i="13" s="1"/>
  <c r="AQ170" i="13"/>
  <c r="AS170" i="3" l="1"/>
  <c r="AV170" i="3" s="1"/>
  <c r="J171" i="3" l="1"/>
  <c r="I171" i="3"/>
  <c r="I171" i="13"/>
  <c r="J171" i="13"/>
  <c r="AA171" i="13" l="1"/>
  <c r="AE171" i="13"/>
  <c r="AA171" i="3"/>
  <c r="AE171" i="3"/>
  <c r="AG171" i="3"/>
  <c r="AH171" i="3" s="1"/>
  <c r="M171" i="13"/>
  <c r="N171" i="13"/>
  <c r="W171" i="13" s="1"/>
  <c r="K171" i="13"/>
  <c r="U171" i="13" s="1"/>
  <c r="L171" i="13"/>
  <c r="V171" i="13" s="1"/>
  <c r="N171" i="3"/>
  <c r="W171" i="3" s="1"/>
  <c r="K171" i="3"/>
  <c r="U171" i="3" s="1"/>
  <c r="L171" i="3"/>
  <c r="V171" i="3" s="1"/>
  <c r="M171" i="3"/>
  <c r="AG171" i="13"/>
  <c r="AH171" i="13" s="1"/>
  <c r="X171" i="3" l="1"/>
  <c r="AI171" i="3"/>
  <c r="X171" i="13"/>
  <c r="AI171" i="13"/>
  <c r="AJ171" i="13" l="1"/>
  <c r="AK171" i="13" s="1"/>
  <c r="AL171" i="13" s="1"/>
  <c r="AJ171" i="3"/>
  <c r="AK171" i="3" s="1"/>
  <c r="AM171" i="3" s="1"/>
  <c r="AL171" i="3" l="1"/>
  <c r="AP171" i="13"/>
  <c r="AP171" i="3" l="1"/>
  <c r="AQ171" i="3" s="1"/>
  <c r="AN171" i="3"/>
  <c r="AM171" i="13"/>
  <c r="AN171" i="13" l="1"/>
  <c r="AO171" i="13" s="1"/>
  <c r="AT171" i="3"/>
  <c r="AU171" i="3" s="1"/>
  <c r="AO171" i="3"/>
  <c r="AQ171" i="13"/>
  <c r="AS171" i="3" l="1"/>
  <c r="AV171" i="3" s="1"/>
  <c r="I172" i="3" l="1"/>
  <c r="J172" i="3"/>
  <c r="I172" i="13"/>
  <c r="J172" i="13"/>
  <c r="AA172" i="13" l="1"/>
  <c r="AE172" i="13"/>
  <c r="AA172" i="3"/>
  <c r="AE172" i="3"/>
  <c r="M172" i="13"/>
  <c r="N172" i="13"/>
  <c r="W172" i="13" s="1"/>
  <c r="K172" i="13"/>
  <c r="U172" i="13" s="1"/>
  <c r="L172" i="13"/>
  <c r="V172" i="13" s="1"/>
  <c r="AG172" i="13"/>
  <c r="AH172" i="13" s="1"/>
  <c r="K172" i="3"/>
  <c r="U172" i="3" s="1"/>
  <c r="L172" i="3"/>
  <c r="V172" i="3" s="1"/>
  <c r="M172" i="3"/>
  <c r="N172" i="3"/>
  <c r="W172" i="3" s="1"/>
  <c r="AG172" i="3"/>
  <c r="AH172" i="3" s="1"/>
  <c r="AI172" i="3" l="1"/>
  <c r="X172" i="3"/>
  <c r="X172" i="13"/>
  <c r="AI172" i="13"/>
  <c r="AJ172" i="13" l="1"/>
  <c r="AK172" i="13" s="1"/>
  <c r="AL172" i="13" s="1"/>
  <c r="AJ172" i="3"/>
  <c r="AK172" i="3" s="1"/>
  <c r="AM172" i="3" s="1"/>
  <c r="AL172" i="3" l="1"/>
  <c r="AP172" i="13"/>
  <c r="AM172" i="13" l="1"/>
  <c r="AN172" i="3"/>
  <c r="AP172" i="3"/>
  <c r="AQ172" i="3" s="1"/>
  <c r="AT172" i="3" l="1"/>
  <c r="AU172" i="3" s="1"/>
  <c r="AO172" i="3"/>
  <c r="AN172" i="13"/>
  <c r="AO172" i="13" s="1"/>
  <c r="AQ172" i="13"/>
  <c r="AS172" i="3" l="1"/>
  <c r="AV172" i="3" s="1"/>
  <c r="I173" i="3" l="1"/>
  <c r="J173" i="3"/>
  <c r="I173" i="13"/>
  <c r="J173" i="13"/>
  <c r="AA173" i="13" l="1"/>
  <c r="AE173" i="13"/>
  <c r="AA173" i="3"/>
  <c r="AE173" i="3"/>
  <c r="M173" i="13"/>
  <c r="N173" i="13"/>
  <c r="W173" i="13" s="1"/>
  <c r="K173" i="13"/>
  <c r="U173" i="13" s="1"/>
  <c r="L173" i="13"/>
  <c r="V173" i="13" s="1"/>
  <c r="AG173" i="13"/>
  <c r="AH173" i="13" s="1"/>
  <c r="L173" i="3"/>
  <c r="V173" i="3" s="1"/>
  <c r="M173" i="3"/>
  <c r="N173" i="3"/>
  <c r="W173" i="3" s="1"/>
  <c r="K173" i="3"/>
  <c r="U173" i="3" s="1"/>
  <c r="AG173" i="3"/>
  <c r="AH173" i="3" s="1"/>
  <c r="X173" i="13" l="1"/>
  <c r="AI173" i="13"/>
  <c r="AI173" i="3"/>
  <c r="X173" i="3"/>
  <c r="AJ173" i="3" l="1"/>
  <c r="AK173" i="3" s="1"/>
  <c r="AM173" i="3" s="1"/>
  <c r="AJ173" i="13"/>
  <c r="AK173" i="13" s="1"/>
  <c r="AL173" i="13" s="1"/>
  <c r="AP173" i="13" l="1"/>
  <c r="AQ173" i="13" s="1"/>
  <c r="Y21" i="15" s="1"/>
  <c r="AL173" i="3"/>
  <c r="AM173" i="13"/>
  <c r="AN173" i="13" s="1"/>
  <c r="AO173" i="13" s="1"/>
  <c r="X21" i="15" s="1"/>
  <c r="AN173" i="3" l="1"/>
  <c r="AP173" i="3"/>
  <c r="AQ173" i="3" s="1"/>
  <c r="Y21" i="14" s="1"/>
  <c r="AT173" i="3" l="1"/>
  <c r="AU173" i="3" s="1"/>
  <c r="AO173" i="3"/>
  <c r="X21" i="14" s="1"/>
  <c r="AS173" i="3" l="1"/>
  <c r="AV173" i="3" s="1"/>
  <c r="I174" i="3" l="1"/>
  <c r="J174" i="3"/>
  <c r="I174" i="13"/>
  <c r="J174" i="13"/>
  <c r="AA174" i="13" l="1"/>
  <c r="AE174" i="13"/>
  <c r="AA174" i="3"/>
  <c r="AE174" i="3"/>
  <c r="M174" i="13"/>
  <c r="N174" i="13"/>
  <c r="W174" i="13" s="1"/>
  <c r="K174" i="13"/>
  <c r="U174" i="13" s="1"/>
  <c r="L174" i="13"/>
  <c r="V174" i="13" s="1"/>
  <c r="AG174" i="13"/>
  <c r="AH174" i="13" s="1"/>
  <c r="M174" i="3"/>
  <c r="N174" i="3"/>
  <c r="W174" i="3" s="1"/>
  <c r="K174" i="3"/>
  <c r="U174" i="3" s="1"/>
  <c r="L174" i="3"/>
  <c r="V174" i="3" s="1"/>
  <c r="AG174" i="3"/>
  <c r="AH174" i="3" s="1"/>
  <c r="X174" i="13" l="1"/>
  <c r="AI174" i="13"/>
  <c r="X174" i="3"/>
  <c r="AI174" i="3"/>
  <c r="AJ174" i="3" l="1"/>
  <c r="AK174" i="3" s="1"/>
  <c r="AM174" i="3" s="1"/>
  <c r="AJ174" i="13"/>
  <c r="AK174" i="13" s="1"/>
  <c r="AL174" i="13" s="1"/>
  <c r="AP174" i="13" l="1"/>
  <c r="AQ174" i="13" s="1"/>
  <c r="AM174" i="13"/>
  <c r="AN174" i="13" s="1"/>
  <c r="AO174" i="13" s="1"/>
  <c r="AL174" i="3"/>
  <c r="AP174" i="3" l="1"/>
  <c r="AQ174" i="3" s="1"/>
  <c r="AN174" i="3"/>
  <c r="AT174" i="3" l="1"/>
  <c r="AU174" i="3" s="1"/>
  <c r="AO174" i="3"/>
  <c r="AS174" i="3" l="1"/>
  <c r="AV174" i="3" s="1"/>
  <c r="J175" i="3" l="1"/>
  <c r="I175" i="3"/>
  <c r="I175" i="13"/>
  <c r="J175" i="13"/>
  <c r="AA175" i="13" l="1"/>
  <c r="AE175" i="13"/>
  <c r="AA175" i="3"/>
  <c r="AE175" i="3"/>
  <c r="M175" i="13"/>
  <c r="N175" i="13"/>
  <c r="W175" i="13" s="1"/>
  <c r="K175" i="13"/>
  <c r="U175" i="13" s="1"/>
  <c r="L175" i="13"/>
  <c r="V175" i="13" s="1"/>
  <c r="AG175" i="13"/>
  <c r="AH175" i="13" s="1"/>
  <c r="AG175" i="3"/>
  <c r="AH175" i="3" s="1"/>
  <c r="N175" i="3"/>
  <c r="W175" i="3" s="1"/>
  <c r="K175" i="3"/>
  <c r="U175" i="3" s="1"/>
  <c r="L175" i="3"/>
  <c r="V175" i="3" s="1"/>
  <c r="M175" i="3"/>
  <c r="X175" i="13" l="1"/>
  <c r="AI175" i="13"/>
  <c r="X175" i="3"/>
  <c r="AI175" i="3"/>
  <c r="AJ175" i="3" l="1"/>
  <c r="AK175" i="3" s="1"/>
  <c r="AM175" i="3" s="1"/>
  <c r="AJ175" i="13"/>
  <c r="AK175" i="13" s="1"/>
  <c r="AL175" i="13" s="1"/>
  <c r="AP175" i="13" l="1"/>
  <c r="AM175" i="13"/>
  <c r="AN175" i="13" s="1"/>
  <c r="AO175" i="13" s="1"/>
  <c r="AL175" i="3"/>
  <c r="AQ175" i="13" l="1"/>
  <c r="AP175" i="3"/>
  <c r="AQ175" i="3" s="1"/>
  <c r="AN175" i="3"/>
  <c r="AT175" i="3" l="1"/>
  <c r="AU175" i="3" s="1"/>
  <c r="AO175" i="3"/>
  <c r="AS175" i="3" l="1"/>
  <c r="AV175" i="3" s="1"/>
  <c r="I176" i="3" l="1"/>
  <c r="J176" i="3"/>
  <c r="I176" i="13"/>
  <c r="J176" i="13"/>
  <c r="AA176" i="13" l="1"/>
  <c r="AE176" i="13"/>
  <c r="AA176" i="3"/>
  <c r="AE176" i="3"/>
  <c r="M176" i="13"/>
  <c r="N176" i="13"/>
  <c r="W176" i="13" s="1"/>
  <c r="K176" i="13"/>
  <c r="U176" i="13" s="1"/>
  <c r="L176" i="13"/>
  <c r="V176" i="13" s="1"/>
  <c r="AG176" i="13"/>
  <c r="AH176" i="13" s="1"/>
  <c r="K176" i="3"/>
  <c r="U176" i="3" s="1"/>
  <c r="L176" i="3"/>
  <c r="V176" i="3" s="1"/>
  <c r="M176" i="3"/>
  <c r="N176" i="3"/>
  <c r="W176" i="3" s="1"/>
  <c r="AG176" i="3"/>
  <c r="AH176" i="3" s="1"/>
  <c r="AI176" i="3" l="1"/>
  <c r="X176" i="3"/>
  <c r="X176" i="13"/>
  <c r="AI176" i="13"/>
  <c r="AJ176" i="13" l="1"/>
  <c r="AK176" i="13" s="1"/>
  <c r="AL176" i="13" s="1"/>
  <c r="AJ176" i="3"/>
  <c r="AK176" i="3" s="1"/>
  <c r="AM176" i="3" s="1"/>
  <c r="AM176" i="13" l="1"/>
  <c r="AN176" i="13" s="1"/>
  <c r="AO176" i="13" s="1"/>
  <c r="AL176" i="3"/>
  <c r="AP176" i="13"/>
  <c r="AQ176" i="13" s="1"/>
  <c r="AN176" i="3" l="1"/>
  <c r="AP176" i="3"/>
  <c r="AQ176" i="3" s="1"/>
  <c r="AT176" i="3" l="1"/>
  <c r="AU176" i="3" s="1"/>
  <c r="AO176" i="3"/>
  <c r="AS176" i="3" l="1"/>
  <c r="AV176" i="3" s="1"/>
  <c r="I177" i="3" l="1"/>
  <c r="J177" i="3"/>
  <c r="I177" i="13"/>
  <c r="J177" i="13"/>
  <c r="AA177" i="13" l="1"/>
  <c r="AE177" i="13"/>
  <c r="AA177" i="3"/>
  <c r="AE177" i="3"/>
  <c r="M177" i="13"/>
  <c r="N177" i="13"/>
  <c r="W177" i="13" s="1"/>
  <c r="K177" i="13"/>
  <c r="U177" i="13" s="1"/>
  <c r="L177" i="13"/>
  <c r="V177" i="13" s="1"/>
  <c r="AG177" i="13"/>
  <c r="AH177" i="13" s="1"/>
  <c r="L177" i="3"/>
  <c r="V177" i="3" s="1"/>
  <c r="M177" i="3"/>
  <c r="N177" i="3"/>
  <c r="W177" i="3" s="1"/>
  <c r="K177" i="3"/>
  <c r="U177" i="3" s="1"/>
  <c r="AG177" i="3"/>
  <c r="AH177" i="3" s="1"/>
  <c r="X177" i="13" l="1"/>
  <c r="AI177" i="13"/>
  <c r="AI177" i="3"/>
  <c r="X177" i="3"/>
  <c r="AJ177" i="3" l="1"/>
  <c r="AK177" i="3" s="1"/>
  <c r="AM177" i="3" s="1"/>
  <c r="AJ177" i="13"/>
  <c r="AK177" i="13" s="1"/>
  <c r="AL177" i="13" s="1"/>
  <c r="AP177" i="13" l="1"/>
  <c r="AL177" i="3"/>
  <c r="AM177" i="13"/>
  <c r="AN177" i="13" s="1"/>
  <c r="AO177" i="13" s="1"/>
  <c r="AQ177" i="13" l="1"/>
  <c r="AN177" i="3"/>
  <c r="AP177" i="3"/>
  <c r="AQ177" i="3" s="1"/>
  <c r="AT177" i="3" l="1"/>
  <c r="AU177" i="3" s="1"/>
  <c r="AO177" i="3"/>
  <c r="AS177" i="3" l="1"/>
  <c r="AV177" i="3" s="1"/>
  <c r="I178" i="3" l="1"/>
  <c r="J178" i="3"/>
  <c r="I178" i="13"/>
  <c r="J178" i="13"/>
  <c r="AA178" i="13" l="1"/>
  <c r="AE178" i="13"/>
  <c r="AA178" i="3"/>
  <c r="AE178" i="3"/>
  <c r="AG178" i="3"/>
  <c r="AH178" i="3" s="1"/>
  <c r="M178" i="13"/>
  <c r="N178" i="13"/>
  <c r="W178" i="13" s="1"/>
  <c r="K178" i="13"/>
  <c r="U178" i="13" s="1"/>
  <c r="L178" i="13"/>
  <c r="V178" i="13" s="1"/>
  <c r="M178" i="3"/>
  <c r="N178" i="3"/>
  <c r="W178" i="3" s="1"/>
  <c r="K178" i="3"/>
  <c r="U178" i="3" s="1"/>
  <c r="L178" i="3"/>
  <c r="V178" i="3" s="1"/>
  <c r="AG178" i="13"/>
  <c r="AH178" i="13" s="1"/>
  <c r="X178" i="3" l="1"/>
  <c r="AI178" i="3"/>
  <c r="X178" i="13"/>
  <c r="AI178" i="13"/>
  <c r="AJ178" i="3" l="1"/>
  <c r="AK178" i="3" s="1"/>
  <c r="AM178" i="3" s="1"/>
  <c r="AJ178" i="13"/>
  <c r="AK178" i="13" s="1"/>
  <c r="AL178" i="13" s="1"/>
  <c r="AP178" i="13" l="1"/>
  <c r="AQ178" i="13" s="1"/>
  <c r="AL178" i="3"/>
  <c r="AM178" i="13"/>
  <c r="AN178" i="13" s="1"/>
  <c r="AO178" i="13" s="1"/>
  <c r="AP178" i="3" l="1"/>
  <c r="AQ178" i="3" s="1"/>
  <c r="AN178" i="3"/>
  <c r="AT178" i="3" l="1"/>
  <c r="AU178" i="3" s="1"/>
  <c r="AO178" i="3"/>
  <c r="AS178" i="3" l="1"/>
  <c r="AV178" i="3" s="1"/>
  <c r="J179" i="3" l="1"/>
  <c r="I179" i="3"/>
  <c r="I179" i="13"/>
  <c r="J179" i="13"/>
  <c r="AA179" i="13" l="1"/>
  <c r="AE179" i="13"/>
  <c r="AA179" i="3"/>
  <c r="AE179" i="3"/>
  <c r="M179" i="13"/>
  <c r="N179" i="13"/>
  <c r="W179" i="13" s="1"/>
  <c r="K179" i="13"/>
  <c r="U179" i="13" s="1"/>
  <c r="L179" i="13"/>
  <c r="V179" i="13" s="1"/>
  <c r="AG179" i="13"/>
  <c r="AH179" i="13" s="1"/>
  <c r="AG179" i="3"/>
  <c r="AH179" i="3" s="1"/>
  <c r="N179" i="3"/>
  <c r="W179" i="3" s="1"/>
  <c r="K179" i="3"/>
  <c r="U179" i="3" s="1"/>
  <c r="L179" i="3"/>
  <c r="V179" i="3" s="1"/>
  <c r="M179" i="3"/>
  <c r="X179" i="13" l="1"/>
  <c r="AI179" i="13"/>
  <c r="X179" i="3"/>
  <c r="AI179" i="3"/>
  <c r="AJ179" i="3" l="1"/>
  <c r="AK179" i="3" s="1"/>
  <c r="AM179" i="3" s="1"/>
  <c r="AJ179" i="13"/>
  <c r="AK179" i="13" s="1"/>
  <c r="AL179" i="13" s="1"/>
  <c r="AL179" i="3" l="1"/>
  <c r="AP179" i="3" s="1"/>
  <c r="AM179" i="13"/>
  <c r="AN179" i="13" s="1"/>
  <c r="AO179" i="13" s="1"/>
  <c r="AP179" i="13"/>
  <c r="AQ179" i="3" l="1"/>
  <c r="AQ179" i="13"/>
  <c r="AN179" i="3"/>
  <c r="AT179" i="3" l="1"/>
  <c r="AU179" i="3" s="1"/>
  <c r="AO179" i="3"/>
  <c r="AS179" i="3" l="1"/>
  <c r="AV179" i="3" s="1"/>
  <c r="J180" i="3" l="1"/>
  <c r="I180" i="3"/>
  <c r="I180" i="13"/>
  <c r="J180" i="13"/>
  <c r="AA180" i="13" l="1"/>
  <c r="AE180" i="13"/>
  <c r="AA180" i="3"/>
  <c r="AE180" i="3"/>
  <c r="AG180" i="13"/>
  <c r="AH180" i="13" s="1"/>
  <c r="AG180" i="3"/>
  <c r="AH180" i="3" s="1"/>
  <c r="M180" i="13"/>
  <c r="N180" i="13"/>
  <c r="W180" i="13" s="1"/>
  <c r="K180" i="13"/>
  <c r="U180" i="13" s="1"/>
  <c r="L180" i="13"/>
  <c r="V180" i="13" s="1"/>
  <c r="K180" i="3"/>
  <c r="U180" i="3" s="1"/>
  <c r="L180" i="3"/>
  <c r="V180" i="3" s="1"/>
  <c r="N180" i="3"/>
  <c r="W180" i="3" s="1"/>
  <c r="M180" i="3"/>
  <c r="X180" i="13" l="1"/>
  <c r="AI180" i="13"/>
  <c r="AI180" i="3"/>
  <c r="X180" i="3"/>
  <c r="AJ180" i="3" l="1"/>
  <c r="AK180" i="3" s="1"/>
  <c r="AM180" i="3" s="1"/>
  <c r="AJ180" i="13"/>
  <c r="AK180" i="13" s="1"/>
  <c r="AL180" i="13" s="1"/>
  <c r="AP180" i="13" l="1"/>
  <c r="AL180" i="3"/>
  <c r="AP180" i="3" l="1"/>
  <c r="AQ180" i="3" s="1"/>
  <c r="AN180" i="3"/>
  <c r="AM180" i="13"/>
  <c r="AQ180" i="13" s="1"/>
  <c r="AN180" i="13" l="1"/>
  <c r="AO180" i="13" s="1"/>
  <c r="AT180" i="3"/>
  <c r="AU180" i="3" s="1"/>
  <c r="AO180" i="3"/>
  <c r="AS180" i="3" l="1"/>
  <c r="AV180" i="3" s="1"/>
  <c r="I181" i="3" l="1"/>
  <c r="J181" i="3"/>
  <c r="I181" i="13"/>
  <c r="J181" i="13"/>
  <c r="AA181" i="13" l="1"/>
  <c r="AE181" i="13"/>
  <c r="AA181" i="3"/>
  <c r="AE181" i="3"/>
  <c r="AG181" i="13"/>
  <c r="AH181" i="13" s="1"/>
  <c r="M181" i="13"/>
  <c r="N181" i="13"/>
  <c r="W181" i="13" s="1"/>
  <c r="K181" i="13"/>
  <c r="U181" i="13" s="1"/>
  <c r="L181" i="13"/>
  <c r="V181" i="13" s="1"/>
  <c r="L181" i="3"/>
  <c r="V181" i="3" s="1"/>
  <c r="M181" i="3"/>
  <c r="N181" i="3"/>
  <c r="W181" i="3" s="1"/>
  <c r="K181" i="3"/>
  <c r="U181" i="3" s="1"/>
  <c r="AG181" i="3"/>
  <c r="AH181" i="3" s="1"/>
  <c r="AI181" i="3" l="1"/>
  <c r="X181" i="3"/>
  <c r="X181" i="13"/>
  <c r="AI181" i="13"/>
  <c r="AJ181" i="13" l="1"/>
  <c r="AK181" i="13" s="1"/>
  <c r="AL181" i="13" s="1"/>
  <c r="AJ181" i="3"/>
  <c r="AK181" i="3" s="1"/>
  <c r="AM181" i="3" s="1"/>
  <c r="AL181" i="3" l="1"/>
  <c r="AP181" i="13"/>
  <c r="AM181" i="13" l="1"/>
  <c r="AN181" i="3"/>
  <c r="AP181" i="3"/>
  <c r="AQ181" i="3" s="1"/>
  <c r="AT181" i="3" l="1"/>
  <c r="AU181" i="3" s="1"/>
  <c r="AO181" i="3"/>
  <c r="AN181" i="13"/>
  <c r="AO181" i="13" s="1"/>
  <c r="AQ181" i="13"/>
  <c r="AS181" i="3" l="1"/>
  <c r="AV181" i="3" s="1"/>
  <c r="I182" i="3" l="1"/>
  <c r="J182" i="3"/>
  <c r="I182" i="13"/>
  <c r="J182" i="13"/>
  <c r="AA182" i="13" l="1"/>
  <c r="AE182" i="13"/>
  <c r="AA182" i="3"/>
  <c r="AE182" i="3"/>
  <c r="M182" i="13"/>
  <c r="N182" i="13"/>
  <c r="W182" i="13" s="1"/>
  <c r="K182" i="13"/>
  <c r="U182" i="13" s="1"/>
  <c r="L182" i="13"/>
  <c r="V182" i="13" s="1"/>
  <c r="AG182" i="13"/>
  <c r="AH182" i="13" s="1"/>
  <c r="M182" i="3"/>
  <c r="N182" i="3"/>
  <c r="W182" i="3" s="1"/>
  <c r="K182" i="3"/>
  <c r="U182" i="3" s="1"/>
  <c r="L182" i="3"/>
  <c r="V182" i="3" s="1"/>
  <c r="AG182" i="3"/>
  <c r="AH182" i="3" s="1"/>
  <c r="X182" i="3" l="1"/>
  <c r="AI182" i="3"/>
  <c r="X182" i="13"/>
  <c r="AI182" i="13"/>
  <c r="AJ182" i="13" l="1"/>
  <c r="AK182" i="13" s="1"/>
  <c r="AL182" i="13" s="1"/>
  <c r="AJ182" i="3"/>
  <c r="AK182" i="3" s="1"/>
  <c r="AM182" i="3" s="1"/>
  <c r="AL182" i="3" l="1"/>
  <c r="AP182" i="13"/>
  <c r="AM182" i="13" l="1"/>
  <c r="AN182" i="3"/>
  <c r="AP182" i="3"/>
  <c r="AQ182" i="3" s="1"/>
  <c r="AT182" i="3" l="1"/>
  <c r="AU182" i="3" s="1"/>
  <c r="AO182" i="3"/>
  <c r="AN182" i="13"/>
  <c r="AO182" i="13" s="1"/>
  <c r="AQ182" i="13"/>
  <c r="AS182" i="3" l="1"/>
  <c r="AV182" i="3" s="1"/>
  <c r="I183" i="3" l="1"/>
  <c r="J183" i="3"/>
  <c r="I183" i="13"/>
  <c r="J183" i="13"/>
  <c r="AA183" i="13" l="1"/>
  <c r="AE183" i="13"/>
  <c r="AA183" i="3"/>
  <c r="AE183" i="3"/>
  <c r="M183" i="13"/>
  <c r="N183" i="13"/>
  <c r="W183" i="13" s="1"/>
  <c r="K183" i="13"/>
  <c r="U183" i="13" s="1"/>
  <c r="L183" i="13"/>
  <c r="V183" i="13" s="1"/>
  <c r="AG183" i="13"/>
  <c r="AH183" i="13" s="1"/>
  <c r="M183" i="3"/>
  <c r="N183" i="3"/>
  <c r="W183" i="3" s="1"/>
  <c r="K183" i="3"/>
  <c r="U183" i="3" s="1"/>
  <c r="L183" i="3"/>
  <c r="V183" i="3" s="1"/>
  <c r="AG183" i="3"/>
  <c r="AH183" i="3" s="1"/>
  <c r="X183" i="3" l="1"/>
  <c r="AI183" i="3"/>
  <c r="X183" i="13"/>
  <c r="AI183" i="13"/>
  <c r="AJ183" i="13" l="1"/>
  <c r="AK183" i="13" s="1"/>
  <c r="AL183" i="13" s="1"/>
  <c r="AJ183" i="3"/>
  <c r="AK183" i="3" s="1"/>
  <c r="AM183" i="3" s="1"/>
  <c r="AP183" i="13" l="1"/>
  <c r="AL183" i="3"/>
  <c r="AP183" i="3" l="1"/>
  <c r="AQ183" i="3" s="1"/>
  <c r="AN183" i="3"/>
  <c r="AM183" i="13"/>
  <c r="AN183" i="13" l="1"/>
  <c r="AO183" i="13" s="1"/>
  <c r="AQ183" i="13"/>
  <c r="AT183" i="3"/>
  <c r="AU183" i="3" s="1"/>
  <c r="AO183" i="3"/>
  <c r="AS183" i="3" l="1"/>
  <c r="AV183" i="3" s="1"/>
  <c r="J184" i="3" l="1"/>
  <c r="I184" i="3"/>
  <c r="I184" i="13"/>
  <c r="J184" i="13"/>
  <c r="AA184" i="13" l="1"/>
  <c r="AE184" i="13"/>
  <c r="AA184" i="3"/>
  <c r="AE184" i="3"/>
  <c r="M184" i="13"/>
  <c r="N184" i="13"/>
  <c r="W184" i="13" s="1"/>
  <c r="K184" i="13"/>
  <c r="U184" i="13" s="1"/>
  <c r="L184" i="13"/>
  <c r="V184" i="13" s="1"/>
  <c r="AG184" i="13"/>
  <c r="AH184" i="13" s="1"/>
  <c r="AG184" i="3"/>
  <c r="AH184" i="3" s="1"/>
  <c r="N184" i="3"/>
  <c r="W184" i="3" s="1"/>
  <c r="K184" i="3"/>
  <c r="U184" i="3" s="1"/>
  <c r="L184" i="3"/>
  <c r="V184" i="3" s="1"/>
  <c r="M184" i="3"/>
  <c r="X184" i="3" l="1"/>
  <c r="AI184" i="3"/>
  <c r="X184" i="13"/>
  <c r="AI184" i="13"/>
  <c r="AJ184" i="13" l="1"/>
  <c r="AK184" i="13" s="1"/>
  <c r="AL184" i="13" s="1"/>
  <c r="AJ184" i="3"/>
  <c r="AK184" i="3" s="1"/>
  <c r="AM184" i="3" s="1"/>
  <c r="AL184" i="3" l="1"/>
  <c r="AP184" i="13"/>
  <c r="AP184" i="3" l="1"/>
  <c r="AQ184" i="3" s="1"/>
  <c r="AN184" i="3"/>
  <c r="AM184" i="13"/>
  <c r="AN184" i="13" l="1"/>
  <c r="AO184" i="13" s="1"/>
  <c r="AT184" i="3"/>
  <c r="AU184" i="3" s="1"/>
  <c r="AO184" i="3"/>
  <c r="AQ184" i="13"/>
  <c r="AS184" i="3" l="1"/>
  <c r="AV184" i="3" s="1"/>
  <c r="I185" i="3" l="1"/>
  <c r="J185" i="3"/>
  <c r="I185" i="13"/>
  <c r="J185" i="13"/>
  <c r="AA185" i="13" l="1"/>
  <c r="AE185" i="13"/>
  <c r="AA185" i="3"/>
  <c r="AE185" i="3"/>
  <c r="M185" i="13"/>
  <c r="N185" i="13"/>
  <c r="W185" i="13" s="1"/>
  <c r="K185" i="13"/>
  <c r="U185" i="13" s="1"/>
  <c r="L185" i="13"/>
  <c r="V185" i="13" s="1"/>
  <c r="AG185" i="13"/>
  <c r="AH185" i="13" s="1"/>
  <c r="K185" i="3"/>
  <c r="U185" i="3" s="1"/>
  <c r="L185" i="3"/>
  <c r="V185" i="3" s="1"/>
  <c r="M185" i="3"/>
  <c r="N185" i="3"/>
  <c r="W185" i="3" s="1"/>
  <c r="AG185" i="3"/>
  <c r="AH185" i="3" s="1"/>
  <c r="AI185" i="3" l="1"/>
  <c r="X185" i="3"/>
  <c r="X185" i="13"/>
  <c r="AI185" i="13"/>
  <c r="AJ185" i="13" l="1"/>
  <c r="AK185" i="13" s="1"/>
  <c r="AL185" i="13" s="1"/>
  <c r="AJ185" i="3"/>
  <c r="AK185" i="3" s="1"/>
  <c r="AM185" i="3" s="1"/>
  <c r="AL185" i="3" l="1"/>
  <c r="AM185" i="13"/>
  <c r="AN185" i="13" s="1"/>
  <c r="AO185" i="13" s="1"/>
  <c r="X22" i="15" s="1"/>
  <c r="AP185" i="13"/>
  <c r="AQ185" i="13" l="1"/>
  <c r="Y22" i="15" s="1"/>
  <c r="AN185" i="3"/>
  <c r="AP185" i="3"/>
  <c r="AQ185" i="3" s="1"/>
  <c r="Y22" i="14" s="1"/>
  <c r="AT185" i="3" l="1"/>
  <c r="AU185" i="3" s="1"/>
  <c r="AO185" i="3"/>
  <c r="X22" i="14" s="1"/>
  <c r="AS185" i="3" l="1"/>
  <c r="AV185" i="3" s="1"/>
  <c r="I186" i="3" l="1"/>
  <c r="J186" i="3"/>
  <c r="I186" i="13"/>
  <c r="J186" i="13"/>
  <c r="AA186" i="13" l="1"/>
  <c r="AE186" i="13"/>
  <c r="AA186" i="3"/>
  <c r="AE186" i="3"/>
  <c r="M186" i="13"/>
  <c r="N186" i="13"/>
  <c r="W186" i="13" s="1"/>
  <c r="K186" i="13"/>
  <c r="U186" i="13" s="1"/>
  <c r="L186" i="13"/>
  <c r="V186" i="13" s="1"/>
  <c r="AG186" i="13"/>
  <c r="AH186" i="13" s="1"/>
  <c r="L186" i="3"/>
  <c r="V186" i="3" s="1"/>
  <c r="M186" i="3"/>
  <c r="N186" i="3"/>
  <c r="W186" i="3" s="1"/>
  <c r="K186" i="3"/>
  <c r="U186" i="3" s="1"/>
  <c r="AG186" i="3"/>
  <c r="AH186" i="3" s="1"/>
  <c r="X186" i="13" l="1"/>
  <c r="AI186" i="13"/>
  <c r="AI186" i="3"/>
  <c r="X186" i="3"/>
  <c r="AJ186" i="13" l="1"/>
  <c r="AK186" i="13" s="1"/>
  <c r="AL186" i="13" s="1"/>
  <c r="AJ186" i="3"/>
  <c r="AK186" i="3" s="1"/>
  <c r="AM186" i="3" s="1"/>
  <c r="AM186" i="13" l="1"/>
  <c r="AN186" i="13" s="1"/>
  <c r="AO186" i="13" s="1"/>
  <c r="AL186" i="3"/>
  <c r="AP186" i="13"/>
  <c r="AQ186" i="13" s="1"/>
  <c r="AN186" i="3" l="1"/>
  <c r="AP186" i="3"/>
  <c r="AQ186" i="3" s="1"/>
  <c r="AT186" i="3" l="1"/>
  <c r="AU186" i="3" s="1"/>
  <c r="AO186" i="3"/>
  <c r="AS186" i="3" l="1"/>
  <c r="AV186" i="3" s="1"/>
  <c r="I187" i="3" l="1"/>
  <c r="J187" i="3"/>
  <c r="I187" i="13"/>
  <c r="J187" i="13"/>
  <c r="AA187" i="13" l="1"/>
  <c r="AE187" i="13"/>
  <c r="AA187" i="3"/>
  <c r="AE187" i="3"/>
  <c r="AG187" i="13"/>
  <c r="AH187" i="13" s="1"/>
  <c r="M187" i="3"/>
  <c r="N187" i="3"/>
  <c r="W187" i="3" s="1"/>
  <c r="K187" i="3"/>
  <c r="U187" i="3" s="1"/>
  <c r="L187" i="3"/>
  <c r="V187" i="3" s="1"/>
  <c r="M187" i="13"/>
  <c r="N187" i="13"/>
  <c r="W187" i="13" s="1"/>
  <c r="K187" i="13"/>
  <c r="U187" i="13" s="1"/>
  <c r="L187" i="13"/>
  <c r="V187" i="13" s="1"/>
  <c r="AG187" i="3"/>
  <c r="AH187" i="3" s="1"/>
  <c r="X187" i="13" l="1"/>
  <c r="AI187" i="13"/>
  <c r="X187" i="3"/>
  <c r="AI187" i="3"/>
  <c r="AJ187" i="3" l="1"/>
  <c r="AK187" i="3" s="1"/>
  <c r="AM187" i="3" s="1"/>
  <c r="AJ187" i="13"/>
  <c r="AK187" i="13" s="1"/>
  <c r="AL187" i="13" s="1"/>
  <c r="AP187" i="13" l="1"/>
  <c r="AM187" i="13"/>
  <c r="AN187" i="13" s="1"/>
  <c r="AO187" i="13" s="1"/>
  <c r="AL187" i="3"/>
  <c r="AQ187" i="13" l="1"/>
  <c r="AP187" i="3"/>
  <c r="AQ187" i="3" s="1"/>
  <c r="AN187" i="3"/>
  <c r="AT187" i="3" l="1"/>
  <c r="AU187" i="3" s="1"/>
  <c r="AO187" i="3"/>
  <c r="AS187" i="3" l="1"/>
  <c r="AV187" i="3" s="1"/>
  <c r="J188" i="3" l="1"/>
  <c r="I188" i="3"/>
  <c r="I188" i="13"/>
  <c r="J188" i="13"/>
  <c r="AA188" i="13" l="1"/>
  <c r="AE188" i="13"/>
  <c r="AA188" i="3"/>
  <c r="AE188" i="3"/>
  <c r="M188" i="13"/>
  <c r="N188" i="13"/>
  <c r="W188" i="13" s="1"/>
  <c r="K188" i="13"/>
  <c r="U188" i="13" s="1"/>
  <c r="L188" i="13"/>
  <c r="V188" i="13" s="1"/>
  <c r="AG188" i="13"/>
  <c r="AH188" i="13" s="1"/>
  <c r="AG188" i="3"/>
  <c r="AH188" i="3" s="1"/>
  <c r="N188" i="3"/>
  <c r="W188" i="3" s="1"/>
  <c r="K188" i="3"/>
  <c r="U188" i="3" s="1"/>
  <c r="L188" i="3"/>
  <c r="V188" i="3" s="1"/>
  <c r="M188" i="3"/>
  <c r="X188" i="13" l="1"/>
  <c r="AI188" i="13"/>
  <c r="X188" i="3"/>
  <c r="AI188" i="3"/>
  <c r="AJ188" i="3" l="1"/>
  <c r="AK188" i="3" s="1"/>
  <c r="AM188" i="3" s="1"/>
  <c r="AJ188" i="13"/>
  <c r="AK188" i="13" s="1"/>
  <c r="AL188" i="13" s="1"/>
  <c r="AP188" i="13" l="1"/>
  <c r="AM188" i="13"/>
  <c r="AN188" i="13" s="1"/>
  <c r="AO188" i="13" s="1"/>
  <c r="AL188" i="3"/>
  <c r="AQ188" i="13" l="1"/>
  <c r="AP188" i="3"/>
  <c r="AQ188" i="3" s="1"/>
  <c r="AN188" i="3"/>
  <c r="AT188" i="3" l="1"/>
  <c r="AU188" i="3" s="1"/>
  <c r="AO188" i="3"/>
  <c r="AS188" i="3" l="1"/>
  <c r="AV188" i="3" s="1"/>
  <c r="I189" i="3" l="1"/>
  <c r="J189" i="3"/>
  <c r="I189" i="13"/>
  <c r="J189" i="13"/>
  <c r="AA189" i="13" l="1"/>
  <c r="AE189" i="13"/>
  <c r="AA189" i="3"/>
  <c r="AE189" i="3"/>
  <c r="M189" i="13"/>
  <c r="N189" i="13"/>
  <c r="W189" i="13" s="1"/>
  <c r="K189" i="13"/>
  <c r="U189" i="13" s="1"/>
  <c r="L189" i="13"/>
  <c r="V189" i="13" s="1"/>
  <c r="AG189" i="13"/>
  <c r="AH189" i="13" s="1"/>
  <c r="K189" i="3"/>
  <c r="U189" i="3" s="1"/>
  <c r="L189" i="3"/>
  <c r="V189" i="3" s="1"/>
  <c r="M189" i="3"/>
  <c r="N189" i="3"/>
  <c r="W189" i="3" s="1"/>
  <c r="AG189" i="3"/>
  <c r="AH189" i="3" s="1"/>
  <c r="AI189" i="3" l="1"/>
  <c r="X189" i="3"/>
  <c r="X189" i="13"/>
  <c r="AI189" i="13"/>
  <c r="AJ189" i="13" l="1"/>
  <c r="AK189" i="13" s="1"/>
  <c r="AL189" i="13" s="1"/>
  <c r="AJ189" i="3"/>
  <c r="AK189" i="3" s="1"/>
  <c r="AM189" i="3" s="1"/>
  <c r="AP189" i="13" l="1"/>
  <c r="AL189" i="3"/>
  <c r="AM189" i="13"/>
  <c r="AN189" i="13" s="1"/>
  <c r="AO189" i="13" s="1"/>
  <c r="AQ189" i="13" l="1"/>
  <c r="AN189" i="3"/>
  <c r="AP189" i="3"/>
  <c r="AQ189" i="3" s="1"/>
  <c r="AT189" i="3" l="1"/>
  <c r="AU189" i="3" s="1"/>
  <c r="AO189" i="3"/>
  <c r="AS189" i="3" l="1"/>
  <c r="AV189" i="3" s="1"/>
  <c r="I190" i="3" l="1"/>
  <c r="J190" i="3"/>
  <c r="I190" i="13"/>
  <c r="J190" i="13"/>
  <c r="AA190" i="13" l="1"/>
  <c r="AE190" i="13"/>
  <c r="AA190" i="3"/>
  <c r="AE190" i="3"/>
  <c r="AG190" i="13"/>
  <c r="AH190" i="13" s="1"/>
  <c r="L190" i="3"/>
  <c r="V190" i="3" s="1"/>
  <c r="M190" i="3"/>
  <c r="N190" i="3"/>
  <c r="W190" i="3" s="1"/>
  <c r="K190" i="3"/>
  <c r="U190" i="3" s="1"/>
  <c r="M190" i="13"/>
  <c r="N190" i="13"/>
  <c r="W190" i="13" s="1"/>
  <c r="K190" i="13"/>
  <c r="U190" i="13" s="1"/>
  <c r="L190" i="13"/>
  <c r="V190" i="13" s="1"/>
  <c r="AG190" i="3"/>
  <c r="AH190" i="3" s="1"/>
  <c r="X190" i="13" l="1"/>
  <c r="AI190" i="13"/>
  <c r="AI190" i="3"/>
  <c r="X190" i="3"/>
  <c r="AJ190" i="13" l="1"/>
  <c r="AK190" i="13" s="1"/>
  <c r="AL190" i="13" s="1"/>
  <c r="AJ190" i="3"/>
  <c r="AK190" i="3" s="1"/>
  <c r="AL190" i="3" s="1"/>
  <c r="AM190" i="3" l="1"/>
  <c r="AM190" i="13" s="1"/>
  <c r="AN190" i="13" s="1"/>
  <c r="AO190" i="13" s="1"/>
  <c r="AP190" i="3"/>
  <c r="AP190" i="13"/>
  <c r="AQ190" i="3" l="1"/>
  <c r="AQ190" i="13"/>
  <c r="AN190" i="3"/>
  <c r="AT190" i="3" l="1"/>
  <c r="AU190" i="3" s="1"/>
  <c r="AO190" i="3"/>
  <c r="AS190" i="3" l="1"/>
  <c r="AV190" i="3" s="1"/>
  <c r="I191" i="3" l="1"/>
  <c r="J191" i="3"/>
  <c r="I191" i="13"/>
  <c r="J191" i="13"/>
  <c r="AA191" i="13" l="1"/>
  <c r="AE191" i="13"/>
  <c r="AA191" i="3"/>
  <c r="AE191" i="3"/>
  <c r="M191" i="13"/>
  <c r="N191" i="13"/>
  <c r="W191" i="13" s="1"/>
  <c r="K191" i="13"/>
  <c r="U191" i="13" s="1"/>
  <c r="L191" i="13"/>
  <c r="V191" i="13" s="1"/>
  <c r="AG191" i="13"/>
  <c r="AH191" i="13" s="1"/>
  <c r="M191" i="3"/>
  <c r="N191" i="3"/>
  <c r="W191" i="3" s="1"/>
  <c r="K191" i="3"/>
  <c r="U191" i="3" s="1"/>
  <c r="L191" i="3"/>
  <c r="V191" i="3" s="1"/>
  <c r="AG191" i="3"/>
  <c r="AH191" i="3" s="1"/>
  <c r="X191" i="13" l="1"/>
  <c r="AI191" i="13"/>
  <c r="X191" i="3"/>
  <c r="AI191" i="3"/>
  <c r="AJ191" i="13" l="1"/>
  <c r="AK191" i="13" s="1"/>
  <c r="AL191" i="13" s="1"/>
  <c r="AJ191" i="3"/>
  <c r="AK191" i="3" s="1"/>
  <c r="AM191" i="3" s="1"/>
  <c r="AM191" i="13" l="1"/>
  <c r="AN191" i="13" s="1"/>
  <c r="AO191" i="13" s="1"/>
  <c r="AL191" i="3"/>
  <c r="AP191" i="13"/>
  <c r="AQ191" i="13" s="1"/>
  <c r="AP191" i="3" l="1"/>
  <c r="AQ191" i="3" s="1"/>
  <c r="AN191" i="3"/>
  <c r="AT191" i="3" l="1"/>
  <c r="AU191" i="3" s="1"/>
  <c r="AO191" i="3"/>
  <c r="AS191" i="3" l="1"/>
  <c r="AV191" i="3" s="1"/>
  <c r="J192" i="3" l="1"/>
  <c r="I192" i="3"/>
  <c r="I192" i="13"/>
  <c r="J192" i="13"/>
  <c r="AA192" i="13" l="1"/>
  <c r="AE192" i="13"/>
  <c r="AA192" i="3"/>
  <c r="AE192" i="3"/>
  <c r="M192" i="13"/>
  <c r="N192" i="13"/>
  <c r="W192" i="13" s="1"/>
  <c r="K192" i="13"/>
  <c r="U192" i="13" s="1"/>
  <c r="L192" i="13"/>
  <c r="V192" i="13" s="1"/>
  <c r="AG192" i="13"/>
  <c r="AH192" i="13" s="1"/>
  <c r="AG192" i="3"/>
  <c r="AH192" i="3" s="1"/>
  <c r="N192" i="3"/>
  <c r="W192" i="3" s="1"/>
  <c r="K192" i="3"/>
  <c r="U192" i="3" s="1"/>
  <c r="L192" i="3"/>
  <c r="V192" i="3" s="1"/>
  <c r="M192" i="3"/>
  <c r="X192" i="13" l="1"/>
  <c r="AI192" i="13"/>
  <c r="X192" i="3"/>
  <c r="AI192" i="3"/>
  <c r="AJ192" i="3" l="1"/>
  <c r="AK192" i="3" s="1"/>
  <c r="AM192" i="3" s="1"/>
  <c r="AJ192" i="13"/>
  <c r="AK192" i="13" s="1"/>
  <c r="AL192" i="13" s="1"/>
  <c r="AP192" i="13" l="1"/>
  <c r="AL192" i="3"/>
  <c r="AP192" i="3" l="1"/>
  <c r="AQ192" i="3" s="1"/>
  <c r="AN192" i="3"/>
  <c r="AM192" i="13"/>
  <c r="AN192" i="13" l="1"/>
  <c r="AO192" i="13" s="1"/>
  <c r="AQ192" i="13"/>
  <c r="AT192" i="3"/>
  <c r="AU192" i="3" s="1"/>
  <c r="AO192" i="3"/>
  <c r="AS192" i="3" l="1"/>
  <c r="AV192" i="3" s="1"/>
  <c r="I193" i="3" l="1"/>
  <c r="J193" i="3"/>
  <c r="I193" i="13"/>
  <c r="J193" i="13"/>
  <c r="AA193" i="13" l="1"/>
  <c r="AE193" i="13"/>
  <c r="AA193" i="3"/>
  <c r="AE193" i="3"/>
  <c r="M193" i="13"/>
  <c r="N193" i="13"/>
  <c r="W193" i="13" s="1"/>
  <c r="K193" i="13"/>
  <c r="U193" i="13" s="1"/>
  <c r="L193" i="13"/>
  <c r="V193" i="13" s="1"/>
  <c r="AG193" i="13"/>
  <c r="AH193" i="13" s="1"/>
  <c r="K193" i="3"/>
  <c r="U193" i="3" s="1"/>
  <c r="L193" i="3"/>
  <c r="V193" i="3" s="1"/>
  <c r="M193" i="3"/>
  <c r="N193" i="3"/>
  <c r="W193" i="3" s="1"/>
  <c r="AG193" i="3"/>
  <c r="AH193" i="3" s="1"/>
  <c r="AI193" i="3" l="1"/>
  <c r="X193" i="3"/>
  <c r="X193" i="13"/>
  <c r="AI193" i="13"/>
  <c r="AJ193" i="13" l="1"/>
  <c r="AK193" i="13" s="1"/>
  <c r="AL193" i="13" s="1"/>
  <c r="AJ193" i="3"/>
  <c r="AK193" i="3" s="1"/>
  <c r="AM193" i="3" s="1"/>
  <c r="AL193" i="3" l="1"/>
  <c r="AP193" i="13"/>
  <c r="AM193" i="13" l="1"/>
  <c r="AQ193" i="13" s="1"/>
  <c r="AN193" i="3"/>
  <c r="AP193" i="3"/>
  <c r="AQ193" i="3" s="1"/>
  <c r="AT193" i="3" l="1"/>
  <c r="AU193" i="3" s="1"/>
  <c r="AO193" i="3"/>
  <c r="AN193" i="13"/>
  <c r="AO193" i="13" s="1"/>
  <c r="AS193" i="3" l="1"/>
  <c r="AV193" i="3" s="1"/>
  <c r="I194" i="3" l="1"/>
  <c r="J194" i="3"/>
  <c r="I194" i="13"/>
  <c r="J194" i="13"/>
  <c r="AA194" i="13" l="1"/>
  <c r="AE194" i="13"/>
  <c r="AA194" i="3"/>
  <c r="AE194" i="3"/>
  <c r="M194" i="13"/>
  <c r="N194" i="13"/>
  <c r="W194" i="13" s="1"/>
  <c r="K194" i="13"/>
  <c r="U194" i="13" s="1"/>
  <c r="L194" i="13"/>
  <c r="V194" i="13" s="1"/>
  <c r="AG194" i="13"/>
  <c r="AH194" i="13" s="1"/>
  <c r="L194" i="3"/>
  <c r="V194" i="3" s="1"/>
  <c r="M194" i="3"/>
  <c r="N194" i="3"/>
  <c r="W194" i="3" s="1"/>
  <c r="K194" i="3"/>
  <c r="U194" i="3" s="1"/>
  <c r="AG194" i="3"/>
  <c r="AH194" i="3" s="1"/>
  <c r="X194" i="13" l="1"/>
  <c r="AI194" i="13"/>
  <c r="AI194" i="3"/>
  <c r="X194" i="3"/>
  <c r="AJ194" i="3" l="1"/>
  <c r="AK194" i="3" s="1"/>
  <c r="AM194" i="3" s="1"/>
  <c r="AJ194" i="13"/>
  <c r="AK194" i="13" s="1"/>
  <c r="AL194" i="13" s="1"/>
  <c r="AP194" i="13" l="1"/>
  <c r="AL194" i="3"/>
  <c r="AN194" i="3" l="1"/>
  <c r="AP194" i="3"/>
  <c r="AQ194" i="3" s="1"/>
  <c r="AM194" i="13"/>
  <c r="AQ194" i="13" s="1"/>
  <c r="AN194" i="13" l="1"/>
  <c r="AO194" i="13" s="1"/>
  <c r="AT194" i="3"/>
  <c r="AU194" i="3" s="1"/>
  <c r="AO194" i="3"/>
  <c r="AS194" i="3" l="1"/>
  <c r="AV194" i="3" s="1"/>
  <c r="I195" i="3" l="1"/>
  <c r="J195" i="3"/>
  <c r="I195" i="13"/>
  <c r="J195" i="13"/>
  <c r="AA195" i="13" l="1"/>
  <c r="AE195" i="13"/>
  <c r="AA195" i="3"/>
  <c r="AE195" i="3"/>
  <c r="M195" i="13"/>
  <c r="N195" i="13"/>
  <c r="W195" i="13" s="1"/>
  <c r="K195" i="13"/>
  <c r="U195" i="13" s="1"/>
  <c r="L195" i="13"/>
  <c r="V195" i="13" s="1"/>
  <c r="AG195" i="13"/>
  <c r="AH195" i="13" s="1"/>
  <c r="M195" i="3"/>
  <c r="N195" i="3"/>
  <c r="W195" i="3" s="1"/>
  <c r="K195" i="3"/>
  <c r="U195" i="3" s="1"/>
  <c r="L195" i="3"/>
  <c r="V195" i="3" s="1"/>
  <c r="AG195" i="3"/>
  <c r="AH195" i="3" s="1"/>
  <c r="X195" i="13" l="1"/>
  <c r="AI195" i="13"/>
  <c r="X195" i="3"/>
  <c r="AI195" i="3"/>
  <c r="AJ195" i="3" l="1"/>
  <c r="AK195" i="3" s="1"/>
  <c r="AM195" i="3" s="1"/>
  <c r="AJ195" i="13"/>
  <c r="AK195" i="13" s="1"/>
  <c r="AL195" i="13" s="1"/>
  <c r="AP195" i="13" l="1"/>
  <c r="AL195" i="3"/>
  <c r="AM195" i="13" l="1"/>
  <c r="AQ195" i="13" s="1"/>
  <c r="AP195" i="3"/>
  <c r="AQ195" i="3" s="1"/>
  <c r="AN195" i="3"/>
  <c r="AT195" i="3" l="1"/>
  <c r="AU195" i="3" s="1"/>
  <c r="AO195" i="3"/>
  <c r="AN195" i="13"/>
  <c r="AO195" i="13" s="1"/>
  <c r="AS195" i="3" l="1"/>
  <c r="AV195" i="3" s="1"/>
  <c r="J196" i="3" l="1"/>
  <c r="I196" i="3"/>
  <c r="I196" i="13"/>
  <c r="J196" i="13"/>
  <c r="AA196" i="13" l="1"/>
  <c r="AE196" i="13"/>
  <c r="AA196" i="3"/>
  <c r="AE196" i="3"/>
  <c r="M196" i="13"/>
  <c r="N196" i="13"/>
  <c r="W196" i="13" s="1"/>
  <c r="K196" i="13"/>
  <c r="U196" i="13" s="1"/>
  <c r="L196" i="13"/>
  <c r="V196" i="13" s="1"/>
  <c r="AG196" i="13"/>
  <c r="AH196" i="13" s="1"/>
  <c r="AG196" i="3"/>
  <c r="AH196" i="3" s="1"/>
  <c r="N196" i="3"/>
  <c r="W196" i="3" s="1"/>
  <c r="K196" i="3"/>
  <c r="U196" i="3" s="1"/>
  <c r="L196" i="3"/>
  <c r="V196" i="3" s="1"/>
  <c r="M196" i="3"/>
  <c r="X196" i="3" l="1"/>
  <c r="AI196" i="3"/>
  <c r="X196" i="13"/>
  <c r="AI196" i="13"/>
  <c r="AJ196" i="13" l="1"/>
  <c r="AK196" i="13" s="1"/>
  <c r="AL196" i="13" s="1"/>
  <c r="AJ196" i="3"/>
  <c r="AK196" i="3" s="1"/>
  <c r="AM196" i="3" s="1"/>
  <c r="AL196" i="3" l="1"/>
  <c r="AP196" i="13"/>
  <c r="AP196" i="3" l="1"/>
  <c r="AQ196" i="3" s="1"/>
  <c r="AN196" i="3"/>
  <c r="AM196" i="13"/>
  <c r="AN196" i="13" l="1"/>
  <c r="AO196" i="13" s="1"/>
  <c r="AT196" i="3"/>
  <c r="AU196" i="3" s="1"/>
  <c r="AO196" i="3"/>
  <c r="AQ196" i="13"/>
  <c r="AS196" i="3" l="1"/>
  <c r="AV196" i="3" s="1"/>
  <c r="I197" i="3" l="1"/>
  <c r="J197" i="3"/>
  <c r="I197" i="13"/>
  <c r="J197" i="13"/>
  <c r="AA197" i="13" l="1"/>
  <c r="AE197" i="13"/>
  <c r="AA197" i="3"/>
  <c r="AE197" i="3"/>
  <c r="M197" i="13"/>
  <c r="N197" i="13"/>
  <c r="W197" i="13" s="1"/>
  <c r="K197" i="13"/>
  <c r="U197" i="13" s="1"/>
  <c r="L197" i="13"/>
  <c r="V197" i="13" s="1"/>
  <c r="AG197" i="13"/>
  <c r="AH197" i="13" s="1"/>
  <c r="K197" i="3"/>
  <c r="U197" i="3" s="1"/>
  <c r="L197" i="3"/>
  <c r="V197" i="3" s="1"/>
  <c r="M197" i="3"/>
  <c r="N197" i="3"/>
  <c r="W197" i="3" s="1"/>
  <c r="AG197" i="3"/>
  <c r="AH197" i="3" s="1"/>
  <c r="AI197" i="3" l="1"/>
  <c r="X197" i="3"/>
  <c r="X197" i="13"/>
  <c r="AI197" i="13"/>
  <c r="AJ197" i="13" l="1"/>
  <c r="AK197" i="13" s="1"/>
  <c r="AL197" i="13" s="1"/>
  <c r="AJ197" i="3"/>
  <c r="AK197" i="3" s="1"/>
  <c r="AM197" i="3" s="1"/>
  <c r="AM197" i="13" l="1"/>
  <c r="AN197" i="13" s="1"/>
  <c r="AO197" i="13" s="1"/>
  <c r="X23" i="15" s="1"/>
  <c r="AL197" i="3"/>
  <c r="AP197" i="13"/>
  <c r="AQ197" i="13" l="1"/>
  <c r="Y23" i="15" s="1"/>
  <c r="AN197" i="3"/>
  <c r="AP197" i="3"/>
  <c r="AQ197" i="3" s="1"/>
  <c r="Y23" i="14" s="1"/>
  <c r="AT197" i="3" l="1"/>
  <c r="AU197" i="3" s="1"/>
  <c r="AO197" i="3"/>
  <c r="X23" i="14" s="1"/>
  <c r="AS197" i="3" l="1"/>
  <c r="AV197" i="3" s="1"/>
  <c r="I198" i="3" l="1"/>
  <c r="J198" i="3"/>
  <c r="I198" i="13"/>
  <c r="J198" i="13"/>
  <c r="AA198" i="13" l="1"/>
  <c r="AE198" i="13"/>
  <c r="AA198" i="3"/>
  <c r="AE198" i="3"/>
  <c r="AG198" i="13"/>
  <c r="AH198" i="13" s="1"/>
  <c r="L198" i="3"/>
  <c r="V198" i="3" s="1"/>
  <c r="M198" i="3"/>
  <c r="N198" i="3"/>
  <c r="W198" i="3" s="1"/>
  <c r="K198" i="3"/>
  <c r="U198" i="3" s="1"/>
  <c r="M198" i="13"/>
  <c r="N198" i="13"/>
  <c r="W198" i="13" s="1"/>
  <c r="K198" i="13"/>
  <c r="U198" i="13" s="1"/>
  <c r="L198" i="13"/>
  <c r="V198" i="13" s="1"/>
  <c r="AG198" i="3"/>
  <c r="AH198" i="3" s="1"/>
  <c r="X198" i="13" l="1"/>
  <c r="AI198" i="13"/>
  <c r="AI198" i="3"/>
  <c r="X198" i="3"/>
  <c r="AJ198" i="3" l="1"/>
  <c r="AK198" i="3" s="1"/>
  <c r="AM198" i="3" s="1"/>
  <c r="AJ198" i="13"/>
  <c r="AK198" i="13" s="1"/>
  <c r="AL198" i="13" s="1"/>
  <c r="AP198" i="13" l="1"/>
  <c r="AQ198" i="13" s="1"/>
  <c r="AM198" i="13"/>
  <c r="AN198" i="13" s="1"/>
  <c r="AO198" i="13" s="1"/>
  <c r="AL198" i="3"/>
  <c r="AN198" i="3" l="1"/>
  <c r="AP198" i="3"/>
  <c r="AQ198" i="3" s="1"/>
  <c r="AT198" i="3" l="1"/>
  <c r="AU198" i="3" s="1"/>
  <c r="AO198" i="3"/>
  <c r="AS198" i="3" l="1"/>
  <c r="AV198" i="3" s="1"/>
  <c r="I199" i="3" l="1"/>
  <c r="J199" i="3"/>
  <c r="I199" i="13"/>
  <c r="J199" i="13"/>
  <c r="AA199" i="13" l="1"/>
  <c r="AE199" i="13"/>
  <c r="AA199" i="3"/>
  <c r="AE199" i="3"/>
  <c r="M199" i="13"/>
  <c r="N199" i="13"/>
  <c r="W199" i="13" s="1"/>
  <c r="K199" i="13"/>
  <c r="U199" i="13" s="1"/>
  <c r="L199" i="13"/>
  <c r="V199" i="13" s="1"/>
  <c r="AG199" i="13"/>
  <c r="AH199" i="13" s="1"/>
  <c r="M199" i="3"/>
  <c r="N199" i="3"/>
  <c r="W199" i="3" s="1"/>
  <c r="K199" i="3"/>
  <c r="U199" i="3" s="1"/>
  <c r="L199" i="3"/>
  <c r="V199" i="3" s="1"/>
  <c r="AG199" i="3"/>
  <c r="AH199" i="3" s="1"/>
  <c r="X199" i="13" l="1"/>
  <c r="AI199" i="13"/>
  <c r="X199" i="3"/>
  <c r="AI199" i="3"/>
  <c r="AJ199" i="13" l="1"/>
  <c r="AK199" i="13" s="1"/>
  <c r="AL199" i="13" s="1"/>
  <c r="AJ199" i="3"/>
  <c r="AK199" i="3" s="1"/>
  <c r="AM199" i="3" s="1"/>
  <c r="AM199" i="13" l="1"/>
  <c r="AN199" i="13" s="1"/>
  <c r="AO199" i="13" s="1"/>
  <c r="AL199" i="3"/>
  <c r="AP199" i="13"/>
  <c r="AQ199" i="13" l="1"/>
  <c r="AP199" i="3"/>
  <c r="AQ199" i="3" s="1"/>
  <c r="AN199" i="3"/>
  <c r="AT199" i="3" l="1"/>
  <c r="AU199" i="3" s="1"/>
  <c r="AO199" i="3"/>
  <c r="AS199" i="3" l="1"/>
  <c r="AV199" i="3" s="1"/>
  <c r="J200" i="3" l="1"/>
  <c r="I200" i="3"/>
  <c r="I200" i="13"/>
  <c r="J200" i="13"/>
  <c r="AA200" i="13" l="1"/>
  <c r="AE200" i="13"/>
  <c r="AA200" i="3"/>
  <c r="AE200" i="3"/>
  <c r="M200" i="13"/>
  <c r="N200" i="13"/>
  <c r="W200" i="13" s="1"/>
  <c r="K200" i="13"/>
  <c r="U200" i="13" s="1"/>
  <c r="L200" i="13"/>
  <c r="V200" i="13" s="1"/>
  <c r="AG200" i="13"/>
  <c r="AH200" i="13" s="1"/>
  <c r="AG200" i="3"/>
  <c r="AH200" i="3" s="1"/>
  <c r="N200" i="3"/>
  <c r="W200" i="3" s="1"/>
  <c r="K200" i="3"/>
  <c r="U200" i="3" s="1"/>
  <c r="L200" i="3"/>
  <c r="V200" i="3" s="1"/>
  <c r="M200" i="3"/>
  <c r="X200" i="13" l="1"/>
  <c r="AI200" i="13"/>
  <c r="X200" i="3"/>
  <c r="AI200" i="3"/>
  <c r="AJ200" i="13" l="1"/>
  <c r="AK200" i="13" s="1"/>
  <c r="AL200" i="13" s="1"/>
  <c r="AJ200" i="3"/>
  <c r="AK200" i="3" s="1"/>
  <c r="AM200" i="3" s="1"/>
  <c r="AM200" i="13" l="1"/>
  <c r="AN200" i="13" s="1"/>
  <c r="AO200" i="13" s="1"/>
  <c r="AL200" i="3"/>
  <c r="AP200" i="13"/>
  <c r="AQ200" i="13" s="1"/>
  <c r="AP200" i="3" l="1"/>
  <c r="AQ200" i="3" s="1"/>
  <c r="AN200" i="3"/>
  <c r="AT200" i="3" l="1"/>
  <c r="AU200" i="3" s="1"/>
  <c r="AO200" i="3"/>
  <c r="AS200" i="3" l="1"/>
  <c r="AV200" i="3" s="1"/>
  <c r="I201" i="3" l="1"/>
  <c r="J201" i="3"/>
  <c r="I201" i="13"/>
  <c r="J201" i="13"/>
  <c r="AA201" i="13" l="1"/>
  <c r="AE201" i="13"/>
  <c r="AA201" i="3"/>
  <c r="AE201" i="3"/>
  <c r="M201" i="13"/>
  <c r="N201" i="13"/>
  <c r="W201" i="13" s="1"/>
  <c r="K201" i="13"/>
  <c r="U201" i="13" s="1"/>
  <c r="L201" i="13"/>
  <c r="V201" i="13" s="1"/>
  <c r="AG201" i="13"/>
  <c r="AH201" i="13" s="1"/>
  <c r="K201" i="3"/>
  <c r="U201" i="3" s="1"/>
  <c r="L201" i="3"/>
  <c r="V201" i="3" s="1"/>
  <c r="M201" i="3"/>
  <c r="N201" i="3"/>
  <c r="W201" i="3" s="1"/>
  <c r="AG201" i="3"/>
  <c r="AH201" i="3" s="1"/>
  <c r="AI201" i="3" l="1"/>
  <c r="X201" i="3"/>
  <c r="X201" i="13"/>
  <c r="AI201" i="13"/>
  <c r="AJ201" i="13" l="1"/>
  <c r="AK201" i="13" s="1"/>
  <c r="AL201" i="13" s="1"/>
  <c r="AJ201" i="3"/>
  <c r="AK201" i="3" s="1"/>
  <c r="AM201" i="3" s="1"/>
  <c r="AP201" i="13" l="1"/>
  <c r="AQ201" i="13" s="1"/>
  <c r="AM201" i="13"/>
  <c r="AN201" i="13" s="1"/>
  <c r="AO201" i="13" s="1"/>
  <c r="AL201" i="3"/>
  <c r="AN201" i="3" l="1"/>
  <c r="AP201" i="3"/>
  <c r="AQ201" i="3" s="1"/>
  <c r="AT201" i="3" l="1"/>
  <c r="AU201" i="3" s="1"/>
  <c r="AO201" i="3"/>
  <c r="AS201" i="3" l="1"/>
  <c r="AV201" i="3" s="1"/>
  <c r="I202" i="3" l="1"/>
  <c r="J202" i="3"/>
  <c r="I202" i="13"/>
  <c r="J202" i="13"/>
  <c r="AA202" i="13" l="1"/>
  <c r="AE202" i="13"/>
  <c r="AA202" i="3"/>
  <c r="AE202" i="3"/>
  <c r="M202" i="13"/>
  <c r="N202" i="13"/>
  <c r="W202" i="13" s="1"/>
  <c r="K202" i="13"/>
  <c r="U202" i="13" s="1"/>
  <c r="L202" i="13"/>
  <c r="V202" i="13" s="1"/>
  <c r="AG202" i="13"/>
  <c r="AH202" i="13" s="1"/>
  <c r="L202" i="3"/>
  <c r="V202" i="3" s="1"/>
  <c r="M202" i="3"/>
  <c r="N202" i="3"/>
  <c r="W202" i="3" s="1"/>
  <c r="K202" i="3"/>
  <c r="U202" i="3" s="1"/>
  <c r="AG202" i="3"/>
  <c r="AH202" i="3" s="1"/>
  <c r="X202" i="13" l="1"/>
  <c r="AI202" i="13"/>
  <c r="AI202" i="3"/>
  <c r="X202" i="3"/>
  <c r="AJ202" i="3" l="1"/>
  <c r="AK202" i="3" s="1"/>
  <c r="AM202" i="3" s="1"/>
  <c r="AJ202" i="13"/>
  <c r="AK202" i="13" s="1"/>
  <c r="AL202" i="13" s="1"/>
  <c r="AP202" i="13" l="1"/>
  <c r="AQ202" i="13" s="1"/>
  <c r="AM202" i="13"/>
  <c r="AN202" i="13" s="1"/>
  <c r="AO202" i="13" s="1"/>
  <c r="AL202" i="3"/>
  <c r="AN202" i="3" l="1"/>
  <c r="AP202" i="3"/>
  <c r="AQ202" i="3" s="1"/>
  <c r="AT202" i="3" l="1"/>
  <c r="AU202" i="3" s="1"/>
  <c r="AO202" i="3"/>
  <c r="AS202" i="3" l="1"/>
  <c r="AV202" i="3" s="1"/>
  <c r="I203" i="3" l="1"/>
  <c r="J203" i="3"/>
  <c r="I203" i="13"/>
  <c r="J203" i="13"/>
  <c r="AA203" i="13" l="1"/>
  <c r="AE203" i="13"/>
  <c r="AA203" i="3"/>
  <c r="AE203" i="3"/>
  <c r="AG203" i="13"/>
  <c r="AH203" i="13" s="1"/>
  <c r="M203" i="3"/>
  <c r="N203" i="3"/>
  <c r="W203" i="3" s="1"/>
  <c r="K203" i="3"/>
  <c r="U203" i="3" s="1"/>
  <c r="L203" i="3"/>
  <c r="V203" i="3" s="1"/>
  <c r="M203" i="13"/>
  <c r="N203" i="13"/>
  <c r="W203" i="13" s="1"/>
  <c r="K203" i="13"/>
  <c r="U203" i="13" s="1"/>
  <c r="L203" i="13"/>
  <c r="V203" i="13" s="1"/>
  <c r="AG203" i="3"/>
  <c r="AH203" i="3" s="1"/>
  <c r="X203" i="13" l="1"/>
  <c r="AI203" i="13"/>
  <c r="X203" i="3"/>
  <c r="AI203" i="3"/>
  <c r="AJ203" i="3" l="1"/>
  <c r="AK203" i="3" s="1"/>
  <c r="AM203" i="3" s="1"/>
  <c r="AJ203" i="13"/>
  <c r="AK203" i="13" s="1"/>
  <c r="AL203" i="13" s="1"/>
  <c r="AP203" i="13" l="1"/>
  <c r="AQ203" i="13" s="1"/>
  <c r="AM203" i="13"/>
  <c r="AN203" i="13" s="1"/>
  <c r="AO203" i="13" s="1"/>
  <c r="AL203" i="3"/>
  <c r="AP203" i="3" l="1"/>
  <c r="AQ203" i="3" s="1"/>
  <c r="AN203" i="3"/>
  <c r="AT203" i="3" l="1"/>
  <c r="AU203" i="3" s="1"/>
  <c r="AO203" i="3"/>
  <c r="AS203" i="3" l="1"/>
  <c r="AV203" i="3" s="1"/>
  <c r="J204" i="3" l="1"/>
  <c r="I204" i="3"/>
  <c r="I204" i="13"/>
  <c r="J204" i="13"/>
  <c r="AA204" i="13" l="1"/>
  <c r="AE204" i="13"/>
  <c r="AA204" i="3"/>
  <c r="AE204" i="3"/>
  <c r="M204" i="13"/>
  <c r="N204" i="13"/>
  <c r="W204" i="13" s="1"/>
  <c r="K204" i="13"/>
  <c r="U204" i="13" s="1"/>
  <c r="L204" i="13"/>
  <c r="V204" i="13" s="1"/>
  <c r="AG204" i="13"/>
  <c r="AH204" i="13" s="1"/>
  <c r="AG204" i="3"/>
  <c r="AH204" i="3" s="1"/>
  <c r="N204" i="3"/>
  <c r="W204" i="3" s="1"/>
  <c r="K204" i="3"/>
  <c r="U204" i="3" s="1"/>
  <c r="L204" i="3"/>
  <c r="V204" i="3" s="1"/>
  <c r="M204" i="3"/>
  <c r="X204" i="13" l="1"/>
  <c r="AI204" i="13"/>
  <c r="X204" i="3"/>
  <c r="AI204" i="3"/>
  <c r="AJ204" i="13" l="1"/>
  <c r="AK204" i="13" s="1"/>
  <c r="AL204" i="13" s="1"/>
  <c r="AJ204" i="3"/>
  <c r="AK204" i="3" s="1"/>
  <c r="AM204" i="3" s="1"/>
  <c r="AL204" i="3" l="1"/>
  <c r="AP204" i="13"/>
  <c r="AM204" i="13" l="1"/>
  <c r="AQ204" i="13" s="1"/>
  <c r="AP204" i="3"/>
  <c r="AQ204" i="3" s="1"/>
  <c r="AN204" i="3"/>
  <c r="AT204" i="3" l="1"/>
  <c r="AU204" i="3" s="1"/>
  <c r="AO204" i="3"/>
  <c r="AN204" i="13"/>
  <c r="AO204" i="13" s="1"/>
  <c r="AS204" i="3" l="1"/>
  <c r="AV204" i="3" s="1"/>
  <c r="I205" i="3" l="1"/>
  <c r="J205" i="3"/>
  <c r="I205" i="13"/>
  <c r="J205" i="13"/>
  <c r="AA205" i="13" l="1"/>
  <c r="AE205" i="13"/>
  <c r="AA205" i="3"/>
  <c r="AE205" i="3"/>
  <c r="M205" i="13"/>
  <c r="N205" i="13"/>
  <c r="W205" i="13" s="1"/>
  <c r="K205" i="13"/>
  <c r="U205" i="13" s="1"/>
  <c r="L205" i="13"/>
  <c r="V205" i="13" s="1"/>
  <c r="AG205" i="13"/>
  <c r="AH205" i="13" s="1"/>
  <c r="K205" i="3"/>
  <c r="U205" i="3" s="1"/>
  <c r="L205" i="3"/>
  <c r="V205" i="3" s="1"/>
  <c r="M205" i="3"/>
  <c r="N205" i="3"/>
  <c r="W205" i="3" s="1"/>
  <c r="AG205" i="3"/>
  <c r="AH205" i="3" s="1"/>
  <c r="AI205" i="3" l="1"/>
  <c r="X205" i="3"/>
  <c r="X205" i="13"/>
  <c r="AI205" i="13"/>
  <c r="AJ205" i="13" l="1"/>
  <c r="AK205" i="13" s="1"/>
  <c r="AL205" i="13" s="1"/>
  <c r="AJ205" i="3"/>
  <c r="AK205" i="3" s="1"/>
  <c r="AM205" i="3" s="1"/>
  <c r="AP205" i="13" l="1"/>
  <c r="AL205" i="3"/>
  <c r="AN205" i="3" l="1"/>
  <c r="AP205" i="3"/>
  <c r="AQ205" i="3" s="1"/>
  <c r="AM205" i="13"/>
  <c r="AQ205" i="13" s="1"/>
  <c r="AN205" i="13" l="1"/>
  <c r="AO205" i="13" s="1"/>
  <c r="AT205" i="3"/>
  <c r="AU205" i="3" s="1"/>
  <c r="AO205" i="3"/>
  <c r="AS205" i="3" l="1"/>
  <c r="AV205" i="3" s="1"/>
  <c r="I206" i="3" l="1"/>
  <c r="J206" i="3"/>
  <c r="I206" i="13"/>
  <c r="J206" i="13"/>
  <c r="AA206" i="13" l="1"/>
  <c r="AE206" i="13"/>
  <c r="AA206" i="3"/>
  <c r="AE206" i="3"/>
  <c r="M206" i="13"/>
  <c r="N206" i="13"/>
  <c r="W206" i="13" s="1"/>
  <c r="K206" i="13"/>
  <c r="U206" i="13" s="1"/>
  <c r="L206" i="13"/>
  <c r="V206" i="13" s="1"/>
  <c r="AG206" i="13"/>
  <c r="AH206" i="13" s="1"/>
  <c r="L206" i="3"/>
  <c r="V206" i="3" s="1"/>
  <c r="M206" i="3"/>
  <c r="N206" i="3"/>
  <c r="W206" i="3" s="1"/>
  <c r="K206" i="3"/>
  <c r="U206" i="3" s="1"/>
  <c r="AG206" i="3"/>
  <c r="AH206" i="3" s="1"/>
  <c r="X206" i="13" l="1"/>
  <c r="AI206" i="13"/>
  <c r="AI206" i="3"/>
  <c r="X206" i="3"/>
  <c r="AJ206" i="3" l="1"/>
  <c r="AK206" i="3" s="1"/>
  <c r="AM206" i="3" s="1"/>
  <c r="AJ206" i="13"/>
  <c r="AK206" i="13" s="1"/>
  <c r="AL206" i="13" s="1"/>
  <c r="AP206" i="13" l="1"/>
  <c r="AL206" i="3"/>
  <c r="AM206" i="13" l="1"/>
  <c r="AQ206" i="13" s="1"/>
  <c r="AN206" i="3"/>
  <c r="AP206" i="3"/>
  <c r="AQ206" i="3" s="1"/>
  <c r="AT206" i="3" l="1"/>
  <c r="AU206" i="3" s="1"/>
  <c r="AO206" i="3"/>
  <c r="AN206" i="13"/>
  <c r="AO206" i="13" s="1"/>
  <c r="AS206" i="3" l="1"/>
  <c r="AV206" i="3" s="1"/>
  <c r="I207" i="3" l="1"/>
  <c r="J207" i="3"/>
  <c r="I207" i="13"/>
  <c r="J207" i="13"/>
  <c r="AA207" i="13" l="1"/>
  <c r="AE207" i="13"/>
  <c r="AA207" i="3"/>
  <c r="AE207" i="3"/>
  <c r="M207" i="13"/>
  <c r="N207" i="13"/>
  <c r="W207" i="13" s="1"/>
  <c r="K207" i="13"/>
  <c r="U207" i="13" s="1"/>
  <c r="L207" i="13"/>
  <c r="V207" i="13" s="1"/>
  <c r="AG207" i="13"/>
  <c r="AH207" i="13" s="1"/>
  <c r="M207" i="3"/>
  <c r="N207" i="3"/>
  <c r="W207" i="3" s="1"/>
  <c r="K207" i="3"/>
  <c r="U207" i="3" s="1"/>
  <c r="L207" i="3"/>
  <c r="V207" i="3" s="1"/>
  <c r="AG207" i="3"/>
  <c r="AH207" i="3" s="1"/>
  <c r="X207" i="13" l="1"/>
  <c r="AI207" i="13"/>
  <c r="X207" i="3"/>
  <c r="AI207" i="3"/>
  <c r="AJ207" i="3" l="1"/>
  <c r="AK207" i="3" s="1"/>
  <c r="AM207" i="3" s="1"/>
  <c r="AJ207" i="13"/>
  <c r="AK207" i="13" s="1"/>
  <c r="AL207" i="13" s="1"/>
  <c r="AP207" i="13" l="1"/>
  <c r="AL207" i="3"/>
  <c r="AM207" i="13" l="1"/>
  <c r="AQ207" i="13" s="1"/>
  <c r="AP207" i="3"/>
  <c r="AQ207" i="3" s="1"/>
  <c r="AN207" i="3"/>
  <c r="AT207" i="3" l="1"/>
  <c r="AU207" i="3" s="1"/>
  <c r="AO207" i="3"/>
  <c r="AN207" i="13"/>
  <c r="AO207" i="13" s="1"/>
  <c r="AS207" i="3" l="1"/>
  <c r="AV207" i="3" s="1"/>
  <c r="J208" i="3" l="1"/>
  <c r="I208" i="3"/>
  <c r="I208" i="13"/>
  <c r="J208" i="13"/>
  <c r="AA208" i="13" l="1"/>
  <c r="AE208" i="13"/>
  <c r="AA208" i="3"/>
  <c r="AE208" i="3"/>
  <c r="M208" i="13"/>
  <c r="N208" i="13"/>
  <c r="W208" i="13" s="1"/>
  <c r="K208" i="13"/>
  <c r="U208" i="13" s="1"/>
  <c r="L208" i="13"/>
  <c r="V208" i="13" s="1"/>
  <c r="AG208" i="13"/>
  <c r="AH208" i="13" s="1"/>
  <c r="AG208" i="3"/>
  <c r="AH208" i="3" s="1"/>
  <c r="N208" i="3"/>
  <c r="W208" i="3" s="1"/>
  <c r="K208" i="3"/>
  <c r="U208" i="3" s="1"/>
  <c r="L208" i="3"/>
  <c r="V208" i="3" s="1"/>
  <c r="M208" i="3"/>
  <c r="X208" i="3" l="1"/>
  <c r="AI208" i="3"/>
  <c r="X208" i="13"/>
  <c r="AI208" i="13"/>
  <c r="AJ208" i="13" l="1"/>
  <c r="AK208" i="13" s="1"/>
  <c r="AL208" i="13" s="1"/>
  <c r="AJ208" i="3"/>
  <c r="AK208" i="3" s="1"/>
  <c r="AM208" i="3" s="1"/>
  <c r="AL208" i="3" l="1"/>
  <c r="AP208" i="13"/>
  <c r="AP208" i="3" l="1"/>
  <c r="AQ208" i="3" s="1"/>
  <c r="AN208" i="3"/>
  <c r="AM208" i="13"/>
  <c r="AN208" i="13" l="1"/>
  <c r="AO208" i="13" s="1"/>
  <c r="AT208" i="3"/>
  <c r="AU208" i="3" s="1"/>
  <c r="AO208" i="3"/>
  <c r="AQ208" i="13"/>
  <c r="AS208" i="3" l="1"/>
  <c r="AV208" i="3" s="1"/>
  <c r="I209" i="3" l="1"/>
  <c r="J209" i="3"/>
  <c r="I209" i="13"/>
  <c r="J209" i="13"/>
  <c r="AA209" i="13" l="1"/>
  <c r="AE209" i="13"/>
  <c r="AA209" i="3"/>
  <c r="AE209" i="3"/>
  <c r="M209" i="13"/>
  <c r="N209" i="13"/>
  <c r="W209" i="13" s="1"/>
  <c r="K209" i="13"/>
  <c r="U209" i="13" s="1"/>
  <c r="L209" i="13"/>
  <c r="V209" i="13" s="1"/>
  <c r="AG209" i="13"/>
  <c r="AH209" i="13" s="1"/>
  <c r="K209" i="3"/>
  <c r="U209" i="3" s="1"/>
  <c r="L209" i="3"/>
  <c r="V209" i="3" s="1"/>
  <c r="M209" i="3"/>
  <c r="N209" i="3"/>
  <c r="W209" i="3" s="1"/>
  <c r="AG209" i="3"/>
  <c r="AH209" i="3" s="1"/>
  <c r="AI209" i="3" l="1"/>
  <c r="X209" i="3"/>
  <c r="X209" i="13"/>
  <c r="AI209" i="13"/>
  <c r="AJ209" i="13" l="1"/>
  <c r="AK209" i="13" s="1"/>
  <c r="AL209" i="13" s="1"/>
  <c r="AJ209" i="3"/>
  <c r="AK209" i="3" s="1"/>
  <c r="AM209" i="3" s="1"/>
  <c r="AL209" i="3" l="1"/>
  <c r="AM209" i="13"/>
  <c r="AN209" i="13" s="1"/>
  <c r="AO209" i="13" s="1"/>
  <c r="X24" i="15" s="1"/>
  <c r="AP209" i="13"/>
  <c r="AQ209" i="13" s="1"/>
  <c r="Y24" i="15" s="1"/>
  <c r="AN209" i="3" l="1"/>
  <c r="AP209" i="3"/>
  <c r="AQ209" i="3" s="1"/>
  <c r="Y24" i="14" s="1"/>
  <c r="AT209" i="3" l="1"/>
  <c r="AU209" i="3" s="1"/>
  <c r="AO209" i="3"/>
  <c r="X24" i="14" s="1"/>
  <c r="AS209" i="3" l="1"/>
  <c r="AV209" i="3" s="1"/>
  <c r="I210" i="3" l="1"/>
  <c r="J210" i="3"/>
  <c r="I210" i="13"/>
  <c r="J210" i="13"/>
  <c r="AA210" i="13" l="1"/>
  <c r="AE210" i="13"/>
  <c r="AA210" i="3"/>
  <c r="AE210" i="3"/>
  <c r="M210" i="13"/>
  <c r="N210" i="13"/>
  <c r="W210" i="13" s="1"/>
  <c r="K210" i="13"/>
  <c r="U210" i="13" s="1"/>
  <c r="L210" i="13"/>
  <c r="V210" i="13" s="1"/>
  <c r="AG210" i="13"/>
  <c r="AH210" i="13" s="1"/>
  <c r="L210" i="3"/>
  <c r="V210" i="3" s="1"/>
  <c r="M210" i="3"/>
  <c r="N210" i="3"/>
  <c r="W210" i="3" s="1"/>
  <c r="K210" i="3"/>
  <c r="U210" i="3" s="1"/>
  <c r="AG210" i="3"/>
  <c r="AH210" i="3" s="1"/>
  <c r="X210" i="13" l="1"/>
  <c r="AI210" i="13"/>
  <c r="AI210" i="3"/>
  <c r="X210" i="3"/>
  <c r="AJ210" i="3" l="1"/>
  <c r="AK210" i="3" s="1"/>
  <c r="AM210" i="3" s="1"/>
  <c r="AJ210" i="13"/>
  <c r="AK210" i="13" s="1"/>
  <c r="AL210" i="13" s="1"/>
  <c r="AP210" i="13" l="1"/>
  <c r="AM210" i="13"/>
  <c r="AN210" i="13" s="1"/>
  <c r="AO210" i="13" s="1"/>
  <c r="AL210" i="3"/>
  <c r="AQ210" i="13" l="1"/>
  <c r="AN210" i="3"/>
  <c r="AP210" i="3"/>
  <c r="AQ210" i="3" s="1"/>
  <c r="AT210" i="3" l="1"/>
  <c r="AU210" i="3" s="1"/>
  <c r="AO210" i="3"/>
  <c r="AS210" i="3" l="1"/>
  <c r="AV210" i="3" s="1"/>
  <c r="I211" i="3" l="1"/>
  <c r="J211" i="3"/>
  <c r="I211" i="13"/>
  <c r="J211" i="13"/>
  <c r="AA211" i="13" l="1"/>
  <c r="AE211" i="13"/>
  <c r="AA211" i="3"/>
  <c r="AE211" i="3"/>
  <c r="M211" i="13"/>
  <c r="N211" i="13"/>
  <c r="W211" i="13" s="1"/>
  <c r="K211" i="13"/>
  <c r="U211" i="13" s="1"/>
  <c r="L211" i="13"/>
  <c r="V211" i="13" s="1"/>
  <c r="AG211" i="13"/>
  <c r="AH211" i="13" s="1"/>
  <c r="M211" i="3"/>
  <c r="N211" i="3"/>
  <c r="W211" i="3" s="1"/>
  <c r="K211" i="3"/>
  <c r="U211" i="3" s="1"/>
  <c r="L211" i="3"/>
  <c r="V211" i="3" s="1"/>
  <c r="AG211" i="3"/>
  <c r="AH211" i="3" s="1"/>
  <c r="X211" i="13" l="1"/>
  <c r="AI211" i="13"/>
  <c r="X211" i="3"/>
  <c r="AI211" i="3"/>
  <c r="AJ211" i="3" l="1"/>
  <c r="AK211" i="3" s="1"/>
  <c r="AM211" i="3" s="1"/>
  <c r="AJ211" i="13"/>
  <c r="AK211" i="13" s="1"/>
  <c r="AL211" i="13" s="1"/>
  <c r="AP211" i="13" l="1"/>
  <c r="AM211" i="13"/>
  <c r="AN211" i="13" s="1"/>
  <c r="AO211" i="13" s="1"/>
  <c r="AL211" i="3"/>
  <c r="AQ211" i="13" l="1"/>
  <c r="AP211" i="3"/>
  <c r="AQ211" i="3" s="1"/>
  <c r="AN211" i="3"/>
  <c r="AT211" i="3" l="1"/>
  <c r="AU211" i="3" s="1"/>
  <c r="AO211" i="3"/>
  <c r="AS211" i="3" l="1"/>
  <c r="AV211" i="3" s="1"/>
  <c r="J212" i="3" l="1"/>
  <c r="I212" i="3"/>
  <c r="I212" i="13"/>
  <c r="J212" i="13"/>
  <c r="AA212" i="13" l="1"/>
  <c r="AE212" i="13"/>
  <c r="AA212" i="3"/>
  <c r="AE212" i="3"/>
  <c r="AG212" i="13"/>
  <c r="AH212" i="13" s="1"/>
  <c r="AG212" i="3"/>
  <c r="AH212" i="3" s="1"/>
  <c r="M212" i="13"/>
  <c r="N212" i="13"/>
  <c r="W212" i="13" s="1"/>
  <c r="K212" i="13"/>
  <c r="U212" i="13" s="1"/>
  <c r="L212" i="13"/>
  <c r="V212" i="13" s="1"/>
  <c r="N212" i="3"/>
  <c r="W212" i="3" s="1"/>
  <c r="K212" i="3"/>
  <c r="U212" i="3" s="1"/>
  <c r="L212" i="3"/>
  <c r="V212" i="3" s="1"/>
  <c r="M212" i="3"/>
  <c r="X212" i="13" l="1"/>
  <c r="AI212" i="13"/>
  <c r="X212" i="3"/>
  <c r="AI212" i="3"/>
  <c r="AJ212" i="3" l="1"/>
  <c r="AK212" i="3" s="1"/>
  <c r="AM212" i="3" s="1"/>
  <c r="AJ212" i="13"/>
  <c r="AK212" i="13" s="1"/>
  <c r="AL212" i="13" s="1"/>
  <c r="AP212" i="13" l="1"/>
  <c r="AM212" i="13"/>
  <c r="AN212" i="13" s="1"/>
  <c r="AO212" i="13" s="1"/>
  <c r="AL212" i="3"/>
  <c r="AQ212" i="13" l="1"/>
  <c r="AP212" i="3"/>
  <c r="AQ212" i="3" s="1"/>
  <c r="AN212" i="3"/>
  <c r="AT212" i="3" l="1"/>
  <c r="AU212" i="3" s="1"/>
  <c r="AO212" i="3"/>
  <c r="AS212" i="3" l="1"/>
  <c r="AV212" i="3" s="1"/>
  <c r="I213" i="3" l="1"/>
  <c r="J213" i="3"/>
  <c r="I213" i="13"/>
  <c r="J213" i="13"/>
  <c r="AA213" i="13" l="1"/>
  <c r="AE213" i="13"/>
  <c r="AA213" i="3"/>
  <c r="AE213" i="3"/>
  <c r="M213" i="13"/>
  <c r="N213" i="13"/>
  <c r="W213" i="13" s="1"/>
  <c r="K213" i="13"/>
  <c r="U213" i="13" s="1"/>
  <c r="L213" i="13"/>
  <c r="V213" i="13" s="1"/>
  <c r="AG213" i="13"/>
  <c r="AH213" i="13" s="1"/>
  <c r="K213" i="3"/>
  <c r="U213" i="3" s="1"/>
  <c r="L213" i="3"/>
  <c r="V213" i="3" s="1"/>
  <c r="M213" i="3"/>
  <c r="N213" i="3"/>
  <c r="W213" i="3" s="1"/>
  <c r="AG213" i="3"/>
  <c r="AH213" i="3" s="1"/>
  <c r="AI213" i="3" l="1"/>
  <c r="X213" i="3"/>
  <c r="X213" i="13"/>
  <c r="AI213" i="13"/>
  <c r="AJ213" i="13" l="1"/>
  <c r="AK213" i="13" s="1"/>
  <c r="AL213" i="13" s="1"/>
  <c r="AJ213" i="3"/>
  <c r="AK213" i="3" s="1"/>
  <c r="AM213" i="3" s="1"/>
  <c r="AM213" i="13" l="1"/>
  <c r="AN213" i="13" s="1"/>
  <c r="AO213" i="13" s="1"/>
  <c r="AL213" i="3"/>
  <c r="AP213" i="13"/>
  <c r="AQ213" i="13" l="1"/>
  <c r="AN213" i="3"/>
  <c r="AP213" i="3"/>
  <c r="AQ213" i="3" s="1"/>
  <c r="AT213" i="3" l="1"/>
  <c r="AU213" i="3" s="1"/>
  <c r="AO213" i="3"/>
  <c r="AS213" i="3" l="1"/>
  <c r="AV213" i="3" s="1"/>
  <c r="I214" i="3" l="1"/>
  <c r="J214" i="3"/>
  <c r="I214" i="13"/>
  <c r="J214" i="13"/>
  <c r="AA214" i="13" l="1"/>
  <c r="AE214" i="13"/>
  <c r="AA214" i="3"/>
  <c r="AE214" i="3"/>
  <c r="M214" i="13"/>
  <c r="N214" i="13"/>
  <c r="W214" i="13" s="1"/>
  <c r="K214" i="13"/>
  <c r="U214" i="13" s="1"/>
  <c r="L214" i="13"/>
  <c r="V214" i="13" s="1"/>
  <c r="AG214" i="13"/>
  <c r="AH214" i="13" s="1"/>
  <c r="L214" i="3"/>
  <c r="V214" i="3" s="1"/>
  <c r="M214" i="3"/>
  <c r="N214" i="3"/>
  <c r="W214" i="3" s="1"/>
  <c r="K214" i="3"/>
  <c r="U214" i="3" s="1"/>
  <c r="AG214" i="3"/>
  <c r="AH214" i="3" s="1"/>
  <c r="X214" i="13" l="1"/>
  <c r="AI214" i="13"/>
  <c r="AI214" i="3"/>
  <c r="X214" i="3"/>
  <c r="AJ214" i="3" l="1"/>
  <c r="AK214" i="3" s="1"/>
  <c r="AM214" i="3" s="1"/>
  <c r="AJ214" i="13"/>
  <c r="AK214" i="13" s="1"/>
  <c r="AL214" i="13" s="1"/>
  <c r="AP214" i="13" l="1"/>
  <c r="AQ214" i="13" s="1"/>
  <c r="AL214" i="3"/>
  <c r="AM214" i="13"/>
  <c r="AN214" i="13" s="1"/>
  <c r="AO214" i="13" s="1"/>
  <c r="AN214" i="3" l="1"/>
  <c r="AP214" i="3"/>
  <c r="AQ214" i="3" s="1"/>
  <c r="AT214" i="3" l="1"/>
  <c r="AU214" i="3" s="1"/>
  <c r="AO214" i="3"/>
  <c r="AS214" i="3" l="1"/>
  <c r="AV214" i="3" s="1"/>
  <c r="I215" i="3" l="1"/>
  <c r="J215" i="3"/>
  <c r="I215" i="13"/>
  <c r="J215" i="13"/>
  <c r="AA215" i="13" l="1"/>
  <c r="AE215" i="13"/>
  <c r="AA215" i="3"/>
  <c r="AE215" i="3"/>
  <c r="M215" i="13"/>
  <c r="N215" i="13"/>
  <c r="W215" i="13" s="1"/>
  <c r="K215" i="13"/>
  <c r="U215" i="13" s="1"/>
  <c r="L215" i="13"/>
  <c r="V215" i="13" s="1"/>
  <c r="AG215" i="13"/>
  <c r="AH215" i="13" s="1"/>
  <c r="M215" i="3"/>
  <c r="N215" i="3"/>
  <c r="W215" i="3" s="1"/>
  <c r="K215" i="3"/>
  <c r="U215" i="3" s="1"/>
  <c r="L215" i="3"/>
  <c r="V215" i="3" s="1"/>
  <c r="AG215" i="3"/>
  <c r="AH215" i="3" s="1"/>
  <c r="X215" i="13" l="1"/>
  <c r="AI215" i="13"/>
  <c r="X215" i="3"/>
  <c r="AI215" i="3"/>
  <c r="AJ215" i="3" l="1"/>
  <c r="AK215" i="3" s="1"/>
  <c r="AM215" i="3" s="1"/>
  <c r="AJ215" i="13"/>
  <c r="AK215" i="13" s="1"/>
  <c r="AL215" i="13" s="1"/>
  <c r="AP215" i="13" l="1"/>
  <c r="AL215" i="3"/>
  <c r="AM215" i="13"/>
  <c r="AN215" i="13" s="1"/>
  <c r="AO215" i="13" s="1"/>
  <c r="AQ215" i="13" l="1"/>
  <c r="AP215" i="3"/>
  <c r="AQ215" i="3" s="1"/>
  <c r="AN215" i="3"/>
  <c r="AT215" i="3" l="1"/>
  <c r="AU215" i="3" s="1"/>
  <c r="AO215" i="3"/>
  <c r="AS215" i="3" l="1"/>
  <c r="AV215" i="3" s="1"/>
  <c r="J216" i="3" l="1"/>
  <c r="I216" i="3"/>
  <c r="I216" i="13"/>
  <c r="J216" i="13"/>
  <c r="AA216" i="13" l="1"/>
  <c r="AE216" i="13"/>
  <c r="AA216" i="3"/>
  <c r="AE216" i="3"/>
  <c r="M216" i="13"/>
  <c r="N216" i="13"/>
  <c r="W216" i="13" s="1"/>
  <c r="K216" i="13"/>
  <c r="U216" i="13" s="1"/>
  <c r="L216" i="13"/>
  <c r="V216" i="13" s="1"/>
  <c r="AG216" i="3"/>
  <c r="AH216" i="3" s="1"/>
  <c r="AG216" i="13"/>
  <c r="AH216" i="13" s="1"/>
  <c r="N216" i="3"/>
  <c r="W216" i="3" s="1"/>
  <c r="K216" i="3"/>
  <c r="U216" i="3" s="1"/>
  <c r="L216" i="3"/>
  <c r="V216" i="3" s="1"/>
  <c r="M216" i="3"/>
  <c r="X216" i="13" l="1"/>
  <c r="AI216" i="13"/>
  <c r="X216" i="3"/>
  <c r="AI216" i="3"/>
  <c r="AJ216" i="3" l="1"/>
  <c r="AK216" i="3" s="1"/>
  <c r="AM216" i="3" s="1"/>
  <c r="AJ216" i="13"/>
  <c r="AK216" i="13" s="1"/>
  <c r="AL216" i="13" s="1"/>
  <c r="AP216" i="13" l="1"/>
  <c r="AL216" i="3"/>
  <c r="AM216" i="13" l="1"/>
  <c r="AQ216" i="13" s="1"/>
  <c r="AP216" i="3"/>
  <c r="AQ216" i="3" s="1"/>
  <c r="AN216" i="3"/>
  <c r="AT216" i="3" l="1"/>
  <c r="AU216" i="3" s="1"/>
  <c r="AO216" i="3"/>
  <c r="AN216" i="13"/>
  <c r="AO216" i="13" s="1"/>
  <c r="AS216" i="3" l="1"/>
  <c r="AV216" i="3" s="1"/>
  <c r="I217" i="3" l="1"/>
  <c r="J217" i="3"/>
  <c r="I217" i="13"/>
  <c r="J217" i="13"/>
  <c r="AA217" i="13" l="1"/>
  <c r="AE217" i="13"/>
  <c r="AA217" i="3"/>
  <c r="AE217" i="3"/>
  <c r="M217" i="13"/>
  <c r="N217" i="13"/>
  <c r="W217" i="13" s="1"/>
  <c r="K217" i="13"/>
  <c r="U217" i="13" s="1"/>
  <c r="L217" i="13"/>
  <c r="V217" i="13" s="1"/>
  <c r="AG217" i="13"/>
  <c r="AH217" i="13" s="1"/>
  <c r="K217" i="3"/>
  <c r="U217" i="3" s="1"/>
  <c r="L217" i="3"/>
  <c r="V217" i="3" s="1"/>
  <c r="M217" i="3"/>
  <c r="N217" i="3"/>
  <c r="W217" i="3" s="1"/>
  <c r="AG217" i="3"/>
  <c r="AH217" i="3" s="1"/>
  <c r="AI217" i="3" l="1"/>
  <c r="X217" i="3"/>
  <c r="X217" i="13"/>
  <c r="AI217" i="13"/>
  <c r="AJ217" i="13" l="1"/>
  <c r="AK217" i="13" s="1"/>
  <c r="AL217" i="13" s="1"/>
  <c r="AJ217" i="3"/>
  <c r="AK217" i="3" s="1"/>
  <c r="AM217" i="3" s="1"/>
  <c r="AP217" i="13" l="1"/>
  <c r="AL217" i="3"/>
  <c r="AN217" i="3" l="1"/>
  <c r="AP217" i="3"/>
  <c r="AQ217" i="3" s="1"/>
  <c r="AM217" i="13"/>
  <c r="AQ217" i="13" s="1"/>
  <c r="AN217" i="13" l="1"/>
  <c r="AO217" i="13" s="1"/>
  <c r="AT217" i="3"/>
  <c r="AU217" i="3" s="1"/>
  <c r="AO217" i="3"/>
  <c r="AS217" i="3" l="1"/>
  <c r="AV217" i="3" s="1"/>
  <c r="I218" i="3" l="1"/>
  <c r="J218" i="3"/>
  <c r="I218" i="13"/>
  <c r="J218" i="13"/>
  <c r="AA218" i="13" l="1"/>
  <c r="AE218" i="13"/>
  <c r="AA218" i="3"/>
  <c r="AE218" i="3"/>
  <c r="M218" i="13"/>
  <c r="N218" i="13"/>
  <c r="W218" i="13" s="1"/>
  <c r="K218" i="13"/>
  <c r="U218" i="13" s="1"/>
  <c r="L218" i="13"/>
  <c r="V218" i="13" s="1"/>
  <c r="AG218" i="13"/>
  <c r="AH218" i="13" s="1"/>
  <c r="L218" i="3"/>
  <c r="V218" i="3" s="1"/>
  <c r="M218" i="3"/>
  <c r="N218" i="3"/>
  <c r="W218" i="3" s="1"/>
  <c r="K218" i="3"/>
  <c r="U218" i="3" s="1"/>
  <c r="AG218" i="3"/>
  <c r="AH218" i="3" s="1"/>
  <c r="X218" i="13" l="1"/>
  <c r="AI218" i="13"/>
  <c r="AI218" i="3"/>
  <c r="X218" i="3"/>
  <c r="AJ218" i="3" l="1"/>
  <c r="AK218" i="3" s="1"/>
  <c r="AM218" i="3" s="1"/>
  <c r="AJ218" i="13"/>
  <c r="AK218" i="13" s="1"/>
  <c r="AL218" i="13" s="1"/>
  <c r="AP218" i="13" l="1"/>
  <c r="AL218" i="3"/>
  <c r="AN218" i="3" l="1"/>
  <c r="AP218" i="3"/>
  <c r="AQ218" i="3" s="1"/>
  <c r="AM218" i="13"/>
  <c r="AN218" i="13" l="1"/>
  <c r="AO218" i="13" s="1"/>
  <c r="AQ218" i="13"/>
  <c r="AT218" i="3"/>
  <c r="AU218" i="3" s="1"/>
  <c r="AO218" i="3"/>
  <c r="AS218" i="3" l="1"/>
  <c r="AV218" i="3" s="1"/>
  <c r="I219" i="3" l="1"/>
  <c r="J219" i="3"/>
  <c r="I219" i="13"/>
  <c r="J219" i="13"/>
  <c r="AA219" i="13" l="1"/>
  <c r="AE219" i="13"/>
  <c r="AA219" i="3"/>
  <c r="AE219" i="3"/>
  <c r="M219" i="13"/>
  <c r="N219" i="13"/>
  <c r="W219" i="13" s="1"/>
  <c r="K219" i="13"/>
  <c r="U219" i="13" s="1"/>
  <c r="L219" i="13"/>
  <c r="V219" i="13" s="1"/>
  <c r="AG219" i="13"/>
  <c r="AH219" i="13" s="1"/>
  <c r="M219" i="3"/>
  <c r="N219" i="3"/>
  <c r="W219" i="3" s="1"/>
  <c r="K219" i="3"/>
  <c r="U219" i="3" s="1"/>
  <c r="L219" i="3"/>
  <c r="V219" i="3" s="1"/>
  <c r="AG219" i="3"/>
  <c r="AH219" i="3" s="1"/>
  <c r="X219" i="13" l="1"/>
  <c r="AI219" i="13"/>
  <c r="X219" i="3"/>
  <c r="AI219" i="3"/>
  <c r="AJ219" i="3" l="1"/>
  <c r="AK219" i="3" s="1"/>
  <c r="AM219" i="3" s="1"/>
  <c r="AJ219" i="13"/>
  <c r="AK219" i="13" s="1"/>
  <c r="AL219" i="13" s="1"/>
  <c r="AP219" i="13" l="1"/>
  <c r="AL219" i="3"/>
  <c r="AM219" i="13" l="1"/>
  <c r="AQ219" i="13" s="1"/>
  <c r="AP219" i="3"/>
  <c r="AQ219" i="3" s="1"/>
  <c r="AN219" i="3"/>
  <c r="AT219" i="3" l="1"/>
  <c r="AU219" i="3" s="1"/>
  <c r="AO219" i="3"/>
  <c r="AN219" i="13"/>
  <c r="AO219" i="13" s="1"/>
  <c r="AS219" i="3" l="1"/>
  <c r="AV219" i="3" s="1"/>
  <c r="J220" i="3" l="1"/>
  <c r="I220" i="3"/>
  <c r="I220" i="13"/>
  <c r="J220" i="13"/>
  <c r="AA220" i="13" l="1"/>
  <c r="AE220" i="13"/>
  <c r="AA220" i="3"/>
  <c r="AE220" i="3"/>
  <c r="M220" i="13"/>
  <c r="N220" i="13"/>
  <c r="W220" i="13" s="1"/>
  <c r="K220" i="13"/>
  <c r="U220" i="13" s="1"/>
  <c r="L220" i="13"/>
  <c r="V220" i="13" s="1"/>
  <c r="AG220" i="13"/>
  <c r="AH220" i="13" s="1"/>
  <c r="AG220" i="3"/>
  <c r="AH220" i="3" s="1"/>
  <c r="N220" i="3"/>
  <c r="W220" i="3" s="1"/>
  <c r="K220" i="3"/>
  <c r="U220" i="3" s="1"/>
  <c r="L220" i="3"/>
  <c r="V220" i="3" s="1"/>
  <c r="M220" i="3"/>
  <c r="X220" i="13" l="1"/>
  <c r="AI220" i="13"/>
  <c r="X220" i="3"/>
  <c r="AI220" i="3"/>
  <c r="AJ220" i="3" l="1"/>
  <c r="AK220" i="3" s="1"/>
  <c r="AM220" i="3" s="1"/>
  <c r="AJ220" i="13"/>
  <c r="AK220" i="13" s="1"/>
  <c r="AL220" i="13" s="1"/>
  <c r="AP220" i="13" l="1"/>
  <c r="AL220" i="3"/>
  <c r="AM220" i="13" l="1"/>
  <c r="AQ220" i="13" s="1"/>
  <c r="AP220" i="3"/>
  <c r="AQ220" i="3" s="1"/>
  <c r="AN220" i="3"/>
  <c r="AT220" i="3" l="1"/>
  <c r="AU220" i="3" s="1"/>
  <c r="AO220" i="3"/>
  <c r="AN220" i="13"/>
  <c r="AO220" i="13" s="1"/>
  <c r="AS220" i="3" l="1"/>
  <c r="AV220" i="3" s="1"/>
  <c r="I221" i="3" l="1"/>
  <c r="J221" i="3"/>
  <c r="I221" i="13"/>
  <c r="J221" i="13"/>
  <c r="AA221" i="13" l="1"/>
  <c r="AE221" i="13"/>
  <c r="AA221" i="3"/>
  <c r="AE221" i="3"/>
  <c r="AG221" i="13"/>
  <c r="AH221" i="13" s="1"/>
  <c r="K221" i="3"/>
  <c r="U221" i="3" s="1"/>
  <c r="L221" i="3"/>
  <c r="V221" i="3" s="1"/>
  <c r="M221" i="3"/>
  <c r="N221" i="3"/>
  <c r="W221" i="3" s="1"/>
  <c r="M221" i="13"/>
  <c r="N221" i="13"/>
  <c r="W221" i="13" s="1"/>
  <c r="K221" i="13"/>
  <c r="U221" i="13" s="1"/>
  <c r="L221" i="13"/>
  <c r="V221" i="13" s="1"/>
  <c r="AG221" i="3"/>
  <c r="AH221" i="3" s="1"/>
  <c r="AI221" i="3" l="1"/>
  <c r="X221" i="3"/>
  <c r="X221" i="13"/>
  <c r="AI221" i="13"/>
  <c r="AJ221" i="3" l="1"/>
  <c r="AK221" i="3" s="1"/>
  <c r="AM221" i="3" s="1"/>
  <c r="AJ221" i="13"/>
  <c r="AK221" i="13" s="1"/>
  <c r="AL221" i="13" s="1"/>
  <c r="AP221" i="13" l="1"/>
  <c r="AM221" i="13"/>
  <c r="AN221" i="13" s="1"/>
  <c r="AO221" i="13" s="1"/>
  <c r="X25" i="15" s="1"/>
  <c r="AL221" i="3"/>
  <c r="AQ221" i="13" l="1"/>
  <c r="Y25" i="15" s="1"/>
  <c r="AP221" i="3"/>
  <c r="AQ221" i="3" s="1"/>
  <c r="Y25" i="14" s="1"/>
  <c r="AN221" i="3"/>
  <c r="AT221" i="3" l="1"/>
  <c r="AU221" i="3" s="1"/>
  <c r="AO221" i="3"/>
  <c r="X25" i="14" s="1"/>
  <c r="AS221" i="3" l="1"/>
  <c r="AV221" i="3" s="1"/>
  <c r="J222" i="3" l="1"/>
  <c r="I222" i="3"/>
  <c r="I222" i="13"/>
  <c r="J222" i="13"/>
  <c r="AA222" i="13" l="1"/>
  <c r="AE222" i="13"/>
  <c r="AA222" i="3"/>
  <c r="AE222" i="3"/>
  <c r="AG222" i="13"/>
  <c r="AH222" i="13" s="1"/>
  <c r="M222" i="13"/>
  <c r="N222" i="13"/>
  <c r="W222" i="13" s="1"/>
  <c r="K222" i="13"/>
  <c r="U222" i="13" s="1"/>
  <c r="L222" i="13"/>
  <c r="V222" i="13" s="1"/>
  <c r="AG222" i="3"/>
  <c r="AH222" i="3" s="1"/>
  <c r="L222" i="3"/>
  <c r="V222" i="3" s="1"/>
  <c r="N222" i="3"/>
  <c r="W222" i="3" s="1"/>
  <c r="K222" i="3"/>
  <c r="U222" i="3" s="1"/>
  <c r="M222" i="3"/>
  <c r="AI222" i="3" l="1"/>
  <c r="X222" i="3"/>
  <c r="X222" i="13"/>
  <c r="AI222" i="13"/>
  <c r="AJ222" i="13" l="1"/>
  <c r="AK222" i="13" s="1"/>
  <c r="AL222" i="13" s="1"/>
  <c r="AJ222" i="3"/>
  <c r="AK222" i="3" s="1"/>
  <c r="AM222" i="3" s="1"/>
  <c r="AL222" i="3" l="1"/>
  <c r="AM222" i="13"/>
  <c r="AN222" i="13" s="1"/>
  <c r="AO222" i="13" s="1"/>
  <c r="AP222" i="13"/>
  <c r="AQ222" i="13" s="1"/>
  <c r="AN222" i="3" l="1"/>
  <c r="AP222" i="3"/>
  <c r="AQ222" i="3" s="1"/>
  <c r="AT222" i="3" l="1"/>
  <c r="AU222" i="3" s="1"/>
  <c r="AO222" i="3"/>
  <c r="AS222" i="3" l="1"/>
  <c r="AV222" i="3" s="1"/>
  <c r="I223" i="3" l="1"/>
  <c r="J223" i="3"/>
  <c r="I223" i="13"/>
  <c r="J223" i="13"/>
  <c r="AA223" i="13" l="1"/>
  <c r="AE223" i="13"/>
  <c r="AA223" i="3"/>
  <c r="AE223" i="3"/>
  <c r="M223" i="13"/>
  <c r="N223" i="13"/>
  <c r="W223" i="13" s="1"/>
  <c r="K223" i="13"/>
  <c r="U223" i="13" s="1"/>
  <c r="L223" i="13"/>
  <c r="V223" i="13" s="1"/>
  <c r="AG223" i="13"/>
  <c r="AH223" i="13" s="1"/>
  <c r="M223" i="3"/>
  <c r="K223" i="3"/>
  <c r="U223" i="3" s="1"/>
  <c r="L223" i="3"/>
  <c r="V223" i="3" s="1"/>
  <c r="N223" i="3"/>
  <c r="W223" i="3" s="1"/>
  <c r="AG223" i="3"/>
  <c r="AH223" i="3" s="1"/>
  <c r="X223" i="3" l="1"/>
  <c r="AI223" i="3"/>
  <c r="X223" i="13"/>
  <c r="AI223" i="13"/>
  <c r="AJ223" i="13" l="1"/>
  <c r="AK223" i="13" s="1"/>
  <c r="AL223" i="13" s="1"/>
  <c r="AJ223" i="3"/>
  <c r="AK223" i="3" s="1"/>
  <c r="AM223" i="3" s="1"/>
  <c r="AL223" i="3" l="1"/>
  <c r="AM223" i="13"/>
  <c r="AN223" i="13" s="1"/>
  <c r="AO223" i="13" s="1"/>
  <c r="AP223" i="13"/>
  <c r="AQ223" i="13" s="1"/>
  <c r="AN223" i="3" l="1"/>
  <c r="AP223" i="3"/>
  <c r="AQ223" i="3" s="1"/>
  <c r="AT223" i="3" l="1"/>
  <c r="AU223" i="3" s="1"/>
  <c r="AO223" i="3"/>
  <c r="AS223" i="3" l="1"/>
  <c r="AV223" i="3" s="1"/>
  <c r="J224" i="3" l="1"/>
  <c r="I224" i="3"/>
  <c r="I224" i="13"/>
  <c r="J224" i="13"/>
  <c r="AA224" i="13" l="1"/>
  <c r="AE224" i="13"/>
  <c r="AA224" i="3"/>
  <c r="AE224" i="3"/>
  <c r="M224" i="13"/>
  <c r="N224" i="13"/>
  <c r="W224" i="13" s="1"/>
  <c r="K224" i="13"/>
  <c r="U224" i="13" s="1"/>
  <c r="L224" i="13"/>
  <c r="V224" i="13" s="1"/>
  <c r="AG224" i="3"/>
  <c r="AH224" i="3" s="1"/>
  <c r="AG224" i="13"/>
  <c r="AH224" i="13" s="1"/>
  <c r="N224" i="3"/>
  <c r="W224" i="3" s="1"/>
  <c r="L224" i="3"/>
  <c r="V224" i="3" s="1"/>
  <c r="K224" i="3"/>
  <c r="U224" i="3" s="1"/>
  <c r="M224" i="3"/>
  <c r="X224" i="3" l="1"/>
  <c r="AI224" i="3"/>
  <c r="X224" i="13"/>
  <c r="AI224" i="13"/>
  <c r="AJ224" i="3" l="1"/>
  <c r="AK224" i="3" s="1"/>
  <c r="AM224" i="3" s="1"/>
  <c r="AJ224" i="13"/>
  <c r="AK224" i="13" s="1"/>
  <c r="AL224" i="13" s="1"/>
  <c r="AP224" i="13" l="1"/>
  <c r="AQ224" i="13" s="1"/>
  <c r="AM224" i="13"/>
  <c r="AN224" i="13" s="1"/>
  <c r="AO224" i="13" s="1"/>
  <c r="AL224" i="3"/>
  <c r="AP224" i="3" l="1"/>
  <c r="AQ224" i="3" s="1"/>
  <c r="AN224" i="3"/>
  <c r="AT224" i="3" l="1"/>
  <c r="AU224" i="3" s="1"/>
  <c r="AO224" i="3"/>
  <c r="AS224" i="3" l="1"/>
  <c r="AV224" i="3" s="1"/>
  <c r="I225" i="3" l="1"/>
  <c r="J225" i="3"/>
  <c r="I225" i="13"/>
  <c r="J225" i="13"/>
  <c r="AA225" i="13" l="1"/>
  <c r="AE225" i="13"/>
  <c r="AA225" i="3"/>
  <c r="AE225" i="3"/>
  <c r="AG225" i="3"/>
  <c r="AH225" i="3" s="1"/>
  <c r="M225" i="13"/>
  <c r="N225" i="13"/>
  <c r="W225" i="13" s="1"/>
  <c r="K225" i="13"/>
  <c r="U225" i="13" s="1"/>
  <c r="L225" i="13"/>
  <c r="V225" i="13" s="1"/>
  <c r="K225" i="3"/>
  <c r="U225" i="3" s="1"/>
  <c r="M225" i="3"/>
  <c r="N225" i="3"/>
  <c r="W225" i="3" s="1"/>
  <c r="L225" i="3"/>
  <c r="V225" i="3" s="1"/>
  <c r="AG225" i="13"/>
  <c r="AH225" i="13" s="1"/>
  <c r="X225" i="3" l="1"/>
  <c r="AI225" i="3"/>
  <c r="X225" i="13"/>
  <c r="AI225" i="13"/>
  <c r="AJ225" i="3" l="1"/>
  <c r="AK225" i="3" s="1"/>
  <c r="AM225" i="3" s="1"/>
  <c r="AJ225" i="13"/>
  <c r="AK225" i="13" s="1"/>
  <c r="AL225" i="13" s="1"/>
  <c r="AP225" i="13" l="1"/>
  <c r="AM225" i="13"/>
  <c r="AN225" i="13" s="1"/>
  <c r="AO225" i="13" s="1"/>
  <c r="AL225" i="3"/>
  <c r="AQ225" i="13" l="1"/>
  <c r="AP225" i="3"/>
  <c r="AQ225" i="3" s="1"/>
  <c r="AN225" i="3"/>
  <c r="AT225" i="3" l="1"/>
  <c r="AU225" i="3" s="1"/>
  <c r="AO225" i="3"/>
  <c r="AS225" i="3" l="1"/>
  <c r="AV225" i="3" s="1"/>
  <c r="I226" i="3" l="1"/>
  <c r="J226" i="3"/>
  <c r="I226" i="13"/>
  <c r="J226" i="13"/>
  <c r="AA226" i="13" l="1"/>
  <c r="AE226" i="13"/>
  <c r="AA226" i="3"/>
  <c r="AE226" i="3"/>
  <c r="M226" i="13"/>
  <c r="N226" i="13"/>
  <c r="W226" i="13" s="1"/>
  <c r="K226" i="13"/>
  <c r="U226" i="13" s="1"/>
  <c r="L226" i="13"/>
  <c r="V226" i="13" s="1"/>
  <c r="AG226" i="13"/>
  <c r="AH226" i="13" s="1"/>
  <c r="K226" i="3"/>
  <c r="U226" i="3" s="1"/>
  <c r="L226" i="3"/>
  <c r="V226" i="3" s="1"/>
  <c r="M226" i="3"/>
  <c r="N226" i="3"/>
  <c r="W226" i="3" s="1"/>
  <c r="AG226" i="3"/>
  <c r="AH226" i="3" s="1"/>
  <c r="AI226" i="3" l="1"/>
  <c r="X226" i="3"/>
  <c r="X226" i="13"/>
  <c r="AI226" i="13"/>
  <c r="AJ226" i="13" l="1"/>
  <c r="AK226" i="13" s="1"/>
  <c r="AL226" i="13" s="1"/>
  <c r="AJ226" i="3"/>
  <c r="AK226" i="3" s="1"/>
  <c r="AM226" i="3" s="1"/>
  <c r="AM226" i="13" l="1"/>
  <c r="AN226" i="13" s="1"/>
  <c r="AO226" i="13" s="1"/>
  <c r="AL226" i="3"/>
  <c r="AP226" i="13"/>
  <c r="AQ226" i="13" l="1"/>
  <c r="AN226" i="3"/>
  <c r="AP226" i="3"/>
  <c r="AQ226" i="3" s="1"/>
  <c r="AT226" i="3" l="1"/>
  <c r="AU226" i="3" s="1"/>
  <c r="AO226" i="3"/>
  <c r="AS226" i="3" l="1"/>
  <c r="AV226" i="3" s="1"/>
  <c r="I227" i="3" l="1"/>
  <c r="J227" i="3"/>
  <c r="I227" i="13"/>
  <c r="J227" i="13"/>
  <c r="AA227" i="13" l="1"/>
  <c r="AE227" i="13"/>
  <c r="AA227" i="3"/>
  <c r="AE227" i="3"/>
  <c r="M227" i="13"/>
  <c r="N227" i="13"/>
  <c r="W227" i="13" s="1"/>
  <c r="K227" i="13"/>
  <c r="U227" i="13" s="1"/>
  <c r="L227" i="13"/>
  <c r="V227" i="13" s="1"/>
  <c r="AG227" i="13"/>
  <c r="AH227" i="13" s="1"/>
  <c r="L227" i="3"/>
  <c r="V227" i="3" s="1"/>
  <c r="M227" i="3"/>
  <c r="N227" i="3"/>
  <c r="W227" i="3" s="1"/>
  <c r="K227" i="3"/>
  <c r="U227" i="3" s="1"/>
  <c r="AG227" i="3"/>
  <c r="AH227" i="3" s="1"/>
  <c r="X227" i="13" l="1"/>
  <c r="AI227" i="13"/>
  <c r="AI227" i="3"/>
  <c r="X227" i="3"/>
  <c r="AJ227" i="3" l="1"/>
  <c r="AK227" i="3" s="1"/>
  <c r="AM227" i="3" s="1"/>
  <c r="AJ227" i="13"/>
  <c r="AK227" i="13" s="1"/>
  <c r="AL227" i="13" s="1"/>
  <c r="AP227" i="13" l="1"/>
  <c r="AM227" i="13"/>
  <c r="AN227" i="13" s="1"/>
  <c r="AO227" i="13" s="1"/>
  <c r="AL227" i="3"/>
  <c r="AQ227" i="13" l="1"/>
  <c r="AN227" i="3"/>
  <c r="AP227" i="3"/>
  <c r="AQ227" i="3" s="1"/>
  <c r="AT227" i="3" l="1"/>
  <c r="AU227" i="3" s="1"/>
  <c r="AO227" i="3"/>
  <c r="AS227" i="3" l="1"/>
  <c r="AV227" i="3" s="1"/>
  <c r="I228" i="3" l="1"/>
  <c r="J228" i="3"/>
  <c r="I228" i="13"/>
  <c r="J228" i="13"/>
  <c r="AA228" i="13" l="1"/>
  <c r="AE228" i="13"/>
  <c r="AA228" i="3"/>
  <c r="AE228" i="3"/>
  <c r="M228" i="13"/>
  <c r="N228" i="13"/>
  <c r="W228" i="13" s="1"/>
  <c r="K228" i="13"/>
  <c r="U228" i="13" s="1"/>
  <c r="L228" i="13"/>
  <c r="V228" i="13" s="1"/>
  <c r="AG228" i="13"/>
  <c r="AH228" i="13" s="1"/>
  <c r="M228" i="3"/>
  <c r="N228" i="3"/>
  <c r="W228" i="3" s="1"/>
  <c r="K228" i="3"/>
  <c r="U228" i="3" s="1"/>
  <c r="L228" i="3"/>
  <c r="V228" i="3" s="1"/>
  <c r="AG228" i="3"/>
  <c r="AH228" i="3" s="1"/>
  <c r="X228" i="13" l="1"/>
  <c r="AI228" i="13"/>
  <c r="X228" i="3"/>
  <c r="AI228" i="3"/>
  <c r="AJ228" i="3" l="1"/>
  <c r="AK228" i="3" s="1"/>
  <c r="AM228" i="3" s="1"/>
  <c r="AJ228" i="13"/>
  <c r="AK228" i="13" s="1"/>
  <c r="AL228" i="13" s="1"/>
  <c r="AP228" i="13" l="1"/>
  <c r="AL228" i="3"/>
  <c r="AM228" i="13" l="1"/>
  <c r="AQ228" i="13" s="1"/>
  <c r="AP228" i="3"/>
  <c r="AQ228" i="3" s="1"/>
  <c r="AN228" i="3"/>
  <c r="AT228" i="3" l="1"/>
  <c r="AU228" i="3" s="1"/>
  <c r="AO228" i="3"/>
  <c r="AN228" i="13"/>
  <c r="AO228" i="13" s="1"/>
  <c r="AS228" i="3" l="1"/>
  <c r="AV228" i="3" s="1"/>
  <c r="J229" i="3" l="1"/>
  <c r="I229" i="3"/>
  <c r="I229" i="13"/>
  <c r="J229" i="13"/>
  <c r="AA229" i="13" l="1"/>
  <c r="AE229" i="13"/>
  <c r="AA229" i="3"/>
  <c r="AE229" i="3"/>
  <c r="M229" i="13"/>
  <c r="N229" i="13"/>
  <c r="W229" i="13" s="1"/>
  <c r="K229" i="13"/>
  <c r="U229" i="13" s="1"/>
  <c r="L229" i="13"/>
  <c r="V229" i="13" s="1"/>
  <c r="AG229" i="13"/>
  <c r="AH229" i="13" s="1"/>
  <c r="AG229" i="3"/>
  <c r="AH229" i="3" s="1"/>
  <c r="N229" i="3"/>
  <c r="W229" i="3" s="1"/>
  <c r="K229" i="3"/>
  <c r="U229" i="3" s="1"/>
  <c r="L229" i="3"/>
  <c r="V229" i="3" s="1"/>
  <c r="M229" i="3"/>
  <c r="X229" i="13" l="1"/>
  <c r="AI229" i="13"/>
  <c r="X229" i="3"/>
  <c r="AI229" i="3"/>
  <c r="AJ229" i="13" l="1"/>
  <c r="AK229" i="13" s="1"/>
  <c r="AL229" i="13" s="1"/>
  <c r="AJ229" i="3"/>
  <c r="AK229" i="3" s="1"/>
  <c r="AM229" i="3" s="1"/>
  <c r="AL229" i="3" l="1"/>
  <c r="AP229" i="13"/>
  <c r="AP229" i="3" l="1"/>
  <c r="AQ229" i="3" s="1"/>
  <c r="AN229" i="3"/>
  <c r="AM229" i="13"/>
  <c r="AN229" i="13" l="1"/>
  <c r="AO229" i="13" s="1"/>
  <c r="AT229" i="3"/>
  <c r="AU229" i="3" s="1"/>
  <c r="AO229" i="3"/>
  <c r="AQ229" i="13"/>
  <c r="AS229" i="3" l="1"/>
  <c r="AV229" i="3" s="1"/>
  <c r="I230" i="3" l="1"/>
  <c r="J230" i="3"/>
  <c r="I230" i="13"/>
  <c r="J230" i="13"/>
  <c r="AA230" i="13" l="1"/>
  <c r="AE230" i="13"/>
  <c r="AA230" i="3"/>
  <c r="AE230" i="3"/>
  <c r="M230" i="13"/>
  <c r="N230" i="13"/>
  <c r="W230" i="13" s="1"/>
  <c r="K230" i="13"/>
  <c r="U230" i="13" s="1"/>
  <c r="L230" i="13"/>
  <c r="V230" i="13" s="1"/>
  <c r="AG230" i="13"/>
  <c r="AH230" i="13" s="1"/>
  <c r="K230" i="3"/>
  <c r="U230" i="3" s="1"/>
  <c r="L230" i="3"/>
  <c r="V230" i="3" s="1"/>
  <c r="M230" i="3"/>
  <c r="N230" i="3"/>
  <c r="W230" i="3" s="1"/>
  <c r="AG230" i="3"/>
  <c r="AH230" i="3" s="1"/>
  <c r="AI230" i="3" l="1"/>
  <c r="X230" i="3"/>
  <c r="X230" i="13"/>
  <c r="AI230" i="13"/>
  <c r="AJ230" i="13" l="1"/>
  <c r="AK230" i="13" s="1"/>
  <c r="AL230" i="13" s="1"/>
  <c r="AJ230" i="3"/>
  <c r="AK230" i="3" s="1"/>
  <c r="AM230" i="3" s="1"/>
  <c r="AL230" i="3" l="1"/>
  <c r="AP230" i="13"/>
  <c r="AM230" i="13" l="1"/>
  <c r="AN230" i="3"/>
  <c r="AP230" i="3"/>
  <c r="AQ230" i="3" s="1"/>
  <c r="AT230" i="3" l="1"/>
  <c r="AU230" i="3" s="1"/>
  <c r="AO230" i="3"/>
  <c r="AN230" i="13"/>
  <c r="AO230" i="13" s="1"/>
  <c r="AQ230" i="13"/>
  <c r="AS230" i="3" l="1"/>
  <c r="AV230" i="3" s="1"/>
  <c r="I231" i="3" l="1"/>
  <c r="J231" i="3"/>
  <c r="I231" i="13"/>
  <c r="J231" i="13"/>
  <c r="AA231" i="13" l="1"/>
  <c r="AE231" i="13"/>
  <c r="AA231" i="3"/>
  <c r="AE231" i="3"/>
  <c r="AG231" i="3"/>
  <c r="AH231" i="3" s="1"/>
  <c r="M231" i="13"/>
  <c r="N231" i="13"/>
  <c r="W231" i="13" s="1"/>
  <c r="K231" i="13"/>
  <c r="U231" i="13" s="1"/>
  <c r="L231" i="13"/>
  <c r="V231" i="13" s="1"/>
  <c r="AG231" i="13"/>
  <c r="AH231" i="13" s="1"/>
  <c r="L231" i="3"/>
  <c r="V231" i="3" s="1"/>
  <c r="M231" i="3"/>
  <c r="N231" i="3"/>
  <c r="W231" i="3" s="1"/>
  <c r="K231" i="3"/>
  <c r="U231" i="3" s="1"/>
  <c r="X231" i="13" l="1"/>
  <c r="AI231" i="13"/>
  <c r="AI231" i="3"/>
  <c r="X231" i="3"/>
  <c r="AJ231" i="13" l="1"/>
  <c r="AK231" i="13" s="1"/>
  <c r="AL231" i="13" s="1"/>
  <c r="AJ231" i="3"/>
  <c r="AK231" i="3" s="1"/>
  <c r="AM231" i="3" s="1"/>
  <c r="AP231" i="13" l="1"/>
  <c r="AL231" i="3"/>
  <c r="AN231" i="3" l="1"/>
  <c r="AP231" i="3"/>
  <c r="AQ231" i="3" s="1"/>
  <c r="AM231" i="13"/>
  <c r="AQ231" i="13" s="1"/>
  <c r="AN231" i="13" l="1"/>
  <c r="AO231" i="13" s="1"/>
  <c r="AT231" i="3"/>
  <c r="AU231" i="3" s="1"/>
  <c r="AO231" i="3"/>
  <c r="AS231" i="3" l="1"/>
  <c r="AV231" i="3" s="1"/>
  <c r="I232" i="3" l="1"/>
  <c r="J232" i="3"/>
  <c r="I232" i="13"/>
  <c r="J232" i="13"/>
  <c r="AA232" i="13" l="1"/>
  <c r="AE232" i="13"/>
  <c r="AA232" i="3"/>
  <c r="AE232" i="3"/>
  <c r="AG232" i="3"/>
  <c r="AH232" i="3" s="1"/>
  <c r="M232" i="13"/>
  <c r="N232" i="13"/>
  <c r="W232" i="13" s="1"/>
  <c r="K232" i="13"/>
  <c r="U232" i="13" s="1"/>
  <c r="L232" i="13"/>
  <c r="V232" i="13" s="1"/>
  <c r="AG232" i="13"/>
  <c r="AH232" i="13" s="1"/>
  <c r="M232" i="3"/>
  <c r="N232" i="3"/>
  <c r="W232" i="3" s="1"/>
  <c r="K232" i="3"/>
  <c r="U232" i="3" s="1"/>
  <c r="L232" i="3"/>
  <c r="V232" i="3" s="1"/>
  <c r="X232" i="13" l="1"/>
  <c r="AI232" i="13"/>
  <c r="X232" i="3"/>
  <c r="AI232" i="3"/>
  <c r="AJ232" i="13" l="1"/>
  <c r="AK232" i="13" s="1"/>
  <c r="AL232" i="13" s="1"/>
  <c r="AJ232" i="3"/>
  <c r="AK232" i="3" s="1"/>
  <c r="AM232" i="3" s="1"/>
  <c r="AL232" i="3" l="1"/>
  <c r="AP232" i="13"/>
  <c r="AM232" i="13" l="1"/>
  <c r="AP232" i="3"/>
  <c r="AQ232" i="3" s="1"/>
  <c r="AN232" i="3"/>
  <c r="AN232" i="13" l="1"/>
  <c r="AO232" i="13" s="1"/>
  <c r="AT232" i="3"/>
  <c r="AU232" i="3" s="1"/>
  <c r="AO232" i="3"/>
  <c r="AQ232" i="13"/>
  <c r="AS232" i="3" l="1"/>
  <c r="AV232" i="3" s="1"/>
  <c r="J233" i="3" l="1"/>
  <c r="I233" i="3"/>
  <c r="I233" i="13"/>
  <c r="J233" i="13"/>
  <c r="AA233" i="13" l="1"/>
  <c r="AE233" i="13"/>
  <c r="AA233" i="3"/>
  <c r="AE233" i="3"/>
  <c r="N233" i="3"/>
  <c r="W233" i="3" s="1"/>
  <c r="K233" i="3"/>
  <c r="U233" i="3" s="1"/>
  <c r="L233" i="3"/>
  <c r="V233" i="3" s="1"/>
  <c r="M233" i="3"/>
  <c r="M233" i="13"/>
  <c r="N233" i="13"/>
  <c r="W233" i="13" s="1"/>
  <c r="K233" i="13"/>
  <c r="U233" i="13" s="1"/>
  <c r="L233" i="13"/>
  <c r="V233" i="13" s="1"/>
  <c r="AG233" i="13"/>
  <c r="AH233" i="13" s="1"/>
  <c r="AG233" i="3"/>
  <c r="AH233" i="3" s="1"/>
  <c r="X233" i="13" l="1"/>
  <c r="AI233" i="13"/>
  <c r="X233" i="3"/>
  <c r="AI233" i="3"/>
  <c r="AJ233" i="3" l="1"/>
  <c r="AK233" i="3" s="1"/>
  <c r="AM233" i="3" s="1"/>
  <c r="AJ233" i="13"/>
  <c r="AK233" i="13" s="1"/>
  <c r="AL233" i="13" s="1"/>
  <c r="AP233" i="13" l="1"/>
  <c r="AQ233" i="13" s="1"/>
  <c r="Y26" i="15" s="1"/>
  <c r="AM233" i="13"/>
  <c r="AN233" i="13" s="1"/>
  <c r="AO233" i="13" s="1"/>
  <c r="X26" i="15" s="1"/>
  <c r="AL233" i="3"/>
  <c r="AP233" i="3" l="1"/>
  <c r="AQ233" i="3" s="1"/>
  <c r="Y26" i="14" s="1"/>
  <c r="AN233" i="3"/>
  <c r="AT233" i="3" l="1"/>
  <c r="AU233" i="3" s="1"/>
  <c r="AO233" i="3"/>
  <c r="X26" i="14" s="1"/>
  <c r="AS233" i="3" l="1"/>
  <c r="AV233" i="3" s="1"/>
  <c r="I234" i="3" l="1"/>
  <c r="J234" i="3"/>
  <c r="I234" i="13"/>
  <c r="J234" i="13"/>
  <c r="AA234" i="13" l="1"/>
  <c r="AE234" i="13"/>
  <c r="AA234" i="3"/>
  <c r="AE234" i="3"/>
  <c r="M234" i="13"/>
  <c r="N234" i="13"/>
  <c r="W234" i="13" s="1"/>
  <c r="K234" i="13"/>
  <c r="U234" i="13" s="1"/>
  <c r="L234" i="13"/>
  <c r="V234" i="13" s="1"/>
  <c r="K234" i="3"/>
  <c r="U234" i="3" s="1"/>
  <c r="L234" i="3"/>
  <c r="V234" i="3" s="1"/>
  <c r="M234" i="3"/>
  <c r="N234" i="3"/>
  <c r="W234" i="3" s="1"/>
  <c r="AG234" i="13"/>
  <c r="AH234" i="13" s="1"/>
  <c r="AG234" i="3"/>
  <c r="AH234" i="3" s="1"/>
  <c r="X234" i="13" l="1"/>
  <c r="AI234" i="13"/>
  <c r="AI234" i="3"/>
  <c r="X234" i="3"/>
  <c r="AJ234" i="13" l="1"/>
  <c r="AK234" i="13" s="1"/>
  <c r="AL234" i="13" s="1"/>
  <c r="AJ234" i="3"/>
  <c r="AK234" i="3" s="1"/>
  <c r="AM234" i="3" s="1"/>
  <c r="AL234" i="3" l="1"/>
  <c r="AM234" i="13"/>
  <c r="AN234" i="13" s="1"/>
  <c r="AO234" i="13" s="1"/>
  <c r="AP234" i="13"/>
  <c r="AQ234" i="13" s="1"/>
  <c r="AN234" i="3" l="1"/>
  <c r="AP234" i="3"/>
  <c r="AQ234" i="3" s="1"/>
  <c r="AT234" i="3" l="1"/>
  <c r="AU234" i="3" s="1"/>
  <c r="AO234" i="3"/>
  <c r="AS234" i="3" l="1"/>
  <c r="AV234" i="3" s="1"/>
  <c r="I235" i="3" l="1"/>
  <c r="J235" i="3"/>
  <c r="I235" i="13"/>
  <c r="J235" i="13"/>
  <c r="AA235" i="13" l="1"/>
  <c r="AE235" i="13"/>
  <c r="AA235" i="3"/>
  <c r="AE235" i="3"/>
  <c r="M235" i="13"/>
  <c r="N235" i="13"/>
  <c r="W235" i="13" s="1"/>
  <c r="K235" i="13"/>
  <c r="U235" i="13" s="1"/>
  <c r="L235" i="13"/>
  <c r="V235" i="13" s="1"/>
  <c r="AG235" i="13"/>
  <c r="AH235" i="13" s="1"/>
  <c r="L235" i="3"/>
  <c r="V235" i="3" s="1"/>
  <c r="M235" i="3"/>
  <c r="N235" i="3"/>
  <c r="W235" i="3" s="1"/>
  <c r="K235" i="3"/>
  <c r="U235" i="3" s="1"/>
  <c r="AG235" i="3"/>
  <c r="AH235" i="3" s="1"/>
  <c r="AI235" i="3" l="1"/>
  <c r="X235" i="3"/>
  <c r="X235" i="13"/>
  <c r="AI235" i="13"/>
  <c r="AJ235" i="13" l="1"/>
  <c r="AK235" i="13" s="1"/>
  <c r="AL235" i="13" s="1"/>
  <c r="AJ235" i="3"/>
  <c r="AK235" i="3" s="1"/>
  <c r="AM235" i="3" s="1"/>
  <c r="AM235" i="13" l="1"/>
  <c r="AN235" i="13" s="1"/>
  <c r="AO235" i="13" s="1"/>
  <c r="AL235" i="3"/>
  <c r="AP235" i="13"/>
  <c r="AQ235" i="13" s="1"/>
  <c r="AN235" i="3" l="1"/>
  <c r="AP235" i="3"/>
  <c r="AQ235" i="3" s="1"/>
  <c r="AT235" i="3" l="1"/>
  <c r="AU235" i="3" s="1"/>
  <c r="AO235" i="3"/>
  <c r="AS235" i="3" l="1"/>
  <c r="AV235" i="3" s="1"/>
  <c r="I236" i="3" l="1"/>
  <c r="J236" i="3"/>
  <c r="I236" i="13"/>
  <c r="J236" i="13"/>
  <c r="AA236" i="13" l="1"/>
  <c r="AE236" i="13"/>
  <c r="AA236" i="3"/>
  <c r="AE236" i="3"/>
  <c r="AG236" i="3"/>
  <c r="AH236" i="3" s="1"/>
  <c r="M236" i="13"/>
  <c r="N236" i="13"/>
  <c r="W236" i="13" s="1"/>
  <c r="K236" i="13"/>
  <c r="U236" i="13" s="1"/>
  <c r="L236" i="13"/>
  <c r="V236" i="13" s="1"/>
  <c r="AG236" i="13"/>
  <c r="AH236" i="13" s="1"/>
  <c r="M236" i="3"/>
  <c r="N236" i="3"/>
  <c r="W236" i="3" s="1"/>
  <c r="K236" i="3"/>
  <c r="U236" i="3" s="1"/>
  <c r="L236" i="3"/>
  <c r="V236" i="3" s="1"/>
  <c r="X236" i="3" l="1"/>
  <c r="AI236" i="3"/>
  <c r="X236" i="13"/>
  <c r="AI236" i="13"/>
  <c r="AJ236" i="3" l="1"/>
  <c r="AK236" i="3" s="1"/>
  <c r="AM236" i="3" s="1"/>
  <c r="AJ236" i="13"/>
  <c r="AK236" i="13" s="1"/>
  <c r="AL236" i="13" s="1"/>
  <c r="AP236" i="13" l="1"/>
  <c r="AM236" i="13"/>
  <c r="AN236" i="13" s="1"/>
  <c r="AO236" i="13" s="1"/>
  <c r="AL236" i="3"/>
  <c r="AQ236" i="13" l="1"/>
  <c r="AP236" i="3"/>
  <c r="AQ236" i="3" s="1"/>
  <c r="AN236" i="3"/>
  <c r="AT236" i="3" l="1"/>
  <c r="AU236" i="3" s="1"/>
  <c r="AO236" i="3"/>
  <c r="AS236" i="3" l="1"/>
  <c r="AV236" i="3" s="1"/>
  <c r="J237" i="3" l="1"/>
  <c r="I237" i="3"/>
  <c r="I237" i="13"/>
  <c r="J237" i="13"/>
  <c r="AA237" i="13" l="1"/>
  <c r="AE237" i="13"/>
  <c r="AA237" i="3"/>
  <c r="AE237" i="3"/>
  <c r="N237" i="3"/>
  <c r="W237" i="3" s="1"/>
  <c r="K237" i="3"/>
  <c r="U237" i="3" s="1"/>
  <c r="L237" i="3"/>
  <c r="V237" i="3" s="1"/>
  <c r="M237" i="3"/>
  <c r="M237" i="13"/>
  <c r="N237" i="13"/>
  <c r="W237" i="13" s="1"/>
  <c r="K237" i="13"/>
  <c r="U237" i="13" s="1"/>
  <c r="L237" i="13"/>
  <c r="V237" i="13" s="1"/>
  <c r="AG237" i="3"/>
  <c r="AH237" i="3" s="1"/>
  <c r="AG237" i="13"/>
  <c r="AH237" i="13" s="1"/>
  <c r="X237" i="3" l="1"/>
  <c r="AI237" i="3"/>
  <c r="X237" i="13"/>
  <c r="AI237" i="13"/>
  <c r="AJ237" i="13" l="1"/>
  <c r="AK237" i="13" s="1"/>
  <c r="AL237" i="13" s="1"/>
  <c r="AJ237" i="3"/>
  <c r="AK237" i="3" s="1"/>
  <c r="AM237" i="3" s="1"/>
  <c r="AP237" i="13" l="1"/>
  <c r="AQ237" i="13" s="1"/>
  <c r="AM237" i="13"/>
  <c r="AN237" i="13" s="1"/>
  <c r="AO237" i="13" s="1"/>
  <c r="AL237" i="3"/>
  <c r="AP237" i="3" l="1"/>
  <c r="AQ237" i="3" s="1"/>
  <c r="AN237" i="3"/>
  <c r="AT237" i="3" l="1"/>
  <c r="AU237" i="3" s="1"/>
  <c r="AO237" i="3"/>
  <c r="AS237" i="3" l="1"/>
  <c r="AV237" i="3" s="1"/>
  <c r="I238" i="3" l="1"/>
  <c r="J238" i="3"/>
  <c r="I238" i="13"/>
  <c r="J238" i="13"/>
  <c r="AA238" i="13" l="1"/>
  <c r="AE238" i="13"/>
  <c r="AA238" i="3"/>
  <c r="AE238" i="3"/>
  <c r="AG238" i="3"/>
  <c r="AH238" i="3" s="1"/>
  <c r="M238" i="13"/>
  <c r="K238" i="13"/>
  <c r="U238" i="13" s="1"/>
  <c r="L238" i="13"/>
  <c r="V238" i="13" s="1"/>
  <c r="N238" i="13"/>
  <c r="W238" i="13" s="1"/>
  <c r="K238" i="3"/>
  <c r="U238" i="3" s="1"/>
  <c r="L238" i="3"/>
  <c r="V238" i="3" s="1"/>
  <c r="M238" i="3"/>
  <c r="N238" i="3"/>
  <c r="W238" i="3" s="1"/>
  <c r="AG238" i="13"/>
  <c r="AH238" i="13" s="1"/>
  <c r="X238" i="13" l="1"/>
  <c r="AI238" i="13"/>
  <c r="AI238" i="3"/>
  <c r="X238" i="3"/>
  <c r="AJ238" i="3" l="1"/>
  <c r="AK238" i="3" s="1"/>
  <c r="AM238" i="3" s="1"/>
  <c r="AJ238" i="13"/>
  <c r="AK238" i="13" s="1"/>
  <c r="AL238" i="13" s="1"/>
  <c r="AM238" i="13" l="1"/>
  <c r="AN238" i="13" s="1"/>
  <c r="AO238" i="13" s="1"/>
  <c r="AL238" i="3"/>
  <c r="AP238" i="13"/>
  <c r="AQ238" i="13" s="1"/>
  <c r="AN238" i="3" l="1"/>
  <c r="AO238" i="3" s="1"/>
  <c r="AP238" i="3"/>
  <c r="AQ238" i="3" s="1"/>
  <c r="AT238" i="3"/>
  <c r="AU238" i="3" s="1"/>
  <c r="AS238" i="3" l="1"/>
  <c r="AV238" i="3" s="1"/>
  <c r="I239" i="3" l="1"/>
  <c r="J239" i="3"/>
  <c r="I239" i="13"/>
  <c r="J239" i="13"/>
  <c r="AA239" i="13" l="1"/>
  <c r="AE239" i="13"/>
  <c r="AA239" i="3"/>
  <c r="AE239" i="3"/>
  <c r="M239" i="13"/>
  <c r="K239" i="13"/>
  <c r="U239" i="13" s="1"/>
  <c r="L239" i="13"/>
  <c r="V239" i="13" s="1"/>
  <c r="N239" i="13"/>
  <c r="W239" i="13" s="1"/>
  <c r="AG239" i="13"/>
  <c r="AH239" i="13" s="1"/>
  <c r="L239" i="3"/>
  <c r="V239" i="3" s="1"/>
  <c r="M239" i="3"/>
  <c r="N239" i="3"/>
  <c r="W239" i="3" s="1"/>
  <c r="K239" i="3"/>
  <c r="U239" i="3" s="1"/>
  <c r="AG239" i="3"/>
  <c r="AH239" i="3" s="1"/>
  <c r="AI239" i="3" l="1"/>
  <c r="X239" i="3"/>
  <c r="AI239" i="13"/>
  <c r="X239" i="13"/>
  <c r="AJ239" i="3" l="1"/>
  <c r="AK239" i="3" s="1"/>
  <c r="AM239" i="3" s="1"/>
  <c r="AJ239" i="13"/>
  <c r="AK239" i="13" s="1"/>
  <c r="AL239" i="13" s="1"/>
  <c r="AM239" i="13" l="1"/>
  <c r="AN239" i="13" s="1"/>
  <c r="AO239" i="13" s="1"/>
  <c r="AL239" i="3"/>
  <c r="AP239" i="13"/>
  <c r="AQ239" i="13" l="1"/>
  <c r="AN239" i="3"/>
  <c r="AP239" i="3"/>
  <c r="AQ239" i="3" s="1"/>
  <c r="AT239" i="3" l="1"/>
  <c r="AU239" i="3" s="1"/>
  <c r="AO239" i="3"/>
  <c r="AS239" i="3" l="1"/>
  <c r="AV239" i="3" s="1"/>
  <c r="I240" i="3" l="1"/>
  <c r="J240" i="3"/>
  <c r="I240" i="13"/>
  <c r="J240" i="13"/>
  <c r="AA240" i="13" l="1"/>
  <c r="AE240" i="13"/>
  <c r="AA240" i="3"/>
  <c r="AE240" i="3"/>
  <c r="AG240" i="3"/>
  <c r="AH240" i="3" s="1"/>
  <c r="M240" i="13"/>
  <c r="K240" i="13"/>
  <c r="U240" i="13" s="1"/>
  <c r="L240" i="13"/>
  <c r="V240" i="13" s="1"/>
  <c r="N240" i="13"/>
  <c r="W240" i="13" s="1"/>
  <c r="M240" i="3"/>
  <c r="N240" i="3"/>
  <c r="W240" i="3" s="1"/>
  <c r="K240" i="3"/>
  <c r="U240" i="3" s="1"/>
  <c r="L240" i="3"/>
  <c r="V240" i="3" s="1"/>
  <c r="AG240" i="13"/>
  <c r="AH240" i="13" s="1"/>
  <c r="X240" i="3" l="1"/>
  <c r="AI240" i="3"/>
  <c r="X240" i="13"/>
  <c r="AI240" i="13"/>
  <c r="AJ240" i="13" l="1"/>
  <c r="AK240" i="13" s="1"/>
  <c r="AL240" i="13" s="1"/>
  <c r="AJ240" i="3"/>
  <c r="AK240" i="3" s="1"/>
  <c r="AM240" i="3" s="1"/>
  <c r="AP240" i="13" l="1"/>
  <c r="AL240" i="3"/>
  <c r="AM240" i="13" l="1"/>
  <c r="AQ240" i="13" s="1"/>
  <c r="AP240" i="3"/>
  <c r="AQ240" i="3" s="1"/>
  <c r="AN240" i="3"/>
  <c r="AT240" i="3" l="1"/>
  <c r="AU240" i="3" s="1"/>
  <c r="AO240" i="3"/>
  <c r="AN240" i="13"/>
  <c r="AO240" i="13" s="1"/>
  <c r="AS240" i="3" l="1"/>
  <c r="AV240" i="3" s="1"/>
  <c r="J241" i="3" l="1"/>
  <c r="I241" i="3"/>
  <c r="I241" i="13"/>
  <c r="J241" i="13"/>
  <c r="AA241" i="13" l="1"/>
  <c r="AE241" i="13"/>
  <c r="AA241" i="3"/>
  <c r="AE241" i="3"/>
  <c r="M241" i="13"/>
  <c r="K241" i="13"/>
  <c r="U241" i="13" s="1"/>
  <c r="L241" i="13"/>
  <c r="V241" i="13" s="1"/>
  <c r="N241" i="13"/>
  <c r="W241" i="13" s="1"/>
  <c r="AG241" i="3"/>
  <c r="AH241" i="3" s="1"/>
  <c r="AG241" i="13"/>
  <c r="AH241" i="13" s="1"/>
  <c r="N241" i="3"/>
  <c r="W241" i="3" s="1"/>
  <c r="K241" i="3"/>
  <c r="U241" i="3" s="1"/>
  <c r="L241" i="3"/>
  <c r="V241" i="3" s="1"/>
  <c r="M241" i="3"/>
  <c r="X241" i="3" l="1"/>
  <c r="AI241" i="3"/>
  <c r="AI241" i="13"/>
  <c r="X241" i="13"/>
  <c r="AJ241" i="13" l="1"/>
  <c r="AK241" i="13" s="1"/>
  <c r="AL241" i="13" s="1"/>
  <c r="AJ241" i="3"/>
  <c r="AK241" i="3" s="1"/>
  <c r="AM241" i="3" s="1"/>
  <c r="AL241" i="3" l="1"/>
  <c r="AP241" i="13"/>
  <c r="AP241" i="3" l="1"/>
  <c r="AQ241" i="3" s="1"/>
  <c r="AN241" i="3"/>
  <c r="AM241" i="13"/>
  <c r="AN241" i="13" l="1"/>
  <c r="AO241" i="13" s="1"/>
  <c r="AT241" i="3"/>
  <c r="AU241" i="3" s="1"/>
  <c r="AO241" i="3"/>
  <c r="AQ241" i="13"/>
  <c r="AS241" i="3" l="1"/>
  <c r="AV241" i="3" s="1"/>
  <c r="I242" i="3" l="1"/>
  <c r="J242" i="3"/>
  <c r="I242" i="13"/>
  <c r="J242" i="13"/>
  <c r="AA242" i="13" l="1"/>
  <c r="AE242" i="13"/>
  <c r="AA242" i="3"/>
  <c r="AE242" i="3"/>
  <c r="M242" i="13"/>
  <c r="K242" i="13"/>
  <c r="U242" i="13" s="1"/>
  <c r="L242" i="13"/>
  <c r="V242" i="13" s="1"/>
  <c r="N242" i="13"/>
  <c r="W242" i="13" s="1"/>
  <c r="AG242" i="13"/>
  <c r="AH242" i="13" s="1"/>
  <c r="K242" i="3"/>
  <c r="U242" i="3" s="1"/>
  <c r="L242" i="3"/>
  <c r="V242" i="3" s="1"/>
  <c r="M242" i="3"/>
  <c r="N242" i="3"/>
  <c r="W242" i="3" s="1"/>
  <c r="AG242" i="3"/>
  <c r="AH242" i="3" s="1"/>
  <c r="AI242" i="3" l="1"/>
  <c r="X242" i="3"/>
  <c r="X242" i="13"/>
  <c r="AI242" i="13"/>
  <c r="AJ242" i="13" l="1"/>
  <c r="AK242" i="13" s="1"/>
  <c r="AL242" i="13" s="1"/>
  <c r="AJ242" i="3"/>
  <c r="AK242" i="3" s="1"/>
  <c r="AM242" i="3" s="1"/>
  <c r="AL242" i="3" l="1"/>
  <c r="AP242" i="13"/>
  <c r="AM242" i="13" l="1"/>
  <c r="AN242" i="3"/>
  <c r="AP242" i="3"/>
  <c r="AQ242" i="3" s="1"/>
  <c r="AT242" i="3" l="1"/>
  <c r="AU242" i="3" s="1"/>
  <c r="AO242" i="3"/>
  <c r="AN242" i="13"/>
  <c r="AO242" i="13" s="1"/>
  <c r="AQ242" i="13"/>
  <c r="AS242" i="3" l="1"/>
  <c r="AV242" i="3" s="1"/>
  <c r="I243" i="3" l="1"/>
  <c r="J243" i="3"/>
  <c r="I243" i="13"/>
  <c r="J243" i="13"/>
  <c r="AA243" i="13" l="1"/>
  <c r="AE243" i="13"/>
  <c r="AA243" i="3"/>
  <c r="AE243" i="3"/>
  <c r="M243" i="13"/>
  <c r="K243" i="13"/>
  <c r="U243" i="13" s="1"/>
  <c r="L243" i="13"/>
  <c r="V243" i="13" s="1"/>
  <c r="N243" i="13"/>
  <c r="W243" i="13" s="1"/>
  <c r="AG243" i="13"/>
  <c r="AH243" i="13" s="1"/>
  <c r="L243" i="3"/>
  <c r="V243" i="3" s="1"/>
  <c r="M243" i="3"/>
  <c r="N243" i="3"/>
  <c r="W243" i="3" s="1"/>
  <c r="K243" i="3"/>
  <c r="U243" i="3" s="1"/>
  <c r="AG243" i="3"/>
  <c r="AH243" i="3" s="1"/>
  <c r="AI243" i="3" l="1"/>
  <c r="X243" i="3"/>
  <c r="AI243" i="13"/>
  <c r="X243" i="13"/>
  <c r="AJ243" i="3" l="1"/>
  <c r="AK243" i="3" s="1"/>
  <c r="AM243" i="3" s="1"/>
  <c r="AJ243" i="13"/>
  <c r="AK243" i="13" s="1"/>
  <c r="AL243" i="13" s="1"/>
  <c r="AP243" i="13" l="1"/>
  <c r="AL243" i="3"/>
  <c r="AM243" i="13" l="1"/>
  <c r="AQ243" i="13" s="1"/>
  <c r="AN243" i="3"/>
  <c r="AP243" i="3"/>
  <c r="AQ243" i="3" s="1"/>
  <c r="AT243" i="3" l="1"/>
  <c r="AU243" i="3" s="1"/>
  <c r="AO243" i="3"/>
  <c r="AN243" i="13"/>
  <c r="AO243" i="13" s="1"/>
  <c r="AS243" i="3" l="1"/>
  <c r="AV243" i="3" s="1"/>
  <c r="I244" i="3" l="1"/>
  <c r="J244" i="3"/>
  <c r="I244" i="13"/>
  <c r="J244" i="13"/>
  <c r="AA244" i="13" l="1"/>
  <c r="AE244" i="13"/>
  <c r="AA244" i="3"/>
  <c r="AE244" i="3"/>
  <c r="AG244" i="3"/>
  <c r="AH244" i="3" s="1"/>
  <c r="M244" i="13"/>
  <c r="K244" i="13"/>
  <c r="U244" i="13" s="1"/>
  <c r="L244" i="13"/>
  <c r="V244" i="13" s="1"/>
  <c r="N244" i="13"/>
  <c r="W244" i="13" s="1"/>
  <c r="M244" i="3"/>
  <c r="N244" i="3"/>
  <c r="W244" i="3" s="1"/>
  <c r="K244" i="3"/>
  <c r="U244" i="3" s="1"/>
  <c r="L244" i="3"/>
  <c r="V244" i="3" s="1"/>
  <c r="AG244" i="13"/>
  <c r="AH244" i="13" s="1"/>
  <c r="X244" i="3" l="1"/>
  <c r="AI244" i="3"/>
  <c r="X244" i="13"/>
  <c r="AI244" i="13"/>
  <c r="AJ244" i="13" l="1"/>
  <c r="AK244" i="13" s="1"/>
  <c r="AL244" i="13" s="1"/>
  <c r="AJ244" i="3"/>
  <c r="AK244" i="3" s="1"/>
  <c r="AM244" i="3" s="1"/>
  <c r="AL244" i="3" l="1"/>
  <c r="AP244" i="13"/>
  <c r="AM244" i="13" l="1"/>
  <c r="AP244" i="3"/>
  <c r="AQ244" i="3" s="1"/>
  <c r="AN244" i="3"/>
  <c r="AT244" i="3" l="1"/>
  <c r="AU244" i="3" s="1"/>
  <c r="AO244" i="3"/>
  <c r="AN244" i="13"/>
  <c r="AO244" i="13" s="1"/>
  <c r="AQ244" i="13"/>
  <c r="AS244" i="3" l="1"/>
  <c r="AV244" i="3" s="1"/>
  <c r="J245" i="3" l="1"/>
  <c r="I245" i="3"/>
  <c r="I245" i="13"/>
  <c r="J245" i="13"/>
  <c r="AA245" i="13" l="1"/>
  <c r="AE245" i="13"/>
  <c r="AA245" i="3"/>
  <c r="AE245" i="3"/>
  <c r="AG245" i="13"/>
  <c r="AH245" i="13" s="1"/>
  <c r="M245" i="13"/>
  <c r="K245" i="13"/>
  <c r="U245" i="13" s="1"/>
  <c r="L245" i="13"/>
  <c r="V245" i="13" s="1"/>
  <c r="N245" i="13"/>
  <c r="W245" i="13" s="1"/>
  <c r="AG245" i="3"/>
  <c r="AH245" i="3" s="1"/>
  <c r="N245" i="3"/>
  <c r="W245" i="3" s="1"/>
  <c r="K245" i="3"/>
  <c r="U245" i="3" s="1"/>
  <c r="L245" i="3"/>
  <c r="V245" i="3" s="1"/>
  <c r="M245" i="3"/>
  <c r="AI245" i="13" l="1"/>
  <c r="X245" i="13"/>
  <c r="X245" i="3"/>
  <c r="AI245" i="3"/>
  <c r="AJ245" i="13" l="1"/>
  <c r="AK245" i="13" s="1"/>
  <c r="AL245" i="13" s="1"/>
  <c r="AJ245" i="3"/>
  <c r="AK245" i="3" s="1"/>
  <c r="AM245" i="3" s="1"/>
  <c r="AM245" i="13" l="1"/>
  <c r="AN245" i="13" s="1"/>
  <c r="AO245" i="13" s="1"/>
  <c r="X27" i="15" s="1"/>
  <c r="AL245" i="3"/>
  <c r="AP245" i="13"/>
  <c r="AQ245" i="13" s="1"/>
  <c r="Y27" i="15" s="1"/>
  <c r="AP245" i="3" l="1"/>
  <c r="AQ245" i="3" s="1"/>
  <c r="Y27" i="14" s="1"/>
  <c r="AN245" i="3"/>
  <c r="AT245" i="3" l="1"/>
  <c r="AU245" i="3" s="1"/>
  <c r="AO245" i="3"/>
  <c r="X27" i="14" s="1"/>
  <c r="AS245" i="3" l="1"/>
  <c r="AV245" i="3" s="1"/>
  <c r="I246" i="3" l="1"/>
  <c r="J246" i="3"/>
  <c r="I246" i="13"/>
  <c r="J246" i="13"/>
  <c r="AA246" i="13" l="1"/>
  <c r="AE246" i="13"/>
  <c r="AA246" i="3"/>
  <c r="AE246" i="3"/>
  <c r="AG246" i="3"/>
  <c r="AH246" i="3" s="1"/>
  <c r="M246" i="13"/>
  <c r="K246" i="13"/>
  <c r="U246" i="13" s="1"/>
  <c r="L246" i="13"/>
  <c r="V246" i="13" s="1"/>
  <c r="N246" i="13"/>
  <c r="W246" i="13" s="1"/>
  <c r="AG246" i="13"/>
  <c r="AH246" i="13" s="1"/>
  <c r="K246" i="3"/>
  <c r="U246" i="3" s="1"/>
  <c r="L246" i="3"/>
  <c r="V246" i="3" s="1"/>
  <c r="M246" i="3"/>
  <c r="N246" i="3"/>
  <c r="W246" i="3" s="1"/>
  <c r="X246" i="13" l="1"/>
  <c r="AI246" i="13"/>
  <c r="AI246" i="3"/>
  <c r="X246" i="3"/>
  <c r="AJ246" i="13" l="1"/>
  <c r="AK246" i="13" s="1"/>
  <c r="AL246" i="13" s="1"/>
  <c r="AJ246" i="3"/>
  <c r="AK246" i="3" s="1"/>
  <c r="AM246" i="3" s="1"/>
  <c r="AM246" i="13" l="1"/>
  <c r="AN246" i="13" s="1"/>
  <c r="AO246" i="13" s="1"/>
  <c r="AL246" i="3"/>
  <c r="AP246" i="13"/>
  <c r="AQ246" i="13" l="1"/>
  <c r="AN246" i="3"/>
  <c r="AP246" i="3"/>
  <c r="AQ246" i="3" s="1"/>
  <c r="AT246" i="3" l="1"/>
  <c r="AU246" i="3" s="1"/>
  <c r="AO246" i="3"/>
  <c r="AS246" i="3" l="1"/>
  <c r="AV246" i="3" s="1"/>
  <c r="I247" i="3" l="1"/>
  <c r="J247" i="3"/>
  <c r="I247" i="13"/>
  <c r="J247" i="13"/>
  <c r="AA247" i="13" l="1"/>
  <c r="AE247" i="13"/>
  <c r="AA247" i="3"/>
  <c r="AE247" i="3"/>
  <c r="M247" i="13"/>
  <c r="K247" i="13"/>
  <c r="U247" i="13" s="1"/>
  <c r="L247" i="13"/>
  <c r="V247" i="13" s="1"/>
  <c r="N247" i="13"/>
  <c r="W247" i="13" s="1"/>
  <c r="AG247" i="13"/>
  <c r="AH247" i="13" s="1"/>
  <c r="L247" i="3"/>
  <c r="V247" i="3" s="1"/>
  <c r="M247" i="3"/>
  <c r="N247" i="3"/>
  <c r="W247" i="3" s="1"/>
  <c r="K247" i="3"/>
  <c r="U247" i="3" s="1"/>
  <c r="AG247" i="3"/>
  <c r="AH247" i="3" s="1"/>
  <c r="AI247" i="3" l="1"/>
  <c r="X247" i="3"/>
  <c r="AI247" i="13"/>
  <c r="X247" i="13"/>
  <c r="AJ247" i="13" l="1"/>
  <c r="AK247" i="13" s="1"/>
  <c r="AL247" i="13" s="1"/>
  <c r="AJ247" i="3"/>
  <c r="AK247" i="3" s="1"/>
  <c r="AM247" i="3" s="1"/>
  <c r="AP247" i="13" l="1"/>
  <c r="AQ247" i="13" s="1"/>
  <c r="AL247" i="3"/>
  <c r="AM247" i="13"/>
  <c r="AN247" i="13" s="1"/>
  <c r="AO247" i="13" s="1"/>
  <c r="AN247" i="3" l="1"/>
  <c r="AP247" i="3"/>
  <c r="AQ247" i="3" s="1"/>
  <c r="AT247" i="3" l="1"/>
  <c r="AU247" i="3" s="1"/>
  <c r="AO247" i="3"/>
  <c r="AS247" i="3" l="1"/>
  <c r="AV247" i="3" s="1"/>
  <c r="I248" i="3" l="1"/>
  <c r="J248" i="3"/>
  <c r="I248" i="13"/>
  <c r="J248" i="13"/>
  <c r="AA248" i="13" l="1"/>
  <c r="AE248" i="13"/>
  <c r="AA248" i="3"/>
  <c r="AE248" i="3"/>
  <c r="AG248" i="3"/>
  <c r="AH248" i="3" s="1"/>
  <c r="M248" i="13"/>
  <c r="K248" i="13"/>
  <c r="U248" i="13" s="1"/>
  <c r="L248" i="13"/>
  <c r="V248" i="13" s="1"/>
  <c r="N248" i="13"/>
  <c r="W248" i="13" s="1"/>
  <c r="AG248" i="13"/>
  <c r="AH248" i="13" s="1"/>
  <c r="M248" i="3"/>
  <c r="N248" i="3"/>
  <c r="W248" i="3" s="1"/>
  <c r="K248" i="3"/>
  <c r="U248" i="3" s="1"/>
  <c r="L248" i="3"/>
  <c r="V248" i="3" s="1"/>
  <c r="X248" i="13" l="1"/>
  <c r="AI248" i="13"/>
  <c r="X248" i="3"/>
  <c r="AI248" i="3"/>
  <c r="AJ248" i="3" l="1"/>
  <c r="AK248" i="3" s="1"/>
  <c r="AM248" i="3" s="1"/>
  <c r="AJ248" i="13"/>
  <c r="AK248" i="13" s="1"/>
  <c r="AL248" i="13" s="1"/>
  <c r="AP248" i="13" l="1"/>
  <c r="AM248" i="13"/>
  <c r="AN248" i="13" s="1"/>
  <c r="AO248" i="13" s="1"/>
  <c r="AL248" i="3"/>
  <c r="AQ248" i="13" l="1"/>
  <c r="AP248" i="3"/>
  <c r="AQ248" i="3" s="1"/>
  <c r="AN248" i="3"/>
  <c r="AT248" i="3" l="1"/>
  <c r="AU248" i="3" s="1"/>
  <c r="AO248" i="3"/>
  <c r="AS248" i="3" l="1"/>
  <c r="AV248" i="3" s="1"/>
  <c r="J249" i="3" l="1"/>
  <c r="I249" i="3"/>
  <c r="I249" i="13"/>
  <c r="J249" i="13"/>
  <c r="AA249" i="13" l="1"/>
  <c r="AE249" i="13"/>
  <c r="AA249" i="3"/>
  <c r="AE249" i="3"/>
  <c r="N249" i="3"/>
  <c r="W249" i="3" s="1"/>
  <c r="K249" i="3"/>
  <c r="U249" i="3" s="1"/>
  <c r="L249" i="3"/>
  <c r="V249" i="3" s="1"/>
  <c r="M249" i="3"/>
  <c r="M249" i="13"/>
  <c r="K249" i="13"/>
  <c r="U249" i="13" s="1"/>
  <c r="L249" i="13"/>
  <c r="V249" i="13" s="1"/>
  <c r="N249" i="13"/>
  <c r="W249" i="13" s="1"/>
  <c r="AG249" i="3"/>
  <c r="AH249" i="3" s="1"/>
  <c r="AG249" i="13"/>
  <c r="AH249" i="13" s="1"/>
  <c r="AI249" i="13" l="1"/>
  <c r="X249" i="13"/>
  <c r="X249" i="3"/>
  <c r="AI249" i="3"/>
  <c r="AJ249" i="13" l="1"/>
  <c r="AK249" i="13" s="1"/>
  <c r="AL249" i="13" s="1"/>
  <c r="AJ249" i="3"/>
  <c r="AK249" i="3" s="1"/>
  <c r="AM249" i="3" s="1"/>
  <c r="AP249" i="13" l="1"/>
  <c r="AQ249" i="13" s="1"/>
  <c r="AL249" i="3"/>
  <c r="AM249" i="13"/>
  <c r="AN249" i="13" s="1"/>
  <c r="AO249" i="13" s="1"/>
  <c r="AP249" i="3" l="1"/>
  <c r="AQ249" i="3" s="1"/>
  <c r="AN249" i="3"/>
  <c r="AT249" i="3" l="1"/>
  <c r="AU249" i="3" s="1"/>
  <c r="AO249" i="3"/>
  <c r="AS249" i="3" l="1"/>
  <c r="AV249" i="3" s="1"/>
  <c r="I250" i="3" l="1"/>
  <c r="J250" i="3"/>
  <c r="I250" i="13"/>
  <c r="J250" i="13"/>
  <c r="AA250" i="13" l="1"/>
  <c r="AE250" i="13"/>
  <c r="AA250" i="3"/>
  <c r="AE250" i="3"/>
  <c r="AG250" i="3"/>
  <c r="AH250" i="3" s="1"/>
  <c r="M250" i="13"/>
  <c r="K250" i="13"/>
  <c r="U250" i="13" s="1"/>
  <c r="L250" i="13"/>
  <c r="V250" i="13" s="1"/>
  <c r="N250" i="13"/>
  <c r="W250" i="13" s="1"/>
  <c r="K250" i="3"/>
  <c r="U250" i="3" s="1"/>
  <c r="L250" i="3"/>
  <c r="V250" i="3" s="1"/>
  <c r="M250" i="3"/>
  <c r="N250" i="3"/>
  <c r="W250" i="3" s="1"/>
  <c r="AG250" i="13"/>
  <c r="AH250" i="13" s="1"/>
  <c r="X250" i="13" l="1"/>
  <c r="AI250" i="13"/>
  <c r="AI250" i="3"/>
  <c r="X250" i="3"/>
  <c r="AJ250" i="13" l="1"/>
  <c r="AK250" i="13" s="1"/>
  <c r="AL250" i="13" s="1"/>
  <c r="AJ250" i="3"/>
  <c r="AK250" i="3" s="1"/>
  <c r="AM250" i="3" s="1"/>
  <c r="AP250" i="13" l="1"/>
  <c r="AM250" i="13"/>
  <c r="AN250" i="13" s="1"/>
  <c r="AO250" i="13" s="1"/>
  <c r="AL250" i="3"/>
  <c r="AQ250" i="13" l="1"/>
  <c r="AN250" i="3"/>
  <c r="AP250" i="3"/>
  <c r="AQ250" i="3" s="1"/>
  <c r="AT250" i="3" l="1"/>
  <c r="AU250" i="3" s="1"/>
  <c r="AO250" i="3"/>
  <c r="AS250" i="3" l="1"/>
  <c r="AV250" i="3" s="1"/>
  <c r="I251" i="3" l="1"/>
  <c r="J251" i="3"/>
  <c r="I251" i="13"/>
  <c r="J251" i="13"/>
  <c r="AA251" i="13" l="1"/>
  <c r="AE251" i="13"/>
  <c r="AA251" i="3"/>
  <c r="AE251" i="3"/>
  <c r="AG251" i="3"/>
  <c r="AH251" i="3" s="1"/>
  <c r="M251" i="13"/>
  <c r="K251" i="13"/>
  <c r="U251" i="13" s="1"/>
  <c r="L251" i="13"/>
  <c r="V251" i="13" s="1"/>
  <c r="N251" i="13"/>
  <c r="W251" i="13" s="1"/>
  <c r="AG251" i="13"/>
  <c r="AH251" i="13" s="1"/>
  <c r="L251" i="3"/>
  <c r="V251" i="3" s="1"/>
  <c r="M251" i="3"/>
  <c r="N251" i="3"/>
  <c r="W251" i="3" s="1"/>
  <c r="K251" i="3"/>
  <c r="U251" i="3" s="1"/>
  <c r="AI251" i="3" l="1"/>
  <c r="X251" i="3"/>
  <c r="AI251" i="13"/>
  <c r="X251" i="13"/>
  <c r="AJ251" i="3" l="1"/>
  <c r="AK251" i="3" s="1"/>
  <c r="AM251" i="3" s="1"/>
  <c r="AJ251" i="13"/>
  <c r="AK251" i="13" s="1"/>
  <c r="AL251" i="13" s="1"/>
  <c r="AM251" i="13" l="1"/>
  <c r="AN251" i="13" s="1"/>
  <c r="AO251" i="13" s="1"/>
  <c r="AP251" i="13"/>
  <c r="AL251" i="3"/>
  <c r="AQ251" i="13" l="1"/>
  <c r="AN251" i="3"/>
  <c r="AP251" i="3"/>
  <c r="AQ251" i="3" s="1"/>
  <c r="AT251" i="3" l="1"/>
  <c r="AU251" i="3" s="1"/>
  <c r="AO251" i="3"/>
  <c r="AS251" i="3" l="1"/>
  <c r="AV251" i="3" s="1"/>
  <c r="I252" i="3" l="1"/>
  <c r="J252" i="3"/>
  <c r="I252" i="13"/>
  <c r="J252" i="13"/>
  <c r="AA252" i="13" l="1"/>
  <c r="AE252" i="13"/>
  <c r="AA252" i="3"/>
  <c r="AE252" i="3"/>
  <c r="M252" i="13"/>
  <c r="K252" i="13"/>
  <c r="U252" i="13" s="1"/>
  <c r="L252" i="13"/>
  <c r="V252" i="13" s="1"/>
  <c r="N252" i="13"/>
  <c r="W252" i="13" s="1"/>
  <c r="AG252" i="13"/>
  <c r="AH252" i="13" s="1"/>
  <c r="M252" i="3"/>
  <c r="N252" i="3"/>
  <c r="W252" i="3" s="1"/>
  <c r="K252" i="3"/>
  <c r="U252" i="3" s="1"/>
  <c r="L252" i="3"/>
  <c r="V252" i="3" s="1"/>
  <c r="AG252" i="3"/>
  <c r="AH252" i="3" s="1"/>
  <c r="X252" i="3" l="1"/>
  <c r="AI252" i="3"/>
  <c r="X252" i="13"/>
  <c r="AI252" i="13"/>
  <c r="AJ252" i="3" l="1"/>
  <c r="AK252" i="3" s="1"/>
  <c r="AM252" i="3" s="1"/>
  <c r="AJ252" i="13"/>
  <c r="AK252" i="13" s="1"/>
  <c r="AL252" i="13" s="1"/>
  <c r="AP252" i="13" l="1"/>
  <c r="AL252" i="3"/>
  <c r="AM252" i="13" l="1"/>
  <c r="AQ252" i="13" s="1"/>
  <c r="AP252" i="3"/>
  <c r="AQ252" i="3" s="1"/>
  <c r="AN252" i="3"/>
  <c r="AT252" i="3" l="1"/>
  <c r="AU252" i="3" s="1"/>
  <c r="AO252" i="3"/>
  <c r="AN252" i="13"/>
  <c r="AO252" i="13" s="1"/>
  <c r="AS252" i="3" l="1"/>
  <c r="AV252" i="3" s="1"/>
  <c r="J253" i="3" l="1"/>
  <c r="I253" i="3"/>
  <c r="I253" i="13"/>
  <c r="J253" i="13"/>
  <c r="AA253" i="13" l="1"/>
  <c r="AE253" i="13"/>
  <c r="AA253" i="3"/>
  <c r="AE253" i="3"/>
  <c r="M253" i="13"/>
  <c r="K253" i="13"/>
  <c r="U253" i="13" s="1"/>
  <c r="L253" i="13"/>
  <c r="V253" i="13" s="1"/>
  <c r="N253" i="13"/>
  <c r="W253" i="13" s="1"/>
  <c r="AG253" i="13"/>
  <c r="AH253" i="13" s="1"/>
  <c r="AG253" i="3"/>
  <c r="AH253" i="3" s="1"/>
  <c r="N253" i="3"/>
  <c r="W253" i="3" s="1"/>
  <c r="K253" i="3"/>
  <c r="U253" i="3" s="1"/>
  <c r="L253" i="3"/>
  <c r="V253" i="3" s="1"/>
  <c r="M253" i="3"/>
  <c r="X253" i="3" l="1"/>
  <c r="AI253" i="3"/>
  <c r="AI253" i="13"/>
  <c r="X253" i="13"/>
  <c r="AJ253" i="3" l="1"/>
  <c r="AK253" i="3" s="1"/>
  <c r="AM253" i="3" s="1"/>
  <c r="AJ253" i="13"/>
  <c r="AK253" i="13" s="1"/>
  <c r="AL253" i="13" s="1"/>
  <c r="AP253" i="13" l="1"/>
  <c r="AL253" i="3"/>
  <c r="AP253" i="3" l="1"/>
  <c r="AQ253" i="3" s="1"/>
  <c r="AN253" i="3"/>
  <c r="AM253" i="13"/>
  <c r="AQ253" i="13" s="1"/>
  <c r="AN253" i="13" l="1"/>
  <c r="AO253" i="13" s="1"/>
  <c r="AT253" i="3"/>
  <c r="AU253" i="3" s="1"/>
  <c r="AO253" i="3"/>
  <c r="AS253" i="3" l="1"/>
  <c r="AV253" i="3" s="1"/>
  <c r="I254" i="3" l="1"/>
  <c r="J254" i="3"/>
  <c r="I254" i="13"/>
  <c r="J254" i="13"/>
  <c r="AA254" i="13" l="1"/>
  <c r="AE254" i="13"/>
  <c r="AA254" i="3"/>
  <c r="AE254" i="3"/>
  <c r="M254" i="13"/>
  <c r="K254" i="13"/>
  <c r="U254" i="13" s="1"/>
  <c r="L254" i="13"/>
  <c r="V254" i="13" s="1"/>
  <c r="N254" i="13"/>
  <c r="W254" i="13" s="1"/>
  <c r="AG254" i="13"/>
  <c r="AH254" i="13" s="1"/>
  <c r="K254" i="3"/>
  <c r="U254" i="3" s="1"/>
  <c r="L254" i="3"/>
  <c r="V254" i="3" s="1"/>
  <c r="M254" i="3"/>
  <c r="N254" i="3"/>
  <c r="W254" i="3" s="1"/>
  <c r="AG254" i="3"/>
  <c r="AH254" i="3" s="1"/>
  <c r="AI254" i="3" l="1"/>
  <c r="X254" i="3"/>
  <c r="X254" i="13"/>
  <c r="AI254" i="13"/>
  <c r="AJ254" i="3" l="1"/>
  <c r="AK254" i="3" s="1"/>
  <c r="AM254" i="3" s="1"/>
  <c r="AJ254" i="13"/>
  <c r="AK254" i="13" s="1"/>
  <c r="AL254" i="13" s="1"/>
  <c r="AL254" i="3" l="1"/>
  <c r="AP254" i="13"/>
  <c r="AM254" i="13" l="1"/>
  <c r="AQ254" i="13" s="1"/>
  <c r="AN254" i="3"/>
  <c r="AP254" i="3"/>
  <c r="AQ254" i="3" s="1"/>
  <c r="AT254" i="3" l="1"/>
  <c r="AU254" i="3" s="1"/>
  <c r="AO254" i="3"/>
  <c r="AN254" i="13"/>
  <c r="AO254" i="13" s="1"/>
  <c r="AS254" i="3" l="1"/>
  <c r="AV254" i="3" s="1"/>
  <c r="I255" i="3" l="1"/>
  <c r="J255" i="3"/>
  <c r="I255" i="13"/>
  <c r="J255" i="13"/>
  <c r="AA255" i="13" l="1"/>
  <c r="AE255" i="13"/>
  <c r="AA255" i="3"/>
  <c r="AE255" i="3"/>
  <c r="AG255" i="3"/>
  <c r="AH255" i="3" s="1"/>
  <c r="M255" i="13"/>
  <c r="L255" i="13"/>
  <c r="V255" i="13" s="1"/>
  <c r="N255" i="13"/>
  <c r="W255" i="13" s="1"/>
  <c r="K255" i="13"/>
  <c r="U255" i="13" s="1"/>
  <c r="L255" i="3"/>
  <c r="V255" i="3" s="1"/>
  <c r="M255" i="3"/>
  <c r="N255" i="3"/>
  <c r="W255" i="3" s="1"/>
  <c r="K255" i="3"/>
  <c r="U255" i="3" s="1"/>
  <c r="AG255" i="13"/>
  <c r="AH255" i="13" s="1"/>
  <c r="AI255" i="3" l="1"/>
  <c r="X255" i="3"/>
  <c r="X255" i="13"/>
  <c r="AI255" i="13"/>
  <c r="AJ255" i="13" l="1"/>
  <c r="AK255" i="13" s="1"/>
  <c r="AL255" i="13" s="1"/>
  <c r="AJ255" i="3"/>
  <c r="AK255" i="3" s="1"/>
  <c r="AM255" i="3" s="1"/>
  <c r="AP255" i="13" l="1"/>
  <c r="AL255" i="3"/>
  <c r="AN255" i="3" l="1"/>
  <c r="AP255" i="3"/>
  <c r="AQ255" i="3" s="1"/>
  <c r="AM255" i="13"/>
  <c r="AQ255" i="13" s="1"/>
  <c r="AN255" i="13" l="1"/>
  <c r="AO255" i="13" s="1"/>
  <c r="AT255" i="3"/>
  <c r="AU255" i="3" s="1"/>
  <c r="AO255" i="3"/>
  <c r="AS255" i="3" l="1"/>
  <c r="AV255" i="3" s="1"/>
  <c r="I256" i="3" l="1"/>
  <c r="J256" i="3"/>
  <c r="I256" i="13"/>
  <c r="J256" i="13"/>
  <c r="AA256" i="13" l="1"/>
  <c r="AE256" i="13"/>
  <c r="AA256" i="3"/>
  <c r="AE256" i="3"/>
  <c r="M256" i="3"/>
  <c r="N256" i="3"/>
  <c r="W256" i="3" s="1"/>
  <c r="K256" i="3"/>
  <c r="U256" i="3" s="1"/>
  <c r="L256" i="3"/>
  <c r="V256" i="3" s="1"/>
  <c r="M256" i="13"/>
  <c r="K256" i="13"/>
  <c r="U256" i="13" s="1"/>
  <c r="L256" i="13"/>
  <c r="V256" i="13" s="1"/>
  <c r="N256" i="13"/>
  <c r="W256" i="13" s="1"/>
  <c r="AG256" i="3"/>
  <c r="AH256" i="3" s="1"/>
  <c r="AG256" i="13"/>
  <c r="AH256" i="13" s="1"/>
  <c r="X256" i="13" l="1"/>
  <c r="AI256" i="13"/>
  <c r="X256" i="3"/>
  <c r="AI256" i="3"/>
  <c r="AJ256" i="13" l="1"/>
  <c r="AK256" i="13" s="1"/>
  <c r="AL256" i="13" s="1"/>
  <c r="AJ256" i="3"/>
  <c r="AK256" i="3" s="1"/>
  <c r="AM256" i="3" s="1"/>
  <c r="AL256" i="3" l="1"/>
  <c r="AP256" i="13"/>
  <c r="AP256" i="3" l="1"/>
  <c r="AQ256" i="3" s="1"/>
  <c r="AN256" i="3"/>
  <c r="AM256" i="13"/>
  <c r="AQ256" i="13" s="1"/>
  <c r="AN256" i="13" l="1"/>
  <c r="AO256" i="13" s="1"/>
  <c r="AT256" i="3"/>
  <c r="AU256" i="3" s="1"/>
  <c r="AO256" i="3"/>
  <c r="AS256" i="3" l="1"/>
  <c r="AV256" i="3" s="1"/>
  <c r="J257" i="3" l="1"/>
  <c r="I257" i="3"/>
  <c r="I257" i="13"/>
  <c r="J257" i="13"/>
  <c r="AA257" i="13" l="1"/>
  <c r="AE257" i="13"/>
  <c r="AA257" i="3"/>
  <c r="AE257" i="3"/>
  <c r="N257" i="3"/>
  <c r="W257" i="3" s="1"/>
  <c r="K257" i="3"/>
  <c r="U257" i="3" s="1"/>
  <c r="L257" i="3"/>
  <c r="V257" i="3" s="1"/>
  <c r="M257" i="3"/>
  <c r="M257" i="13"/>
  <c r="K257" i="13"/>
  <c r="U257" i="13" s="1"/>
  <c r="L257" i="13"/>
  <c r="V257" i="13" s="1"/>
  <c r="N257" i="13"/>
  <c r="W257" i="13" s="1"/>
  <c r="AG257" i="3"/>
  <c r="AH257" i="3" s="1"/>
  <c r="AG257" i="13"/>
  <c r="AH257" i="13" s="1"/>
  <c r="X257" i="3" l="1"/>
  <c r="AI257" i="3"/>
  <c r="X257" i="13"/>
  <c r="AI257" i="13"/>
  <c r="AJ257" i="13" l="1"/>
  <c r="AK257" i="13" s="1"/>
  <c r="AL257" i="13" s="1"/>
  <c r="AJ257" i="3"/>
  <c r="AK257" i="3" s="1"/>
  <c r="AM257" i="3" s="1"/>
  <c r="AP257" i="13" l="1"/>
  <c r="AM257" i="13"/>
  <c r="AN257" i="13" s="1"/>
  <c r="AO257" i="13" s="1"/>
  <c r="X28" i="15" s="1"/>
  <c r="AL257" i="3"/>
  <c r="AQ257" i="13" l="1"/>
  <c r="Y28" i="15" s="1"/>
  <c r="AP257" i="3"/>
  <c r="AQ257" i="3" s="1"/>
  <c r="Y28" i="14" s="1"/>
  <c r="AN257" i="3"/>
  <c r="AT257" i="3" l="1"/>
  <c r="AU257" i="3" s="1"/>
  <c r="AO257" i="3"/>
  <c r="X28" i="14" s="1"/>
  <c r="AS257" i="3" l="1"/>
  <c r="AV257" i="3" s="1"/>
  <c r="I258" i="3" l="1"/>
  <c r="J258" i="3"/>
  <c r="I258" i="13"/>
  <c r="J258" i="13"/>
  <c r="AA258" i="13" l="1"/>
  <c r="AE258" i="13"/>
  <c r="AA258" i="3"/>
  <c r="AE258" i="3"/>
  <c r="AG258" i="3"/>
  <c r="AH258" i="3" s="1"/>
  <c r="M258" i="13"/>
  <c r="N258" i="13"/>
  <c r="W258" i="13" s="1"/>
  <c r="K258" i="13"/>
  <c r="U258" i="13" s="1"/>
  <c r="L258" i="13"/>
  <c r="V258" i="13" s="1"/>
  <c r="K258" i="3"/>
  <c r="U258" i="3" s="1"/>
  <c r="L258" i="3"/>
  <c r="V258" i="3" s="1"/>
  <c r="M258" i="3"/>
  <c r="N258" i="3"/>
  <c r="W258" i="3" s="1"/>
  <c r="AG258" i="13"/>
  <c r="AH258" i="13" s="1"/>
  <c r="X258" i="13" l="1"/>
  <c r="AI258" i="13"/>
  <c r="AI258" i="3"/>
  <c r="X258" i="3"/>
  <c r="AJ258" i="13" l="1"/>
  <c r="AK258" i="13" s="1"/>
  <c r="AL258" i="13" s="1"/>
  <c r="AJ258" i="3"/>
  <c r="AK258" i="3" s="1"/>
  <c r="AM258" i="3" s="1"/>
  <c r="AP258" i="13" l="1"/>
  <c r="AM258" i="13"/>
  <c r="AN258" i="13" s="1"/>
  <c r="AO258" i="13" s="1"/>
  <c r="AL258" i="3"/>
  <c r="AQ258" i="13" l="1"/>
  <c r="AN258" i="3"/>
  <c r="AP258" i="3"/>
  <c r="AQ258" i="3" s="1"/>
  <c r="AT258" i="3" l="1"/>
  <c r="AU258" i="3" s="1"/>
  <c r="AO258" i="3"/>
  <c r="AS258" i="3" l="1"/>
  <c r="AV258" i="3" s="1"/>
  <c r="I259" i="3" l="1"/>
  <c r="J259" i="3"/>
  <c r="I259" i="13"/>
  <c r="J259" i="13"/>
  <c r="AA259" i="13" l="1"/>
  <c r="AE259" i="13"/>
  <c r="AA259" i="3"/>
  <c r="AE259" i="3"/>
  <c r="AG259" i="3"/>
  <c r="AH259" i="3" s="1"/>
  <c r="M259" i="13"/>
  <c r="L259" i="13"/>
  <c r="V259" i="13" s="1"/>
  <c r="N259" i="13"/>
  <c r="W259" i="13" s="1"/>
  <c r="K259" i="13"/>
  <c r="U259" i="13" s="1"/>
  <c r="AG259" i="13"/>
  <c r="AH259" i="13" s="1"/>
  <c r="L259" i="3"/>
  <c r="V259" i="3" s="1"/>
  <c r="M259" i="3"/>
  <c r="N259" i="3"/>
  <c r="W259" i="3" s="1"/>
  <c r="K259" i="3"/>
  <c r="U259" i="3" s="1"/>
  <c r="AI259" i="3" l="1"/>
  <c r="X259" i="3"/>
  <c r="X259" i="13"/>
  <c r="AI259" i="13"/>
  <c r="AJ259" i="13" l="1"/>
  <c r="AK259" i="13" s="1"/>
  <c r="AL259" i="13" s="1"/>
  <c r="AJ259" i="3"/>
  <c r="AK259" i="3" s="1"/>
  <c r="AM259" i="3" s="1"/>
  <c r="AP259" i="13" l="1"/>
  <c r="AQ259" i="13" s="1"/>
  <c r="AL259" i="3"/>
  <c r="AM259" i="13"/>
  <c r="AN259" i="13" s="1"/>
  <c r="AO259" i="13" s="1"/>
  <c r="AN259" i="3" l="1"/>
  <c r="AP259" i="3"/>
  <c r="AQ259" i="3" s="1"/>
  <c r="AT259" i="3" l="1"/>
  <c r="AU259" i="3" s="1"/>
  <c r="AO259" i="3"/>
  <c r="AS259" i="3" l="1"/>
  <c r="AV259" i="3" s="1"/>
  <c r="I260" i="3" l="1"/>
  <c r="J260" i="3"/>
  <c r="I260" i="13"/>
  <c r="J260" i="13"/>
  <c r="AA260" i="13" l="1"/>
  <c r="AE260" i="13"/>
  <c r="AA260" i="3"/>
  <c r="AE260" i="3"/>
  <c r="M260" i="13"/>
  <c r="K260" i="13"/>
  <c r="U260" i="13" s="1"/>
  <c r="L260" i="13"/>
  <c r="V260" i="13" s="1"/>
  <c r="N260" i="13"/>
  <c r="W260" i="13" s="1"/>
  <c r="AG260" i="13"/>
  <c r="AH260" i="13" s="1"/>
  <c r="M260" i="3"/>
  <c r="N260" i="3"/>
  <c r="W260" i="3" s="1"/>
  <c r="K260" i="3"/>
  <c r="U260" i="3" s="1"/>
  <c r="L260" i="3"/>
  <c r="V260" i="3" s="1"/>
  <c r="AG260" i="3"/>
  <c r="AH260" i="3" s="1"/>
  <c r="X260" i="3" l="1"/>
  <c r="AI260" i="3"/>
  <c r="X260" i="13"/>
  <c r="AI260" i="13"/>
  <c r="AJ260" i="3" l="1"/>
  <c r="AK260" i="3" s="1"/>
  <c r="AM260" i="3" s="1"/>
  <c r="AJ260" i="13"/>
  <c r="AK260" i="13" s="1"/>
  <c r="AL260" i="13" s="1"/>
  <c r="AP260" i="13" l="1"/>
  <c r="AQ260" i="13" s="1"/>
  <c r="AL260" i="3"/>
  <c r="AM260" i="13"/>
  <c r="AN260" i="13" s="1"/>
  <c r="AO260" i="13" s="1"/>
  <c r="AP260" i="3" l="1"/>
  <c r="AQ260" i="3" s="1"/>
  <c r="AN260" i="3"/>
  <c r="AT260" i="3" l="1"/>
  <c r="AU260" i="3" s="1"/>
  <c r="AO260" i="3"/>
  <c r="AS260" i="3" l="1"/>
  <c r="AV260" i="3" s="1"/>
  <c r="J261" i="3" l="1"/>
  <c r="I261" i="3"/>
  <c r="I261" i="13"/>
  <c r="J261" i="13"/>
  <c r="AA261" i="13" l="1"/>
  <c r="AE261" i="13"/>
  <c r="AA261" i="3"/>
  <c r="AE261" i="3"/>
  <c r="AG261" i="13"/>
  <c r="AH261" i="13" s="1"/>
  <c r="AG261" i="3"/>
  <c r="AH261" i="3" s="1"/>
  <c r="M261" i="13"/>
  <c r="K261" i="13"/>
  <c r="U261" i="13" s="1"/>
  <c r="L261" i="13"/>
  <c r="V261" i="13" s="1"/>
  <c r="N261" i="13"/>
  <c r="W261" i="13" s="1"/>
  <c r="N261" i="3"/>
  <c r="W261" i="3" s="1"/>
  <c r="K261" i="3"/>
  <c r="U261" i="3" s="1"/>
  <c r="L261" i="3"/>
  <c r="V261" i="3" s="1"/>
  <c r="M261" i="3"/>
  <c r="X261" i="3" l="1"/>
  <c r="AI261" i="3"/>
  <c r="X261" i="13"/>
  <c r="AI261" i="13"/>
  <c r="AJ261" i="13" l="1"/>
  <c r="AK261" i="13" s="1"/>
  <c r="AL261" i="13" s="1"/>
  <c r="AJ261" i="3"/>
  <c r="AK261" i="3" s="1"/>
  <c r="AM261" i="3" s="1"/>
  <c r="AM261" i="13" l="1"/>
  <c r="AN261" i="13" s="1"/>
  <c r="AO261" i="13" s="1"/>
  <c r="AL261" i="3"/>
  <c r="AP261" i="13"/>
  <c r="AQ261" i="13" s="1"/>
  <c r="AP261" i="3" l="1"/>
  <c r="AQ261" i="3" s="1"/>
  <c r="AN261" i="3"/>
  <c r="AT261" i="3" l="1"/>
  <c r="AU261" i="3" s="1"/>
  <c r="AO261" i="3"/>
  <c r="AS261" i="3" l="1"/>
  <c r="AV261" i="3" s="1"/>
  <c r="I262" i="3" l="1"/>
  <c r="J262" i="3"/>
  <c r="I262" i="13"/>
  <c r="J262" i="13"/>
  <c r="AA262" i="13" l="1"/>
  <c r="AE262" i="13"/>
  <c r="AA262" i="3"/>
  <c r="AE262" i="3"/>
  <c r="AG262" i="3"/>
  <c r="AH262" i="3" s="1"/>
  <c r="M262" i="13"/>
  <c r="N262" i="13"/>
  <c r="W262" i="13" s="1"/>
  <c r="K262" i="13"/>
  <c r="U262" i="13" s="1"/>
  <c r="L262" i="13"/>
  <c r="V262" i="13" s="1"/>
  <c r="AG262" i="13"/>
  <c r="AH262" i="13" s="1"/>
  <c r="K262" i="3"/>
  <c r="U262" i="3" s="1"/>
  <c r="L262" i="3"/>
  <c r="V262" i="3" s="1"/>
  <c r="M262" i="3"/>
  <c r="N262" i="3"/>
  <c r="W262" i="3" s="1"/>
  <c r="AI262" i="3" l="1"/>
  <c r="X262" i="3"/>
  <c r="X262" i="13"/>
  <c r="AI262" i="13"/>
  <c r="AJ262" i="3" l="1"/>
  <c r="AK262" i="3" s="1"/>
  <c r="AM262" i="3" s="1"/>
  <c r="AJ262" i="13"/>
  <c r="AK262" i="13" s="1"/>
  <c r="AL262" i="13" s="1"/>
  <c r="AM262" i="13" l="1"/>
  <c r="AN262" i="13" s="1"/>
  <c r="AO262" i="13" s="1"/>
  <c r="AL262" i="3"/>
  <c r="AN262" i="3" s="1"/>
  <c r="AP262" i="13"/>
  <c r="AQ262" i="13" s="1"/>
  <c r="AP262" i="3" l="1"/>
  <c r="AQ262" i="3" s="1"/>
  <c r="AT262" i="3"/>
  <c r="AU262" i="3" s="1"/>
  <c r="AO262" i="3"/>
  <c r="AS262" i="3" l="1"/>
  <c r="AV262" i="3" s="1"/>
  <c r="I263" i="3" l="1"/>
  <c r="J263" i="3"/>
  <c r="I263" i="13"/>
  <c r="J263" i="13"/>
  <c r="AA263" i="13" l="1"/>
  <c r="AE263" i="13"/>
  <c r="AA263" i="3"/>
  <c r="AE263" i="3"/>
  <c r="AG263" i="3"/>
  <c r="AH263" i="3" s="1"/>
  <c r="M263" i="13"/>
  <c r="L263" i="13"/>
  <c r="V263" i="13" s="1"/>
  <c r="N263" i="13"/>
  <c r="W263" i="13" s="1"/>
  <c r="K263" i="13"/>
  <c r="U263" i="13" s="1"/>
  <c r="AG263" i="13"/>
  <c r="AH263" i="13" s="1"/>
  <c r="L263" i="3"/>
  <c r="V263" i="3" s="1"/>
  <c r="M263" i="3"/>
  <c r="N263" i="3"/>
  <c r="W263" i="3" s="1"/>
  <c r="K263" i="3"/>
  <c r="U263" i="3" s="1"/>
  <c r="AI263" i="3" l="1"/>
  <c r="X263" i="3"/>
  <c r="X263" i="13"/>
  <c r="AI263" i="13"/>
  <c r="AJ263" i="3" l="1"/>
  <c r="AK263" i="3" s="1"/>
  <c r="AM263" i="3" s="1"/>
  <c r="AJ263" i="13"/>
  <c r="AK263" i="13" s="1"/>
  <c r="AL263" i="13" s="1"/>
  <c r="AM263" i="13" l="1"/>
  <c r="AN263" i="13" s="1"/>
  <c r="AO263" i="13" s="1"/>
  <c r="AL263" i="3"/>
  <c r="AP263" i="13"/>
  <c r="AQ263" i="13" l="1"/>
  <c r="AN263" i="3"/>
  <c r="AP263" i="3"/>
  <c r="AQ263" i="3" s="1"/>
  <c r="AT263" i="3" l="1"/>
  <c r="AU263" i="3" s="1"/>
  <c r="AO263" i="3"/>
  <c r="AS263" i="3" l="1"/>
  <c r="AV263" i="3" s="1"/>
  <c r="I264" i="3" l="1"/>
  <c r="J264" i="3"/>
  <c r="I264" i="13"/>
  <c r="J264" i="13"/>
  <c r="AA264" i="13" l="1"/>
  <c r="AE264" i="13"/>
  <c r="AA264" i="3"/>
  <c r="AE264" i="3"/>
  <c r="M264" i="13"/>
  <c r="K264" i="13"/>
  <c r="U264" i="13" s="1"/>
  <c r="L264" i="13"/>
  <c r="V264" i="13" s="1"/>
  <c r="N264" i="13"/>
  <c r="W264" i="13" s="1"/>
  <c r="AG264" i="13"/>
  <c r="AH264" i="13" s="1"/>
  <c r="M264" i="3"/>
  <c r="N264" i="3"/>
  <c r="W264" i="3" s="1"/>
  <c r="K264" i="3"/>
  <c r="U264" i="3" s="1"/>
  <c r="L264" i="3"/>
  <c r="V264" i="3" s="1"/>
  <c r="AG264" i="3"/>
  <c r="AH264" i="3" s="1"/>
  <c r="X264" i="13" l="1"/>
  <c r="AI264" i="13"/>
  <c r="X264" i="3"/>
  <c r="AI264" i="3"/>
  <c r="AJ264" i="13" l="1"/>
  <c r="AK264" i="13" s="1"/>
  <c r="AL264" i="13" s="1"/>
  <c r="AJ264" i="3"/>
  <c r="AK264" i="3" s="1"/>
  <c r="AM264" i="3" s="1"/>
  <c r="AL264" i="3" l="1"/>
  <c r="AP264" i="13"/>
  <c r="AM264" i="13" l="1"/>
  <c r="AP264" i="3"/>
  <c r="AQ264" i="3" s="1"/>
  <c r="AN264" i="3"/>
  <c r="AN264" i="13" l="1"/>
  <c r="AO264" i="13" s="1"/>
  <c r="AT264" i="3"/>
  <c r="AU264" i="3" s="1"/>
  <c r="AO264" i="3"/>
  <c r="AQ264" i="13"/>
  <c r="AS264" i="3" l="1"/>
  <c r="AV264" i="3" s="1"/>
  <c r="J265" i="3" l="1"/>
  <c r="I265" i="3"/>
  <c r="I265" i="13"/>
  <c r="J265" i="13"/>
  <c r="AA265" i="13" l="1"/>
  <c r="AE265" i="13"/>
  <c r="AA265" i="3"/>
  <c r="AE265" i="3"/>
  <c r="AG265" i="13"/>
  <c r="AH265" i="13" s="1"/>
  <c r="AG265" i="3"/>
  <c r="AH265" i="3" s="1"/>
  <c r="M265" i="13"/>
  <c r="K265" i="13"/>
  <c r="U265" i="13" s="1"/>
  <c r="L265" i="13"/>
  <c r="V265" i="13" s="1"/>
  <c r="N265" i="13"/>
  <c r="W265" i="13" s="1"/>
  <c r="N265" i="3"/>
  <c r="W265" i="3" s="1"/>
  <c r="K265" i="3"/>
  <c r="U265" i="3" s="1"/>
  <c r="L265" i="3"/>
  <c r="V265" i="3" s="1"/>
  <c r="M265" i="3"/>
  <c r="X265" i="3" l="1"/>
  <c r="AI265" i="3"/>
  <c r="X265" i="13"/>
  <c r="AI265" i="13"/>
  <c r="AJ265" i="3" l="1"/>
  <c r="AK265" i="3" s="1"/>
  <c r="AM265" i="3" s="1"/>
  <c r="AJ265" i="13"/>
  <c r="AK265" i="13" s="1"/>
  <c r="AL265" i="13" s="1"/>
  <c r="AP265" i="13" l="1"/>
  <c r="AL265" i="3"/>
  <c r="AP265" i="3" l="1"/>
  <c r="AQ265" i="3" s="1"/>
  <c r="AN265" i="3"/>
  <c r="AM265" i="13"/>
  <c r="AN265" i="13" l="1"/>
  <c r="AO265" i="13" s="1"/>
  <c r="AQ265" i="13"/>
  <c r="AT265" i="3"/>
  <c r="AU265" i="3" s="1"/>
  <c r="AO265" i="3"/>
  <c r="AS265" i="3" l="1"/>
  <c r="AV265" i="3" s="1"/>
  <c r="I266" i="3" l="1"/>
  <c r="J266" i="3"/>
  <c r="I266" i="13"/>
  <c r="J266" i="13"/>
  <c r="AA266" i="13" l="1"/>
  <c r="AE266" i="13"/>
  <c r="AA266" i="3"/>
  <c r="AE266" i="3"/>
  <c r="M266" i="13"/>
  <c r="N266" i="13"/>
  <c r="W266" i="13" s="1"/>
  <c r="K266" i="13"/>
  <c r="U266" i="13" s="1"/>
  <c r="L266" i="13"/>
  <c r="V266" i="13" s="1"/>
  <c r="AG266" i="13"/>
  <c r="AH266" i="13" s="1"/>
  <c r="K266" i="3"/>
  <c r="U266" i="3" s="1"/>
  <c r="L266" i="3"/>
  <c r="V266" i="3" s="1"/>
  <c r="M266" i="3"/>
  <c r="N266" i="3"/>
  <c r="W266" i="3" s="1"/>
  <c r="AG266" i="3"/>
  <c r="AH266" i="3" s="1"/>
  <c r="AI266" i="3" l="1"/>
  <c r="X266" i="3"/>
  <c r="AI266" i="13"/>
  <c r="X266" i="13"/>
  <c r="AJ266" i="13" l="1"/>
  <c r="AK266" i="13" s="1"/>
  <c r="AL266" i="13" s="1"/>
  <c r="AJ266" i="3"/>
  <c r="AK266" i="3" s="1"/>
  <c r="AM266" i="3" s="1"/>
  <c r="AL266" i="3" l="1"/>
  <c r="AP266" i="13"/>
  <c r="AN266" i="3" l="1"/>
  <c r="AP266" i="3"/>
  <c r="AQ266" i="3" s="1"/>
  <c r="AM266" i="13"/>
  <c r="AN266" i="13" l="1"/>
  <c r="AO266" i="13" s="1"/>
  <c r="AQ266" i="13"/>
  <c r="AT266" i="3"/>
  <c r="AU266" i="3" s="1"/>
  <c r="AO266" i="3"/>
  <c r="AS266" i="3" l="1"/>
  <c r="AV266" i="3" s="1"/>
  <c r="I267" i="3" l="1"/>
  <c r="J267" i="3"/>
  <c r="I267" i="13"/>
  <c r="J267" i="13"/>
  <c r="AA267" i="13" l="1"/>
  <c r="AE267" i="13"/>
  <c r="AA267" i="3"/>
  <c r="AE267" i="3"/>
  <c r="L267" i="3"/>
  <c r="V267" i="3" s="1"/>
  <c r="M267" i="3"/>
  <c r="N267" i="3"/>
  <c r="W267" i="3" s="1"/>
  <c r="K267" i="3"/>
  <c r="U267" i="3" s="1"/>
  <c r="AG267" i="3"/>
  <c r="AH267" i="3" s="1"/>
  <c r="M267" i="13"/>
  <c r="L267" i="13"/>
  <c r="V267" i="13" s="1"/>
  <c r="N267" i="13"/>
  <c r="W267" i="13" s="1"/>
  <c r="K267" i="13"/>
  <c r="U267" i="13" s="1"/>
  <c r="AG267" i="13"/>
  <c r="AH267" i="13" s="1"/>
  <c r="AI267" i="3" l="1"/>
  <c r="X267" i="3"/>
  <c r="X267" i="13"/>
  <c r="AI267" i="13"/>
  <c r="AJ267" i="13" l="1"/>
  <c r="AK267" i="13" s="1"/>
  <c r="AL267" i="13" s="1"/>
  <c r="AJ267" i="3"/>
  <c r="AK267" i="3" s="1"/>
  <c r="AM267" i="3" s="1"/>
  <c r="AL267" i="3" l="1"/>
  <c r="AP267" i="13"/>
  <c r="AN267" i="3" l="1"/>
  <c r="AP267" i="3"/>
  <c r="AQ267" i="3" s="1"/>
  <c r="AM267" i="13"/>
  <c r="AQ267" i="13" s="1"/>
  <c r="AN267" i="13" l="1"/>
  <c r="AO267" i="13" s="1"/>
  <c r="AT267" i="3"/>
  <c r="AU267" i="3" s="1"/>
  <c r="AO267" i="3"/>
  <c r="AS267" i="3" l="1"/>
  <c r="AV267" i="3" s="1"/>
  <c r="I268" i="3" l="1"/>
  <c r="J268" i="3"/>
  <c r="I268" i="13"/>
  <c r="J268" i="13"/>
  <c r="AA268" i="13" l="1"/>
  <c r="AE268" i="13"/>
  <c r="AA268" i="3"/>
  <c r="AE268" i="3"/>
  <c r="AG268" i="3"/>
  <c r="AH268" i="3" s="1"/>
  <c r="M268" i="13"/>
  <c r="K268" i="13"/>
  <c r="U268" i="13" s="1"/>
  <c r="L268" i="13"/>
  <c r="V268" i="13" s="1"/>
  <c r="N268" i="13"/>
  <c r="W268" i="13" s="1"/>
  <c r="AG268" i="13"/>
  <c r="AH268" i="13" s="1"/>
  <c r="K268" i="3"/>
  <c r="U268" i="3" s="1"/>
  <c r="L268" i="3"/>
  <c r="V268" i="3" s="1"/>
  <c r="M268" i="3"/>
  <c r="N268" i="3"/>
  <c r="W268" i="3" s="1"/>
  <c r="AI268" i="3" l="1"/>
  <c r="X268" i="3"/>
  <c r="X268" i="13"/>
  <c r="AI268" i="13"/>
  <c r="AJ268" i="3" l="1"/>
  <c r="AK268" i="3" s="1"/>
  <c r="AM268" i="3" s="1"/>
  <c r="AJ268" i="13"/>
  <c r="AK268" i="13" s="1"/>
  <c r="AL268" i="13" s="1"/>
  <c r="AP268" i="13" l="1"/>
  <c r="AL268" i="3"/>
  <c r="AN268" i="3" l="1"/>
  <c r="AP268" i="3"/>
  <c r="AQ268" i="3" s="1"/>
  <c r="AM268" i="13"/>
  <c r="AQ268" i="13" s="1"/>
  <c r="AN268" i="13" l="1"/>
  <c r="AO268" i="13" s="1"/>
  <c r="AT268" i="3"/>
  <c r="AU268" i="3" s="1"/>
  <c r="AO268" i="3"/>
  <c r="AS268" i="3" l="1"/>
  <c r="AV268" i="3" s="1"/>
  <c r="I269" i="3" l="1"/>
  <c r="J269" i="3"/>
  <c r="I269" i="13"/>
  <c r="J269" i="13"/>
  <c r="AA269" i="13" l="1"/>
  <c r="AE269" i="13"/>
  <c r="AA269" i="3"/>
  <c r="AE269" i="3"/>
  <c r="M269" i="13"/>
  <c r="K269" i="13"/>
  <c r="U269" i="13" s="1"/>
  <c r="L269" i="13"/>
  <c r="V269" i="13" s="1"/>
  <c r="N269" i="13"/>
  <c r="W269" i="13" s="1"/>
  <c r="AG269" i="13"/>
  <c r="AH269" i="13" s="1"/>
  <c r="L269" i="3"/>
  <c r="V269" i="3" s="1"/>
  <c r="M269" i="3"/>
  <c r="N269" i="3"/>
  <c r="W269" i="3" s="1"/>
  <c r="K269" i="3"/>
  <c r="U269" i="3" s="1"/>
  <c r="AG269" i="3"/>
  <c r="AH269" i="3" s="1"/>
  <c r="AI269" i="3" l="1"/>
  <c r="X269" i="3"/>
  <c r="X269" i="13"/>
  <c r="AI269" i="13"/>
  <c r="AJ269" i="3" l="1"/>
  <c r="AK269" i="3" s="1"/>
  <c r="AM269" i="3" s="1"/>
  <c r="AJ269" i="13"/>
  <c r="AK269" i="13" s="1"/>
  <c r="AL269" i="13" s="1"/>
  <c r="AL269" i="3" l="1"/>
  <c r="AM269" i="13"/>
  <c r="AN269" i="13" s="1"/>
  <c r="AO269" i="13" s="1"/>
  <c r="X29" i="15" s="1"/>
  <c r="AP269" i="13"/>
  <c r="AQ269" i="13" s="1"/>
  <c r="Y29" i="15" s="1"/>
  <c r="AN269" i="3" l="1"/>
  <c r="AP269" i="3"/>
  <c r="AQ269" i="3" s="1"/>
  <c r="Y29" i="14" s="1"/>
  <c r="AT269" i="3" l="1"/>
  <c r="AU269" i="3" s="1"/>
  <c r="AO269" i="3"/>
  <c r="X29" i="14" s="1"/>
  <c r="AS269" i="3" l="1"/>
  <c r="AV269" i="3" s="1"/>
  <c r="I270" i="3" l="1"/>
  <c r="J270" i="3"/>
  <c r="I270" i="13"/>
  <c r="J270" i="13"/>
  <c r="AA270" i="13" l="1"/>
  <c r="AE270" i="13"/>
  <c r="AA270" i="3"/>
  <c r="AE270" i="3"/>
  <c r="AG270" i="3"/>
  <c r="AH270" i="3" s="1"/>
  <c r="M270" i="13"/>
  <c r="N270" i="13"/>
  <c r="W270" i="13" s="1"/>
  <c r="K270" i="13"/>
  <c r="U270" i="13" s="1"/>
  <c r="L270" i="13"/>
  <c r="V270" i="13" s="1"/>
  <c r="M270" i="3"/>
  <c r="N270" i="3"/>
  <c r="W270" i="3" s="1"/>
  <c r="K270" i="3"/>
  <c r="U270" i="3" s="1"/>
  <c r="L270" i="3"/>
  <c r="V270" i="3" s="1"/>
  <c r="AG270" i="13"/>
  <c r="AH270" i="13" s="1"/>
  <c r="X270" i="3" l="1"/>
  <c r="AI270" i="3"/>
  <c r="X270" i="13"/>
  <c r="AI270" i="13"/>
  <c r="AJ270" i="13" l="1"/>
  <c r="AK270" i="13" s="1"/>
  <c r="AL270" i="13" s="1"/>
  <c r="AJ270" i="3"/>
  <c r="AK270" i="3" s="1"/>
  <c r="AM270" i="3" s="1"/>
  <c r="AM270" i="13" l="1"/>
  <c r="AN270" i="13" s="1"/>
  <c r="AO270" i="13" s="1"/>
  <c r="AL270" i="3"/>
  <c r="AP270" i="13"/>
  <c r="AQ270" i="13" l="1"/>
  <c r="AP270" i="3"/>
  <c r="AQ270" i="3" s="1"/>
  <c r="AN270" i="3"/>
  <c r="AT270" i="3" l="1"/>
  <c r="AU270" i="3" s="1"/>
  <c r="AO270" i="3"/>
  <c r="AS270" i="3" l="1"/>
  <c r="AV270" i="3" s="1"/>
  <c r="J271" i="3" l="1"/>
  <c r="I271" i="3"/>
  <c r="I271" i="13"/>
  <c r="J271" i="13"/>
  <c r="AA271" i="13" l="1"/>
  <c r="AE271" i="13"/>
  <c r="AA271" i="3"/>
  <c r="AE271" i="3"/>
  <c r="N271" i="3"/>
  <c r="W271" i="3" s="1"/>
  <c r="K271" i="3"/>
  <c r="U271" i="3" s="1"/>
  <c r="L271" i="3"/>
  <c r="V271" i="3" s="1"/>
  <c r="M271" i="3"/>
  <c r="M271" i="13"/>
  <c r="L271" i="13"/>
  <c r="V271" i="13" s="1"/>
  <c r="N271" i="13"/>
  <c r="W271" i="13" s="1"/>
  <c r="K271" i="13"/>
  <c r="U271" i="13" s="1"/>
  <c r="AG271" i="3"/>
  <c r="AH271" i="3" s="1"/>
  <c r="AG271" i="13"/>
  <c r="AH271" i="13" s="1"/>
  <c r="X271" i="3" l="1"/>
  <c r="AI271" i="3"/>
  <c r="X271" i="13"/>
  <c r="AI271" i="13"/>
  <c r="AJ271" i="13" l="1"/>
  <c r="AK271" i="13" s="1"/>
  <c r="AL271" i="13" s="1"/>
  <c r="AJ271" i="3"/>
  <c r="AK271" i="3" s="1"/>
  <c r="AM271" i="3" s="1"/>
  <c r="AP271" i="13" l="1"/>
  <c r="AQ271" i="13" s="1"/>
  <c r="AL271" i="3"/>
  <c r="AM271" i="13"/>
  <c r="AN271" i="13" s="1"/>
  <c r="AO271" i="13" s="1"/>
  <c r="AP271" i="3" l="1"/>
  <c r="AQ271" i="3" s="1"/>
  <c r="AN271" i="3"/>
  <c r="AT271" i="3" l="1"/>
  <c r="AU271" i="3" s="1"/>
  <c r="AO271" i="3"/>
  <c r="AS271" i="3" l="1"/>
  <c r="AV271" i="3" s="1"/>
  <c r="I272" i="3" l="1"/>
  <c r="J272" i="3"/>
  <c r="I272" i="13"/>
  <c r="J272" i="13"/>
  <c r="AA272" i="13" l="1"/>
  <c r="AE272" i="13"/>
  <c r="AA272" i="3"/>
  <c r="AE272" i="3"/>
  <c r="AG272" i="3"/>
  <c r="AH272" i="3" s="1"/>
  <c r="M272" i="13"/>
  <c r="K272" i="13"/>
  <c r="U272" i="13" s="1"/>
  <c r="L272" i="13"/>
  <c r="V272" i="13" s="1"/>
  <c r="N272" i="13"/>
  <c r="W272" i="13" s="1"/>
  <c r="K272" i="3"/>
  <c r="U272" i="3" s="1"/>
  <c r="L272" i="3"/>
  <c r="V272" i="3" s="1"/>
  <c r="M272" i="3"/>
  <c r="N272" i="3"/>
  <c r="W272" i="3" s="1"/>
  <c r="AG272" i="13"/>
  <c r="AH272" i="13" s="1"/>
  <c r="X272" i="13" l="1"/>
  <c r="AI272" i="13"/>
  <c r="AI272" i="3"/>
  <c r="X272" i="3"/>
  <c r="AJ272" i="13" l="1"/>
  <c r="AK272" i="13" s="1"/>
  <c r="AL272" i="13" s="1"/>
  <c r="AJ272" i="3"/>
  <c r="AK272" i="3" s="1"/>
  <c r="AM272" i="3" s="1"/>
  <c r="AP272" i="13" l="1"/>
  <c r="AQ272" i="13" s="1"/>
  <c r="AM272" i="13"/>
  <c r="AN272" i="13" s="1"/>
  <c r="AO272" i="13" s="1"/>
  <c r="AL272" i="3"/>
  <c r="AN272" i="3" l="1"/>
  <c r="AP272" i="3"/>
  <c r="AQ272" i="3" s="1"/>
  <c r="AT272" i="3" l="1"/>
  <c r="AU272" i="3" s="1"/>
  <c r="AO272" i="3"/>
  <c r="AS272" i="3" l="1"/>
  <c r="AV272" i="3" s="1"/>
  <c r="I273" i="3" l="1"/>
  <c r="J273" i="3"/>
  <c r="I273" i="13"/>
  <c r="J273" i="13"/>
  <c r="AA273" i="13" l="1"/>
  <c r="AE273" i="13"/>
  <c r="AA273" i="3"/>
  <c r="AE273" i="3"/>
  <c r="AG273" i="3"/>
  <c r="AH273" i="3" s="1"/>
  <c r="M273" i="13"/>
  <c r="K273" i="13"/>
  <c r="U273" i="13" s="1"/>
  <c r="L273" i="13"/>
  <c r="V273" i="13" s="1"/>
  <c r="N273" i="13"/>
  <c r="W273" i="13" s="1"/>
  <c r="AG273" i="13"/>
  <c r="AH273" i="13" s="1"/>
  <c r="L273" i="3"/>
  <c r="V273" i="3" s="1"/>
  <c r="M273" i="3"/>
  <c r="N273" i="3"/>
  <c r="W273" i="3" s="1"/>
  <c r="K273" i="3"/>
  <c r="U273" i="3" s="1"/>
  <c r="AI273" i="3" l="1"/>
  <c r="X273" i="3"/>
  <c r="X273" i="13"/>
  <c r="AI273" i="13"/>
  <c r="AJ273" i="3" l="1"/>
  <c r="AK273" i="3" s="1"/>
  <c r="AL273" i="3" s="1"/>
  <c r="AJ273" i="13"/>
  <c r="AK273" i="13" s="1"/>
  <c r="AL273" i="13" s="1"/>
  <c r="AM273" i="3" l="1"/>
  <c r="AM273" i="13" s="1"/>
  <c r="AN273" i="13" s="1"/>
  <c r="AO273" i="13" s="1"/>
  <c r="AP273" i="3"/>
  <c r="AP273" i="13"/>
  <c r="AQ273" i="13" l="1"/>
  <c r="AN273" i="3"/>
  <c r="AQ273" i="3"/>
  <c r="AT273" i="3" l="1"/>
  <c r="AU273" i="3" s="1"/>
  <c r="AO273" i="3"/>
  <c r="AS273" i="3" l="1"/>
  <c r="AV273" i="3" s="1"/>
  <c r="I274" i="3" l="1"/>
  <c r="J274" i="3"/>
  <c r="I274" i="13"/>
  <c r="J274" i="13"/>
  <c r="AA274" i="13" l="1"/>
  <c r="AE274" i="13"/>
  <c r="AA274" i="3"/>
  <c r="AE274" i="3"/>
  <c r="AG274" i="13"/>
  <c r="AH274" i="13" s="1"/>
  <c r="M274" i="3"/>
  <c r="N274" i="3"/>
  <c r="W274" i="3" s="1"/>
  <c r="K274" i="3"/>
  <c r="U274" i="3" s="1"/>
  <c r="L274" i="3"/>
  <c r="V274" i="3" s="1"/>
  <c r="M274" i="13"/>
  <c r="N274" i="13"/>
  <c r="W274" i="13" s="1"/>
  <c r="K274" i="13"/>
  <c r="U274" i="13" s="1"/>
  <c r="L274" i="13"/>
  <c r="V274" i="13" s="1"/>
  <c r="AG274" i="3"/>
  <c r="AH274" i="3" s="1"/>
  <c r="X274" i="13" l="1"/>
  <c r="AI274" i="13"/>
  <c r="X274" i="3"/>
  <c r="AI274" i="3"/>
  <c r="AJ274" i="3" l="1"/>
  <c r="AK274" i="3" s="1"/>
  <c r="AM274" i="3" s="1"/>
  <c r="AJ274" i="13"/>
  <c r="AK274" i="13" s="1"/>
  <c r="AL274" i="13" s="1"/>
  <c r="AP274" i="13" l="1"/>
  <c r="AQ274" i="13" s="1"/>
  <c r="AM274" i="13"/>
  <c r="AN274" i="13" s="1"/>
  <c r="AO274" i="13" s="1"/>
  <c r="AL274" i="3"/>
  <c r="AP274" i="3" l="1"/>
  <c r="AQ274" i="3" s="1"/>
  <c r="AN274" i="3"/>
  <c r="AT274" i="3" l="1"/>
  <c r="AU274" i="3" s="1"/>
  <c r="AO274" i="3"/>
  <c r="AS274" i="3" l="1"/>
  <c r="AV274" i="3" s="1"/>
  <c r="J275" i="3" l="1"/>
  <c r="I275" i="3"/>
  <c r="I275" i="13"/>
  <c r="J275" i="13"/>
  <c r="AA275" i="13" l="1"/>
  <c r="AE275" i="13"/>
  <c r="AA275" i="3"/>
  <c r="AE275" i="3"/>
  <c r="M275" i="13"/>
  <c r="L275" i="13"/>
  <c r="V275" i="13" s="1"/>
  <c r="N275" i="13"/>
  <c r="W275" i="13" s="1"/>
  <c r="K275" i="13"/>
  <c r="U275" i="13" s="1"/>
  <c r="AG275" i="13"/>
  <c r="AH275" i="13" s="1"/>
  <c r="AG275" i="3"/>
  <c r="AH275" i="3" s="1"/>
  <c r="N275" i="3"/>
  <c r="W275" i="3" s="1"/>
  <c r="K275" i="3"/>
  <c r="U275" i="3" s="1"/>
  <c r="L275" i="3"/>
  <c r="V275" i="3" s="1"/>
  <c r="M275" i="3"/>
  <c r="X275" i="13" l="1"/>
  <c r="AI275" i="13"/>
  <c r="X275" i="3"/>
  <c r="AI275" i="3"/>
  <c r="AJ275" i="3" l="1"/>
  <c r="AK275" i="3" s="1"/>
  <c r="AM275" i="3" s="1"/>
  <c r="AJ275" i="13"/>
  <c r="AK275" i="13" s="1"/>
  <c r="AL275" i="13" s="1"/>
  <c r="AM275" i="13" l="1"/>
  <c r="AN275" i="13" s="1"/>
  <c r="AO275" i="13" s="1"/>
  <c r="AL275" i="3"/>
  <c r="AP275" i="13"/>
  <c r="AQ275" i="13" l="1"/>
  <c r="AP275" i="3"/>
  <c r="AQ275" i="3" s="1"/>
  <c r="AN275" i="3"/>
  <c r="AT275" i="3" l="1"/>
  <c r="AU275" i="3" s="1"/>
  <c r="AO275" i="3"/>
  <c r="AS275" i="3" l="1"/>
  <c r="AV275" i="3" s="1"/>
  <c r="I276" i="3" l="1"/>
  <c r="J276" i="3"/>
  <c r="I276" i="13"/>
  <c r="J276" i="13"/>
  <c r="AA276" i="13" l="1"/>
  <c r="AE276" i="13"/>
  <c r="AA276" i="3"/>
  <c r="AE276" i="3"/>
  <c r="AG276" i="3"/>
  <c r="AH276" i="3" s="1"/>
  <c r="M276" i="13"/>
  <c r="K276" i="13"/>
  <c r="U276" i="13" s="1"/>
  <c r="L276" i="13"/>
  <c r="V276" i="13" s="1"/>
  <c r="N276" i="13"/>
  <c r="W276" i="13" s="1"/>
  <c r="AG276" i="13"/>
  <c r="AH276" i="13" s="1"/>
  <c r="K276" i="3"/>
  <c r="U276" i="3" s="1"/>
  <c r="L276" i="3"/>
  <c r="V276" i="3" s="1"/>
  <c r="M276" i="3"/>
  <c r="N276" i="3"/>
  <c r="W276" i="3" s="1"/>
  <c r="AI276" i="3" l="1"/>
  <c r="X276" i="3"/>
  <c r="X276" i="13"/>
  <c r="AI276" i="13"/>
  <c r="AJ276" i="13" l="1"/>
  <c r="AK276" i="13" s="1"/>
  <c r="AL276" i="13" s="1"/>
  <c r="AJ276" i="3"/>
  <c r="AK276" i="3" s="1"/>
  <c r="AM276" i="3" s="1"/>
  <c r="AL276" i="3" l="1"/>
  <c r="AP276" i="13"/>
  <c r="AN276" i="3" l="1"/>
  <c r="AP276" i="3"/>
  <c r="AQ276" i="3" s="1"/>
  <c r="AM276" i="13"/>
  <c r="AQ276" i="13" s="1"/>
  <c r="AN276" i="13" l="1"/>
  <c r="AO276" i="13" s="1"/>
  <c r="AT276" i="3"/>
  <c r="AU276" i="3" s="1"/>
  <c r="AO276" i="3"/>
  <c r="AS276" i="3" l="1"/>
  <c r="AV276" i="3" s="1"/>
  <c r="I277" i="3" l="1"/>
  <c r="J277" i="3"/>
  <c r="I277" i="13"/>
  <c r="J277" i="13"/>
  <c r="AA277" i="13" l="1"/>
  <c r="AE277" i="13"/>
  <c r="AA277" i="3"/>
  <c r="AE277" i="3"/>
  <c r="AG277" i="3"/>
  <c r="AH277" i="3" s="1"/>
  <c r="M277" i="13"/>
  <c r="K277" i="13"/>
  <c r="U277" i="13" s="1"/>
  <c r="L277" i="13"/>
  <c r="V277" i="13" s="1"/>
  <c r="N277" i="13"/>
  <c r="W277" i="13" s="1"/>
  <c r="AG277" i="13"/>
  <c r="AH277" i="13" s="1"/>
  <c r="L277" i="3"/>
  <c r="V277" i="3" s="1"/>
  <c r="M277" i="3"/>
  <c r="N277" i="3"/>
  <c r="W277" i="3" s="1"/>
  <c r="K277" i="3"/>
  <c r="U277" i="3" s="1"/>
  <c r="AI277" i="3" l="1"/>
  <c r="X277" i="3"/>
  <c r="X277" i="13"/>
  <c r="AI277" i="13"/>
  <c r="AJ277" i="13" l="1"/>
  <c r="AK277" i="13" s="1"/>
  <c r="AL277" i="13" s="1"/>
  <c r="AJ277" i="3"/>
  <c r="AK277" i="3" s="1"/>
  <c r="AM277" i="3" s="1"/>
  <c r="AL277" i="3" l="1"/>
  <c r="AP277" i="13"/>
  <c r="AM277" i="13" l="1"/>
  <c r="AQ277" i="13" s="1"/>
  <c r="AN277" i="3"/>
  <c r="AP277" i="3"/>
  <c r="AQ277" i="3" s="1"/>
  <c r="AT277" i="3" l="1"/>
  <c r="AU277" i="3" s="1"/>
  <c r="AO277" i="3"/>
  <c r="AN277" i="13"/>
  <c r="AO277" i="13" s="1"/>
  <c r="AS277" i="3" l="1"/>
  <c r="AV277" i="3" s="1"/>
  <c r="I278" i="3" l="1"/>
  <c r="J278" i="3"/>
  <c r="I278" i="13"/>
  <c r="J278" i="13"/>
  <c r="AA278" i="13" l="1"/>
  <c r="AE278" i="13"/>
  <c r="AA278" i="3"/>
  <c r="AE278" i="3"/>
  <c r="AG278" i="3"/>
  <c r="AH278" i="3" s="1"/>
  <c r="M278" i="13"/>
  <c r="N278" i="13"/>
  <c r="W278" i="13" s="1"/>
  <c r="K278" i="13"/>
  <c r="U278" i="13" s="1"/>
  <c r="L278" i="13"/>
  <c r="V278" i="13" s="1"/>
  <c r="M278" i="3"/>
  <c r="N278" i="3"/>
  <c r="W278" i="3" s="1"/>
  <c r="K278" i="3"/>
  <c r="U278" i="3" s="1"/>
  <c r="L278" i="3"/>
  <c r="V278" i="3" s="1"/>
  <c r="AG278" i="13"/>
  <c r="AH278" i="13" s="1"/>
  <c r="X278" i="3" l="1"/>
  <c r="AI278" i="3"/>
  <c r="AI278" i="13"/>
  <c r="X278" i="13"/>
  <c r="AJ278" i="3" l="1"/>
  <c r="AK278" i="3" s="1"/>
  <c r="AM278" i="3" s="1"/>
  <c r="AJ278" i="13"/>
  <c r="AK278" i="13" s="1"/>
  <c r="AL278" i="13" s="1"/>
  <c r="AP278" i="13" l="1"/>
  <c r="AL278" i="3"/>
  <c r="AM278" i="13" l="1"/>
  <c r="AQ278" i="13" s="1"/>
  <c r="AP278" i="3"/>
  <c r="AQ278" i="3" s="1"/>
  <c r="AN278" i="3"/>
  <c r="AT278" i="3" l="1"/>
  <c r="AU278" i="3" s="1"/>
  <c r="AO278" i="3"/>
  <c r="AN278" i="13"/>
  <c r="AO278" i="13" s="1"/>
  <c r="AS278" i="3" l="1"/>
  <c r="AV278" i="3" s="1"/>
  <c r="J279" i="3" l="1"/>
  <c r="I279" i="3"/>
  <c r="I279" i="13"/>
  <c r="J279" i="13"/>
  <c r="AA279" i="13" l="1"/>
  <c r="AE279" i="13"/>
  <c r="AA279" i="3"/>
  <c r="AE279" i="3"/>
  <c r="M279" i="13"/>
  <c r="L279" i="13"/>
  <c r="V279" i="13" s="1"/>
  <c r="N279" i="13"/>
  <c r="W279" i="13" s="1"/>
  <c r="K279" i="13"/>
  <c r="U279" i="13" s="1"/>
  <c r="AG279" i="13"/>
  <c r="AH279" i="13" s="1"/>
  <c r="AG279" i="3"/>
  <c r="AH279" i="3" s="1"/>
  <c r="N279" i="3"/>
  <c r="W279" i="3" s="1"/>
  <c r="K279" i="3"/>
  <c r="U279" i="3" s="1"/>
  <c r="L279" i="3"/>
  <c r="V279" i="3" s="1"/>
  <c r="M279" i="3"/>
  <c r="X279" i="13" l="1"/>
  <c r="AI279" i="13"/>
  <c r="X279" i="3"/>
  <c r="AI279" i="3"/>
  <c r="AJ279" i="13" l="1"/>
  <c r="AK279" i="13" s="1"/>
  <c r="AL279" i="13" s="1"/>
  <c r="AJ279" i="3"/>
  <c r="AK279" i="3" s="1"/>
  <c r="AM279" i="3" s="1"/>
  <c r="AP279" i="13" l="1"/>
  <c r="AL279" i="3"/>
  <c r="AM279" i="13" l="1"/>
  <c r="AQ279" i="13" s="1"/>
  <c r="AP279" i="3"/>
  <c r="AQ279" i="3" s="1"/>
  <c r="AN279" i="3"/>
  <c r="AT279" i="3" l="1"/>
  <c r="AU279" i="3" s="1"/>
  <c r="AO279" i="3"/>
  <c r="AN279" i="13"/>
  <c r="AO279" i="13" s="1"/>
  <c r="AS279" i="3" l="1"/>
  <c r="AV279" i="3" s="1"/>
  <c r="I280" i="3" l="1"/>
  <c r="J280" i="3"/>
  <c r="I280" i="13"/>
  <c r="J280" i="13"/>
  <c r="AA280" i="13" l="1"/>
  <c r="AE280" i="13"/>
  <c r="AA280" i="3"/>
  <c r="AE280" i="3"/>
  <c r="M280" i="13"/>
  <c r="K280" i="13"/>
  <c r="U280" i="13" s="1"/>
  <c r="L280" i="13"/>
  <c r="V280" i="13" s="1"/>
  <c r="N280" i="13"/>
  <c r="W280" i="13" s="1"/>
  <c r="AG280" i="13"/>
  <c r="AH280" i="13" s="1"/>
  <c r="K280" i="3"/>
  <c r="U280" i="3" s="1"/>
  <c r="L280" i="3"/>
  <c r="V280" i="3" s="1"/>
  <c r="M280" i="3"/>
  <c r="N280" i="3"/>
  <c r="W280" i="3" s="1"/>
  <c r="AG280" i="3"/>
  <c r="AH280" i="3" s="1"/>
  <c r="AI280" i="3" l="1"/>
  <c r="X280" i="3"/>
  <c r="X280" i="13"/>
  <c r="AI280" i="13"/>
  <c r="AJ280" i="13" l="1"/>
  <c r="AK280" i="13" s="1"/>
  <c r="AL280" i="13" s="1"/>
  <c r="AJ280" i="3"/>
  <c r="AK280" i="3" s="1"/>
  <c r="AM280" i="3" s="1"/>
  <c r="AL280" i="3" l="1"/>
  <c r="AP280" i="13"/>
  <c r="AM280" i="13" l="1"/>
  <c r="AN280" i="3"/>
  <c r="AP280" i="3"/>
  <c r="AQ280" i="3" s="1"/>
  <c r="AT280" i="3" l="1"/>
  <c r="AU280" i="3" s="1"/>
  <c r="AO280" i="3"/>
  <c r="AN280" i="13"/>
  <c r="AO280" i="13" s="1"/>
  <c r="AQ280" i="13"/>
  <c r="AS280" i="3" l="1"/>
  <c r="AV280" i="3" s="1"/>
  <c r="I281" i="3" l="1"/>
  <c r="J281" i="3"/>
  <c r="I281" i="13"/>
  <c r="J281" i="13"/>
  <c r="AA281" i="13" l="1"/>
  <c r="AE281" i="13"/>
  <c r="AA281" i="3"/>
  <c r="AE281" i="3"/>
  <c r="AG281" i="13"/>
  <c r="AH281" i="13" s="1"/>
  <c r="L281" i="3"/>
  <c r="V281" i="3" s="1"/>
  <c r="M281" i="3"/>
  <c r="N281" i="3"/>
  <c r="W281" i="3" s="1"/>
  <c r="K281" i="3"/>
  <c r="U281" i="3" s="1"/>
  <c r="M281" i="13"/>
  <c r="K281" i="13"/>
  <c r="U281" i="13" s="1"/>
  <c r="L281" i="13"/>
  <c r="V281" i="13" s="1"/>
  <c r="N281" i="13"/>
  <c r="W281" i="13" s="1"/>
  <c r="AG281" i="3"/>
  <c r="AH281" i="3" s="1"/>
  <c r="AI281" i="3" l="1"/>
  <c r="X281" i="3"/>
  <c r="X281" i="13"/>
  <c r="AI281" i="13"/>
  <c r="AJ281" i="3" l="1"/>
  <c r="AK281" i="3" s="1"/>
  <c r="AM281" i="3" s="1"/>
  <c r="AJ281" i="13"/>
  <c r="AK281" i="13" s="1"/>
  <c r="AL281" i="13" s="1"/>
  <c r="AP281" i="13" l="1"/>
  <c r="AQ281" i="13" s="1"/>
  <c r="Y30" i="15" s="1"/>
  <c r="AL281" i="3"/>
  <c r="AM281" i="13"/>
  <c r="AN281" i="13" s="1"/>
  <c r="AO281" i="13" s="1"/>
  <c r="X30" i="15" s="1"/>
  <c r="AN281" i="3" l="1"/>
  <c r="AP281" i="3"/>
  <c r="AQ281" i="3" s="1"/>
  <c r="Y30" i="14" s="1"/>
  <c r="AT281" i="3" l="1"/>
  <c r="AU281" i="3" s="1"/>
  <c r="AO281" i="3"/>
  <c r="X30" i="14" s="1"/>
  <c r="AS281" i="3" l="1"/>
  <c r="AV281" i="3" s="1"/>
  <c r="I282" i="3" l="1"/>
  <c r="J282" i="3"/>
  <c r="I282" i="13"/>
  <c r="J282" i="13"/>
  <c r="AA282" i="13" l="1"/>
  <c r="AE282" i="13"/>
  <c r="AA282" i="3"/>
  <c r="AE282" i="3"/>
  <c r="AG282" i="3"/>
  <c r="AH282" i="3" s="1"/>
  <c r="M282" i="13"/>
  <c r="N282" i="13"/>
  <c r="W282" i="13" s="1"/>
  <c r="K282" i="13"/>
  <c r="U282" i="13" s="1"/>
  <c r="L282" i="13"/>
  <c r="V282" i="13" s="1"/>
  <c r="M282" i="3"/>
  <c r="N282" i="3"/>
  <c r="W282" i="3" s="1"/>
  <c r="K282" i="3"/>
  <c r="U282" i="3" s="1"/>
  <c r="L282" i="3"/>
  <c r="V282" i="3" s="1"/>
  <c r="AG282" i="13"/>
  <c r="AH282" i="13" s="1"/>
  <c r="X282" i="3" l="1"/>
  <c r="AI282" i="3"/>
  <c r="AI282" i="13"/>
  <c r="X282" i="13"/>
  <c r="AJ282" i="13" l="1"/>
  <c r="AK282" i="13" s="1"/>
  <c r="AL282" i="13" s="1"/>
  <c r="AJ282" i="3"/>
  <c r="AK282" i="3" s="1"/>
  <c r="AM282" i="3" s="1"/>
  <c r="AP282" i="13" l="1"/>
  <c r="AQ282" i="13" s="1"/>
  <c r="AM282" i="13"/>
  <c r="AN282" i="13" s="1"/>
  <c r="AO282" i="13" s="1"/>
  <c r="AL282" i="3"/>
  <c r="AP282" i="3" l="1"/>
  <c r="AQ282" i="3" s="1"/>
  <c r="AN282" i="3"/>
  <c r="AT282" i="3" l="1"/>
  <c r="AU282" i="3" s="1"/>
  <c r="AO282" i="3"/>
  <c r="AS282" i="3" l="1"/>
  <c r="AV282" i="3" s="1"/>
  <c r="J283" i="3" l="1"/>
  <c r="I283" i="3"/>
  <c r="I283" i="13"/>
  <c r="J283" i="13"/>
  <c r="AA283" i="13" l="1"/>
  <c r="AE283" i="13"/>
  <c r="AA283" i="3"/>
  <c r="AE283" i="3"/>
  <c r="N283" i="3"/>
  <c r="W283" i="3" s="1"/>
  <c r="K283" i="3"/>
  <c r="U283" i="3" s="1"/>
  <c r="L283" i="3"/>
  <c r="V283" i="3" s="1"/>
  <c r="M283" i="3"/>
  <c r="M283" i="13"/>
  <c r="L283" i="13"/>
  <c r="V283" i="13" s="1"/>
  <c r="N283" i="13"/>
  <c r="W283" i="13" s="1"/>
  <c r="K283" i="13"/>
  <c r="U283" i="13" s="1"/>
  <c r="AG283" i="13"/>
  <c r="AH283" i="13" s="1"/>
  <c r="AG283" i="3"/>
  <c r="AH283" i="3" s="1"/>
  <c r="X283" i="13" l="1"/>
  <c r="AI283" i="13"/>
  <c r="X283" i="3"/>
  <c r="AI283" i="3"/>
  <c r="AJ283" i="3" l="1"/>
  <c r="AK283" i="3" s="1"/>
  <c r="AM283" i="3" s="1"/>
  <c r="AJ283" i="13"/>
  <c r="AK283" i="13" s="1"/>
  <c r="AL283" i="13" s="1"/>
  <c r="AP283" i="13" l="1"/>
  <c r="AL283" i="3"/>
  <c r="AM283" i="13"/>
  <c r="AN283" i="13" s="1"/>
  <c r="AO283" i="13" s="1"/>
  <c r="AQ283" i="13" l="1"/>
  <c r="AP283" i="3"/>
  <c r="AQ283" i="3" s="1"/>
  <c r="AN283" i="3"/>
  <c r="AT283" i="3" l="1"/>
  <c r="AU283" i="3" s="1"/>
  <c r="AO283" i="3"/>
  <c r="AS283" i="3" l="1"/>
  <c r="AV283" i="3" s="1"/>
  <c r="I284" i="3" l="1"/>
  <c r="J284" i="3"/>
  <c r="I284" i="13"/>
  <c r="J284" i="13"/>
  <c r="AA284" i="13" l="1"/>
  <c r="AE284" i="13"/>
  <c r="AA284" i="3"/>
  <c r="AE284" i="3"/>
  <c r="M284" i="13"/>
  <c r="K284" i="13"/>
  <c r="U284" i="13" s="1"/>
  <c r="L284" i="13"/>
  <c r="V284" i="13" s="1"/>
  <c r="N284" i="13"/>
  <c r="W284" i="13" s="1"/>
  <c r="AG284" i="13"/>
  <c r="AH284" i="13" s="1"/>
  <c r="K284" i="3"/>
  <c r="U284" i="3" s="1"/>
  <c r="L284" i="3"/>
  <c r="V284" i="3" s="1"/>
  <c r="M284" i="3"/>
  <c r="N284" i="3"/>
  <c r="W284" i="3" s="1"/>
  <c r="AG284" i="3"/>
  <c r="AH284" i="3" s="1"/>
  <c r="AI284" i="3" l="1"/>
  <c r="X284" i="3"/>
  <c r="X284" i="13"/>
  <c r="AI284" i="13"/>
  <c r="AJ284" i="13" l="1"/>
  <c r="AK284" i="13" s="1"/>
  <c r="AL284" i="13" s="1"/>
  <c r="AJ284" i="3"/>
  <c r="AK284" i="3" s="1"/>
  <c r="AM284" i="3" s="1"/>
  <c r="AM284" i="13" l="1"/>
  <c r="AN284" i="13" s="1"/>
  <c r="AO284" i="13" s="1"/>
  <c r="AL284" i="3"/>
  <c r="AP284" i="13"/>
  <c r="AQ284" i="13" s="1"/>
  <c r="AN284" i="3" l="1"/>
  <c r="AP284" i="3"/>
  <c r="AQ284" i="3" s="1"/>
  <c r="AT284" i="3" l="1"/>
  <c r="AU284" i="3" s="1"/>
  <c r="AO284" i="3"/>
  <c r="AS284" i="3" l="1"/>
  <c r="AV284" i="3" s="1"/>
  <c r="I285" i="3" l="1"/>
  <c r="J285" i="3"/>
  <c r="I285" i="13"/>
  <c r="J285" i="13"/>
  <c r="AA285" i="13" l="1"/>
  <c r="AE285" i="13"/>
  <c r="AA285" i="3"/>
  <c r="AE285" i="3"/>
  <c r="M285" i="13"/>
  <c r="K285" i="13"/>
  <c r="U285" i="13" s="1"/>
  <c r="L285" i="13"/>
  <c r="V285" i="13" s="1"/>
  <c r="N285" i="13"/>
  <c r="W285" i="13" s="1"/>
  <c r="AG285" i="13"/>
  <c r="AH285" i="13" s="1"/>
  <c r="L285" i="3"/>
  <c r="V285" i="3" s="1"/>
  <c r="M285" i="3"/>
  <c r="N285" i="3"/>
  <c r="W285" i="3" s="1"/>
  <c r="K285" i="3"/>
  <c r="U285" i="3" s="1"/>
  <c r="AG285" i="3"/>
  <c r="AH285" i="3" s="1"/>
  <c r="AI285" i="3" l="1"/>
  <c r="X285" i="3"/>
  <c r="X285" i="13"/>
  <c r="AI285" i="13"/>
  <c r="AJ285" i="13" l="1"/>
  <c r="AK285" i="13" s="1"/>
  <c r="AL285" i="13" s="1"/>
  <c r="AJ285" i="3"/>
  <c r="AK285" i="3" s="1"/>
  <c r="AM285" i="3" s="1"/>
  <c r="AP285" i="13" l="1"/>
  <c r="AL285" i="3"/>
  <c r="AM285" i="13"/>
  <c r="AN285" i="13" s="1"/>
  <c r="AO285" i="13" s="1"/>
  <c r="AQ285" i="13" l="1"/>
  <c r="AN285" i="3"/>
  <c r="AP285" i="3"/>
  <c r="AQ285" i="3" s="1"/>
  <c r="AT285" i="3" l="1"/>
  <c r="AU285" i="3" s="1"/>
  <c r="AO285" i="3"/>
  <c r="AS285" i="3" l="1"/>
  <c r="AV285" i="3" s="1"/>
  <c r="I286" i="3" l="1"/>
  <c r="J286" i="3"/>
  <c r="I286" i="13"/>
  <c r="J286" i="13"/>
  <c r="AA286" i="13" l="1"/>
  <c r="AE286" i="13"/>
  <c r="AA286" i="3"/>
  <c r="AE286" i="3"/>
  <c r="AG286" i="3"/>
  <c r="AH286" i="3" s="1"/>
  <c r="M286" i="13"/>
  <c r="N286" i="13"/>
  <c r="W286" i="13" s="1"/>
  <c r="K286" i="13"/>
  <c r="U286" i="13" s="1"/>
  <c r="L286" i="13"/>
  <c r="V286" i="13" s="1"/>
  <c r="AG286" i="13"/>
  <c r="AH286" i="13" s="1"/>
  <c r="M286" i="3"/>
  <c r="N286" i="3"/>
  <c r="W286" i="3" s="1"/>
  <c r="K286" i="3"/>
  <c r="U286" i="3" s="1"/>
  <c r="L286" i="3"/>
  <c r="V286" i="3" s="1"/>
  <c r="AI286" i="13" l="1"/>
  <c r="X286" i="13"/>
  <c r="X286" i="3"/>
  <c r="AI286" i="3"/>
  <c r="AJ286" i="13" l="1"/>
  <c r="AK286" i="13" s="1"/>
  <c r="AL286" i="13" s="1"/>
  <c r="AJ286" i="3"/>
  <c r="AK286" i="3" s="1"/>
  <c r="AM286" i="3" s="1"/>
  <c r="AL286" i="3" l="1"/>
  <c r="AP286" i="3" s="1"/>
  <c r="AQ286" i="3" s="1"/>
  <c r="AM286" i="13"/>
  <c r="AN286" i="13" s="1"/>
  <c r="AO286" i="13" s="1"/>
  <c r="AP286" i="13"/>
  <c r="AQ286" i="13" s="1"/>
  <c r="AN286" i="3" l="1"/>
  <c r="AO286" i="3" s="1"/>
  <c r="AT286" i="3"/>
  <c r="AU286" i="3" s="1"/>
  <c r="AS286" i="3" l="1"/>
  <c r="AV286" i="3" s="1"/>
  <c r="J287" i="3" l="1"/>
  <c r="I287" i="3"/>
  <c r="I287" i="13"/>
  <c r="J287" i="13"/>
  <c r="AA287" i="13" l="1"/>
  <c r="AE287" i="13"/>
  <c r="AA287" i="3"/>
  <c r="AE287" i="3"/>
  <c r="N287" i="3"/>
  <c r="W287" i="3" s="1"/>
  <c r="K287" i="3"/>
  <c r="U287" i="3" s="1"/>
  <c r="L287" i="3"/>
  <c r="V287" i="3" s="1"/>
  <c r="M287" i="3"/>
  <c r="M287" i="13"/>
  <c r="L287" i="13"/>
  <c r="V287" i="13" s="1"/>
  <c r="N287" i="13"/>
  <c r="W287" i="13" s="1"/>
  <c r="K287" i="13"/>
  <c r="U287" i="13" s="1"/>
  <c r="AG287" i="3"/>
  <c r="AH287" i="3" s="1"/>
  <c r="AG287" i="13"/>
  <c r="AH287" i="13" s="1"/>
  <c r="X287" i="13" l="1"/>
  <c r="AI287" i="13"/>
  <c r="X287" i="3"/>
  <c r="AI287" i="3"/>
  <c r="AJ287" i="3" l="1"/>
  <c r="AK287" i="3" s="1"/>
  <c r="AM287" i="3" s="1"/>
  <c r="AJ287" i="13"/>
  <c r="AK287" i="13" s="1"/>
  <c r="AL287" i="13" s="1"/>
  <c r="AP287" i="13" l="1"/>
  <c r="AL287" i="3"/>
  <c r="AM287" i="13"/>
  <c r="AN287" i="13" s="1"/>
  <c r="AO287" i="13" s="1"/>
  <c r="AQ287" i="13" l="1"/>
  <c r="AP287" i="3"/>
  <c r="AQ287" i="3" s="1"/>
  <c r="AN287" i="3"/>
  <c r="AT287" i="3" l="1"/>
  <c r="AU287" i="3" s="1"/>
  <c r="AO287" i="3"/>
  <c r="AS287" i="3" l="1"/>
  <c r="AV287" i="3" s="1"/>
  <c r="I288" i="3" l="1"/>
  <c r="I288" i="13"/>
  <c r="J288" i="3"/>
  <c r="J288" i="13"/>
  <c r="AA288" i="13" l="1"/>
  <c r="AE288" i="13"/>
  <c r="AA288" i="3"/>
  <c r="AE288" i="3"/>
  <c r="AG288" i="3"/>
  <c r="AH288" i="3" s="1"/>
  <c r="M288" i="13"/>
  <c r="K288" i="13"/>
  <c r="U288" i="13" s="1"/>
  <c r="L288" i="13"/>
  <c r="V288" i="13" s="1"/>
  <c r="N288" i="13"/>
  <c r="W288" i="13" s="1"/>
  <c r="K288" i="3"/>
  <c r="U288" i="3" s="1"/>
  <c r="L288" i="3"/>
  <c r="V288" i="3" s="1"/>
  <c r="M288" i="3"/>
  <c r="N288" i="3"/>
  <c r="W288" i="3" s="1"/>
  <c r="AG288" i="13"/>
  <c r="AH288" i="13" s="1"/>
  <c r="X288" i="13" l="1"/>
  <c r="AI288" i="13"/>
  <c r="AI288" i="3"/>
  <c r="X288" i="3"/>
  <c r="AJ288" i="13" l="1"/>
  <c r="AK288" i="13" s="1"/>
  <c r="AL288" i="13" s="1"/>
  <c r="AJ288" i="3"/>
  <c r="AK288" i="3" s="1"/>
  <c r="AM288" i="3" s="1"/>
  <c r="AP288" i="13" l="1"/>
  <c r="AM288" i="13"/>
  <c r="AL288" i="3"/>
  <c r="AN288" i="3" l="1"/>
  <c r="AP288" i="3"/>
  <c r="AQ288" i="3" s="1"/>
  <c r="AQ288" i="13"/>
  <c r="AN288" i="13"/>
  <c r="AO288" i="13" s="1"/>
  <c r="AT288" i="3" l="1"/>
  <c r="AU288" i="3" s="1"/>
  <c r="AO288" i="3"/>
  <c r="AS288" i="3" l="1"/>
  <c r="AV288" i="3" s="1"/>
  <c r="I289" i="3" l="1"/>
  <c r="J289" i="3"/>
  <c r="I289" i="13"/>
  <c r="J289" i="13"/>
  <c r="AA289" i="13" l="1"/>
  <c r="AE289" i="13"/>
  <c r="AA289" i="3"/>
  <c r="AE289" i="3"/>
  <c r="AG289" i="3"/>
  <c r="AH289" i="3" s="1"/>
  <c r="M289" i="13"/>
  <c r="K289" i="13"/>
  <c r="U289" i="13" s="1"/>
  <c r="L289" i="13"/>
  <c r="V289" i="13" s="1"/>
  <c r="N289" i="13"/>
  <c r="W289" i="13" s="1"/>
  <c r="AG289" i="13"/>
  <c r="AH289" i="13" s="1"/>
  <c r="L289" i="3"/>
  <c r="V289" i="3" s="1"/>
  <c r="M289" i="3"/>
  <c r="N289" i="3"/>
  <c r="W289" i="3" s="1"/>
  <c r="K289" i="3"/>
  <c r="U289" i="3" s="1"/>
  <c r="AI289" i="3" l="1"/>
  <c r="X289" i="3"/>
  <c r="X289" i="13"/>
  <c r="AI289" i="13"/>
  <c r="AJ289" i="13" l="1"/>
  <c r="AK289" i="13" s="1"/>
  <c r="AL289" i="13" s="1"/>
  <c r="AJ289" i="3"/>
  <c r="AK289" i="3" s="1"/>
  <c r="AM289" i="3" s="1"/>
  <c r="AL289" i="3" l="1"/>
  <c r="AP289" i="13"/>
  <c r="AM289" i="13" l="1"/>
  <c r="AQ289" i="13" s="1"/>
  <c r="AN289" i="3"/>
  <c r="AP289" i="3"/>
  <c r="AQ289" i="3" s="1"/>
  <c r="AT289" i="3" l="1"/>
  <c r="AU289" i="3" s="1"/>
  <c r="AO289" i="3"/>
  <c r="AN289" i="13"/>
  <c r="AO289" i="13" s="1"/>
  <c r="AS289" i="3" l="1"/>
  <c r="AV289" i="3" s="1"/>
  <c r="I290" i="3" l="1"/>
  <c r="J290" i="3"/>
  <c r="I290" i="13"/>
  <c r="J290" i="13"/>
  <c r="AA290" i="13" l="1"/>
  <c r="AE290" i="13"/>
  <c r="AA290" i="3"/>
  <c r="AE290" i="3"/>
  <c r="AG290" i="13"/>
  <c r="AH290" i="13" s="1"/>
  <c r="K290" i="13"/>
  <c r="U290" i="13" s="1"/>
  <c r="L290" i="13"/>
  <c r="V290" i="13" s="1"/>
  <c r="M290" i="13"/>
  <c r="N290" i="13"/>
  <c r="W290" i="13" s="1"/>
  <c r="M290" i="3"/>
  <c r="N290" i="3"/>
  <c r="W290" i="3" s="1"/>
  <c r="K290" i="3"/>
  <c r="U290" i="3" s="1"/>
  <c r="L290" i="3"/>
  <c r="V290" i="3" s="1"/>
  <c r="AG290" i="3"/>
  <c r="AH290" i="3" s="1"/>
  <c r="AI290" i="13" l="1"/>
  <c r="X290" i="13"/>
  <c r="X290" i="3"/>
  <c r="AI290" i="3"/>
  <c r="AJ290" i="13" l="1"/>
  <c r="AK290" i="13" s="1"/>
  <c r="AL290" i="13" s="1"/>
  <c r="AJ290" i="3"/>
  <c r="AK290" i="3" s="1"/>
  <c r="AM290" i="3" s="1"/>
  <c r="AL290" i="3" l="1"/>
  <c r="AP290" i="13"/>
  <c r="AP290" i="3" l="1"/>
  <c r="AQ290" i="3" s="1"/>
  <c r="AN290" i="3"/>
  <c r="AM290" i="13"/>
  <c r="AN290" i="13" l="1"/>
  <c r="AO290" i="13" s="1"/>
  <c r="AT290" i="3"/>
  <c r="AU290" i="3" s="1"/>
  <c r="AO290" i="3"/>
  <c r="AQ290" i="13"/>
  <c r="AS290" i="3" l="1"/>
  <c r="AV290" i="3" s="1"/>
  <c r="J291" i="3" l="1"/>
  <c r="I291" i="3"/>
  <c r="I291" i="13"/>
  <c r="J291" i="13"/>
  <c r="AA291" i="13" l="1"/>
  <c r="AE291" i="13"/>
  <c r="AA291" i="3"/>
  <c r="AE291" i="3"/>
  <c r="N291" i="3"/>
  <c r="W291" i="3" s="1"/>
  <c r="K291" i="3"/>
  <c r="U291" i="3" s="1"/>
  <c r="L291" i="3"/>
  <c r="V291" i="3" s="1"/>
  <c r="M291" i="3"/>
  <c r="K291" i="13"/>
  <c r="U291" i="13" s="1"/>
  <c r="L291" i="13"/>
  <c r="V291" i="13" s="1"/>
  <c r="M291" i="13"/>
  <c r="N291" i="13"/>
  <c r="W291" i="13" s="1"/>
  <c r="AG291" i="3"/>
  <c r="AH291" i="3" s="1"/>
  <c r="AG291" i="13"/>
  <c r="AH291" i="13" s="1"/>
  <c r="AI291" i="13" l="1"/>
  <c r="X291" i="13"/>
  <c r="X291" i="3"/>
  <c r="AI291" i="3"/>
  <c r="AJ291" i="3" l="1"/>
  <c r="AK291" i="3" s="1"/>
  <c r="AM291" i="3" s="1"/>
  <c r="AJ291" i="13"/>
  <c r="AK291" i="13" s="1"/>
  <c r="AL291" i="13" s="1"/>
  <c r="AL291" i="3" l="1"/>
  <c r="AP291" i="13"/>
  <c r="AM291" i="13" l="1"/>
  <c r="AQ291" i="13" s="1"/>
  <c r="AP291" i="3"/>
  <c r="AQ291" i="3" s="1"/>
  <c r="AN291" i="3"/>
  <c r="AT291" i="3" l="1"/>
  <c r="AU291" i="3" s="1"/>
  <c r="AO291" i="3"/>
  <c r="AN291" i="13"/>
  <c r="AO291" i="13" s="1"/>
  <c r="AS291" i="3" l="1"/>
  <c r="AV291" i="3" s="1"/>
  <c r="I292" i="3" l="1"/>
  <c r="J292" i="3"/>
  <c r="I292" i="13"/>
  <c r="J292" i="13"/>
  <c r="AA292" i="13" l="1"/>
  <c r="AE292" i="13"/>
  <c r="AA292" i="3"/>
  <c r="AE292" i="3"/>
  <c r="AG292" i="3"/>
  <c r="AH292" i="3" s="1"/>
  <c r="K292" i="13"/>
  <c r="U292" i="13" s="1"/>
  <c r="L292" i="13"/>
  <c r="V292" i="13" s="1"/>
  <c r="M292" i="13"/>
  <c r="N292" i="13"/>
  <c r="W292" i="13" s="1"/>
  <c r="K292" i="3"/>
  <c r="U292" i="3" s="1"/>
  <c r="L292" i="3"/>
  <c r="V292" i="3" s="1"/>
  <c r="M292" i="3"/>
  <c r="N292" i="3"/>
  <c r="W292" i="3" s="1"/>
  <c r="AG292" i="13"/>
  <c r="AH292" i="13" s="1"/>
  <c r="AI292" i="3" l="1"/>
  <c r="X292" i="3"/>
  <c r="AI292" i="13"/>
  <c r="X292" i="13"/>
  <c r="AJ292" i="3" l="1"/>
  <c r="AK292" i="3" s="1"/>
  <c r="AM292" i="3" s="1"/>
  <c r="AJ292" i="13"/>
  <c r="AK292" i="13" s="1"/>
  <c r="AL292" i="13" s="1"/>
  <c r="AP292" i="13" l="1"/>
  <c r="AL292" i="3"/>
  <c r="AN292" i="3" l="1"/>
  <c r="AP292" i="3"/>
  <c r="AQ292" i="3" s="1"/>
  <c r="AM292" i="13"/>
  <c r="AQ292" i="13" s="1"/>
  <c r="AN292" i="13" l="1"/>
  <c r="AO292" i="13" s="1"/>
  <c r="AT292" i="3"/>
  <c r="AU292" i="3" s="1"/>
  <c r="AO292" i="3"/>
  <c r="AS292" i="3" l="1"/>
  <c r="AV292" i="3" s="1"/>
  <c r="I293" i="3" l="1"/>
  <c r="J293" i="3"/>
  <c r="I293" i="13"/>
  <c r="J293" i="13"/>
  <c r="AA293" i="13" l="1"/>
  <c r="AE293" i="13"/>
  <c r="AA293" i="3"/>
  <c r="AE293" i="3"/>
  <c r="AG293" i="3"/>
  <c r="AH293" i="3" s="1"/>
  <c r="K293" i="13"/>
  <c r="U293" i="13" s="1"/>
  <c r="L293" i="13"/>
  <c r="V293" i="13" s="1"/>
  <c r="M293" i="13"/>
  <c r="N293" i="13"/>
  <c r="W293" i="13" s="1"/>
  <c r="L293" i="3"/>
  <c r="V293" i="3" s="1"/>
  <c r="M293" i="3"/>
  <c r="N293" i="3"/>
  <c r="W293" i="3" s="1"/>
  <c r="K293" i="3"/>
  <c r="U293" i="3" s="1"/>
  <c r="AG293" i="13"/>
  <c r="AH293" i="13" s="1"/>
  <c r="AI293" i="3" l="1"/>
  <c r="X293" i="3"/>
  <c r="AI293" i="13"/>
  <c r="X293" i="13"/>
  <c r="AJ293" i="13" l="1"/>
  <c r="AK293" i="13" s="1"/>
  <c r="AL293" i="13" s="1"/>
  <c r="AJ293" i="3"/>
  <c r="AK293" i="3" s="1"/>
  <c r="AM293" i="3" s="1"/>
  <c r="AL293" i="3" l="1"/>
  <c r="AM293" i="13"/>
  <c r="AN293" i="13" s="1"/>
  <c r="AO293" i="13" s="1"/>
  <c r="X31" i="15" s="1"/>
  <c r="AP293" i="13"/>
  <c r="AQ293" i="13" l="1"/>
  <c r="Y31" i="15" s="1"/>
  <c r="AN293" i="3"/>
  <c r="AP293" i="3"/>
  <c r="AQ293" i="3" s="1"/>
  <c r="Y31" i="14" s="1"/>
  <c r="AT293" i="3" l="1"/>
  <c r="AU293" i="3" s="1"/>
  <c r="AO293" i="3"/>
  <c r="X31" i="14" s="1"/>
  <c r="AS293" i="3" l="1"/>
  <c r="AV293" i="3" s="1"/>
  <c r="I294" i="3" l="1"/>
  <c r="J294" i="3"/>
  <c r="I294" i="13"/>
  <c r="J294" i="13"/>
  <c r="AA294" i="13" l="1"/>
  <c r="AE294" i="13"/>
  <c r="AA294" i="3"/>
  <c r="AE294" i="3"/>
  <c r="K294" i="13"/>
  <c r="U294" i="13" s="1"/>
  <c r="L294" i="13"/>
  <c r="V294" i="13" s="1"/>
  <c r="M294" i="13"/>
  <c r="N294" i="13"/>
  <c r="W294" i="13" s="1"/>
  <c r="AG294" i="13"/>
  <c r="AH294" i="13" s="1"/>
  <c r="M294" i="3"/>
  <c r="N294" i="3"/>
  <c r="W294" i="3" s="1"/>
  <c r="K294" i="3"/>
  <c r="U294" i="3" s="1"/>
  <c r="L294" i="3"/>
  <c r="V294" i="3" s="1"/>
  <c r="AG294" i="3"/>
  <c r="AH294" i="3" s="1"/>
  <c r="X294" i="3" l="1"/>
  <c r="AI294" i="3"/>
  <c r="AI294" i="13"/>
  <c r="X294" i="13"/>
  <c r="AJ294" i="3" l="1"/>
  <c r="AK294" i="3" s="1"/>
  <c r="AM294" i="3" s="1"/>
  <c r="AJ294" i="13"/>
  <c r="AK294" i="13" s="1"/>
  <c r="AL294" i="13" s="1"/>
  <c r="AP294" i="13" l="1"/>
  <c r="AL294" i="3"/>
  <c r="AM294" i="13"/>
  <c r="AN294" i="13" s="1"/>
  <c r="AO294" i="13" s="1"/>
  <c r="AQ294" i="13" l="1"/>
  <c r="AP294" i="3"/>
  <c r="AQ294" i="3" s="1"/>
  <c r="AN294" i="3"/>
  <c r="AT294" i="3" l="1"/>
  <c r="AU294" i="3" s="1"/>
  <c r="AO294" i="3"/>
  <c r="AS294" i="3" l="1"/>
  <c r="AV294" i="3" s="1"/>
  <c r="J295" i="3" l="1"/>
  <c r="I295" i="3"/>
  <c r="I295" i="13"/>
  <c r="J295" i="13"/>
  <c r="AA295" i="13" l="1"/>
  <c r="AE295" i="13"/>
  <c r="AA295" i="3"/>
  <c r="AE295" i="3"/>
  <c r="N295" i="3"/>
  <c r="W295" i="3" s="1"/>
  <c r="K295" i="3"/>
  <c r="U295" i="3" s="1"/>
  <c r="L295" i="3"/>
  <c r="V295" i="3" s="1"/>
  <c r="M295" i="3"/>
  <c r="K295" i="13"/>
  <c r="U295" i="13" s="1"/>
  <c r="L295" i="13"/>
  <c r="V295" i="13" s="1"/>
  <c r="M295" i="13"/>
  <c r="N295" i="13"/>
  <c r="W295" i="13" s="1"/>
  <c r="AG295" i="13"/>
  <c r="AH295" i="13" s="1"/>
  <c r="AG295" i="3"/>
  <c r="AH295" i="3" s="1"/>
  <c r="AI295" i="13" l="1"/>
  <c r="X295" i="13"/>
  <c r="X295" i="3"/>
  <c r="AI295" i="3"/>
  <c r="AJ295" i="3" l="1"/>
  <c r="AK295" i="3" s="1"/>
  <c r="AM295" i="3" s="1"/>
  <c r="AJ295" i="13"/>
  <c r="AK295" i="13" s="1"/>
  <c r="AL295" i="13" s="1"/>
  <c r="AP295" i="13" l="1"/>
  <c r="AM295" i="13"/>
  <c r="AN295" i="13" s="1"/>
  <c r="AO295" i="13" s="1"/>
  <c r="AL295" i="3"/>
  <c r="AQ295" i="13" l="1"/>
  <c r="AP295" i="3"/>
  <c r="AQ295" i="3" s="1"/>
  <c r="AN295" i="3"/>
  <c r="AT295" i="3" l="1"/>
  <c r="AU295" i="3" s="1"/>
  <c r="AO295" i="3"/>
  <c r="AS295" i="3" l="1"/>
  <c r="AV295" i="3" s="1"/>
  <c r="I296" i="3" l="1"/>
  <c r="J296" i="3"/>
  <c r="I296" i="13"/>
  <c r="J296" i="13"/>
  <c r="AA296" i="13" l="1"/>
  <c r="AE296" i="13"/>
  <c r="AA296" i="3"/>
  <c r="AE296" i="3"/>
  <c r="AG296" i="3"/>
  <c r="AH296" i="3" s="1"/>
  <c r="K296" i="13"/>
  <c r="U296" i="13" s="1"/>
  <c r="L296" i="13"/>
  <c r="V296" i="13" s="1"/>
  <c r="M296" i="13"/>
  <c r="N296" i="13"/>
  <c r="W296" i="13" s="1"/>
  <c r="AG296" i="13"/>
  <c r="AH296" i="13" s="1"/>
  <c r="K296" i="3"/>
  <c r="U296" i="3" s="1"/>
  <c r="L296" i="3"/>
  <c r="V296" i="3" s="1"/>
  <c r="M296" i="3"/>
  <c r="N296" i="3"/>
  <c r="W296" i="3" s="1"/>
  <c r="AI296" i="3" l="1"/>
  <c r="X296" i="3"/>
  <c r="AI296" i="13"/>
  <c r="X296" i="13"/>
  <c r="AJ296" i="13" l="1"/>
  <c r="AK296" i="13" s="1"/>
  <c r="AL296" i="13" s="1"/>
  <c r="AJ296" i="3"/>
  <c r="AK296" i="3" s="1"/>
  <c r="AM296" i="3" s="1"/>
  <c r="AP296" i="13" l="1"/>
  <c r="AQ296" i="13" s="1"/>
  <c r="AL296" i="3"/>
  <c r="AM296" i="13"/>
  <c r="AN296" i="13" s="1"/>
  <c r="AO296" i="13" s="1"/>
  <c r="AN296" i="3" l="1"/>
  <c r="AP296" i="3"/>
  <c r="AQ296" i="3" s="1"/>
  <c r="AT296" i="3" l="1"/>
  <c r="AU296" i="3" s="1"/>
  <c r="AO296" i="3"/>
  <c r="AS296" i="3" l="1"/>
  <c r="AV296" i="3" s="1"/>
  <c r="I297" i="3" l="1"/>
  <c r="J297" i="3"/>
  <c r="I297" i="13"/>
  <c r="J297" i="13"/>
  <c r="AA297" i="13" l="1"/>
  <c r="AE297" i="13"/>
  <c r="AA297" i="3"/>
  <c r="AE297" i="3"/>
  <c r="K297" i="13"/>
  <c r="U297" i="13" s="1"/>
  <c r="L297" i="13"/>
  <c r="V297" i="13" s="1"/>
  <c r="M297" i="13"/>
  <c r="N297" i="13"/>
  <c r="W297" i="13" s="1"/>
  <c r="AG297" i="13"/>
  <c r="AH297" i="13" s="1"/>
  <c r="L297" i="3"/>
  <c r="V297" i="3" s="1"/>
  <c r="M297" i="3"/>
  <c r="N297" i="3"/>
  <c r="W297" i="3" s="1"/>
  <c r="K297" i="3"/>
  <c r="U297" i="3" s="1"/>
  <c r="AG297" i="3"/>
  <c r="AH297" i="3" s="1"/>
  <c r="AI297" i="3" l="1"/>
  <c r="X297" i="3"/>
  <c r="AI297" i="13"/>
  <c r="X297" i="13"/>
  <c r="AJ297" i="3" l="1"/>
  <c r="AK297" i="3" s="1"/>
  <c r="AM297" i="3" s="1"/>
  <c r="AJ297" i="13"/>
  <c r="AK297" i="13" s="1"/>
  <c r="AL297" i="13" s="1"/>
  <c r="AP297" i="13" l="1"/>
  <c r="AQ297" i="13" s="1"/>
  <c r="AL297" i="3"/>
  <c r="AM297" i="13"/>
  <c r="AN297" i="13" s="1"/>
  <c r="AO297" i="13" s="1"/>
  <c r="AN297" i="3" l="1"/>
  <c r="AP297" i="3"/>
  <c r="AQ297" i="3" s="1"/>
  <c r="AT297" i="3" l="1"/>
  <c r="AU297" i="3" s="1"/>
  <c r="AO297" i="3"/>
  <c r="AS297" i="3" l="1"/>
  <c r="AV297" i="3" s="1"/>
  <c r="I298" i="3" l="1"/>
  <c r="J298" i="3"/>
  <c r="I298" i="13"/>
  <c r="J298" i="13"/>
  <c r="AA298" i="13" l="1"/>
  <c r="AE298" i="13"/>
  <c r="AA298" i="3"/>
  <c r="AE298" i="3"/>
  <c r="AG298" i="3"/>
  <c r="AH298" i="3" s="1"/>
  <c r="K298" i="13"/>
  <c r="U298" i="13" s="1"/>
  <c r="L298" i="13"/>
  <c r="V298" i="13" s="1"/>
  <c r="M298" i="13"/>
  <c r="N298" i="13"/>
  <c r="W298" i="13" s="1"/>
  <c r="M298" i="3"/>
  <c r="N298" i="3"/>
  <c r="W298" i="3" s="1"/>
  <c r="K298" i="3"/>
  <c r="U298" i="3" s="1"/>
  <c r="L298" i="3"/>
  <c r="V298" i="3" s="1"/>
  <c r="AG298" i="13"/>
  <c r="AH298" i="13" s="1"/>
  <c r="X298" i="3" l="1"/>
  <c r="AI298" i="3"/>
  <c r="AI298" i="13"/>
  <c r="X298" i="13"/>
  <c r="AJ298" i="13" l="1"/>
  <c r="AK298" i="13" s="1"/>
  <c r="AL298" i="13" s="1"/>
  <c r="AJ298" i="3"/>
  <c r="AK298" i="3" s="1"/>
  <c r="AM298" i="3" s="1"/>
  <c r="AP298" i="13" l="1"/>
  <c r="AQ298" i="13" s="1"/>
  <c r="AL298" i="3"/>
  <c r="AM298" i="13"/>
  <c r="AN298" i="13" s="1"/>
  <c r="AO298" i="13" s="1"/>
  <c r="AP298" i="3" l="1"/>
  <c r="AQ298" i="3" s="1"/>
  <c r="AN298" i="3"/>
  <c r="AT298" i="3" l="1"/>
  <c r="AU298" i="3" s="1"/>
  <c r="AO298" i="3"/>
  <c r="AS298" i="3" l="1"/>
  <c r="AV298" i="3" s="1"/>
  <c r="J299" i="3" l="1"/>
  <c r="I299" i="3"/>
  <c r="I299" i="13"/>
  <c r="J299" i="13"/>
  <c r="AA299" i="13" l="1"/>
  <c r="AE299" i="13"/>
  <c r="AA299" i="3"/>
  <c r="AE299" i="3"/>
  <c r="N299" i="3"/>
  <c r="W299" i="3" s="1"/>
  <c r="K299" i="3"/>
  <c r="U299" i="3" s="1"/>
  <c r="L299" i="3"/>
  <c r="V299" i="3" s="1"/>
  <c r="M299" i="3"/>
  <c r="K299" i="13"/>
  <c r="U299" i="13" s="1"/>
  <c r="L299" i="13"/>
  <c r="V299" i="13" s="1"/>
  <c r="M299" i="13"/>
  <c r="N299" i="13"/>
  <c r="W299" i="13" s="1"/>
  <c r="AG299" i="3"/>
  <c r="AH299" i="3" s="1"/>
  <c r="AG299" i="13"/>
  <c r="AH299" i="13" s="1"/>
  <c r="AI299" i="13" l="1"/>
  <c r="X299" i="13"/>
  <c r="X299" i="3"/>
  <c r="AI299" i="3"/>
  <c r="AJ299" i="3" l="1"/>
  <c r="AK299" i="3" s="1"/>
  <c r="AM299" i="3" s="1"/>
  <c r="AJ299" i="13"/>
  <c r="AK299" i="13" s="1"/>
  <c r="AL299" i="13" s="1"/>
  <c r="AM299" i="13" l="1"/>
  <c r="AN299" i="13" s="1"/>
  <c r="AO299" i="13" s="1"/>
  <c r="AP299" i="13"/>
  <c r="AL299" i="3"/>
  <c r="AQ299" i="13" l="1"/>
  <c r="AP299" i="3"/>
  <c r="AQ299" i="3" s="1"/>
  <c r="AN299" i="3"/>
  <c r="AT299" i="3" l="1"/>
  <c r="AU299" i="3" s="1"/>
  <c r="AO299" i="3"/>
  <c r="AS299" i="3" l="1"/>
  <c r="AV299" i="3" s="1"/>
  <c r="I300" i="3" l="1"/>
  <c r="J300" i="3"/>
  <c r="I300" i="13"/>
  <c r="J300" i="13"/>
  <c r="AA300" i="13" l="1"/>
  <c r="AE300" i="13"/>
  <c r="AA300" i="3"/>
  <c r="AE300" i="3"/>
  <c r="K300" i="13"/>
  <c r="U300" i="13" s="1"/>
  <c r="L300" i="13"/>
  <c r="V300" i="13" s="1"/>
  <c r="M300" i="13"/>
  <c r="N300" i="13"/>
  <c r="W300" i="13" s="1"/>
  <c r="AG300" i="13"/>
  <c r="AH300" i="13" s="1"/>
  <c r="K300" i="3"/>
  <c r="U300" i="3" s="1"/>
  <c r="L300" i="3"/>
  <c r="V300" i="3" s="1"/>
  <c r="M300" i="3"/>
  <c r="N300" i="3"/>
  <c r="W300" i="3" s="1"/>
  <c r="AG300" i="3"/>
  <c r="AH300" i="3" s="1"/>
  <c r="AI300" i="3" l="1"/>
  <c r="X300" i="3"/>
  <c r="AI300" i="13"/>
  <c r="X300" i="13"/>
  <c r="AJ300" i="13" l="1"/>
  <c r="AK300" i="13" s="1"/>
  <c r="AL300" i="13" s="1"/>
  <c r="AJ300" i="3"/>
  <c r="AK300" i="3" s="1"/>
  <c r="AM300" i="3" s="1"/>
  <c r="AP300" i="13" l="1"/>
  <c r="AL300" i="3"/>
  <c r="AN300" i="3" l="1"/>
  <c r="AP300" i="3"/>
  <c r="AQ300" i="3" s="1"/>
  <c r="AM300" i="13"/>
  <c r="AT300" i="3" l="1"/>
  <c r="AU300" i="3" s="1"/>
  <c r="AO300" i="3"/>
  <c r="AN300" i="13"/>
  <c r="AO300" i="13" s="1"/>
  <c r="AQ300" i="13"/>
  <c r="AS300" i="3" l="1"/>
  <c r="AV300" i="3" s="1"/>
  <c r="I301" i="3" l="1"/>
  <c r="J301" i="3"/>
  <c r="I301" i="13"/>
  <c r="J301" i="13"/>
  <c r="AA301" i="13" l="1"/>
  <c r="AE301" i="13"/>
  <c r="AA301" i="3"/>
  <c r="AE301" i="3"/>
  <c r="AG301" i="3"/>
  <c r="AH301" i="3" s="1"/>
  <c r="K301" i="13"/>
  <c r="U301" i="13" s="1"/>
  <c r="L301" i="13"/>
  <c r="V301" i="13" s="1"/>
  <c r="M301" i="13"/>
  <c r="N301" i="13"/>
  <c r="W301" i="13" s="1"/>
  <c r="L301" i="3"/>
  <c r="V301" i="3" s="1"/>
  <c r="M301" i="3"/>
  <c r="N301" i="3"/>
  <c r="W301" i="3" s="1"/>
  <c r="K301" i="3"/>
  <c r="U301" i="3" s="1"/>
  <c r="AG301" i="13"/>
  <c r="AH301" i="13" s="1"/>
  <c r="AI301" i="13" l="1"/>
  <c r="X301" i="13"/>
  <c r="AI301" i="3"/>
  <c r="X301" i="3"/>
  <c r="AJ301" i="3" l="1"/>
  <c r="AK301" i="3" s="1"/>
  <c r="AL301" i="3" s="1"/>
  <c r="AJ301" i="13"/>
  <c r="AK301" i="13" s="1"/>
  <c r="AL301" i="13" s="1"/>
  <c r="AM301" i="3" l="1"/>
  <c r="AP301" i="13"/>
  <c r="AP301" i="3"/>
  <c r="AQ301" i="3" l="1"/>
  <c r="AM301" i="13"/>
  <c r="AQ301" i="13" s="1"/>
  <c r="AN301" i="3"/>
  <c r="AT301" i="3" l="1"/>
  <c r="AU301" i="3" s="1"/>
  <c r="AO301" i="3"/>
  <c r="AN301" i="13"/>
  <c r="AO301" i="13" s="1"/>
  <c r="AS301" i="3" l="1"/>
  <c r="AV301" i="3" s="1"/>
  <c r="I302" i="3" l="1"/>
  <c r="J302" i="3"/>
  <c r="I302" i="13"/>
  <c r="J302" i="13"/>
  <c r="AA302" i="13" l="1"/>
  <c r="AE302" i="13"/>
  <c r="AA302" i="3"/>
  <c r="AE302" i="3"/>
  <c r="AG302" i="3"/>
  <c r="AH302" i="3" s="1"/>
  <c r="K302" i="13"/>
  <c r="U302" i="13" s="1"/>
  <c r="L302" i="13"/>
  <c r="V302" i="13" s="1"/>
  <c r="M302" i="13"/>
  <c r="N302" i="13"/>
  <c r="W302" i="13" s="1"/>
  <c r="AG302" i="13"/>
  <c r="AH302" i="13" s="1"/>
  <c r="M302" i="3"/>
  <c r="N302" i="3"/>
  <c r="W302" i="3" s="1"/>
  <c r="K302" i="3"/>
  <c r="U302" i="3" s="1"/>
  <c r="L302" i="3"/>
  <c r="V302" i="3" s="1"/>
  <c r="X302" i="3" l="1"/>
  <c r="AI302" i="3"/>
  <c r="AI302" i="13"/>
  <c r="X302" i="13"/>
  <c r="AJ302" i="13" l="1"/>
  <c r="AK302" i="13" s="1"/>
  <c r="AL302" i="13" s="1"/>
  <c r="AJ302" i="3"/>
  <c r="AK302" i="3" s="1"/>
  <c r="AM302" i="3" s="1"/>
  <c r="AL302" i="3" l="1"/>
  <c r="AP302" i="13"/>
  <c r="AM302" i="13" l="1"/>
  <c r="AP302" i="3"/>
  <c r="AQ302" i="3" s="1"/>
  <c r="AN302" i="3"/>
  <c r="AT302" i="3" l="1"/>
  <c r="AU302" i="3" s="1"/>
  <c r="AO302" i="3"/>
  <c r="AN302" i="13"/>
  <c r="AO302" i="13" s="1"/>
  <c r="AQ302" i="13"/>
  <c r="AS302" i="3" l="1"/>
  <c r="AV302" i="3" s="1"/>
  <c r="J303" i="3" l="1"/>
  <c r="I303" i="3"/>
  <c r="I303" i="13"/>
  <c r="J303" i="13"/>
  <c r="AA303" i="13" l="1"/>
  <c r="AE303" i="13"/>
  <c r="AA303" i="3"/>
  <c r="AE303" i="3"/>
  <c r="K303" i="13"/>
  <c r="U303" i="13" s="1"/>
  <c r="L303" i="13"/>
  <c r="V303" i="13" s="1"/>
  <c r="M303" i="13"/>
  <c r="N303" i="13"/>
  <c r="W303" i="13" s="1"/>
  <c r="AG303" i="13"/>
  <c r="AH303" i="13" s="1"/>
  <c r="AG303" i="3"/>
  <c r="AH303" i="3" s="1"/>
  <c r="N303" i="3"/>
  <c r="W303" i="3" s="1"/>
  <c r="K303" i="3"/>
  <c r="U303" i="3" s="1"/>
  <c r="L303" i="3"/>
  <c r="V303" i="3" s="1"/>
  <c r="M303" i="3"/>
  <c r="AI303" i="13" l="1"/>
  <c r="X303" i="13"/>
  <c r="X303" i="3"/>
  <c r="AI303" i="3"/>
  <c r="AJ303" i="13" l="1"/>
  <c r="AK303" i="13" s="1"/>
  <c r="AL303" i="13" s="1"/>
  <c r="AJ303" i="3"/>
  <c r="AK303" i="3" s="1"/>
  <c r="AM303" i="3" s="1"/>
  <c r="AL303" i="3" l="1"/>
  <c r="AP303" i="13"/>
  <c r="AM303" i="13" l="1"/>
  <c r="AQ303" i="13" s="1"/>
  <c r="AP303" i="3"/>
  <c r="AQ303" i="3" s="1"/>
  <c r="AN303" i="3"/>
  <c r="AT303" i="3" l="1"/>
  <c r="AU303" i="3" s="1"/>
  <c r="AO303" i="3"/>
  <c r="AN303" i="13"/>
  <c r="AO303" i="13" s="1"/>
  <c r="AS303" i="3" l="1"/>
  <c r="AV303" i="3" s="1"/>
  <c r="I304" i="3" l="1"/>
  <c r="J304" i="3"/>
  <c r="I304" i="13"/>
  <c r="J304" i="13"/>
  <c r="AA304" i="13" l="1"/>
  <c r="AE304" i="13"/>
  <c r="AA304" i="3"/>
  <c r="AE304" i="3"/>
  <c r="AG304" i="3"/>
  <c r="AH304" i="3" s="1"/>
  <c r="K304" i="13"/>
  <c r="U304" i="13" s="1"/>
  <c r="L304" i="13"/>
  <c r="V304" i="13" s="1"/>
  <c r="M304" i="13"/>
  <c r="N304" i="13"/>
  <c r="W304" i="13" s="1"/>
  <c r="AG304" i="13"/>
  <c r="AH304" i="13" s="1"/>
  <c r="K304" i="3"/>
  <c r="U304" i="3" s="1"/>
  <c r="L304" i="3"/>
  <c r="V304" i="3" s="1"/>
  <c r="M304" i="3"/>
  <c r="N304" i="3"/>
  <c r="W304" i="3" s="1"/>
  <c r="AI304" i="3" l="1"/>
  <c r="X304" i="3"/>
  <c r="AI304" i="13"/>
  <c r="X304" i="13"/>
  <c r="AJ304" i="13" l="1"/>
  <c r="AK304" i="13" s="1"/>
  <c r="AL304" i="13" s="1"/>
  <c r="AJ304" i="3"/>
  <c r="AK304" i="3" s="1"/>
  <c r="AM304" i="3" s="1"/>
  <c r="AM304" i="13" l="1"/>
  <c r="AN304" i="13" s="1"/>
  <c r="AO304" i="13" s="1"/>
  <c r="AP304" i="13"/>
  <c r="AQ304" i="13" s="1"/>
  <c r="AL304" i="3"/>
  <c r="AN304" i="3" l="1"/>
  <c r="AP304" i="3"/>
  <c r="AQ304" i="3" s="1"/>
  <c r="AT304" i="3" l="1"/>
  <c r="AU304" i="3" s="1"/>
  <c r="AO304" i="3"/>
  <c r="AS304" i="3" l="1"/>
  <c r="AV304" i="3" s="1"/>
  <c r="I305" i="3" l="1"/>
  <c r="J305" i="3"/>
  <c r="I305" i="13"/>
  <c r="J305" i="13"/>
  <c r="AA305" i="13" l="1"/>
  <c r="AE305" i="13"/>
  <c r="AA305" i="3"/>
  <c r="AE305" i="3"/>
  <c r="AG305" i="3"/>
  <c r="AH305" i="3" s="1"/>
  <c r="K305" i="13"/>
  <c r="U305" i="13" s="1"/>
  <c r="L305" i="13"/>
  <c r="V305" i="13" s="1"/>
  <c r="M305" i="13"/>
  <c r="N305" i="13"/>
  <c r="W305" i="13" s="1"/>
  <c r="AG305" i="13"/>
  <c r="AH305" i="13" s="1"/>
  <c r="L305" i="3"/>
  <c r="V305" i="3" s="1"/>
  <c r="M305" i="3"/>
  <c r="N305" i="3"/>
  <c r="W305" i="3" s="1"/>
  <c r="K305" i="3"/>
  <c r="U305" i="3" s="1"/>
  <c r="AI305" i="3" l="1"/>
  <c r="X305" i="3"/>
  <c r="AI305" i="13"/>
  <c r="X305" i="13"/>
  <c r="AJ305" i="13" l="1"/>
  <c r="AK305" i="13" s="1"/>
  <c r="AL305" i="13" s="1"/>
  <c r="AJ305" i="3"/>
  <c r="AK305" i="3" s="1"/>
  <c r="AM305" i="3" s="1"/>
  <c r="AL305" i="3" l="1"/>
  <c r="AM305" i="13"/>
  <c r="AN305" i="13" s="1"/>
  <c r="AO305" i="13" s="1"/>
  <c r="X32" i="15" s="1"/>
  <c r="AP305" i="13"/>
  <c r="AQ305" i="13" l="1"/>
  <c r="Y32" i="15" s="1"/>
  <c r="AN305" i="3"/>
  <c r="AP305" i="3"/>
  <c r="AQ305" i="3" s="1"/>
  <c r="Y32" i="14" s="1"/>
  <c r="AT305" i="3" l="1"/>
  <c r="AU305" i="3" s="1"/>
  <c r="AO305" i="3"/>
  <c r="X32" i="14" s="1"/>
  <c r="AS305" i="3" l="1"/>
  <c r="AV305" i="3" s="1"/>
  <c r="I306" i="3" l="1"/>
  <c r="J306" i="3"/>
  <c r="I306" i="13"/>
  <c r="J306" i="13"/>
  <c r="AA306" i="13" l="1"/>
  <c r="AE306" i="13"/>
  <c r="AA306" i="3"/>
  <c r="AE306" i="3"/>
  <c r="K306" i="13"/>
  <c r="U306" i="13" s="1"/>
  <c r="L306" i="13"/>
  <c r="V306" i="13" s="1"/>
  <c r="M306" i="13"/>
  <c r="N306" i="13"/>
  <c r="W306" i="13" s="1"/>
  <c r="AG306" i="13"/>
  <c r="AH306" i="13" s="1"/>
  <c r="M306" i="3"/>
  <c r="N306" i="3"/>
  <c r="W306" i="3" s="1"/>
  <c r="K306" i="3"/>
  <c r="U306" i="3" s="1"/>
  <c r="L306" i="3"/>
  <c r="V306" i="3" s="1"/>
  <c r="AG306" i="3"/>
  <c r="AH306" i="3" s="1"/>
  <c r="X306" i="3" l="1"/>
  <c r="AI306" i="3"/>
  <c r="AI306" i="13"/>
  <c r="X306" i="13"/>
  <c r="AJ306" i="3" l="1"/>
  <c r="AK306" i="3" s="1"/>
  <c r="AM306" i="3" s="1"/>
  <c r="AJ306" i="13"/>
  <c r="AK306" i="13" s="1"/>
  <c r="AL306" i="13" s="1"/>
  <c r="AP306" i="13" l="1"/>
  <c r="AL306" i="3"/>
  <c r="AM306" i="13"/>
  <c r="AN306" i="13" s="1"/>
  <c r="AO306" i="13" s="1"/>
  <c r="AQ306" i="13" l="1"/>
  <c r="AP306" i="3"/>
  <c r="AQ306" i="3" s="1"/>
  <c r="AN306" i="3"/>
  <c r="AT306" i="3" l="1"/>
  <c r="AU306" i="3" s="1"/>
  <c r="AO306" i="3"/>
  <c r="AS306" i="3" l="1"/>
  <c r="AV306" i="3" s="1"/>
  <c r="J307" i="3" l="1"/>
  <c r="I307" i="3"/>
  <c r="I307" i="13"/>
  <c r="J307" i="13"/>
  <c r="AA307" i="13" l="1"/>
  <c r="AE307" i="13"/>
  <c r="AA307" i="3"/>
  <c r="AE307" i="3"/>
  <c r="N307" i="3"/>
  <c r="W307" i="3" s="1"/>
  <c r="K307" i="3"/>
  <c r="U307" i="3" s="1"/>
  <c r="L307" i="3"/>
  <c r="V307" i="3" s="1"/>
  <c r="M307" i="3"/>
  <c r="K307" i="13"/>
  <c r="U307" i="13" s="1"/>
  <c r="L307" i="13"/>
  <c r="V307" i="13" s="1"/>
  <c r="M307" i="13"/>
  <c r="N307" i="13"/>
  <c r="W307" i="13" s="1"/>
  <c r="AG307" i="3"/>
  <c r="AH307" i="3" s="1"/>
  <c r="AG307" i="13"/>
  <c r="AH307" i="13" s="1"/>
  <c r="AI307" i="13" l="1"/>
  <c r="X307" i="13"/>
  <c r="X307" i="3"/>
  <c r="AI307" i="3"/>
  <c r="AJ307" i="3" l="1"/>
  <c r="AK307" i="3" s="1"/>
  <c r="AM307" i="3" s="1"/>
  <c r="AJ307" i="13"/>
  <c r="AK307" i="13" s="1"/>
  <c r="AL307" i="13" s="1"/>
  <c r="AL307" i="3" l="1"/>
  <c r="AP307" i="3" s="1"/>
  <c r="AM307" i="13"/>
  <c r="AN307" i="13" s="1"/>
  <c r="AO307" i="13" s="1"/>
  <c r="AP307" i="13"/>
  <c r="AQ307" i="13" l="1"/>
  <c r="AQ307" i="3"/>
  <c r="AN307" i="3"/>
  <c r="AT307" i="3" l="1"/>
  <c r="AU307" i="3" s="1"/>
  <c r="AO307" i="3"/>
  <c r="AS307" i="3" l="1"/>
  <c r="AV307" i="3" s="1"/>
  <c r="I308" i="3" l="1"/>
  <c r="J308" i="3"/>
  <c r="I308" i="13"/>
  <c r="J308" i="13"/>
  <c r="AA308" i="13" l="1"/>
  <c r="AE308" i="13"/>
  <c r="AA308" i="3"/>
  <c r="AE308" i="3"/>
  <c r="AG308" i="3"/>
  <c r="AH308" i="3" s="1"/>
  <c r="K308" i="13"/>
  <c r="U308" i="13" s="1"/>
  <c r="L308" i="13"/>
  <c r="V308" i="13" s="1"/>
  <c r="M308" i="13"/>
  <c r="N308" i="13"/>
  <c r="W308" i="13" s="1"/>
  <c r="K308" i="3"/>
  <c r="U308" i="3" s="1"/>
  <c r="L308" i="3"/>
  <c r="V308" i="3" s="1"/>
  <c r="M308" i="3"/>
  <c r="N308" i="3"/>
  <c r="W308" i="3" s="1"/>
  <c r="AG308" i="13"/>
  <c r="AH308" i="13" s="1"/>
  <c r="AI308" i="3" l="1"/>
  <c r="X308" i="3"/>
  <c r="AI308" i="13"/>
  <c r="X308" i="13"/>
  <c r="AJ308" i="3" l="1"/>
  <c r="AK308" i="3" s="1"/>
  <c r="AM308" i="3" s="1"/>
  <c r="AJ308" i="13"/>
  <c r="AK308" i="13" s="1"/>
  <c r="AL308" i="13" s="1"/>
  <c r="AM308" i="13" l="1"/>
  <c r="AN308" i="13" s="1"/>
  <c r="AO308" i="13" s="1"/>
  <c r="AL308" i="3"/>
  <c r="AP308" i="13"/>
  <c r="AQ308" i="13" s="1"/>
  <c r="AN308" i="3" l="1"/>
  <c r="AP308" i="3"/>
  <c r="AQ308" i="3" s="1"/>
  <c r="AT308" i="3" l="1"/>
  <c r="AU308" i="3" s="1"/>
  <c r="AO308" i="3"/>
  <c r="AS308" i="3" l="1"/>
  <c r="AV308" i="3" s="1"/>
  <c r="I309" i="3" l="1"/>
  <c r="J309" i="3"/>
  <c r="I309" i="13"/>
  <c r="J309" i="13"/>
  <c r="AA309" i="13" l="1"/>
  <c r="AE309" i="13"/>
  <c r="AA309" i="3"/>
  <c r="AE309" i="3"/>
  <c r="AG309" i="3"/>
  <c r="AH309" i="3" s="1"/>
  <c r="K309" i="13"/>
  <c r="U309" i="13" s="1"/>
  <c r="L309" i="13"/>
  <c r="V309" i="13" s="1"/>
  <c r="M309" i="13"/>
  <c r="N309" i="13"/>
  <c r="W309" i="13" s="1"/>
  <c r="AG309" i="13"/>
  <c r="AH309" i="13" s="1"/>
  <c r="L309" i="3"/>
  <c r="V309" i="3" s="1"/>
  <c r="M309" i="3"/>
  <c r="N309" i="3"/>
  <c r="W309" i="3" s="1"/>
  <c r="K309" i="3"/>
  <c r="U309" i="3" s="1"/>
  <c r="AI309" i="3" l="1"/>
  <c r="X309" i="3"/>
  <c r="AI309" i="13"/>
  <c r="X309" i="13"/>
  <c r="AJ309" i="13" l="1"/>
  <c r="AK309" i="13" s="1"/>
  <c r="AL309" i="13" s="1"/>
  <c r="AJ309" i="3"/>
  <c r="AK309" i="3" s="1"/>
  <c r="AM309" i="3" s="1"/>
  <c r="AL309" i="3" l="1"/>
  <c r="AM309" i="13"/>
  <c r="AN309" i="13" s="1"/>
  <c r="AO309" i="13" s="1"/>
  <c r="AP309" i="13"/>
  <c r="AQ309" i="13" l="1"/>
  <c r="AN309" i="3"/>
  <c r="AP309" i="3"/>
  <c r="AQ309" i="3" s="1"/>
  <c r="AT309" i="3" l="1"/>
  <c r="AU309" i="3" s="1"/>
  <c r="AO309" i="3"/>
  <c r="AS309" i="3" l="1"/>
  <c r="AV309" i="3" s="1"/>
  <c r="I310" i="3" l="1"/>
  <c r="J310" i="3"/>
  <c r="I310" i="13"/>
  <c r="J310" i="13"/>
  <c r="AA310" i="13" l="1"/>
  <c r="AE310" i="13"/>
  <c r="AA310" i="3"/>
  <c r="AE310" i="3"/>
  <c r="K310" i="13"/>
  <c r="U310" i="13" s="1"/>
  <c r="L310" i="13"/>
  <c r="V310" i="13" s="1"/>
  <c r="M310" i="13"/>
  <c r="N310" i="13"/>
  <c r="W310" i="13" s="1"/>
  <c r="AG310" i="13"/>
  <c r="AH310" i="13" s="1"/>
  <c r="M310" i="3"/>
  <c r="N310" i="3"/>
  <c r="W310" i="3" s="1"/>
  <c r="K310" i="3"/>
  <c r="U310" i="3" s="1"/>
  <c r="L310" i="3"/>
  <c r="V310" i="3" s="1"/>
  <c r="AG310" i="3"/>
  <c r="AH310" i="3" s="1"/>
  <c r="X310" i="3" l="1"/>
  <c r="AI310" i="3"/>
  <c r="AI310" i="13"/>
  <c r="X310" i="13"/>
  <c r="AJ310" i="3" l="1"/>
  <c r="AK310" i="3" s="1"/>
  <c r="AL310" i="3" s="1"/>
  <c r="AJ310" i="13"/>
  <c r="AK310" i="13" s="1"/>
  <c r="AL310" i="13" s="1"/>
  <c r="AM310" i="3" l="1"/>
  <c r="AM310" i="13" s="1"/>
  <c r="AN310" i="13" s="1"/>
  <c r="AO310" i="13" s="1"/>
  <c r="AP310" i="13"/>
  <c r="AP310" i="3"/>
  <c r="AQ310" i="13" l="1"/>
  <c r="AN310" i="3"/>
  <c r="AQ310" i="3"/>
  <c r="AT310" i="3" l="1"/>
  <c r="AU310" i="3" s="1"/>
  <c r="AO310" i="3"/>
  <c r="AS310" i="3" l="1"/>
  <c r="AV310" i="3" s="1"/>
  <c r="J311" i="3" l="1"/>
  <c r="I311" i="3"/>
  <c r="I311" i="13"/>
  <c r="J311" i="13"/>
  <c r="AA311" i="13" l="1"/>
  <c r="AE311" i="13"/>
  <c r="AA311" i="3"/>
  <c r="AE311" i="3"/>
  <c r="AG311" i="3"/>
  <c r="AH311" i="3" s="1"/>
  <c r="N311" i="3"/>
  <c r="W311" i="3" s="1"/>
  <c r="K311" i="3"/>
  <c r="U311" i="3" s="1"/>
  <c r="L311" i="3"/>
  <c r="V311" i="3" s="1"/>
  <c r="M311" i="3"/>
  <c r="K311" i="13"/>
  <c r="U311" i="13" s="1"/>
  <c r="L311" i="13"/>
  <c r="V311" i="13" s="1"/>
  <c r="M311" i="13"/>
  <c r="N311" i="13"/>
  <c r="W311" i="13" s="1"/>
  <c r="AG311" i="13"/>
  <c r="AH311" i="13" s="1"/>
  <c r="AI311" i="13" l="1"/>
  <c r="X311" i="13"/>
  <c r="X311" i="3"/>
  <c r="AI311" i="3"/>
  <c r="AJ311" i="3" l="1"/>
  <c r="AK311" i="3" s="1"/>
  <c r="AM311" i="3" s="1"/>
  <c r="AJ311" i="13"/>
  <c r="AK311" i="13" s="1"/>
  <c r="AL311" i="13" s="1"/>
  <c r="AM311" i="13" l="1"/>
  <c r="AN311" i="13" s="1"/>
  <c r="AO311" i="13" s="1"/>
  <c r="AP311" i="13"/>
  <c r="AL311" i="3"/>
  <c r="AQ311" i="13" l="1"/>
  <c r="AP311" i="3"/>
  <c r="AQ311" i="3" s="1"/>
  <c r="AN311" i="3"/>
  <c r="AT311" i="3" l="1"/>
  <c r="AU311" i="3" s="1"/>
  <c r="AO311" i="3"/>
  <c r="AS311" i="3" l="1"/>
  <c r="AV311" i="3" s="1"/>
  <c r="I312" i="3" l="1"/>
  <c r="J312" i="3"/>
  <c r="I312" i="13"/>
  <c r="J312" i="13"/>
  <c r="AA312" i="13" l="1"/>
  <c r="AE312" i="13"/>
  <c r="AA312" i="3"/>
  <c r="AE312" i="3"/>
  <c r="AG312" i="3"/>
  <c r="AH312" i="3" s="1"/>
  <c r="K312" i="13"/>
  <c r="U312" i="13" s="1"/>
  <c r="L312" i="13"/>
  <c r="V312" i="13" s="1"/>
  <c r="M312" i="13"/>
  <c r="N312" i="13"/>
  <c r="W312" i="13" s="1"/>
  <c r="AG312" i="13"/>
  <c r="AH312" i="13" s="1"/>
  <c r="K312" i="3"/>
  <c r="U312" i="3" s="1"/>
  <c r="L312" i="3"/>
  <c r="V312" i="3" s="1"/>
  <c r="M312" i="3"/>
  <c r="N312" i="3"/>
  <c r="W312" i="3" s="1"/>
  <c r="AI312" i="13" l="1"/>
  <c r="X312" i="13"/>
  <c r="AI312" i="3"/>
  <c r="X312" i="3"/>
  <c r="AJ312" i="13" l="1"/>
  <c r="AK312" i="13" s="1"/>
  <c r="AL312" i="13" s="1"/>
  <c r="AJ312" i="3"/>
  <c r="AK312" i="3" s="1"/>
  <c r="AM312" i="3" s="1"/>
  <c r="AL312" i="3" l="1"/>
  <c r="AP312" i="13"/>
  <c r="AM312" i="13" l="1"/>
  <c r="AN312" i="3"/>
  <c r="AP312" i="3"/>
  <c r="AQ312" i="3" s="1"/>
  <c r="AN312" i="13" l="1"/>
  <c r="AO312" i="13" s="1"/>
  <c r="AT312" i="3"/>
  <c r="AU312" i="3" s="1"/>
  <c r="AO312" i="3"/>
  <c r="AQ312" i="13"/>
  <c r="AS312" i="3" l="1"/>
  <c r="AV312" i="3" s="1"/>
  <c r="I313" i="3" l="1"/>
  <c r="J313" i="3"/>
  <c r="I313" i="13"/>
  <c r="J313" i="13"/>
  <c r="AA313" i="13" l="1"/>
  <c r="AE313" i="13"/>
  <c r="AA313" i="3"/>
  <c r="AE313" i="3"/>
  <c r="AG313" i="3"/>
  <c r="AH313" i="3" s="1"/>
  <c r="K313" i="13"/>
  <c r="U313" i="13" s="1"/>
  <c r="L313" i="13"/>
  <c r="V313" i="13" s="1"/>
  <c r="M313" i="13"/>
  <c r="N313" i="13"/>
  <c r="W313" i="13" s="1"/>
  <c r="AG313" i="13"/>
  <c r="AH313" i="13" s="1"/>
  <c r="L313" i="3"/>
  <c r="V313" i="3" s="1"/>
  <c r="M313" i="3"/>
  <c r="N313" i="3"/>
  <c r="W313" i="3" s="1"/>
  <c r="K313" i="3"/>
  <c r="U313" i="3" s="1"/>
  <c r="AI313" i="3" l="1"/>
  <c r="X313" i="3"/>
  <c r="AI313" i="13"/>
  <c r="X313" i="13"/>
  <c r="AJ313" i="3" l="1"/>
  <c r="AK313" i="3" s="1"/>
  <c r="AM313" i="3" s="1"/>
  <c r="AJ313" i="13"/>
  <c r="AK313" i="13" s="1"/>
  <c r="AL313" i="13" s="1"/>
  <c r="AM313" i="13" l="1"/>
  <c r="AN313" i="13" s="1"/>
  <c r="AO313" i="13" s="1"/>
  <c r="AP313" i="13"/>
  <c r="AQ313" i="13" s="1"/>
  <c r="AL313" i="3"/>
  <c r="AN313" i="3" l="1"/>
  <c r="AP313" i="3"/>
  <c r="AQ313" i="3" s="1"/>
  <c r="AT313" i="3" l="1"/>
  <c r="AU313" i="3" s="1"/>
  <c r="AO313" i="3"/>
  <c r="AS313" i="3" l="1"/>
  <c r="AV313" i="3" s="1"/>
  <c r="I314" i="3" l="1"/>
  <c r="J314" i="3"/>
  <c r="I314" i="13"/>
  <c r="J314" i="13"/>
  <c r="AA314" i="13" l="1"/>
  <c r="AE314" i="13"/>
  <c r="AA314" i="3"/>
  <c r="AE314" i="3"/>
  <c r="AG314" i="3"/>
  <c r="AH314" i="3" s="1"/>
  <c r="K314" i="13"/>
  <c r="U314" i="13" s="1"/>
  <c r="L314" i="13"/>
  <c r="V314" i="13" s="1"/>
  <c r="M314" i="13"/>
  <c r="N314" i="13"/>
  <c r="W314" i="13" s="1"/>
  <c r="M314" i="3"/>
  <c r="N314" i="3"/>
  <c r="W314" i="3" s="1"/>
  <c r="K314" i="3"/>
  <c r="U314" i="3" s="1"/>
  <c r="L314" i="3"/>
  <c r="V314" i="3" s="1"/>
  <c r="AG314" i="13"/>
  <c r="AH314" i="13" s="1"/>
  <c r="X314" i="3" l="1"/>
  <c r="AI314" i="3"/>
  <c r="AI314" i="13"/>
  <c r="X314" i="13"/>
  <c r="AJ314" i="13" l="1"/>
  <c r="AK314" i="13" s="1"/>
  <c r="AL314" i="13" s="1"/>
  <c r="AJ314" i="3"/>
  <c r="AK314" i="3" s="1"/>
  <c r="AM314" i="3" s="1"/>
  <c r="AP314" i="13" l="1"/>
  <c r="AL314" i="3"/>
  <c r="AM314" i="13" l="1"/>
  <c r="AQ314" i="13" s="1"/>
  <c r="AP314" i="3"/>
  <c r="AQ314" i="3" s="1"/>
  <c r="AN314" i="3"/>
  <c r="AT314" i="3" l="1"/>
  <c r="AU314" i="3" s="1"/>
  <c r="AO314" i="3"/>
  <c r="AN314" i="13"/>
  <c r="AO314" i="13" s="1"/>
  <c r="AS314" i="3" l="1"/>
  <c r="AV314" i="3" s="1"/>
  <c r="J315" i="3" l="1"/>
  <c r="I315" i="3"/>
  <c r="I315" i="13"/>
  <c r="J315" i="13"/>
  <c r="AA315" i="13" l="1"/>
  <c r="AE315" i="13"/>
  <c r="AA315" i="3"/>
  <c r="AE315" i="3"/>
  <c r="K315" i="13"/>
  <c r="U315" i="13" s="1"/>
  <c r="L315" i="13"/>
  <c r="V315" i="13" s="1"/>
  <c r="M315" i="13"/>
  <c r="N315" i="13"/>
  <c r="W315" i="13" s="1"/>
  <c r="AG315" i="13"/>
  <c r="AH315" i="13" s="1"/>
  <c r="AG315" i="3"/>
  <c r="AH315" i="3" s="1"/>
  <c r="N315" i="3"/>
  <c r="W315" i="3" s="1"/>
  <c r="K315" i="3"/>
  <c r="U315" i="3" s="1"/>
  <c r="L315" i="3"/>
  <c r="V315" i="3" s="1"/>
  <c r="M315" i="3"/>
  <c r="X315" i="3" l="1"/>
  <c r="AI315" i="3"/>
  <c r="AI315" i="13"/>
  <c r="X315" i="13"/>
  <c r="AJ315" i="3" l="1"/>
  <c r="AK315" i="3" s="1"/>
  <c r="AM315" i="3" s="1"/>
  <c r="AJ315" i="13"/>
  <c r="AK315" i="13" s="1"/>
  <c r="AL315" i="13" s="1"/>
  <c r="AP315" i="13" l="1"/>
  <c r="AM315" i="13"/>
  <c r="AN315" i="13" s="1"/>
  <c r="AO315" i="13" s="1"/>
  <c r="AL315" i="3"/>
  <c r="AQ315" i="13" l="1"/>
  <c r="AP315" i="3"/>
  <c r="AQ315" i="3" s="1"/>
  <c r="AN315" i="3"/>
  <c r="AT315" i="3" l="1"/>
  <c r="AU315" i="3" s="1"/>
  <c r="AO315" i="3"/>
  <c r="AS315" i="3" l="1"/>
  <c r="AV315" i="3" s="1"/>
  <c r="I316" i="3" l="1"/>
  <c r="J316" i="3"/>
  <c r="I316" i="13"/>
  <c r="J316" i="13"/>
  <c r="AA316" i="13" l="1"/>
  <c r="AE316" i="13"/>
  <c r="AA316" i="3"/>
  <c r="AE316" i="3"/>
  <c r="AG316" i="3"/>
  <c r="AH316" i="3" s="1"/>
  <c r="K316" i="13"/>
  <c r="U316" i="13" s="1"/>
  <c r="L316" i="13"/>
  <c r="V316" i="13" s="1"/>
  <c r="M316" i="13"/>
  <c r="N316" i="13"/>
  <c r="W316" i="13" s="1"/>
  <c r="AG316" i="13"/>
  <c r="AH316" i="13" s="1"/>
  <c r="K316" i="3"/>
  <c r="U316" i="3" s="1"/>
  <c r="L316" i="3"/>
  <c r="V316" i="3" s="1"/>
  <c r="M316" i="3"/>
  <c r="N316" i="3"/>
  <c r="W316" i="3" s="1"/>
  <c r="AI316" i="3" l="1"/>
  <c r="X316" i="3"/>
  <c r="AI316" i="13"/>
  <c r="X316" i="13"/>
  <c r="AJ316" i="13" l="1"/>
  <c r="AK316" i="13" s="1"/>
  <c r="AL316" i="13" s="1"/>
  <c r="AJ316" i="3"/>
  <c r="AK316" i="3" s="1"/>
  <c r="AM316" i="3" s="1"/>
  <c r="AL316" i="3" l="1"/>
  <c r="AP316" i="13"/>
  <c r="AN316" i="3" l="1"/>
  <c r="AP316" i="3"/>
  <c r="AQ316" i="3" s="1"/>
  <c r="AM316" i="13"/>
  <c r="AQ316" i="13" s="1"/>
  <c r="AN316" i="13" l="1"/>
  <c r="AO316" i="13" s="1"/>
  <c r="AT316" i="3"/>
  <c r="AU316" i="3" s="1"/>
  <c r="AO316" i="3"/>
  <c r="AS316" i="3" l="1"/>
  <c r="AV316" i="3" s="1"/>
  <c r="I317" i="3" l="1"/>
  <c r="J317" i="3"/>
  <c r="I317" i="13"/>
  <c r="J317" i="13"/>
  <c r="AA317" i="13" l="1"/>
  <c r="AE317" i="13"/>
  <c r="AA317" i="3"/>
  <c r="AE317" i="3"/>
  <c r="AG317" i="3"/>
  <c r="AH317" i="3" s="1"/>
  <c r="K317" i="13"/>
  <c r="U317" i="13" s="1"/>
  <c r="L317" i="13"/>
  <c r="V317" i="13" s="1"/>
  <c r="M317" i="13"/>
  <c r="N317" i="13"/>
  <c r="W317" i="13" s="1"/>
  <c r="AG317" i="13"/>
  <c r="AH317" i="13" s="1"/>
  <c r="L317" i="3"/>
  <c r="V317" i="3" s="1"/>
  <c r="M317" i="3"/>
  <c r="N317" i="3"/>
  <c r="W317" i="3" s="1"/>
  <c r="K317" i="3"/>
  <c r="U317" i="3" s="1"/>
  <c r="AI317" i="3" l="1"/>
  <c r="X317" i="3"/>
  <c r="AI317" i="13"/>
  <c r="X317" i="13"/>
  <c r="AJ317" i="3" l="1"/>
  <c r="AK317" i="3" s="1"/>
  <c r="AM317" i="3" s="1"/>
  <c r="AJ317" i="13"/>
  <c r="AK317" i="13" s="1"/>
  <c r="AL317" i="13" s="1"/>
  <c r="AM317" i="13" l="1"/>
  <c r="AN317" i="13" s="1"/>
  <c r="AO317" i="13" s="1"/>
  <c r="X33" i="15" s="1"/>
  <c r="AL317" i="3"/>
  <c r="AP317" i="13"/>
  <c r="AQ317" i="13" s="1"/>
  <c r="Y33" i="15" s="1"/>
  <c r="AN317" i="3" l="1"/>
  <c r="AP317" i="3"/>
  <c r="AQ317" i="3" s="1"/>
  <c r="Y33" i="14" s="1"/>
  <c r="AT317" i="3" l="1"/>
  <c r="AU317" i="3" s="1"/>
  <c r="AO317" i="3"/>
  <c r="X33" i="14" s="1"/>
  <c r="AS317" i="3" l="1"/>
  <c r="AV317" i="3" s="1"/>
  <c r="I318" i="3" l="1"/>
  <c r="J318" i="3"/>
  <c r="I318" i="13"/>
  <c r="J318" i="13"/>
  <c r="AA318" i="13" l="1"/>
  <c r="AE318" i="13"/>
  <c r="AA318" i="3"/>
  <c r="AE318" i="3"/>
  <c r="K318" i="13"/>
  <c r="U318" i="13" s="1"/>
  <c r="L318" i="13"/>
  <c r="V318" i="13" s="1"/>
  <c r="M318" i="13"/>
  <c r="N318" i="13"/>
  <c r="W318" i="13" s="1"/>
  <c r="AG318" i="13"/>
  <c r="AH318" i="13" s="1"/>
  <c r="M318" i="3"/>
  <c r="N318" i="3"/>
  <c r="W318" i="3" s="1"/>
  <c r="K318" i="3"/>
  <c r="U318" i="3" s="1"/>
  <c r="L318" i="3"/>
  <c r="V318" i="3" s="1"/>
  <c r="AG318" i="3"/>
  <c r="AH318" i="3" s="1"/>
  <c r="X318" i="3" l="1"/>
  <c r="AI318" i="3"/>
  <c r="AI318" i="13"/>
  <c r="X318" i="13"/>
  <c r="AJ318" i="3" l="1"/>
  <c r="AK318" i="3" s="1"/>
  <c r="AM318" i="3" s="1"/>
  <c r="AJ318" i="13"/>
  <c r="AK318" i="13" s="1"/>
  <c r="AL318" i="13" s="1"/>
  <c r="AP318" i="13" l="1"/>
  <c r="AM318" i="13"/>
  <c r="AN318" i="13" s="1"/>
  <c r="AO318" i="13" s="1"/>
  <c r="AL318" i="3"/>
  <c r="AQ318" i="13" l="1"/>
  <c r="AP318" i="3"/>
  <c r="AQ318" i="3" s="1"/>
  <c r="AN318" i="3"/>
  <c r="AT318" i="3" l="1"/>
  <c r="AU318" i="3" s="1"/>
  <c r="AO318" i="3"/>
  <c r="AS318" i="3" l="1"/>
  <c r="AV318" i="3" s="1"/>
  <c r="J319" i="3" l="1"/>
  <c r="I319" i="3"/>
  <c r="I319" i="13"/>
  <c r="J319" i="13"/>
  <c r="AA319" i="13" l="1"/>
  <c r="AE319" i="13"/>
  <c r="AA319" i="3"/>
  <c r="AE319" i="3"/>
  <c r="N319" i="3"/>
  <c r="W319" i="3" s="1"/>
  <c r="K319" i="3"/>
  <c r="U319" i="3" s="1"/>
  <c r="L319" i="3"/>
  <c r="V319" i="3" s="1"/>
  <c r="M319" i="3"/>
  <c r="K319" i="13"/>
  <c r="U319" i="13" s="1"/>
  <c r="L319" i="13"/>
  <c r="V319" i="13" s="1"/>
  <c r="M319" i="13"/>
  <c r="N319" i="13"/>
  <c r="W319" i="13" s="1"/>
  <c r="AG319" i="13"/>
  <c r="AH319" i="13" s="1"/>
  <c r="AG319" i="3"/>
  <c r="AH319" i="3" s="1"/>
  <c r="AI319" i="13" l="1"/>
  <c r="X319" i="13"/>
  <c r="X319" i="3"/>
  <c r="AI319" i="3"/>
  <c r="AJ319" i="13" l="1"/>
  <c r="AK319" i="13" s="1"/>
  <c r="AL319" i="13" s="1"/>
  <c r="AJ319" i="3"/>
  <c r="AK319" i="3" s="1"/>
  <c r="AM319" i="3" s="1"/>
  <c r="AP319" i="13" l="1"/>
  <c r="AQ319" i="13" s="1"/>
  <c r="AL319" i="3"/>
  <c r="AM319" i="13"/>
  <c r="AN319" i="13" s="1"/>
  <c r="AO319" i="13" s="1"/>
  <c r="AP319" i="3" l="1"/>
  <c r="AQ319" i="3" s="1"/>
  <c r="AN319" i="3"/>
  <c r="AT319" i="3" l="1"/>
  <c r="AU319" i="3" s="1"/>
  <c r="AO319" i="3"/>
  <c r="AS319" i="3" l="1"/>
  <c r="AV319" i="3" s="1"/>
  <c r="I320" i="3" l="1"/>
  <c r="J320" i="3"/>
  <c r="I320" i="13"/>
  <c r="J320" i="13"/>
  <c r="AA320" i="13" l="1"/>
  <c r="AE320" i="13"/>
  <c r="AA320" i="3"/>
  <c r="AE320" i="3"/>
  <c r="K320" i="13"/>
  <c r="U320" i="13" s="1"/>
  <c r="L320" i="13"/>
  <c r="V320" i="13" s="1"/>
  <c r="M320" i="13"/>
  <c r="N320" i="13"/>
  <c r="W320" i="13" s="1"/>
  <c r="AG320" i="13"/>
  <c r="AH320" i="13" s="1"/>
  <c r="K320" i="3"/>
  <c r="U320" i="3" s="1"/>
  <c r="L320" i="3"/>
  <c r="V320" i="3" s="1"/>
  <c r="M320" i="3"/>
  <c r="N320" i="3"/>
  <c r="W320" i="3" s="1"/>
  <c r="AG320" i="3"/>
  <c r="AH320" i="3" s="1"/>
  <c r="AI320" i="13" l="1"/>
  <c r="X320" i="13"/>
  <c r="AI320" i="3"/>
  <c r="X320" i="3"/>
  <c r="AJ320" i="13" l="1"/>
  <c r="AK320" i="13" s="1"/>
  <c r="AL320" i="13" s="1"/>
  <c r="AJ320" i="3"/>
  <c r="AK320" i="3" s="1"/>
  <c r="AM320" i="3" s="1"/>
  <c r="AM320" i="13" l="1"/>
  <c r="AN320" i="13" s="1"/>
  <c r="AO320" i="13" s="1"/>
  <c r="AP320" i="13"/>
  <c r="AL320" i="3"/>
  <c r="AQ320" i="13" l="1"/>
  <c r="AN320" i="3"/>
  <c r="AP320" i="3"/>
  <c r="AQ320" i="3" s="1"/>
  <c r="AT320" i="3" l="1"/>
  <c r="AU320" i="3" s="1"/>
  <c r="AO320" i="3"/>
  <c r="AS320" i="3" l="1"/>
  <c r="AV320" i="3" s="1"/>
  <c r="I321" i="3" l="1"/>
  <c r="J321" i="3"/>
  <c r="I321" i="13"/>
  <c r="J321" i="13"/>
  <c r="AA321" i="13" l="1"/>
  <c r="AE321" i="13"/>
  <c r="AA321" i="3"/>
  <c r="AE321" i="3"/>
  <c r="AG321" i="3"/>
  <c r="AH321" i="3" s="1"/>
  <c r="K321" i="13"/>
  <c r="U321" i="13" s="1"/>
  <c r="L321" i="13"/>
  <c r="V321" i="13" s="1"/>
  <c r="M321" i="13"/>
  <c r="N321" i="13"/>
  <c r="W321" i="13" s="1"/>
  <c r="AG321" i="13"/>
  <c r="AH321" i="13" s="1"/>
  <c r="L321" i="3"/>
  <c r="V321" i="3" s="1"/>
  <c r="M321" i="3"/>
  <c r="N321" i="3"/>
  <c r="W321" i="3" s="1"/>
  <c r="K321" i="3"/>
  <c r="U321" i="3" s="1"/>
  <c r="AI321" i="3" l="1"/>
  <c r="X321" i="3"/>
  <c r="AI321" i="13"/>
  <c r="X321" i="13"/>
  <c r="AJ321" i="13" l="1"/>
  <c r="AK321" i="13" s="1"/>
  <c r="AL321" i="13" s="1"/>
  <c r="AJ321" i="3"/>
  <c r="AK321" i="3" s="1"/>
  <c r="AM321" i="3" s="1"/>
  <c r="AP321" i="13" l="1"/>
  <c r="AQ321" i="13" s="1"/>
  <c r="AL321" i="3"/>
  <c r="AM321" i="13"/>
  <c r="AN321" i="13" s="1"/>
  <c r="AO321" i="13" s="1"/>
  <c r="AN321" i="3" l="1"/>
  <c r="AP321" i="3"/>
  <c r="AQ321" i="3" s="1"/>
  <c r="AT321" i="3" l="1"/>
  <c r="AU321" i="3" s="1"/>
  <c r="AO321" i="3"/>
  <c r="AS321" i="3" l="1"/>
  <c r="AV321" i="3" s="1"/>
  <c r="I322" i="3" l="1"/>
  <c r="J322" i="3"/>
  <c r="I322" i="13"/>
  <c r="J322" i="13"/>
  <c r="AA322" i="13" l="1"/>
  <c r="AE322" i="13"/>
  <c r="AA322" i="3"/>
  <c r="AE322" i="3"/>
  <c r="K322" i="13"/>
  <c r="U322" i="13" s="1"/>
  <c r="L322" i="13"/>
  <c r="V322" i="13" s="1"/>
  <c r="M322" i="13"/>
  <c r="N322" i="13"/>
  <c r="W322" i="13" s="1"/>
  <c r="AG322" i="13"/>
  <c r="AH322" i="13" s="1"/>
  <c r="M322" i="3"/>
  <c r="N322" i="3"/>
  <c r="W322" i="3" s="1"/>
  <c r="K322" i="3"/>
  <c r="U322" i="3" s="1"/>
  <c r="L322" i="3"/>
  <c r="V322" i="3" s="1"/>
  <c r="AG322" i="3"/>
  <c r="AH322" i="3" s="1"/>
  <c r="X322" i="3" l="1"/>
  <c r="AI322" i="3"/>
  <c r="AI322" i="13"/>
  <c r="X322" i="13"/>
  <c r="AJ322" i="3" l="1"/>
  <c r="AK322" i="3" s="1"/>
  <c r="AM322" i="3" s="1"/>
  <c r="AJ322" i="13"/>
  <c r="AK322" i="13" s="1"/>
  <c r="AL322" i="13" s="1"/>
  <c r="AM322" i="13" l="1"/>
  <c r="AN322" i="13" s="1"/>
  <c r="AO322" i="13" s="1"/>
  <c r="AL322" i="3"/>
  <c r="AP322" i="13"/>
  <c r="AQ322" i="13" l="1"/>
  <c r="AP322" i="3"/>
  <c r="AQ322" i="3" s="1"/>
  <c r="AN322" i="3"/>
  <c r="AT322" i="3" l="1"/>
  <c r="AU322" i="3" s="1"/>
  <c r="AO322" i="3"/>
  <c r="AS322" i="3" l="1"/>
  <c r="AV322" i="3" s="1"/>
  <c r="J323" i="3" l="1"/>
  <c r="I323" i="3"/>
  <c r="I323" i="13"/>
  <c r="J323" i="13"/>
  <c r="AA323" i="13" l="1"/>
  <c r="AE323" i="13"/>
  <c r="AA323" i="3"/>
  <c r="AE323" i="3"/>
  <c r="N323" i="3"/>
  <c r="W323" i="3" s="1"/>
  <c r="K323" i="3"/>
  <c r="U323" i="3" s="1"/>
  <c r="L323" i="3"/>
  <c r="V323" i="3" s="1"/>
  <c r="M323" i="3"/>
  <c r="K323" i="13"/>
  <c r="U323" i="13" s="1"/>
  <c r="L323" i="13"/>
  <c r="V323" i="13" s="1"/>
  <c r="M323" i="13"/>
  <c r="N323" i="13"/>
  <c r="W323" i="13" s="1"/>
  <c r="AG323" i="3"/>
  <c r="AH323" i="3" s="1"/>
  <c r="AG323" i="13"/>
  <c r="AH323" i="13" s="1"/>
  <c r="AI323" i="13" l="1"/>
  <c r="X323" i="13"/>
  <c r="X323" i="3"/>
  <c r="AI323" i="3"/>
  <c r="AJ323" i="13" l="1"/>
  <c r="AK323" i="13" s="1"/>
  <c r="AL323" i="13" s="1"/>
  <c r="AJ323" i="3"/>
  <c r="AK323" i="3" s="1"/>
  <c r="AM323" i="3" s="1"/>
  <c r="AL323" i="3" l="1"/>
  <c r="AM323" i="13"/>
  <c r="AN323" i="13" s="1"/>
  <c r="AO323" i="13" s="1"/>
  <c r="AP323" i="13"/>
  <c r="AQ323" i="13" l="1"/>
  <c r="AP323" i="3"/>
  <c r="AQ323" i="3" s="1"/>
  <c r="AN323" i="3"/>
  <c r="AT323" i="3" l="1"/>
  <c r="AU323" i="3" s="1"/>
  <c r="AO323" i="3"/>
  <c r="AS323" i="3" l="1"/>
  <c r="AV323" i="3" s="1"/>
  <c r="I324" i="3" l="1"/>
  <c r="J324" i="3"/>
  <c r="I324" i="13"/>
  <c r="J324" i="13"/>
  <c r="AA324" i="13" l="1"/>
  <c r="AE324" i="13"/>
  <c r="AA324" i="3"/>
  <c r="AE324" i="3"/>
  <c r="K324" i="13"/>
  <c r="U324" i="13" s="1"/>
  <c r="L324" i="13"/>
  <c r="V324" i="13" s="1"/>
  <c r="M324" i="13"/>
  <c r="N324" i="13"/>
  <c r="W324" i="13" s="1"/>
  <c r="AG324" i="13"/>
  <c r="AH324" i="13" s="1"/>
  <c r="K324" i="3"/>
  <c r="U324" i="3" s="1"/>
  <c r="L324" i="3"/>
  <c r="V324" i="3" s="1"/>
  <c r="M324" i="3"/>
  <c r="N324" i="3"/>
  <c r="W324" i="3" s="1"/>
  <c r="AG324" i="3"/>
  <c r="AH324" i="3" s="1"/>
  <c r="AI324" i="3" l="1"/>
  <c r="X324" i="3"/>
  <c r="AI324" i="13"/>
  <c r="X324" i="13"/>
  <c r="AJ324" i="3" l="1"/>
  <c r="AK324" i="3" s="1"/>
  <c r="AM324" i="3" s="1"/>
  <c r="AJ324" i="13"/>
  <c r="AK324" i="13" s="1"/>
  <c r="AL324" i="13" s="1"/>
  <c r="AP324" i="13" l="1"/>
  <c r="AL324" i="3"/>
  <c r="AN324" i="3" l="1"/>
  <c r="AP324" i="3"/>
  <c r="AQ324" i="3" s="1"/>
  <c r="AM324" i="13"/>
  <c r="AQ324" i="13" s="1"/>
  <c r="AN324" i="13" l="1"/>
  <c r="AO324" i="13" s="1"/>
  <c r="AT324" i="3"/>
  <c r="AU324" i="3" s="1"/>
  <c r="AO324" i="3"/>
  <c r="AS324" i="3" l="1"/>
  <c r="AV324" i="3" s="1"/>
  <c r="I325" i="3" l="1"/>
  <c r="J325" i="3"/>
  <c r="I325" i="13"/>
  <c r="J325" i="13"/>
  <c r="AA325" i="13" l="1"/>
  <c r="AE325" i="13"/>
  <c r="AA325" i="3"/>
  <c r="AE325" i="3"/>
  <c r="AG325" i="3"/>
  <c r="AH325" i="3" s="1"/>
  <c r="K325" i="13"/>
  <c r="U325" i="13" s="1"/>
  <c r="L325" i="13"/>
  <c r="V325" i="13" s="1"/>
  <c r="M325" i="13"/>
  <c r="N325" i="13"/>
  <c r="W325" i="13" s="1"/>
  <c r="L325" i="3"/>
  <c r="V325" i="3" s="1"/>
  <c r="M325" i="3"/>
  <c r="N325" i="3"/>
  <c r="W325" i="3" s="1"/>
  <c r="K325" i="3"/>
  <c r="U325" i="3" s="1"/>
  <c r="AG325" i="13"/>
  <c r="AH325" i="13" s="1"/>
  <c r="AI325" i="13" l="1"/>
  <c r="X325" i="13"/>
  <c r="AI325" i="3"/>
  <c r="X325" i="3"/>
  <c r="AJ325" i="13" l="1"/>
  <c r="AK325" i="13" s="1"/>
  <c r="AL325" i="13" s="1"/>
  <c r="AJ325" i="3"/>
  <c r="AK325" i="3" s="1"/>
  <c r="AM325" i="3" s="1"/>
  <c r="AL325" i="3" l="1"/>
  <c r="AP325" i="13"/>
  <c r="AM325" i="13" l="1"/>
  <c r="AQ325" i="13" s="1"/>
  <c r="AN325" i="3"/>
  <c r="AP325" i="3"/>
  <c r="AQ325" i="3" s="1"/>
  <c r="AT325" i="3" l="1"/>
  <c r="AU325" i="3" s="1"/>
  <c r="AO325" i="3"/>
  <c r="AN325" i="13"/>
  <c r="AO325" i="13" s="1"/>
  <c r="AS325" i="3" l="1"/>
  <c r="AV325" i="3" s="1"/>
  <c r="I326" i="3" l="1"/>
  <c r="J326" i="3"/>
  <c r="I326" i="13"/>
  <c r="J326" i="13"/>
  <c r="AA326" i="13" l="1"/>
  <c r="AE326" i="13"/>
  <c r="AA326" i="3"/>
  <c r="AE326" i="3"/>
  <c r="K326" i="13"/>
  <c r="U326" i="13" s="1"/>
  <c r="L326" i="13"/>
  <c r="V326" i="13" s="1"/>
  <c r="M326" i="13"/>
  <c r="N326" i="13"/>
  <c r="W326" i="13" s="1"/>
  <c r="AG326" i="13"/>
  <c r="AH326" i="13" s="1"/>
  <c r="M326" i="3"/>
  <c r="N326" i="3"/>
  <c r="W326" i="3" s="1"/>
  <c r="K326" i="3"/>
  <c r="U326" i="3" s="1"/>
  <c r="L326" i="3"/>
  <c r="V326" i="3" s="1"/>
  <c r="AG326" i="3"/>
  <c r="AH326" i="3" s="1"/>
  <c r="X326" i="3" l="1"/>
  <c r="AI326" i="3"/>
  <c r="AI326" i="13"/>
  <c r="X326" i="13"/>
  <c r="AJ326" i="13" l="1"/>
  <c r="AK326" i="13" s="1"/>
  <c r="AL326" i="13" s="1"/>
  <c r="AJ326" i="3"/>
  <c r="AK326" i="3" s="1"/>
  <c r="AM326" i="3" s="1"/>
  <c r="AM326" i="13" l="1"/>
  <c r="AN326" i="13" s="1"/>
  <c r="AO326" i="13" s="1"/>
  <c r="AP326" i="13"/>
  <c r="AQ326" i="13" s="1"/>
  <c r="AL326" i="3"/>
  <c r="AP326" i="3" l="1"/>
  <c r="AQ326" i="3" s="1"/>
  <c r="AN326" i="3"/>
  <c r="AT326" i="3" l="1"/>
  <c r="AU326" i="3" s="1"/>
  <c r="AO326" i="3"/>
  <c r="AS326" i="3" l="1"/>
  <c r="AV326" i="3" s="1"/>
  <c r="J327" i="3" l="1"/>
  <c r="I327" i="3"/>
  <c r="I327" i="13"/>
  <c r="J327" i="13"/>
  <c r="AA327" i="13" l="1"/>
  <c r="AE327" i="13"/>
  <c r="AA327" i="3"/>
  <c r="AE327" i="3"/>
  <c r="AG327" i="13"/>
  <c r="AH327" i="13" s="1"/>
  <c r="AG327" i="3"/>
  <c r="AH327" i="3" s="1"/>
  <c r="K327" i="13"/>
  <c r="U327" i="13" s="1"/>
  <c r="L327" i="13"/>
  <c r="V327" i="13" s="1"/>
  <c r="M327" i="13"/>
  <c r="N327" i="13"/>
  <c r="W327" i="13" s="1"/>
  <c r="N327" i="3"/>
  <c r="W327" i="3" s="1"/>
  <c r="K327" i="3"/>
  <c r="U327" i="3" s="1"/>
  <c r="L327" i="3"/>
  <c r="V327" i="3" s="1"/>
  <c r="M327" i="3"/>
  <c r="X327" i="3" l="1"/>
  <c r="AI327" i="3"/>
  <c r="AI327" i="13"/>
  <c r="X327" i="13"/>
  <c r="AJ327" i="13" l="1"/>
  <c r="AK327" i="13" s="1"/>
  <c r="AL327" i="13" s="1"/>
  <c r="AJ327" i="3"/>
  <c r="AK327" i="3" s="1"/>
  <c r="AM327" i="3" s="1"/>
  <c r="AP327" i="13" l="1"/>
  <c r="AL327" i="3"/>
  <c r="AM327" i="13" l="1"/>
  <c r="AQ327" i="13" s="1"/>
  <c r="AP327" i="3"/>
  <c r="AQ327" i="3" s="1"/>
  <c r="AN327" i="3"/>
  <c r="AT327" i="3" l="1"/>
  <c r="AU327" i="3" s="1"/>
  <c r="AO327" i="3"/>
  <c r="AN327" i="13"/>
  <c r="AO327" i="13" s="1"/>
  <c r="AS327" i="3" l="1"/>
  <c r="AV327" i="3" s="1"/>
  <c r="I328" i="3" l="1"/>
  <c r="J328" i="3"/>
  <c r="I328" i="13"/>
  <c r="J328" i="13"/>
  <c r="AA328" i="13" l="1"/>
  <c r="AE328" i="13"/>
  <c r="AA328" i="3"/>
  <c r="AE328" i="3"/>
  <c r="AG328" i="3"/>
  <c r="AH328" i="3" s="1"/>
  <c r="K328" i="13"/>
  <c r="U328" i="13" s="1"/>
  <c r="L328" i="13"/>
  <c r="V328" i="13" s="1"/>
  <c r="M328" i="13"/>
  <c r="N328" i="13"/>
  <c r="W328" i="13" s="1"/>
  <c r="K328" i="3"/>
  <c r="U328" i="3" s="1"/>
  <c r="L328" i="3"/>
  <c r="V328" i="3" s="1"/>
  <c r="M328" i="3"/>
  <c r="N328" i="3"/>
  <c r="W328" i="3" s="1"/>
  <c r="AG328" i="13"/>
  <c r="AH328" i="13" s="1"/>
  <c r="AI328" i="3" l="1"/>
  <c r="X328" i="3"/>
  <c r="AI328" i="13"/>
  <c r="X328" i="13"/>
  <c r="AJ328" i="13" l="1"/>
  <c r="AK328" i="13" s="1"/>
  <c r="AL328" i="13" s="1"/>
  <c r="AJ328" i="3"/>
  <c r="AK328" i="3" s="1"/>
  <c r="AM328" i="3" s="1"/>
  <c r="AL328" i="3" l="1"/>
  <c r="AP328" i="13"/>
  <c r="AM328" i="13" l="1"/>
  <c r="AQ328" i="13" s="1"/>
  <c r="AN328" i="3"/>
  <c r="AP328" i="3"/>
  <c r="AQ328" i="3" s="1"/>
  <c r="AT328" i="3" l="1"/>
  <c r="AU328" i="3" s="1"/>
  <c r="AO328" i="3"/>
  <c r="AN328" i="13"/>
  <c r="AO328" i="13" s="1"/>
  <c r="AS328" i="3" l="1"/>
  <c r="AV328" i="3" s="1"/>
  <c r="I329" i="3" l="1"/>
  <c r="J329" i="3"/>
  <c r="I329" i="13"/>
  <c r="J329" i="13"/>
  <c r="AA329" i="13" l="1"/>
  <c r="AE329" i="13"/>
  <c r="AA329" i="3"/>
  <c r="AE329" i="3"/>
  <c r="AG329" i="3"/>
  <c r="AH329" i="3" s="1"/>
  <c r="K329" i="13"/>
  <c r="U329" i="13" s="1"/>
  <c r="L329" i="13"/>
  <c r="V329" i="13" s="1"/>
  <c r="M329" i="13"/>
  <c r="N329" i="13"/>
  <c r="W329" i="13" s="1"/>
  <c r="L329" i="3"/>
  <c r="V329" i="3" s="1"/>
  <c r="M329" i="3"/>
  <c r="N329" i="3"/>
  <c r="W329" i="3" s="1"/>
  <c r="K329" i="3"/>
  <c r="U329" i="3" s="1"/>
  <c r="AG329" i="13"/>
  <c r="AH329" i="13" s="1"/>
  <c r="AI329" i="3" l="1"/>
  <c r="X329" i="3"/>
  <c r="AI329" i="13"/>
  <c r="X329" i="13"/>
  <c r="AJ329" i="13" l="1"/>
  <c r="AK329" i="13" s="1"/>
  <c r="AL329" i="13" s="1"/>
  <c r="AJ329" i="3"/>
  <c r="AK329" i="3" s="1"/>
  <c r="AM329" i="3" s="1"/>
  <c r="AL329" i="3" l="1"/>
  <c r="AP329" i="3" s="1"/>
  <c r="AQ329" i="3" s="1"/>
  <c r="Y34" i="14" s="1"/>
  <c r="AM329" i="13"/>
  <c r="AN329" i="13" s="1"/>
  <c r="AO329" i="13" s="1"/>
  <c r="X34" i="15" s="1"/>
  <c r="AP329" i="13"/>
  <c r="AQ329" i="13" l="1"/>
  <c r="Y34" i="15" s="1"/>
  <c r="AN329" i="3"/>
  <c r="AO329" i="3" s="1"/>
  <c r="X34" i="14" s="1"/>
  <c r="AT329" i="3" l="1"/>
  <c r="AU329" i="3" s="1"/>
  <c r="AS329" i="3"/>
  <c r="AV329" i="3" l="1"/>
  <c r="J330" i="3" s="1"/>
  <c r="I330" i="3" l="1"/>
  <c r="J330" i="13"/>
  <c r="L330" i="13" s="1"/>
  <c r="V330" i="13" s="1"/>
  <c r="I330" i="13"/>
  <c r="M330" i="3"/>
  <c r="N330" i="3"/>
  <c r="W330" i="3" s="1"/>
  <c r="K330" i="3"/>
  <c r="U330" i="3" s="1"/>
  <c r="L330" i="3"/>
  <c r="V330" i="3" s="1"/>
  <c r="AA330" i="13" l="1"/>
  <c r="AE330" i="13"/>
  <c r="AG330" i="3"/>
  <c r="AH330" i="3" s="1"/>
  <c r="AA330" i="3"/>
  <c r="AE330" i="3"/>
  <c r="AG330" i="13"/>
  <c r="AH330" i="13" s="1"/>
  <c r="K330" i="13"/>
  <c r="U330" i="13" s="1"/>
  <c r="N330" i="13"/>
  <c r="W330" i="13" s="1"/>
  <c r="M330" i="13"/>
  <c r="X330" i="3"/>
  <c r="AI330" i="3"/>
  <c r="AI330" i="13" l="1"/>
  <c r="X330" i="13"/>
  <c r="AJ330" i="13" s="1"/>
  <c r="AJ330" i="3"/>
  <c r="AK330" i="3" s="1"/>
  <c r="AM330" i="3" s="1"/>
  <c r="AK330" i="13" l="1"/>
  <c r="AL330" i="13" s="1"/>
  <c r="AP330" i="13" s="1"/>
  <c r="AM330" i="13"/>
  <c r="AL330" i="3"/>
  <c r="AN330" i="13" l="1"/>
  <c r="AO330" i="13" s="1"/>
  <c r="AQ330" i="13"/>
  <c r="AP330" i="3"/>
  <c r="AQ330" i="3" s="1"/>
  <c r="AN330" i="3"/>
  <c r="AT330" i="3" l="1"/>
  <c r="AU330" i="3" s="1"/>
  <c r="AO330" i="3"/>
  <c r="AS330" i="3" l="1"/>
  <c r="AV330" i="3" s="1"/>
  <c r="J331" i="3" l="1"/>
  <c r="I331" i="3"/>
  <c r="I331" i="13"/>
  <c r="J331" i="13"/>
  <c r="AA331" i="13" l="1"/>
  <c r="AE331" i="13"/>
  <c r="AA331" i="3"/>
  <c r="AE331" i="3"/>
  <c r="N331" i="3"/>
  <c r="W331" i="3" s="1"/>
  <c r="K331" i="3"/>
  <c r="U331" i="3" s="1"/>
  <c r="L331" i="3"/>
  <c r="V331" i="3" s="1"/>
  <c r="M331" i="3"/>
  <c r="K331" i="13"/>
  <c r="U331" i="13" s="1"/>
  <c r="L331" i="13"/>
  <c r="V331" i="13" s="1"/>
  <c r="M331" i="13"/>
  <c r="N331" i="13"/>
  <c r="W331" i="13" s="1"/>
  <c r="AG331" i="13"/>
  <c r="AH331" i="13" s="1"/>
  <c r="AG331" i="3"/>
  <c r="AH331" i="3" s="1"/>
  <c r="AI331" i="13" l="1"/>
  <c r="X331" i="13"/>
  <c r="X331" i="3"/>
  <c r="AI331" i="3"/>
  <c r="AJ331" i="13" l="1"/>
  <c r="AK331" i="13" s="1"/>
  <c r="AL331" i="13" s="1"/>
  <c r="AJ331" i="3"/>
  <c r="AK331" i="3" s="1"/>
  <c r="AM331" i="3" s="1"/>
  <c r="AM331" i="13" l="1"/>
  <c r="AN331" i="13" s="1"/>
  <c r="AO331" i="13" s="1"/>
  <c r="AP331" i="13"/>
  <c r="AL331" i="3"/>
  <c r="AQ331" i="13" l="1"/>
  <c r="AP331" i="3"/>
  <c r="AQ331" i="3" s="1"/>
  <c r="AN331" i="3"/>
  <c r="AT331" i="3" l="1"/>
  <c r="AU331" i="3" s="1"/>
  <c r="AO331" i="3"/>
  <c r="AS331" i="3" l="1"/>
  <c r="AV331" i="3" s="1"/>
  <c r="I332" i="3" l="1"/>
  <c r="J332" i="3"/>
  <c r="I332" i="13"/>
  <c r="J332" i="13"/>
  <c r="AA332" i="13" l="1"/>
  <c r="AE332" i="13"/>
  <c r="AA332" i="3"/>
  <c r="AE332" i="3"/>
  <c r="AG332" i="3"/>
  <c r="AH332" i="3" s="1"/>
  <c r="K332" i="13"/>
  <c r="U332" i="13" s="1"/>
  <c r="L332" i="13"/>
  <c r="V332" i="13" s="1"/>
  <c r="M332" i="13"/>
  <c r="N332" i="13"/>
  <c r="W332" i="13" s="1"/>
  <c r="K332" i="3"/>
  <c r="U332" i="3" s="1"/>
  <c r="L332" i="3"/>
  <c r="V332" i="3" s="1"/>
  <c r="M332" i="3"/>
  <c r="N332" i="3"/>
  <c r="W332" i="3" s="1"/>
  <c r="AG332" i="13"/>
  <c r="AH332" i="13" s="1"/>
  <c r="AI332" i="3" l="1"/>
  <c r="X332" i="3"/>
  <c r="AI332" i="13"/>
  <c r="X332" i="13"/>
  <c r="AJ332" i="3" l="1"/>
  <c r="AK332" i="3" s="1"/>
  <c r="AM332" i="3" s="1"/>
  <c r="AJ332" i="13"/>
  <c r="AK332" i="13" s="1"/>
  <c r="AL332" i="13" s="1"/>
  <c r="AP332" i="13" l="1"/>
  <c r="AM332" i="13"/>
  <c r="AN332" i="13" s="1"/>
  <c r="AO332" i="13" s="1"/>
  <c r="AL332" i="3"/>
  <c r="AQ332" i="13" l="1"/>
  <c r="AN332" i="3"/>
  <c r="AP332" i="3"/>
  <c r="AQ332" i="3" s="1"/>
  <c r="AT332" i="3" l="1"/>
  <c r="AU332" i="3" s="1"/>
  <c r="AO332" i="3"/>
  <c r="AS332" i="3" l="1"/>
  <c r="AV332" i="3" s="1"/>
  <c r="I333" i="3" l="1"/>
  <c r="J333" i="3"/>
  <c r="I333" i="13"/>
  <c r="J333" i="13"/>
  <c r="AA333" i="13" l="1"/>
  <c r="AE333" i="13"/>
  <c r="AA333" i="3"/>
  <c r="AE333" i="3"/>
  <c r="AG333" i="3"/>
  <c r="AH333" i="3" s="1"/>
  <c r="K333" i="13"/>
  <c r="U333" i="13" s="1"/>
  <c r="L333" i="13"/>
  <c r="V333" i="13" s="1"/>
  <c r="M333" i="13"/>
  <c r="N333" i="13"/>
  <c r="W333" i="13" s="1"/>
  <c r="AG333" i="13"/>
  <c r="AH333" i="13" s="1"/>
  <c r="L333" i="3"/>
  <c r="V333" i="3" s="1"/>
  <c r="M333" i="3"/>
  <c r="N333" i="3"/>
  <c r="W333" i="3" s="1"/>
  <c r="K333" i="3"/>
  <c r="U333" i="3" s="1"/>
  <c r="AI333" i="3" l="1"/>
  <c r="X333" i="3"/>
  <c r="AI333" i="13"/>
  <c r="X333" i="13"/>
  <c r="AJ333" i="13" l="1"/>
  <c r="AK333" i="13" s="1"/>
  <c r="AL333" i="13" s="1"/>
  <c r="AJ333" i="3"/>
  <c r="AK333" i="3" s="1"/>
  <c r="AM333" i="3" s="1"/>
  <c r="AL333" i="3" l="1"/>
  <c r="AM333" i="13"/>
  <c r="AN333" i="13" s="1"/>
  <c r="AO333" i="13" s="1"/>
  <c r="AP333" i="13"/>
  <c r="AQ333" i="13" l="1"/>
  <c r="AN333" i="3"/>
  <c r="AP333" i="3"/>
  <c r="AQ333" i="3" s="1"/>
  <c r="AT333" i="3" l="1"/>
  <c r="AU333" i="3" s="1"/>
  <c r="AO333" i="3"/>
  <c r="AS333" i="3" l="1"/>
  <c r="AV333" i="3" s="1"/>
  <c r="I334" i="3" l="1"/>
  <c r="J334" i="3"/>
  <c r="I334" i="13"/>
  <c r="J334" i="13"/>
  <c r="AA334" i="13" l="1"/>
  <c r="AE334" i="13"/>
  <c r="AA334" i="3"/>
  <c r="AE334" i="3"/>
  <c r="AG334" i="3"/>
  <c r="AH334" i="3" s="1"/>
  <c r="K334" i="13"/>
  <c r="U334" i="13" s="1"/>
  <c r="L334" i="13"/>
  <c r="V334" i="13" s="1"/>
  <c r="M334" i="13"/>
  <c r="N334" i="13"/>
  <c r="W334" i="13" s="1"/>
  <c r="M334" i="3"/>
  <c r="N334" i="3"/>
  <c r="W334" i="3" s="1"/>
  <c r="K334" i="3"/>
  <c r="U334" i="3" s="1"/>
  <c r="L334" i="3"/>
  <c r="V334" i="3" s="1"/>
  <c r="AG334" i="13"/>
  <c r="AH334" i="13" s="1"/>
  <c r="X334" i="3" l="1"/>
  <c r="AI334" i="3"/>
  <c r="AI334" i="13"/>
  <c r="X334" i="13"/>
  <c r="AJ334" i="3" l="1"/>
  <c r="AK334" i="3" s="1"/>
  <c r="AM334" i="3" s="1"/>
  <c r="AJ334" i="13"/>
  <c r="AK334" i="13" s="1"/>
  <c r="AL334" i="13" s="1"/>
  <c r="AM334" i="13" l="1"/>
  <c r="AN334" i="13" s="1"/>
  <c r="AO334" i="13" s="1"/>
  <c r="AL334" i="3"/>
  <c r="AP334" i="13"/>
  <c r="AQ334" i="13" s="1"/>
  <c r="AP334" i="3" l="1"/>
  <c r="AQ334" i="3" s="1"/>
  <c r="AN334" i="3"/>
  <c r="AT334" i="3" l="1"/>
  <c r="AU334" i="3" s="1"/>
  <c r="AO334" i="3"/>
  <c r="AS334" i="3" l="1"/>
  <c r="AV334" i="3" s="1"/>
  <c r="J335" i="3" l="1"/>
  <c r="I335" i="3"/>
  <c r="I335" i="13"/>
  <c r="J335" i="13"/>
  <c r="AA335" i="13" l="1"/>
  <c r="AE335" i="13"/>
  <c r="AA335" i="3"/>
  <c r="AE335" i="3"/>
  <c r="N335" i="3"/>
  <c r="W335" i="3" s="1"/>
  <c r="K335" i="3"/>
  <c r="U335" i="3" s="1"/>
  <c r="L335" i="3"/>
  <c r="V335" i="3" s="1"/>
  <c r="M335" i="3"/>
  <c r="K335" i="13"/>
  <c r="U335" i="13" s="1"/>
  <c r="L335" i="13"/>
  <c r="V335" i="13" s="1"/>
  <c r="M335" i="13"/>
  <c r="N335" i="13"/>
  <c r="W335" i="13" s="1"/>
  <c r="AG335" i="13"/>
  <c r="AH335" i="13" s="1"/>
  <c r="AG335" i="3"/>
  <c r="AH335" i="3" s="1"/>
  <c r="AI335" i="13" l="1"/>
  <c r="X335" i="13"/>
  <c r="X335" i="3"/>
  <c r="AI335" i="3"/>
  <c r="AJ335" i="13" l="1"/>
  <c r="AK335" i="13" s="1"/>
  <c r="AL335" i="13" s="1"/>
  <c r="AJ335" i="3"/>
  <c r="AK335" i="3" s="1"/>
  <c r="AM335" i="3" s="1"/>
  <c r="AM335" i="13" l="1"/>
  <c r="AN335" i="13" s="1"/>
  <c r="AO335" i="13" s="1"/>
  <c r="AL335" i="3"/>
  <c r="AP335" i="13"/>
  <c r="AQ335" i="13" s="1"/>
  <c r="AP335" i="3" l="1"/>
  <c r="AQ335" i="3" s="1"/>
  <c r="AN335" i="3"/>
  <c r="AT335" i="3" l="1"/>
  <c r="AU335" i="3" s="1"/>
  <c r="AO335" i="3"/>
  <c r="AS335" i="3" l="1"/>
  <c r="AV335" i="3" s="1"/>
  <c r="I336" i="3" l="1"/>
  <c r="J336" i="3"/>
  <c r="I336" i="13"/>
  <c r="J336" i="13"/>
  <c r="AA336" i="13" l="1"/>
  <c r="AE336" i="13"/>
  <c r="AA336" i="3"/>
  <c r="AE336" i="3"/>
  <c r="K336" i="13"/>
  <c r="U336" i="13" s="1"/>
  <c r="L336" i="13"/>
  <c r="V336" i="13" s="1"/>
  <c r="M336" i="13"/>
  <c r="N336" i="13"/>
  <c r="W336" i="13" s="1"/>
  <c r="AG336" i="13"/>
  <c r="AH336" i="13" s="1"/>
  <c r="K336" i="3"/>
  <c r="U336" i="3" s="1"/>
  <c r="L336" i="3"/>
  <c r="V336" i="3" s="1"/>
  <c r="M336" i="3"/>
  <c r="N336" i="3"/>
  <c r="W336" i="3" s="1"/>
  <c r="AG336" i="3"/>
  <c r="AH336" i="3" s="1"/>
  <c r="AI336" i="3" l="1"/>
  <c r="X336" i="3"/>
  <c r="AI336" i="13"/>
  <c r="X336" i="13"/>
  <c r="AJ336" i="13" l="1"/>
  <c r="AK336" i="13" s="1"/>
  <c r="AL336" i="13" s="1"/>
  <c r="AJ336" i="3"/>
  <c r="AK336" i="3" s="1"/>
  <c r="AM336" i="3" s="1"/>
  <c r="AM336" i="13" l="1"/>
  <c r="AN336" i="13" s="1"/>
  <c r="AO336" i="13" s="1"/>
  <c r="AP336" i="13"/>
  <c r="AQ336" i="13" s="1"/>
  <c r="AL336" i="3"/>
  <c r="AN336" i="3" l="1"/>
  <c r="AP336" i="3"/>
  <c r="AQ336" i="3" s="1"/>
  <c r="AT336" i="3" l="1"/>
  <c r="AU336" i="3" s="1"/>
  <c r="AO336" i="3"/>
  <c r="AS336" i="3" l="1"/>
  <c r="AV336" i="3" s="1"/>
  <c r="I337" i="3" l="1"/>
  <c r="J337" i="3"/>
  <c r="I337" i="13"/>
  <c r="J337" i="13"/>
  <c r="AA337" i="13" l="1"/>
  <c r="AE337" i="13"/>
  <c r="AA337" i="3"/>
  <c r="AE337" i="3"/>
  <c r="AG337" i="3"/>
  <c r="AH337" i="3" s="1"/>
  <c r="K337" i="13"/>
  <c r="U337" i="13" s="1"/>
  <c r="L337" i="13"/>
  <c r="V337" i="13" s="1"/>
  <c r="M337" i="13"/>
  <c r="N337" i="13"/>
  <c r="W337" i="13" s="1"/>
  <c r="AG337" i="13"/>
  <c r="AH337" i="13" s="1"/>
  <c r="L337" i="3"/>
  <c r="V337" i="3" s="1"/>
  <c r="M337" i="3"/>
  <c r="N337" i="3"/>
  <c r="W337" i="3" s="1"/>
  <c r="K337" i="3"/>
  <c r="U337" i="3" s="1"/>
  <c r="AI337" i="3" l="1"/>
  <c r="X337" i="3"/>
  <c r="AI337" i="13"/>
  <c r="X337" i="13"/>
  <c r="AJ337" i="13" l="1"/>
  <c r="AK337" i="13" s="1"/>
  <c r="AL337" i="13" s="1"/>
  <c r="AJ337" i="3"/>
  <c r="AK337" i="3" s="1"/>
  <c r="AM337" i="3" s="1"/>
  <c r="AL337" i="3" l="1"/>
  <c r="AP337" i="13"/>
  <c r="AM337" i="13" l="1"/>
  <c r="AQ337" i="13" s="1"/>
  <c r="AN337" i="3"/>
  <c r="AP337" i="3"/>
  <c r="AQ337" i="3" s="1"/>
  <c r="AT337" i="3" l="1"/>
  <c r="AU337" i="3" s="1"/>
  <c r="AO337" i="3"/>
  <c r="AN337" i="13"/>
  <c r="AO337" i="13" s="1"/>
  <c r="AS337" i="3" l="1"/>
  <c r="AV337" i="3" s="1"/>
  <c r="I338" i="3" l="1"/>
  <c r="J338" i="3"/>
  <c r="I338" i="13"/>
  <c r="J338" i="13"/>
  <c r="AA338" i="13" l="1"/>
  <c r="AE338" i="13"/>
  <c r="AA338" i="3"/>
  <c r="AE338" i="3"/>
  <c r="K338" i="13"/>
  <c r="U338" i="13" s="1"/>
  <c r="L338" i="13"/>
  <c r="V338" i="13" s="1"/>
  <c r="M338" i="13"/>
  <c r="N338" i="13"/>
  <c r="W338" i="13" s="1"/>
  <c r="AG338" i="13"/>
  <c r="AH338" i="13" s="1"/>
  <c r="AG338" i="3"/>
  <c r="AH338" i="3" s="1"/>
  <c r="M338" i="3"/>
  <c r="N338" i="3"/>
  <c r="W338" i="3" s="1"/>
  <c r="K338" i="3"/>
  <c r="U338" i="3" s="1"/>
  <c r="L338" i="3"/>
  <c r="V338" i="3" s="1"/>
  <c r="X338" i="3" l="1"/>
  <c r="AI338" i="3"/>
  <c r="AI338" i="13"/>
  <c r="X338" i="13"/>
  <c r="AJ338" i="13" l="1"/>
  <c r="AK338" i="13" s="1"/>
  <c r="AL338" i="13" s="1"/>
  <c r="AJ338" i="3"/>
  <c r="AK338" i="3" s="1"/>
  <c r="AM338" i="3" s="1"/>
  <c r="AL338" i="3" l="1"/>
  <c r="AP338" i="13"/>
  <c r="AP338" i="3" l="1"/>
  <c r="AQ338" i="3" s="1"/>
  <c r="AN338" i="3"/>
  <c r="AM338" i="13"/>
  <c r="AN338" i="13" l="1"/>
  <c r="AO338" i="13" s="1"/>
  <c r="AT338" i="3"/>
  <c r="AU338" i="3" s="1"/>
  <c r="AO338" i="3"/>
  <c r="AQ338" i="13"/>
  <c r="AS338" i="3" l="1"/>
  <c r="AV338" i="3" s="1"/>
  <c r="J339" i="3" l="1"/>
  <c r="I339" i="3"/>
  <c r="I339" i="13"/>
  <c r="J339" i="13"/>
  <c r="AA339" i="13" l="1"/>
  <c r="AE339" i="13"/>
  <c r="AA339" i="3"/>
  <c r="AE339" i="3"/>
  <c r="AG339" i="13"/>
  <c r="AH339" i="13" s="1"/>
  <c r="K339" i="13"/>
  <c r="U339" i="13" s="1"/>
  <c r="L339" i="13"/>
  <c r="V339" i="13" s="1"/>
  <c r="M339" i="13"/>
  <c r="N339" i="13"/>
  <c r="W339" i="13" s="1"/>
  <c r="AG339" i="3"/>
  <c r="AH339" i="3" s="1"/>
  <c r="N339" i="3"/>
  <c r="W339" i="3" s="1"/>
  <c r="K339" i="3"/>
  <c r="U339" i="3" s="1"/>
  <c r="L339" i="3"/>
  <c r="V339" i="3" s="1"/>
  <c r="M339" i="3"/>
  <c r="X339" i="3" l="1"/>
  <c r="AI339" i="3"/>
  <c r="AI339" i="13"/>
  <c r="X339" i="13"/>
  <c r="AJ339" i="13" l="1"/>
  <c r="AK339" i="13" s="1"/>
  <c r="AL339" i="13" s="1"/>
  <c r="AJ339" i="3"/>
  <c r="AK339" i="3" s="1"/>
  <c r="AM339" i="3" s="1"/>
  <c r="AL339" i="3" l="1"/>
  <c r="AP339" i="13"/>
  <c r="AP339" i="3" l="1"/>
  <c r="AQ339" i="3" s="1"/>
  <c r="AN339" i="3"/>
  <c r="AM339" i="13"/>
  <c r="AN339" i="13" l="1"/>
  <c r="AO339" i="13" s="1"/>
  <c r="AT339" i="3"/>
  <c r="AU339" i="3" s="1"/>
  <c r="AO339" i="3"/>
  <c r="AQ339" i="13"/>
  <c r="AS339" i="3" l="1"/>
  <c r="AV339" i="3" s="1"/>
  <c r="I340" i="3" l="1"/>
  <c r="J340" i="3"/>
  <c r="I340" i="13"/>
  <c r="J340" i="13"/>
  <c r="AA340" i="13" l="1"/>
  <c r="AE340" i="13"/>
  <c r="AA340" i="3"/>
  <c r="AE340" i="3"/>
  <c r="K340" i="13"/>
  <c r="U340" i="13" s="1"/>
  <c r="L340" i="13"/>
  <c r="V340" i="13" s="1"/>
  <c r="M340" i="13"/>
  <c r="N340" i="13"/>
  <c r="W340" i="13" s="1"/>
  <c r="AG340" i="13"/>
  <c r="AH340" i="13" s="1"/>
  <c r="K340" i="3"/>
  <c r="U340" i="3" s="1"/>
  <c r="L340" i="3"/>
  <c r="V340" i="3" s="1"/>
  <c r="M340" i="3"/>
  <c r="N340" i="3"/>
  <c r="W340" i="3" s="1"/>
  <c r="AG340" i="3"/>
  <c r="AH340" i="3" s="1"/>
  <c r="AI340" i="3" l="1"/>
  <c r="X340" i="3"/>
  <c r="AI340" i="13"/>
  <c r="X340" i="13"/>
  <c r="AJ340" i="13" l="1"/>
  <c r="AK340" i="13" s="1"/>
  <c r="AL340" i="13" s="1"/>
  <c r="AJ340" i="3"/>
  <c r="AK340" i="3" s="1"/>
  <c r="AM340" i="3" s="1"/>
  <c r="AP340" i="13" l="1"/>
  <c r="AQ340" i="13" s="1"/>
  <c r="AM340" i="13"/>
  <c r="AL340" i="3"/>
  <c r="AN340" i="3" l="1"/>
  <c r="AP340" i="3"/>
  <c r="AQ340" i="3" s="1"/>
  <c r="AN340" i="13"/>
  <c r="AO340" i="13" s="1"/>
  <c r="AT340" i="3" l="1"/>
  <c r="AU340" i="3" s="1"/>
  <c r="AO340" i="3"/>
  <c r="AS340" i="3" l="1"/>
  <c r="AV340" i="3" s="1"/>
  <c r="I341" i="3" l="1"/>
  <c r="J341" i="3"/>
  <c r="I341" i="13"/>
  <c r="J341" i="13"/>
  <c r="AA341" i="13" l="1"/>
  <c r="AE341" i="13"/>
  <c r="AA341" i="3"/>
  <c r="AE341" i="3"/>
  <c r="AG341" i="13"/>
  <c r="AH341" i="13" s="1"/>
  <c r="K341" i="13"/>
  <c r="U341" i="13" s="1"/>
  <c r="L341" i="13"/>
  <c r="V341" i="13" s="1"/>
  <c r="M341" i="13"/>
  <c r="N341" i="13"/>
  <c r="W341" i="13" s="1"/>
  <c r="L341" i="3"/>
  <c r="V341" i="3" s="1"/>
  <c r="M341" i="3"/>
  <c r="N341" i="3"/>
  <c r="W341" i="3" s="1"/>
  <c r="K341" i="3"/>
  <c r="U341" i="3" s="1"/>
  <c r="AG341" i="3"/>
  <c r="AH341" i="3" s="1"/>
  <c r="AI341" i="13" l="1"/>
  <c r="X341" i="13"/>
  <c r="AI341" i="3"/>
  <c r="X341" i="3"/>
  <c r="AJ341" i="3" l="1"/>
  <c r="AK341" i="3" s="1"/>
  <c r="AM341" i="3" s="1"/>
  <c r="AJ341" i="13"/>
  <c r="AK341" i="13" s="1"/>
  <c r="AL341" i="13" s="1"/>
  <c r="AM341" i="13" l="1"/>
  <c r="AN341" i="13" s="1"/>
  <c r="AO341" i="13" s="1"/>
  <c r="X35" i="15" s="1"/>
  <c r="AL341" i="3"/>
  <c r="AP341" i="13"/>
  <c r="AQ341" i="13" s="1"/>
  <c r="Y35" i="15" s="1"/>
  <c r="AN341" i="3" l="1"/>
  <c r="AP341" i="3"/>
  <c r="AQ341" i="3" s="1"/>
  <c r="Y35" i="14" s="1"/>
  <c r="AT341" i="3" l="1"/>
  <c r="AU341" i="3" s="1"/>
  <c r="AO341" i="3"/>
  <c r="X35" i="14" s="1"/>
  <c r="AS341" i="3" l="1"/>
  <c r="AV341" i="3" s="1"/>
  <c r="I342" i="3" l="1"/>
  <c r="J342" i="3"/>
  <c r="I342" i="13"/>
  <c r="J342" i="13"/>
  <c r="AA342" i="13" l="1"/>
  <c r="AE342" i="13"/>
  <c r="AA342" i="3"/>
  <c r="AE342" i="3"/>
  <c r="K342" i="13"/>
  <c r="U342" i="13" s="1"/>
  <c r="L342" i="13"/>
  <c r="V342" i="13" s="1"/>
  <c r="M342" i="13"/>
  <c r="N342" i="13"/>
  <c r="W342" i="13" s="1"/>
  <c r="M342" i="3"/>
  <c r="N342" i="3"/>
  <c r="W342" i="3" s="1"/>
  <c r="K342" i="3"/>
  <c r="U342" i="3" s="1"/>
  <c r="L342" i="3"/>
  <c r="V342" i="3" s="1"/>
  <c r="AG342" i="13"/>
  <c r="AH342" i="13" s="1"/>
  <c r="AG342" i="3"/>
  <c r="AH342" i="3" s="1"/>
  <c r="X342" i="3" l="1"/>
  <c r="AI342" i="3"/>
  <c r="AI342" i="13"/>
  <c r="X342" i="13"/>
  <c r="AJ342" i="13" l="1"/>
  <c r="AK342" i="13" s="1"/>
  <c r="AL342" i="13" s="1"/>
  <c r="AJ342" i="3"/>
  <c r="AK342" i="3" s="1"/>
  <c r="AM342" i="3" s="1"/>
  <c r="AP342" i="13" l="1"/>
  <c r="AQ342" i="13" s="1"/>
  <c r="AL342" i="3"/>
  <c r="AM342" i="13"/>
  <c r="AN342" i="13" s="1"/>
  <c r="AO342" i="13" s="1"/>
  <c r="AP342" i="3" l="1"/>
  <c r="AQ342" i="3" s="1"/>
  <c r="AN342" i="3"/>
  <c r="AT342" i="3" l="1"/>
  <c r="AU342" i="3" s="1"/>
  <c r="AO342" i="3"/>
  <c r="AS342" i="3" l="1"/>
  <c r="AV342" i="3" s="1"/>
  <c r="J343" i="3" l="1"/>
  <c r="I343" i="3"/>
  <c r="I343" i="13"/>
  <c r="J343" i="13"/>
  <c r="AA343" i="13" l="1"/>
  <c r="AE343" i="13"/>
  <c r="AA343" i="3"/>
  <c r="AE343" i="3"/>
  <c r="K343" i="13"/>
  <c r="U343" i="13" s="1"/>
  <c r="L343" i="13"/>
  <c r="V343" i="13" s="1"/>
  <c r="M343" i="13"/>
  <c r="N343" i="13"/>
  <c r="W343" i="13" s="1"/>
  <c r="AG343" i="3"/>
  <c r="AH343" i="3" s="1"/>
  <c r="AG343" i="13"/>
  <c r="AH343" i="13" s="1"/>
  <c r="N343" i="3"/>
  <c r="W343" i="3" s="1"/>
  <c r="K343" i="3"/>
  <c r="U343" i="3" s="1"/>
  <c r="L343" i="3"/>
  <c r="V343" i="3" s="1"/>
  <c r="M343" i="3"/>
  <c r="X343" i="3" l="1"/>
  <c r="AI343" i="3"/>
  <c r="AI343" i="13"/>
  <c r="X343" i="13"/>
  <c r="AJ343" i="3" l="1"/>
  <c r="AK343" i="3" s="1"/>
  <c r="AM343" i="3" s="1"/>
  <c r="AJ343" i="13"/>
  <c r="AK343" i="13" s="1"/>
  <c r="AL343" i="13" s="1"/>
  <c r="AP343" i="13" l="1"/>
  <c r="AM343" i="13"/>
  <c r="AN343" i="13" s="1"/>
  <c r="AO343" i="13" s="1"/>
  <c r="AL343" i="3"/>
  <c r="AP343" i="3" l="1"/>
  <c r="AQ343" i="3" s="1"/>
  <c r="AN343" i="3"/>
  <c r="AQ343" i="13"/>
  <c r="AT343" i="3" l="1"/>
  <c r="AU343" i="3" s="1"/>
  <c r="AO343" i="3"/>
  <c r="AS343" i="3" l="1"/>
  <c r="AV343" i="3" s="1"/>
  <c r="I344" i="3" l="1"/>
  <c r="J344" i="3"/>
  <c r="I344" i="13"/>
  <c r="J344" i="13"/>
  <c r="AA344" i="13" l="1"/>
  <c r="AE344" i="13"/>
  <c r="AA344" i="3"/>
  <c r="AE344" i="3"/>
  <c r="AG344" i="3"/>
  <c r="AH344" i="3" s="1"/>
  <c r="K344" i="13"/>
  <c r="U344" i="13" s="1"/>
  <c r="L344" i="13"/>
  <c r="V344" i="13" s="1"/>
  <c r="M344" i="13"/>
  <c r="N344" i="13"/>
  <c r="W344" i="13" s="1"/>
  <c r="K344" i="3"/>
  <c r="U344" i="3" s="1"/>
  <c r="L344" i="3"/>
  <c r="V344" i="3" s="1"/>
  <c r="M344" i="3"/>
  <c r="N344" i="3"/>
  <c r="W344" i="3" s="1"/>
  <c r="AG344" i="13"/>
  <c r="AH344" i="13" s="1"/>
  <c r="AI344" i="3" l="1"/>
  <c r="X344" i="3"/>
  <c r="AI344" i="13"/>
  <c r="X344" i="13"/>
  <c r="AJ344" i="3" l="1"/>
  <c r="AK344" i="3" s="1"/>
  <c r="AM344" i="3" s="1"/>
  <c r="AJ344" i="13"/>
  <c r="AK344" i="13" s="1"/>
  <c r="AL344" i="13" s="1"/>
  <c r="AM344" i="13" l="1"/>
  <c r="AN344" i="13" s="1"/>
  <c r="AO344" i="13" s="1"/>
  <c r="AP344" i="13"/>
  <c r="AL344" i="3"/>
  <c r="AQ344" i="13" l="1"/>
  <c r="AN344" i="3"/>
  <c r="AP344" i="3"/>
  <c r="AQ344" i="3" s="1"/>
  <c r="AT344" i="3" l="1"/>
  <c r="AU344" i="3" s="1"/>
  <c r="AO344" i="3"/>
  <c r="AS344" i="3" l="1"/>
  <c r="AV344" i="3" s="1"/>
  <c r="I345" i="3" l="1"/>
  <c r="J345" i="3"/>
  <c r="I345" i="13"/>
  <c r="J345" i="13"/>
  <c r="AA345" i="13" l="1"/>
  <c r="AE345" i="13"/>
  <c r="AA345" i="3"/>
  <c r="AE345" i="3"/>
  <c r="AG345" i="3"/>
  <c r="AH345" i="3" s="1"/>
  <c r="K345" i="13"/>
  <c r="U345" i="13" s="1"/>
  <c r="L345" i="13"/>
  <c r="V345" i="13" s="1"/>
  <c r="M345" i="13"/>
  <c r="N345" i="13"/>
  <c r="W345" i="13" s="1"/>
  <c r="L345" i="3"/>
  <c r="V345" i="3" s="1"/>
  <c r="M345" i="3"/>
  <c r="N345" i="3"/>
  <c r="W345" i="3" s="1"/>
  <c r="K345" i="3"/>
  <c r="U345" i="3" s="1"/>
  <c r="AG345" i="13"/>
  <c r="AH345" i="13" s="1"/>
  <c r="AI345" i="3" l="1"/>
  <c r="X345" i="3"/>
  <c r="AI345" i="13"/>
  <c r="X345" i="13"/>
  <c r="AJ345" i="13" l="1"/>
  <c r="AK345" i="13" s="1"/>
  <c r="AL345" i="13" s="1"/>
  <c r="AJ345" i="3"/>
  <c r="AK345" i="3" s="1"/>
  <c r="AM345" i="3" s="1"/>
  <c r="AM345" i="13" l="1"/>
  <c r="AN345" i="13" s="1"/>
  <c r="AO345" i="13" s="1"/>
  <c r="AL345" i="3"/>
  <c r="AP345" i="13"/>
  <c r="AQ345" i="13" l="1"/>
  <c r="AN345" i="3"/>
  <c r="AP345" i="3"/>
  <c r="AQ345" i="3" s="1"/>
  <c r="AT345" i="3" l="1"/>
  <c r="AU345" i="3" s="1"/>
  <c r="AO345" i="3"/>
  <c r="AS345" i="3" l="1"/>
  <c r="AV345" i="3" s="1"/>
  <c r="I346" i="3" l="1"/>
  <c r="J346" i="3"/>
  <c r="I346" i="13"/>
  <c r="J346" i="13"/>
  <c r="AA346" i="13" l="1"/>
  <c r="AE346" i="13"/>
  <c r="AA346" i="3"/>
  <c r="AE346" i="3"/>
  <c r="AG346" i="3"/>
  <c r="AH346" i="3" s="1"/>
  <c r="K346" i="13"/>
  <c r="U346" i="13" s="1"/>
  <c r="L346" i="13"/>
  <c r="V346" i="13" s="1"/>
  <c r="M346" i="13"/>
  <c r="N346" i="13"/>
  <c r="W346" i="13" s="1"/>
  <c r="AG346" i="13"/>
  <c r="AH346" i="13" s="1"/>
  <c r="M346" i="3"/>
  <c r="N346" i="3"/>
  <c r="W346" i="3" s="1"/>
  <c r="K346" i="3"/>
  <c r="U346" i="3" s="1"/>
  <c r="L346" i="3"/>
  <c r="V346" i="3" s="1"/>
  <c r="X346" i="3" l="1"/>
  <c r="AI346" i="3"/>
  <c r="AI346" i="13"/>
  <c r="X346" i="13"/>
  <c r="AJ346" i="3" l="1"/>
  <c r="AK346" i="3" s="1"/>
  <c r="AM346" i="3" s="1"/>
  <c r="AJ346" i="13"/>
  <c r="AK346" i="13" s="1"/>
  <c r="AL346" i="13" s="1"/>
  <c r="AP346" i="13" l="1"/>
  <c r="AQ346" i="13" s="1"/>
  <c r="AL346" i="3"/>
  <c r="AM346" i="13"/>
  <c r="AN346" i="13" s="1"/>
  <c r="AO346" i="13" s="1"/>
  <c r="AP346" i="3" l="1"/>
  <c r="AQ346" i="3" s="1"/>
  <c r="AN346" i="3"/>
  <c r="AT346" i="3" l="1"/>
  <c r="AU346" i="3" s="1"/>
  <c r="AO346" i="3"/>
  <c r="AS346" i="3" l="1"/>
  <c r="AV346" i="3" s="1"/>
  <c r="J347" i="3" l="1"/>
  <c r="I347" i="3"/>
  <c r="I347" i="13"/>
  <c r="J347" i="13"/>
  <c r="AA347" i="13" l="1"/>
  <c r="AE347" i="13"/>
  <c r="AA347" i="3"/>
  <c r="AE347" i="3"/>
  <c r="K347" i="13"/>
  <c r="U347" i="13" s="1"/>
  <c r="L347" i="13"/>
  <c r="V347" i="13" s="1"/>
  <c r="M347" i="13"/>
  <c r="N347" i="13"/>
  <c r="W347" i="13" s="1"/>
  <c r="N347" i="3"/>
  <c r="W347" i="3" s="1"/>
  <c r="K347" i="3"/>
  <c r="U347" i="3" s="1"/>
  <c r="L347" i="3"/>
  <c r="V347" i="3" s="1"/>
  <c r="M347" i="3"/>
  <c r="AG347" i="13"/>
  <c r="AH347" i="13" s="1"/>
  <c r="AG347" i="3"/>
  <c r="AH347" i="3" s="1"/>
  <c r="AI347" i="13" l="1"/>
  <c r="X347" i="13"/>
  <c r="X347" i="3"/>
  <c r="AI347" i="3"/>
  <c r="AJ347" i="13" l="1"/>
  <c r="AK347" i="13" s="1"/>
  <c r="AL347" i="13" s="1"/>
  <c r="AJ347" i="3"/>
  <c r="AK347" i="3" s="1"/>
  <c r="AM347" i="3" s="1"/>
  <c r="AM347" i="13" l="1"/>
  <c r="AN347" i="13" s="1"/>
  <c r="AO347" i="13" s="1"/>
  <c r="AP347" i="13"/>
  <c r="AL347" i="3"/>
  <c r="AQ347" i="13" l="1"/>
  <c r="AP347" i="3"/>
  <c r="AQ347" i="3" s="1"/>
  <c r="AN347" i="3"/>
  <c r="AT347" i="3" l="1"/>
  <c r="AU347" i="3" s="1"/>
  <c r="AO347" i="3"/>
  <c r="AS347" i="3" l="1"/>
  <c r="AV347" i="3" s="1"/>
  <c r="I348" i="3" l="1"/>
  <c r="J348" i="3"/>
  <c r="I348" i="13"/>
  <c r="J348" i="13"/>
  <c r="AA348" i="13" l="1"/>
  <c r="AE348" i="13"/>
  <c r="AA348" i="3"/>
  <c r="AE348" i="3"/>
  <c r="AG348" i="3"/>
  <c r="AH348" i="3" s="1"/>
  <c r="K348" i="13"/>
  <c r="U348" i="13" s="1"/>
  <c r="L348" i="13"/>
  <c r="V348" i="13" s="1"/>
  <c r="M348" i="13"/>
  <c r="N348" i="13"/>
  <c r="W348" i="13" s="1"/>
  <c r="K348" i="3"/>
  <c r="U348" i="3" s="1"/>
  <c r="L348" i="3"/>
  <c r="V348" i="3" s="1"/>
  <c r="M348" i="3"/>
  <c r="N348" i="3"/>
  <c r="W348" i="3" s="1"/>
  <c r="AG348" i="13"/>
  <c r="AH348" i="13" s="1"/>
  <c r="AI348" i="3" l="1"/>
  <c r="X348" i="3"/>
  <c r="AI348" i="13"/>
  <c r="X348" i="13"/>
  <c r="AJ348" i="13" l="1"/>
  <c r="AK348" i="13" s="1"/>
  <c r="AL348" i="13" s="1"/>
  <c r="AJ348" i="3"/>
  <c r="AK348" i="3" s="1"/>
  <c r="AM348" i="3" s="1"/>
  <c r="AM348" i="13" l="1"/>
  <c r="AN348" i="13" s="1"/>
  <c r="AO348" i="13" s="1"/>
  <c r="AP348" i="13"/>
  <c r="AQ348" i="13" s="1"/>
  <c r="AL348" i="3"/>
  <c r="AN348" i="3" l="1"/>
  <c r="AP348" i="3"/>
  <c r="AQ348" i="3" s="1"/>
  <c r="AT348" i="3" l="1"/>
  <c r="AU348" i="3" s="1"/>
  <c r="AO348" i="3"/>
  <c r="AS348" i="3" l="1"/>
  <c r="AV348" i="3" s="1"/>
  <c r="I349" i="3" l="1"/>
  <c r="J349" i="3"/>
  <c r="I349" i="13"/>
  <c r="J349" i="13"/>
  <c r="AA349" i="13" l="1"/>
  <c r="AE349" i="13"/>
  <c r="AA349" i="3"/>
  <c r="AE349" i="3"/>
  <c r="AG349" i="3"/>
  <c r="AH349" i="3" s="1"/>
  <c r="K349" i="13"/>
  <c r="U349" i="13" s="1"/>
  <c r="L349" i="13"/>
  <c r="V349" i="13" s="1"/>
  <c r="M349" i="13"/>
  <c r="N349" i="13"/>
  <c r="W349" i="13" s="1"/>
  <c r="AG349" i="13"/>
  <c r="AH349" i="13" s="1"/>
  <c r="L349" i="3"/>
  <c r="V349" i="3" s="1"/>
  <c r="M349" i="3"/>
  <c r="N349" i="3"/>
  <c r="W349" i="3" s="1"/>
  <c r="K349" i="3"/>
  <c r="U349" i="3" s="1"/>
  <c r="AI349" i="3" l="1"/>
  <c r="X349" i="3"/>
  <c r="AI349" i="13"/>
  <c r="X349" i="13"/>
  <c r="AJ349" i="13" l="1"/>
  <c r="AK349" i="13" s="1"/>
  <c r="AL349" i="13" s="1"/>
  <c r="AJ349" i="3"/>
  <c r="AK349" i="3" s="1"/>
  <c r="AM349" i="3" s="1"/>
  <c r="AP349" i="13" l="1"/>
  <c r="AL349" i="3"/>
  <c r="AM349" i="13" l="1"/>
  <c r="AQ349" i="13" s="1"/>
  <c r="AN349" i="3"/>
  <c r="AP349" i="3"/>
  <c r="AQ349" i="3" s="1"/>
  <c r="AT349" i="3" l="1"/>
  <c r="AU349" i="3" s="1"/>
  <c r="AO349" i="3"/>
  <c r="AN349" i="13"/>
  <c r="AO349" i="13" s="1"/>
  <c r="AS349" i="3" l="1"/>
  <c r="AV349" i="3" s="1"/>
  <c r="I350" i="3" l="1"/>
  <c r="J350" i="3"/>
  <c r="I350" i="13"/>
  <c r="J350" i="13"/>
  <c r="AA350" i="13" l="1"/>
  <c r="AE350" i="13"/>
  <c r="AA350" i="3"/>
  <c r="AE350" i="3"/>
  <c r="AG350" i="3"/>
  <c r="AH350" i="3" s="1"/>
  <c r="K350" i="13"/>
  <c r="U350" i="13" s="1"/>
  <c r="L350" i="13"/>
  <c r="V350" i="13" s="1"/>
  <c r="M350" i="13"/>
  <c r="N350" i="13"/>
  <c r="W350" i="13" s="1"/>
  <c r="AG350" i="13"/>
  <c r="AH350" i="13" s="1"/>
  <c r="M350" i="3"/>
  <c r="N350" i="3"/>
  <c r="W350" i="3" s="1"/>
  <c r="K350" i="3"/>
  <c r="U350" i="3" s="1"/>
  <c r="L350" i="3"/>
  <c r="V350" i="3" s="1"/>
  <c r="X350" i="3" l="1"/>
  <c r="AI350" i="3"/>
  <c r="AI350" i="13"/>
  <c r="X350" i="13"/>
  <c r="AJ350" i="3" l="1"/>
  <c r="AK350" i="3" s="1"/>
  <c r="AL350" i="3" s="1"/>
  <c r="AJ350" i="13"/>
  <c r="AK350" i="13" s="1"/>
  <c r="AL350" i="13" s="1"/>
  <c r="AM350" i="3" l="1"/>
  <c r="AP350" i="3"/>
  <c r="AQ350" i="3" s="1"/>
  <c r="AP350" i="13"/>
  <c r="AM350" i="13" l="1"/>
  <c r="AN350" i="3"/>
  <c r="AT350" i="3" l="1"/>
  <c r="AU350" i="3" s="1"/>
  <c r="AO350" i="3"/>
  <c r="AN350" i="13"/>
  <c r="AO350" i="13" s="1"/>
  <c r="AQ350" i="13"/>
  <c r="AS350" i="3" l="1"/>
  <c r="AV350" i="3" s="1"/>
  <c r="J351" i="3" l="1"/>
  <c r="I351" i="3"/>
  <c r="I351" i="13"/>
  <c r="J351" i="13"/>
  <c r="AA351" i="13" l="1"/>
  <c r="AE351" i="13"/>
  <c r="AA351" i="3"/>
  <c r="AE351" i="3"/>
  <c r="K351" i="13"/>
  <c r="U351" i="13" s="1"/>
  <c r="L351" i="13"/>
  <c r="V351" i="13" s="1"/>
  <c r="M351" i="13"/>
  <c r="N351" i="13"/>
  <c r="W351" i="13" s="1"/>
  <c r="AG351" i="13"/>
  <c r="AH351" i="13" s="1"/>
  <c r="AG351" i="3"/>
  <c r="AH351" i="3" s="1"/>
  <c r="N351" i="3"/>
  <c r="W351" i="3" s="1"/>
  <c r="K351" i="3"/>
  <c r="U351" i="3" s="1"/>
  <c r="L351" i="3"/>
  <c r="V351" i="3" s="1"/>
  <c r="M351" i="3"/>
  <c r="X351" i="3" l="1"/>
  <c r="AI351" i="3"/>
  <c r="AI351" i="13"/>
  <c r="X351" i="13"/>
  <c r="AJ351" i="13" l="1"/>
  <c r="AK351" i="13" s="1"/>
  <c r="AL351" i="13" s="1"/>
  <c r="AJ351" i="3"/>
  <c r="AK351" i="3" s="1"/>
  <c r="AM351" i="3" s="1"/>
  <c r="AL351" i="3" l="1"/>
  <c r="AP351" i="13"/>
  <c r="AM351" i="13" l="1"/>
  <c r="AQ351" i="13" s="1"/>
  <c r="AP351" i="3"/>
  <c r="AQ351" i="3" s="1"/>
  <c r="AN351" i="3"/>
  <c r="AT351" i="3" l="1"/>
  <c r="AU351" i="3" s="1"/>
  <c r="AO351" i="3"/>
  <c r="AN351" i="13"/>
  <c r="AO351" i="13" s="1"/>
  <c r="AS351" i="3" l="1"/>
  <c r="AV351" i="3" s="1"/>
  <c r="I352" i="3" l="1"/>
  <c r="J352" i="3"/>
  <c r="I352" i="13"/>
  <c r="J352" i="13"/>
  <c r="AA352" i="13" l="1"/>
  <c r="AE352" i="13"/>
  <c r="AA352" i="3"/>
  <c r="AE352" i="3"/>
  <c r="AG352" i="3"/>
  <c r="AH352" i="3" s="1"/>
  <c r="K352" i="13"/>
  <c r="U352" i="13" s="1"/>
  <c r="L352" i="13"/>
  <c r="V352" i="13" s="1"/>
  <c r="M352" i="13"/>
  <c r="N352" i="13"/>
  <c r="W352" i="13" s="1"/>
  <c r="AG352" i="13"/>
  <c r="AH352" i="13" s="1"/>
  <c r="K352" i="3"/>
  <c r="U352" i="3" s="1"/>
  <c r="L352" i="3"/>
  <c r="V352" i="3" s="1"/>
  <c r="M352" i="3"/>
  <c r="N352" i="3"/>
  <c r="W352" i="3" s="1"/>
  <c r="AI352" i="13" l="1"/>
  <c r="X352" i="13"/>
  <c r="AI352" i="3"/>
  <c r="X352" i="3"/>
  <c r="AJ352" i="3" l="1"/>
  <c r="AK352" i="3" s="1"/>
  <c r="AM352" i="3" s="1"/>
  <c r="AJ352" i="13"/>
  <c r="AK352" i="13" s="1"/>
  <c r="AL352" i="13" s="1"/>
  <c r="AL352" i="3" l="1"/>
  <c r="AP352" i="13"/>
  <c r="AP352" i="3" l="1"/>
  <c r="AQ352" i="3" s="1"/>
  <c r="AN352" i="3"/>
  <c r="AM352" i="13"/>
  <c r="AN352" i="13" l="1"/>
  <c r="AO352" i="13" s="1"/>
  <c r="AT352" i="3"/>
  <c r="AU352" i="3" s="1"/>
  <c r="AO352" i="3"/>
  <c r="AQ352" i="13"/>
  <c r="AS352" i="3" l="1"/>
  <c r="AV352" i="3" s="1"/>
  <c r="I353" i="3" l="1"/>
  <c r="J353" i="3"/>
  <c r="I353" i="13"/>
  <c r="J353" i="13"/>
  <c r="AA353" i="13" l="1"/>
  <c r="AE353" i="13"/>
  <c r="AA353" i="3"/>
  <c r="AE353" i="3"/>
  <c r="AG353" i="3"/>
  <c r="AH353" i="3" s="1"/>
  <c r="K353" i="13"/>
  <c r="U353" i="13" s="1"/>
  <c r="L353" i="13"/>
  <c r="V353" i="13" s="1"/>
  <c r="M353" i="13"/>
  <c r="N353" i="13"/>
  <c r="W353" i="13" s="1"/>
  <c r="L353" i="3"/>
  <c r="V353" i="3" s="1"/>
  <c r="M353" i="3"/>
  <c r="N353" i="3"/>
  <c r="W353" i="3" s="1"/>
  <c r="K353" i="3"/>
  <c r="U353" i="3" s="1"/>
  <c r="AG353" i="13"/>
  <c r="AH353" i="13" s="1"/>
  <c r="AI353" i="13" l="1"/>
  <c r="X353" i="13"/>
  <c r="AI353" i="3"/>
  <c r="X353" i="3"/>
  <c r="AJ353" i="3" l="1"/>
  <c r="AK353" i="3" s="1"/>
  <c r="AM353" i="3" s="1"/>
  <c r="AJ353" i="13"/>
  <c r="AK353" i="13" s="1"/>
  <c r="AL353" i="13" s="1"/>
  <c r="AM353" i="13" l="1"/>
  <c r="AN353" i="13" s="1"/>
  <c r="AO353" i="13" s="1"/>
  <c r="X36" i="15" s="1"/>
  <c r="AL353" i="3"/>
  <c r="AP353" i="13"/>
  <c r="AQ353" i="13" s="1"/>
  <c r="Y36" i="15" s="1"/>
  <c r="AN353" i="3" l="1"/>
  <c r="AP353" i="3"/>
  <c r="AQ353" i="3" s="1"/>
  <c r="Y36" i="14" s="1"/>
  <c r="AT353" i="3" l="1"/>
  <c r="AU353" i="3" s="1"/>
  <c r="AO353" i="3"/>
  <c r="X36" i="14" s="1"/>
  <c r="AS353" i="3" l="1"/>
  <c r="AV353" i="3" s="1"/>
  <c r="I354" i="3" l="1"/>
  <c r="J354" i="3"/>
  <c r="I354" i="13"/>
  <c r="J354" i="13"/>
  <c r="AA354" i="13" l="1"/>
  <c r="AE354" i="13"/>
  <c r="AA354" i="3"/>
  <c r="AE354" i="3"/>
  <c r="M354" i="3"/>
  <c r="N354" i="3"/>
  <c r="W354" i="3" s="1"/>
  <c r="K354" i="3"/>
  <c r="U354" i="3" s="1"/>
  <c r="L354" i="3"/>
  <c r="V354" i="3" s="1"/>
  <c r="AG354" i="3"/>
  <c r="AH354" i="3" s="1"/>
  <c r="K354" i="13"/>
  <c r="U354" i="13" s="1"/>
  <c r="L354" i="13"/>
  <c r="V354" i="13" s="1"/>
  <c r="M354" i="13"/>
  <c r="N354" i="13"/>
  <c r="W354" i="13" s="1"/>
  <c r="AG354" i="13"/>
  <c r="AH354" i="13" s="1"/>
  <c r="AI354" i="13" l="1"/>
  <c r="X354" i="13"/>
  <c r="AI354" i="3"/>
  <c r="X354" i="3"/>
  <c r="AJ354" i="3" l="1"/>
  <c r="AK354" i="3" s="1"/>
  <c r="AM354" i="3" s="1"/>
  <c r="AJ354" i="13"/>
  <c r="AK354" i="13" s="1"/>
  <c r="AL354" i="13" s="1"/>
  <c r="AP354" i="13" l="1"/>
  <c r="AQ354" i="13" s="1"/>
  <c r="AM354" i="13"/>
  <c r="AN354" i="13" s="1"/>
  <c r="AO354" i="13" s="1"/>
  <c r="AL354" i="3"/>
  <c r="AN354" i="3" l="1"/>
  <c r="AP354" i="3"/>
  <c r="AQ354" i="3" s="1"/>
  <c r="AT354" i="3" l="1"/>
  <c r="AU354" i="3" s="1"/>
  <c r="AO354" i="3"/>
  <c r="AS354" i="3" l="1"/>
  <c r="AV354" i="3" s="1"/>
  <c r="J355" i="3" l="1"/>
  <c r="I355" i="3"/>
  <c r="I355" i="13"/>
  <c r="J355" i="13"/>
  <c r="AA355" i="13" l="1"/>
  <c r="AE355" i="13"/>
  <c r="AA355" i="3"/>
  <c r="AE355" i="3"/>
  <c r="K355" i="13"/>
  <c r="U355" i="13" s="1"/>
  <c r="L355" i="13"/>
  <c r="V355" i="13" s="1"/>
  <c r="M355" i="13"/>
  <c r="N355" i="13"/>
  <c r="W355" i="13" s="1"/>
  <c r="AG355" i="13"/>
  <c r="AH355" i="13" s="1"/>
  <c r="AG355" i="3"/>
  <c r="AH355" i="3" s="1"/>
  <c r="N355" i="3"/>
  <c r="W355" i="3" s="1"/>
  <c r="K355" i="3"/>
  <c r="U355" i="3" s="1"/>
  <c r="L355" i="3"/>
  <c r="V355" i="3" s="1"/>
  <c r="M355" i="3"/>
  <c r="X355" i="3" l="1"/>
  <c r="AI355" i="3"/>
  <c r="AI355" i="13"/>
  <c r="X355" i="13"/>
  <c r="AJ355" i="13" l="1"/>
  <c r="AK355" i="13" s="1"/>
  <c r="AL355" i="13" s="1"/>
  <c r="AJ355" i="3"/>
  <c r="AK355" i="3" s="1"/>
  <c r="AM355" i="3" s="1"/>
  <c r="AL355" i="3" l="1"/>
  <c r="AM355" i="13"/>
  <c r="AN355" i="13" s="1"/>
  <c r="AO355" i="13" s="1"/>
  <c r="AP355" i="13"/>
  <c r="AQ355" i="13" s="1"/>
  <c r="AN355" i="3" l="1"/>
  <c r="AP355" i="3"/>
  <c r="AQ355" i="3" s="1"/>
  <c r="AT355" i="3" l="1"/>
  <c r="AU355" i="3" s="1"/>
  <c r="AO355" i="3"/>
  <c r="AS355" i="3" l="1"/>
  <c r="AV355" i="3" s="1"/>
  <c r="I356" i="3" l="1"/>
  <c r="J356" i="3"/>
  <c r="I356" i="13"/>
  <c r="J356" i="13"/>
  <c r="AA356" i="13" l="1"/>
  <c r="AE356" i="13"/>
  <c r="AA356" i="3"/>
  <c r="AE356" i="3"/>
  <c r="AG356" i="3"/>
  <c r="AH356" i="3" s="1"/>
  <c r="K356" i="13"/>
  <c r="U356" i="13" s="1"/>
  <c r="L356" i="13"/>
  <c r="V356" i="13" s="1"/>
  <c r="M356" i="13"/>
  <c r="N356" i="13"/>
  <c r="W356" i="13" s="1"/>
  <c r="M356" i="3"/>
  <c r="N356" i="3"/>
  <c r="W356" i="3" s="1"/>
  <c r="K356" i="3"/>
  <c r="U356" i="3" s="1"/>
  <c r="L356" i="3"/>
  <c r="V356" i="3" s="1"/>
  <c r="AG356" i="13"/>
  <c r="AH356" i="13" s="1"/>
  <c r="X356" i="3" l="1"/>
  <c r="AI356" i="3"/>
  <c r="AI356" i="13"/>
  <c r="X356" i="13"/>
  <c r="AJ356" i="3" l="1"/>
  <c r="AK356" i="3" s="1"/>
  <c r="AM356" i="3" s="1"/>
  <c r="AJ356" i="13"/>
  <c r="AK356" i="13" s="1"/>
  <c r="AL356" i="13" s="1"/>
  <c r="AM356" i="13" l="1"/>
  <c r="AN356" i="13" s="1"/>
  <c r="AO356" i="13" s="1"/>
  <c r="AL356" i="3"/>
  <c r="AP356" i="13"/>
  <c r="AQ356" i="13" l="1"/>
  <c r="AP356" i="3"/>
  <c r="AQ356" i="3" s="1"/>
  <c r="AN356" i="3"/>
  <c r="AT356" i="3" l="1"/>
  <c r="AU356" i="3" s="1"/>
  <c r="AO356" i="3"/>
  <c r="AS356" i="3" l="1"/>
  <c r="AV356" i="3" s="1"/>
  <c r="J357" i="3" l="1"/>
  <c r="I357" i="3"/>
  <c r="I357" i="13"/>
  <c r="J357" i="13"/>
  <c r="AA357" i="13" l="1"/>
  <c r="AE357" i="13"/>
  <c r="AA357" i="3"/>
  <c r="AE357" i="3"/>
  <c r="K357" i="13"/>
  <c r="U357" i="13" s="1"/>
  <c r="L357" i="13"/>
  <c r="V357" i="13" s="1"/>
  <c r="M357" i="13"/>
  <c r="N357" i="13"/>
  <c r="W357" i="13" s="1"/>
  <c r="AG357" i="13"/>
  <c r="AH357" i="13" s="1"/>
  <c r="AG357" i="3"/>
  <c r="AH357" i="3" s="1"/>
  <c r="N357" i="3"/>
  <c r="W357" i="3" s="1"/>
  <c r="K357" i="3"/>
  <c r="U357" i="3" s="1"/>
  <c r="L357" i="3"/>
  <c r="V357" i="3" s="1"/>
  <c r="M357" i="3"/>
  <c r="X357" i="3" l="1"/>
  <c r="AI357" i="3"/>
  <c r="AI357" i="13"/>
  <c r="X357" i="13"/>
  <c r="AJ357" i="13" l="1"/>
  <c r="AK357" i="13" s="1"/>
  <c r="AL357" i="13" s="1"/>
  <c r="AJ357" i="3"/>
  <c r="AK357" i="3" s="1"/>
  <c r="AM357" i="3" s="1"/>
  <c r="AL357" i="3" l="1"/>
  <c r="AM357" i="13"/>
  <c r="AN357" i="13" s="1"/>
  <c r="AO357" i="13" s="1"/>
  <c r="AP357" i="13"/>
  <c r="AQ357" i="13" s="1"/>
  <c r="AP357" i="3" l="1"/>
  <c r="AQ357" i="3" s="1"/>
  <c r="AN357" i="3"/>
  <c r="AT357" i="3" l="1"/>
  <c r="AU357" i="3" s="1"/>
  <c r="AO357" i="3"/>
  <c r="AS357" i="3" l="1"/>
  <c r="AV357" i="3" s="1"/>
  <c r="I358" i="3" l="1"/>
  <c r="J358" i="3"/>
  <c r="I358" i="13"/>
  <c r="J358" i="13"/>
  <c r="AA358" i="13" l="1"/>
  <c r="AE358" i="13"/>
  <c r="AA358" i="3"/>
  <c r="AE358" i="3"/>
  <c r="AG358" i="3"/>
  <c r="AH358" i="3" s="1"/>
  <c r="K358" i="13"/>
  <c r="U358" i="13" s="1"/>
  <c r="L358" i="13"/>
  <c r="V358" i="13" s="1"/>
  <c r="M358" i="13"/>
  <c r="N358" i="13"/>
  <c r="W358" i="13" s="1"/>
  <c r="AG358" i="13"/>
  <c r="AH358" i="13" s="1"/>
  <c r="K358" i="3"/>
  <c r="U358" i="3" s="1"/>
  <c r="L358" i="3"/>
  <c r="V358" i="3" s="1"/>
  <c r="M358" i="3"/>
  <c r="N358" i="3"/>
  <c r="W358" i="3" s="1"/>
  <c r="AI358" i="3" l="1"/>
  <c r="X358" i="3"/>
  <c r="AI358" i="13"/>
  <c r="X358" i="13"/>
  <c r="AJ358" i="13" l="1"/>
  <c r="AK358" i="13" s="1"/>
  <c r="AL358" i="13" s="1"/>
  <c r="AJ358" i="3"/>
  <c r="AK358" i="3" s="1"/>
  <c r="AM358" i="3" s="1"/>
  <c r="AM358" i="13" l="1"/>
  <c r="AN358" i="13" s="1"/>
  <c r="AO358" i="13" s="1"/>
  <c r="AL358" i="3"/>
  <c r="AP358" i="13"/>
  <c r="AQ358" i="13" l="1"/>
  <c r="AN358" i="3"/>
  <c r="AP358" i="3"/>
  <c r="AQ358" i="3" s="1"/>
  <c r="AT358" i="3" l="1"/>
  <c r="AU358" i="3" s="1"/>
  <c r="AO358" i="3"/>
  <c r="AS358" i="3" l="1"/>
  <c r="AV358" i="3" s="1"/>
  <c r="I359" i="3" l="1"/>
  <c r="J359" i="3"/>
  <c r="I359" i="13"/>
  <c r="J359" i="13"/>
  <c r="AA359" i="13" l="1"/>
  <c r="AE359" i="13"/>
  <c r="AA359" i="3"/>
  <c r="AE359" i="3"/>
  <c r="AG359" i="3"/>
  <c r="AH359" i="3" s="1"/>
  <c r="K359" i="13"/>
  <c r="U359" i="13" s="1"/>
  <c r="L359" i="13"/>
  <c r="V359" i="13" s="1"/>
  <c r="M359" i="13"/>
  <c r="N359" i="13"/>
  <c r="W359" i="13" s="1"/>
  <c r="AG359" i="13"/>
  <c r="AH359" i="13" s="1"/>
  <c r="L359" i="3"/>
  <c r="V359" i="3" s="1"/>
  <c r="M359" i="3"/>
  <c r="N359" i="3"/>
  <c r="W359" i="3" s="1"/>
  <c r="K359" i="3"/>
  <c r="U359" i="3" s="1"/>
  <c r="X359" i="3" l="1"/>
  <c r="AI359" i="3"/>
  <c r="AI359" i="13"/>
  <c r="X359" i="13"/>
  <c r="AJ359" i="3" l="1"/>
  <c r="AK359" i="3" s="1"/>
  <c r="AM359" i="3" s="1"/>
  <c r="AJ359" i="13"/>
  <c r="AK359" i="13" s="1"/>
  <c r="AL359" i="13" s="1"/>
  <c r="AP359" i="13" l="1"/>
  <c r="AM359" i="13"/>
  <c r="AN359" i="13" s="1"/>
  <c r="AO359" i="13" s="1"/>
  <c r="AL359" i="3"/>
  <c r="AQ359" i="13" l="1"/>
  <c r="AP359" i="3"/>
  <c r="AQ359" i="3" s="1"/>
  <c r="AN359" i="3"/>
  <c r="AT359" i="3" l="1"/>
  <c r="AU359" i="3" s="1"/>
  <c r="AO359" i="3"/>
  <c r="AS359" i="3" l="1"/>
  <c r="AV359" i="3" s="1"/>
  <c r="J360" i="3" l="1"/>
  <c r="I360" i="3"/>
  <c r="I360" i="13"/>
  <c r="J360" i="13"/>
  <c r="AA360" i="13" l="1"/>
  <c r="AE360" i="13"/>
  <c r="AA360" i="3"/>
  <c r="AE360" i="3"/>
  <c r="N360" i="3"/>
  <c r="W360" i="3" s="1"/>
  <c r="K360" i="3"/>
  <c r="U360" i="3" s="1"/>
  <c r="L360" i="3"/>
  <c r="V360" i="3" s="1"/>
  <c r="M360" i="3"/>
  <c r="K360" i="13"/>
  <c r="U360" i="13" s="1"/>
  <c r="L360" i="13"/>
  <c r="V360" i="13" s="1"/>
  <c r="M360" i="13"/>
  <c r="N360" i="13"/>
  <c r="W360" i="13" s="1"/>
  <c r="AG360" i="13"/>
  <c r="AH360" i="13" s="1"/>
  <c r="AG360" i="3"/>
  <c r="AH360" i="3" s="1"/>
  <c r="AI360" i="13" l="1"/>
  <c r="X360" i="13"/>
  <c r="X360" i="3"/>
  <c r="AI360" i="3"/>
  <c r="AJ360" i="13" l="1"/>
  <c r="AK360" i="13" s="1"/>
  <c r="AL360" i="13" s="1"/>
  <c r="AJ360" i="3"/>
  <c r="AK360" i="3" s="1"/>
  <c r="AM360" i="3" s="1"/>
  <c r="AM360" i="13" l="1"/>
  <c r="AN360" i="13" s="1"/>
  <c r="AO360" i="13" s="1"/>
  <c r="AL360" i="3"/>
  <c r="AP360" i="3" s="1"/>
  <c r="AQ360" i="3" s="1"/>
  <c r="AP360" i="13"/>
  <c r="AQ360" i="13" l="1"/>
  <c r="AN360" i="3"/>
  <c r="AO360" i="3" s="1"/>
  <c r="AT360" i="3"/>
  <c r="AU360" i="3" s="1"/>
  <c r="AS360" i="3" l="1"/>
  <c r="AV360" i="3" s="1"/>
  <c r="J361" i="3" l="1"/>
  <c r="I361" i="3"/>
  <c r="I361" i="13"/>
  <c r="J361" i="13"/>
  <c r="AA361" i="13" l="1"/>
  <c r="AE361" i="13"/>
  <c r="AA361" i="3"/>
  <c r="AE361" i="3"/>
  <c r="K361" i="13"/>
  <c r="U361" i="13" s="1"/>
  <c r="L361" i="13"/>
  <c r="V361" i="13" s="1"/>
  <c r="M361" i="13"/>
  <c r="N361" i="13"/>
  <c r="W361" i="13" s="1"/>
  <c r="AG361" i="13"/>
  <c r="AH361" i="13" s="1"/>
  <c r="AG361" i="3"/>
  <c r="AH361" i="3" s="1"/>
  <c r="K361" i="3"/>
  <c r="U361" i="3" s="1"/>
  <c r="L361" i="3"/>
  <c r="V361" i="3" s="1"/>
  <c r="M361" i="3"/>
  <c r="N361" i="3"/>
  <c r="W361" i="3" s="1"/>
  <c r="AI361" i="3" l="1"/>
  <c r="X361" i="3"/>
  <c r="AI361" i="13"/>
  <c r="X361" i="13"/>
  <c r="AJ361" i="13" l="1"/>
  <c r="AK361" i="13" s="1"/>
  <c r="AL361" i="13" s="1"/>
  <c r="AJ361" i="3"/>
  <c r="AK361" i="3" s="1"/>
  <c r="AM361" i="3" s="1"/>
  <c r="AM361" i="13" l="1"/>
  <c r="AN361" i="13" s="1"/>
  <c r="AO361" i="13" s="1"/>
  <c r="AP361" i="13"/>
  <c r="AL361" i="3"/>
  <c r="AQ361" i="13" l="1"/>
  <c r="AN361" i="3"/>
  <c r="AP361" i="3"/>
  <c r="AQ361" i="3" s="1"/>
  <c r="AT361" i="3" l="1"/>
  <c r="AU361" i="3" s="1"/>
  <c r="AO361" i="3"/>
  <c r="AS361" i="3" l="1"/>
  <c r="AV361" i="3" s="1"/>
  <c r="I362" i="3" l="1"/>
  <c r="I362" i="13"/>
  <c r="J362" i="3"/>
  <c r="J362" i="13"/>
  <c r="AA362" i="13" l="1"/>
  <c r="AE362" i="13"/>
  <c r="AA362" i="3"/>
  <c r="AE362" i="3"/>
  <c r="AG362" i="3"/>
  <c r="AH362" i="3" s="1"/>
  <c r="K362" i="13"/>
  <c r="U362" i="13" s="1"/>
  <c r="L362" i="13"/>
  <c r="V362" i="13" s="1"/>
  <c r="M362" i="13"/>
  <c r="N362" i="13"/>
  <c r="W362" i="13" s="1"/>
  <c r="L362" i="3"/>
  <c r="V362" i="3" s="1"/>
  <c r="M362" i="3"/>
  <c r="K362" i="3"/>
  <c r="U362" i="3" s="1"/>
  <c r="N362" i="3"/>
  <c r="W362" i="3" s="1"/>
  <c r="AG362" i="13"/>
  <c r="AH362" i="13" s="1"/>
  <c r="AI362" i="3" l="1"/>
  <c r="X362" i="3"/>
  <c r="AI362" i="13"/>
  <c r="X362" i="13"/>
  <c r="AJ362" i="13" l="1"/>
  <c r="AK362" i="13" s="1"/>
  <c r="AL362" i="13" s="1"/>
  <c r="AJ362" i="3"/>
  <c r="AK362" i="3" s="1"/>
  <c r="AM362" i="3" s="1"/>
  <c r="AL362" i="3" l="1"/>
  <c r="AM362" i="13"/>
  <c r="AN362" i="13" s="1"/>
  <c r="AO362" i="13" s="1"/>
  <c r="AP362" i="13"/>
  <c r="AQ362" i="13" l="1"/>
  <c r="AN362" i="3"/>
  <c r="AP362" i="3"/>
  <c r="AQ362" i="3" s="1"/>
  <c r="AT362" i="3" l="1"/>
  <c r="AU362" i="3" s="1"/>
  <c r="AO362" i="3"/>
  <c r="AS362" i="3" l="1"/>
  <c r="AV362" i="3" s="1"/>
  <c r="I363" i="3" l="1"/>
  <c r="J363" i="3"/>
  <c r="I363" i="13"/>
  <c r="J363" i="13"/>
  <c r="AA363" i="13" l="1"/>
  <c r="AE363" i="13"/>
  <c r="AA363" i="3"/>
  <c r="AE363" i="3"/>
  <c r="AG363" i="3"/>
  <c r="AH363" i="3" s="1"/>
  <c r="K363" i="13"/>
  <c r="U363" i="13" s="1"/>
  <c r="L363" i="13"/>
  <c r="V363" i="13" s="1"/>
  <c r="M363" i="13"/>
  <c r="N363" i="13"/>
  <c r="W363" i="13" s="1"/>
  <c r="AG363" i="13"/>
  <c r="AH363" i="13" s="1"/>
  <c r="M363" i="3"/>
  <c r="N363" i="3"/>
  <c r="W363" i="3" s="1"/>
  <c r="L363" i="3"/>
  <c r="V363" i="3" s="1"/>
  <c r="K363" i="3"/>
  <c r="U363" i="3" s="1"/>
  <c r="X363" i="3" l="1"/>
  <c r="AI363" i="3"/>
  <c r="AI363" i="13"/>
  <c r="X363" i="13"/>
  <c r="AJ363" i="3" l="1"/>
  <c r="AK363" i="3" s="1"/>
  <c r="AM363" i="3" s="1"/>
  <c r="AJ363" i="13"/>
  <c r="AK363" i="13" s="1"/>
  <c r="AL363" i="13" s="1"/>
  <c r="AP363" i="13" l="1"/>
  <c r="AQ363" i="13" s="1"/>
  <c r="AL363" i="3"/>
  <c r="AM363" i="13"/>
  <c r="AN363" i="13" s="1"/>
  <c r="AO363" i="13" s="1"/>
  <c r="AP363" i="3" l="1"/>
  <c r="AQ363" i="3" s="1"/>
  <c r="AN363" i="3"/>
  <c r="AT363" i="3" l="1"/>
  <c r="AU363" i="3" s="1"/>
  <c r="AO363" i="3"/>
  <c r="AS363" i="3" l="1"/>
  <c r="AV363" i="3" s="1"/>
  <c r="J364" i="3" l="1"/>
  <c r="I364" i="3"/>
  <c r="I364" i="13"/>
  <c r="J364" i="13"/>
  <c r="AA364" i="13" l="1"/>
  <c r="AE364" i="13"/>
  <c r="AA364" i="3"/>
  <c r="AE364" i="3"/>
  <c r="N364" i="3"/>
  <c r="W364" i="3" s="1"/>
  <c r="K364" i="3"/>
  <c r="U364" i="3" s="1"/>
  <c r="M364" i="3"/>
  <c r="L364" i="3"/>
  <c r="V364" i="3" s="1"/>
  <c r="K364" i="13"/>
  <c r="U364" i="13" s="1"/>
  <c r="L364" i="13"/>
  <c r="V364" i="13" s="1"/>
  <c r="M364" i="13"/>
  <c r="N364" i="13"/>
  <c r="W364" i="13" s="1"/>
  <c r="AG364" i="3"/>
  <c r="AH364" i="3" s="1"/>
  <c r="AG364" i="13"/>
  <c r="AH364" i="13" s="1"/>
  <c r="AI364" i="13" l="1"/>
  <c r="X364" i="13"/>
  <c r="X364" i="3"/>
  <c r="AI364" i="3"/>
  <c r="AJ364" i="3" l="1"/>
  <c r="AK364" i="3" s="1"/>
  <c r="AM364" i="3" s="1"/>
  <c r="AJ364" i="13"/>
  <c r="AK364" i="13" s="1"/>
  <c r="AL364" i="13" s="1"/>
  <c r="AM364" i="13" l="1"/>
  <c r="AN364" i="13" s="1"/>
  <c r="AO364" i="13" s="1"/>
  <c r="AL364" i="3"/>
  <c r="AP364" i="13"/>
  <c r="AQ364" i="13" s="1"/>
  <c r="AP364" i="3" l="1"/>
  <c r="AQ364" i="3" s="1"/>
  <c r="AN364" i="3"/>
  <c r="AT364" i="3" l="1"/>
  <c r="AU364" i="3" s="1"/>
  <c r="AO364" i="3"/>
  <c r="AS364" i="3" l="1"/>
  <c r="AV364" i="3" s="1"/>
  <c r="I365" i="3" l="1"/>
  <c r="J365" i="3"/>
  <c r="I365" i="13"/>
  <c r="J365" i="13"/>
  <c r="AA365" i="13" l="1"/>
  <c r="AE365" i="13"/>
  <c r="AA365" i="3"/>
  <c r="AE365" i="3"/>
  <c r="AG365" i="13"/>
  <c r="AH365" i="13" s="1"/>
  <c r="U8" i="15" s="1"/>
  <c r="K365" i="3"/>
  <c r="U365" i="3" s="1"/>
  <c r="L365" i="3"/>
  <c r="V365" i="3" s="1"/>
  <c r="N365" i="3"/>
  <c r="W365" i="3" s="1"/>
  <c r="M365" i="3"/>
  <c r="K365" i="13"/>
  <c r="U365" i="13" s="1"/>
  <c r="L365" i="13"/>
  <c r="V365" i="13" s="1"/>
  <c r="M365" i="13"/>
  <c r="N365" i="13"/>
  <c r="W365" i="13" s="1"/>
  <c r="AG365" i="3"/>
  <c r="AH365" i="3" s="1"/>
  <c r="AI365" i="3" l="1"/>
  <c r="X365" i="3"/>
  <c r="AI365" i="13"/>
  <c r="X365" i="13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8" i="15" l="1"/>
  <c r="U38" i="14"/>
  <c r="AJ365" i="13"/>
  <c r="AK365" i="13" s="1"/>
  <c r="AL365" i="13" s="1"/>
  <c r="AJ365" i="3"/>
  <c r="AK365" i="3" s="1"/>
  <c r="AM365" i="3" s="1"/>
  <c r="F8" i="14" l="1"/>
  <c r="J8" i="14"/>
  <c r="C8" i="14"/>
  <c r="Q8" i="14"/>
  <c r="R8" i="14"/>
  <c r="E8" i="14"/>
  <c r="I8" i="14"/>
  <c r="S8" i="14"/>
  <c r="D8" i="14"/>
  <c r="V8" i="14"/>
  <c r="G8" i="14"/>
  <c r="H8" i="14"/>
  <c r="O8" i="14"/>
  <c r="N8" i="14"/>
  <c r="AL365" i="3"/>
  <c r="W8" i="14" s="1"/>
  <c r="AM365" i="13"/>
  <c r="AP365" i="13"/>
  <c r="W45" i="14"/>
  <c r="W46" i="14"/>
  <c r="V9" i="14"/>
  <c r="S9" i="14"/>
  <c r="D9" i="14"/>
  <c r="F9" i="14"/>
  <c r="C9" i="14"/>
  <c r="W9" i="14"/>
  <c r="H9" i="14"/>
  <c r="N9" i="14"/>
  <c r="G9" i="14"/>
  <c r="Q9" i="14"/>
  <c r="E9" i="14"/>
  <c r="I9" i="14"/>
  <c r="R9" i="14"/>
  <c r="O9" i="14"/>
  <c r="J9" i="14"/>
  <c r="W10" i="14"/>
  <c r="S10" i="14"/>
  <c r="E10" i="14"/>
  <c r="V10" i="14"/>
  <c r="J10" i="14"/>
  <c r="Q10" i="14"/>
  <c r="R10" i="14"/>
  <c r="F10" i="14"/>
  <c r="I10" i="14"/>
  <c r="O10" i="14"/>
  <c r="H10" i="14"/>
  <c r="D10" i="14"/>
  <c r="N10" i="14"/>
  <c r="C10" i="14"/>
  <c r="G10" i="14"/>
  <c r="J11" i="14"/>
  <c r="V11" i="14"/>
  <c r="H11" i="14"/>
  <c r="R11" i="14"/>
  <c r="W11" i="14"/>
  <c r="D11" i="14"/>
  <c r="S11" i="14"/>
  <c r="F11" i="14"/>
  <c r="G11" i="14"/>
  <c r="C11" i="14"/>
  <c r="E11" i="14"/>
  <c r="Q11" i="14"/>
  <c r="I11" i="14"/>
  <c r="N11" i="14"/>
  <c r="O11" i="14"/>
  <c r="H12" i="14"/>
  <c r="S12" i="14"/>
  <c r="Q12" i="14"/>
  <c r="D12" i="14"/>
  <c r="V12" i="14"/>
  <c r="I12" i="14"/>
  <c r="O12" i="14"/>
  <c r="N12" i="14"/>
  <c r="F12" i="14"/>
  <c r="J12" i="14"/>
  <c r="E12" i="14"/>
  <c r="C12" i="14"/>
  <c r="W12" i="14"/>
  <c r="R12" i="14"/>
  <c r="G12" i="14"/>
  <c r="G13" i="14"/>
  <c r="C13" i="14"/>
  <c r="I13" i="14"/>
  <c r="J13" i="14"/>
  <c r="F13" i="14"/>
  <c r="V13" i="14"/>
  <c r="S13" i="14"/>
  <c r="D13" i="14"/>
  <c r="H13" i="14"/>
  <c r="Q13" i="14"/>
  <c r="R13" i="14"/>
  <c r="N13" i="14"/>
  <c r="O13" i="14"/>
  <c r="E13" i="14"/>
  <c r="W13" i="14"/>
  <c r="F14" i="14"/>
  <c r="O14" i="14"/>
  <c r="H14" i="14"/>
  <c r="N14" i="14"/>
  <c r="V14" i="14"/>
  <c r="S14" i="14"/>
  <c r="E14" i="14"/>
  <c r="J14" i="14"/>
  <c r="C14" i="14"/>
  <c r="W14" i="14"/>
  <c r="I14" i="14"/>
  <c r="R14" i="14"/>
  <c r="G14" i="14"/>
  <c r="D14" i="14"/>
  <c r="Q14" i="14"/>
  <c r="W15" i="14"/>
  <c r="F15" i="14"/>
  <c r="S15" i="14"/>
  <c r="N15" i="14"/>
  <c r="E15" i="14"/>
  <c r="V15" i="14"/>
  <c r="C15" i="14"/>
  <c r="H15" i="14"/>
  <c r="I15" i="14"/>
  <c r="D15" i="14"/>
  <c r="J15" i="14"/>
  <c r="O15" i="14"/>
  <c r="R15" i="14"/>
  <c r="G15" i="14"/>
  <c r="Q15" i="14"/>
  <c r="M15" i="14" s="1"/>
  <c r="C16" i="14"/>
  <c r="H16" i="14"/>
  <c r="G16" i="14"/>
  <c r="R16" i="14"/>
  <c r="Q16" i="14"/>
  <c r="V16" i="14"/>
  <c r="W16" i="14"/>
  <c r="I16" i="14"/>
  <c r="D16" i="14"/>
  <c r="N16" i="14"/>
  <c r="K16" i="14" s="1"/>
  <c r="E16" i="14"/>
  <c r="F16" i="14"/>
  <c r="J16" i="14"/>
  <c r="S16" i="14"/>
  <c r="O16" i="14"/>
  <c r="V17" i="14"/>
  <c r="C17" i="14"/>
  <c r="W17" i="14"/>
  <c r="J17" i="14"/>
  <c r="F17" i="14"/>
  <c r="H17" i="14"/>
  <c r="N17" i="14"/>
  <c r="G17" i="14"/>
  <c r="I17" i="14"/>
  <c r="R17" i="14"/>
  <c r="Q17" i="14"/>
  <c r="O17" i="14"/>
  <c r="D17" i="14"/>
  <c r="E17" i="14"/>
  <c r="S17" i="14"/>
  <c r="S18" i="14"/>
  <c r="E18" i="14"/>
  <c r="V18" i="14"/>
  <c r="W18" i="14"/>
  <c r="I18" i="14"/>
  <c r="N18" i="14"/>
  <c r="O18" i="14"/>
  <c r="D18" i="14"/>
  <c r="Q18" i="14"/>
  <c r="J18" i="14"/>
  <c r="R18" i="14"/>
  <c r="H18" i="14"/>
  <c r="F18" i="14"/>
  <c r="C18" i="14"/>
  <c r="G18" i="14"/>
  <c r="N19" i="14"/>
  <c r="O19" i="14"/>
  <c r="H19" i="14"/>
  <c r="Q19" i="14"/>
  <c r="R19" i="14"/>
  <c r="C19" i="14"/>
  <c r="E19" i="14"/>
  <c r="F19" i="14"/>
  <c r="V19" i="14"/>
  <c r="S19" i="14"/>
  <c r="I19" i="14"/>
  <c r="J19" i="14"/>
  <c r="W19" i="14"/>
  <c r="G19" i="14"/>
  <c r="D19" i="14"/>
  <c r="N20" i="14"/>
  <c r="G20" i="14"/>
  <c r="O20" i="14"/>
  <c r="I20" i="14"/>
  <c r="W20" i="14"/>
  <c r="R20" i="14"/>
  <c r="F20" i="14"/>
  <c r="H20" i="14"/>
  <c r="J20" i="14"/>
  <c r="E20" i="14"/>
  <c r="C20" i="14"/>
  <c r="S20" i="14"/>
  <c r="D20" i="14"/>
  <c r="Q20" i="14"/>
  <c r="V20" i="14"/>
  <c r="W21" i="14"/>
  <c r="R21" i="14"/>
  <c r="G21" i="14"/>
  <c r="D21" i="14"/>
  <c r="F21" i="14"/>
  <c r="V21" i="14"/>
  <c r="O21" i="14"/>
  <c r="E21" i="14"/>
  <c r="J21" i="14"/>
  <c r="S21" i="14"/>
  <c r="T21" i="14" s="1"/>
  <c r="Q21" i="14"/>
  <c r="I21" i="14"/>
  <c r="N21" i="14"/>
  <c r="C21" i="14"/>
  <c r="H21" i="14"/>
  <c r="G22" i="14"/>
  <c r="I22" i="14"/>
  <c r="J22" i="14"/>
  <c r="Q22" i="14"/>
  <c r="D22" i="14"/>
  <c r="F22" i="14"/>
  <c r="N22" i="14"/>
  <c r="V22" i="14"/>
  <c r="S22" i="14"/>
  <c r="H22" i="14"/>
  <c r="E22" i="14"/>
  <c r="C22" i="14"/>
  <c r="W22" i="14"/>
  <c r="R22" i="14"/>
  <c r="O22" i="14"/>
  <c r="E23" i="14"/>
  <c r="H23" i="14"/>
  <c r="Q23" i="14"/>
  <c r="R23" i="14"/>
  <c r="N23" i="14"/>
  <c r="I23" i="14"/>
  <c r="F23" i="14"/>
  <c r="S23" i="14"/>
  <c r="T23" i="14" s="1"/>
  <c r="D23" i="14"/>
  <c r="C23" i="14"/>
  <c r="G23" i="14"/>
  <c r="J23" i="14"/>
  <c r="O23" i="14"/>
  <c r="W23" i="14"/>
  <c r="V23" i="14"/>
  <c r="D24" i="14"/>
  <c r="S24" i="14"/>
  <c r="E24" i="14"/>
  <c r="C24" i="14"/>
  <c r="V24" i="14"/>
  <c r="I24" i="14"/>
  <c r="J24" i="14"/>
  <c r="W24" i="14"/>
  <c r="Q24" i="14"/>
  <c r="N24" i="14"/>
  <c r="G24" i="14"/>
  <c r="H24" i="14"/>
  <c r="R24" i="14"/>
  <c r="O24" i="14"/>
  <c r="F24" i="14"/>
  <c r="V25" i="14"/>
  <c r="O25" i="14"/>
  <c r="H25" i="14"/>
  <c r="J25" i="14"/>
  <c r="S25" i="14"/>
  <c r="Q25" i="14"/>
  <c r="N25" i="14"/>
  <c r="K25" i="14" s="1"/>
  <c r="W25" i="14"/>
  <c r="E25" i="14"/>
  <c r="R25" i="14"/>
  <c r="G25" i="14"/>
  <c r="D25" i="14"/>
  <c r="I25" i="14"/>
  <c r="F25" i="14"/>
  <c r="C25" i="14"/>
  <c r="W26" i="14"/>
  <c r="E26" i="14"/>
  <c r="V26" i="14"/>
  <c r="I26" i="14"/>
  <c r="N26" i="14"/>
  <c r="O26" i="14"/>
  <c r="D26" i="14"/>
  <c r="Q26" i="14"/>
  <c r="F26" i="14"/>
  <c r="S26" i="14"/>
  <c r="H26" i="14"/>
  <c r="J26" i="14"/>
  <c r="R26" i="14"/>
  <c r="C26" i="14"/>
  <c r="G26" i="14"/>
  <c r="N27" i="14"/>
  <c r="G27" i="14"/>
  <c r="R27" i="14"/>
  <c r="Q27" i="14"/>
  <c r="S27" i="14"/>
  <c r="W27" i="14"/>
  <c r="E27" i="14"/>
  <c r="F27" i="14"/>
  <c r="D27" i="14"/>
  <c r="H27" i="14"/>
  <c r="V27" i="14"/>
  <c r="O27" i="14"/>
  <c r="J27" i="14"/>
  <c r="C27" i="14"/>
  <c r="I27" i="14"/>
  <c r="E28" i="14"/>
  <c r="V28" i="14"/>
  <c r="W28" i="14"/>
  <c r="R28" i="14"/>
  <c r="D28" i="14"/>
  <c r="J28" i="14"/>
  <c r="S28" i="14"/>
  <c r="O28" i="14"/>
  <c r="Q28" i="14"/>
  <c r="H28" i="14"/>
  <c r="I28" i="14"/>
  <c r="C28" i="14"/>
  <c r="G28" i="14"/>
  <c r="F28" i="14"/>
  <c r="N28" i="14"/>
  <c r="J29" i="14"/>
  <c r="C29" i="14"/>
  <c r="O29" i="14"/>
  <c r="N29" i="14"/>
  <c r="E29" i="14"/>
  <c r="S29" i="14"/>
  <c r="H29" i="14"/>
  <c r="W29" i="14"/>
  <c r="V29" i="14"/>
  <c r="R29" i="14"/>
  <c r="I29" i="14"/>
  <c r="F29" i="14"/>
  <c r="D29" i="14"/>
  <c r="Q29" i="14"/>
  <c r="G29" i="14"/>
  <c r="H30" i="14"/>
  <c r="F30" i="14"/>
  <c r="D30" i="14"/>
  <c r="E30" i="14"/>
  <c r="N30" i="14"/>
  <c r="V30" i="14"/>
  <c r="S30" i="14"/>
  <c r="I30" i="14"/>
  <c r="J30" i="14"/>
  <c r="C30" i="14"/>
  <c r="W30" i="14"/>
  <c r="Q30" i="14"/>
  <c r="R30" i="14"/>
  <c r="G30" i="14"/>
  <c r="O30" i="14"/>
  <c r="S31" i="14"/>
  <c r="D31" i="14"/>
  <c r="W31" i="14"/>
  <c r="O31" i="14"/>
  <c r="C31" i="14"/>
  <c r="I31" i="14"/>
  <c r="F31" i="14"/>
  <c r="G31" i="14"/>
  <c r="N31" i="14"/>
  <c r="R31" i="14"/>
  <c r="E31" i="14"/>
  <c r="H31" i="14"/>
  <c r="J31" i="14"/>
  <c r="Q31" i="14"/>
  <c r="V31" i="14"/>
  <c r="W32" i="14"/>
  <c r="H32" i="14"/>
  <c r="J32" i="14"/>
  <c r="V32" i="14"/>
  <c r="E32" i="14"/>
  <c r="C32" i="14"/>
  <c r="N32" i="14"/>
  <c r="D32" i="14"/>
  <c r="Q32" i="14"/>
  <c r="I32" i="14"/>
  <c r="O32" i="14"/>
  <c r="G32" i="14"/>
  <c r="F32" i="14"/>
  <c r="R32" i="14"/>
  <c r="S32" i="14"/>
  <c r="Q33" i="14"/>
  <c r="F33" i="14"/>
  <c r="V33" i="14"/>
  <c r="O33" i="14"/>
  <c r="H33" i="14"/>
  <c r="J33" i="14"/>
  <c r="S33" i="14"/>
  <c r="W33" i="14"/>
  <c r="I33" i="14"/>
  <c r="N33" i="14"/>
  <c r="C33" i="14"/>
  <c r="E33" i="14"/>
  <c r="R33" i="14"/>
  <c r="G33" i="14"/>
  <c r="D33" i="14"/>
  <c r="W34" i="14"/>
  <c r="C34" i="14"/>
  <c r="G34" i="14"/>
  <c r="I34" i="14"/>
  <c r="Q34" i="14"/>
  <c r="J34" i="14"/>
  <c r="V34" i="14"/>
  <c r="H34" i="14"/>
  <c r="O34" i="14"/>
  <c r="N34" i="14"/>
  <c r="S34" i="14"/>
  <c r="R34" i="14"/>
  <c r="E34" i="14"/>
  <c r="D34" i="14"/>
  <c r="F34" i="14"/>
  <c r="W35" i="14"/>
  <c r="E35" i="14"/>
  <c r="N35" i="14"/>
  <c r="R35" i="14"/>
  <c r="F35" i="14"/>
  <c r="V35" i="14"/>
  <c r="I35" i="14"/>
  <c r="Q35" i="14"/>
  <c r="S35" i="14"/>
  <c r="H35" i="14"/>
  <c r="D35" i="14"/>
  <c r="G35" i="14"/>
  <c r="C35" i="14"/>
  <c r="O35" i="14"/>
  <c r="J35" i="14"/>
  <c r="W36" i="14"/>
  <c r="J36" i="14"/>
  <c r="V36" i="14"/>
  <c r="S36" i="14"/>
  <c r="I36" i="14"/>
  <c r="C36" i="14"/>
  <c r="H36" i="14"/>
  <c r="Q36" i="14"/>
  <c r="E36" i="14"/>
  <c r="R36" i="14"/>
  <c r="D36" i="14"/>
  <c r="F36" i="14"/>
  <c r="G36" i="14"/>
  <c r="N36" i="14"/>
  <c r="O36" i="14"/>
  <c r="V37" i="14"/>
  <c r="I37" i="14"/>
  <c r="J37" i="14"/>
  <c r="N37" i="14"/>
  <c r="F37" i="14"/>
  <c r="R37" i="14"/>
  <c r="C37" i="14"/>
  <c r="S37" i="14"/>
  <c r="E37" i="14"/>
  <c r="W37" i="14"/>
  <c r="Q37" i="14"/>
  <c r="M37" i="14" s="1"/>
  <c r="G37" i="14"/>
  <c r="D37" i="14"/>
  <c r="O37" i="14"/>
  <c r="H37" i="14"/>
  <c r="AN365" i="3"/>
  <c r="AP365" i="3"/>
  <c r="AQ365" i="3" s="1"/>
  <c r="Y37" i="14" s="1"/>
  <c r="Y38" i="14" s="1"/>
  <c r="M11" i="14" l="1"/>
  <c r="M8" i="14"/>
  <c r="K11" i="14"/>
  <c r="K8" i="14"/>
  <c r="AN365" i="13"/>
  <c r="I8" i="15"/>
  <c r="F8" i="15"/>
  <c r="W8" i="15"/>
  <c r="D8" i="15"/>
  <c r="V8" i="15"/>
  <c r="S8" i="15"/>
  <c r="G8" i="15"/>
  <c r="Q8" i="15"/>
  <c r="J8" i="15"/>
  <c r="H8" i="15"/>
  <c r="C8" i="15"/>
  <c r="N8" i="15"/>
  <c r="R8" i="15"/>
  <c r="O8" i="15"/>
  <c r="E8" i="15"/>
  <c r="T8" i="14"/>
  <c r="L8" i="14"/>
  <c r="P8" i="14"/>
  <c r="K12" i="14"/>
  <c r="T11" i="14"/>
  <c r="K30" i="14"/>
  <c r="M13" i="14"/>
  <c r="T17" i="14"/>
  <c r="M17" i="14"/>
  <c r="K36" i="14"/>
  <c r="M32" i="14"/>
  <c r="M30" i="14"/>
  <c r="K23" i="14"/>
  <c r="K13" i="14"/>
  <c r="K17" i="14"/>
  <c r="K14" i="14"/>
  <c r="T35" i="14"/>
  <c r="K31" i="14"/>
  <c r="T27" i="14"/>
  <c r="M22" i="14"/>
  <c r="M21" i="14"/>
  <c r="M20" i="14"/>
  <c r="T16" i="14"/>
  <c r="K33" i="14"/>
  <c r="M29" i="14"/>
  <c r="T28" i="14"/>
  <c r="M14" i="14"/>
  <c r="M18" i="14"/>
  <c r="K10" i="14"/>
  <c r="M34" i="14"/>
  <c r="AQ365" i="13"/>
  <c r="T33" i="14"/>
  <c r="T31" i="14"/>
  <c r="K27" i="14"/>
  <c r="K24" i="14"/>
  <c r="T24" i="14"/>
  <c r="K19" i="14"/>
  <c r="M35" i="14"/>
  <c r="T30" i="14"/>
  <c r="L29" i="14"/>
  <c r="P29" i="14"/>
  <c r="M26" i="14"/>
  <c r="L24" i="14"/>
  <c r="P24" i="14"/>
  <c r="L23" i="14"/>
  <c r="P23" i="14"/>
  <c r="L21" i="14"/>
  <c r="P21" i="14"/>
  <c r="T13" i="14"/>
  <c r="T12" i="14"/>
  <c r="J38" i="14"/>
  <c r="E38" i="14"/>
  <c r="E39" i="14" s="1"/>
  <c r="H38" i="14"/>
  <c r="D38" i="14"/>
  <c r="D39" i="14" s="1"/>
  <c r="T34" i="14"/>
  <c r="L31" i="14"/>
  <c r="P31" i="14"/>
  <c r="L30" i="14"/>
  <c r="P30" i="14"/>
  <c r="T29" i="14"/>
  <c r="M28" i="14"/>
  <c r="L27" i="14"/>
  <c r="P27" i="14"/>
  <c r="M27" i="14"/>
  <c r="M25" i="14"/>
  <c r="L25" i="14"/>
  <c r="P25" i="14"/>
  <c r="M24" i="14"/>
  <c r="L22" i="14"/>
  <c r="P22" i="14"/>
  <c r="K22" i="14"/>
  <c r="K20" i="14"/>
  <c r="M19" i="14"/>
  <c r="L18" i="14"/>
  <c r="P18" i="14"/>
  <c r="M16" i="14"/>
  <c r="L15" i="14"/>
  <c r="P15" i="14"/>
  <c r="K15" i="14"/>
  <c r="L9" i="14"/>
  <c r="P9" i="14"/>
  <c r="O38" i="14"/>
  <c r="M9" i="14"/>
  <c r="Q38" i="14"/>
  <c r="W38" i="14"/>
  <c r="T9" i="14"/>
  <c r="S38" i="14"/>
  <c r="W46" i="15"/>
  <c r="W45" i="15"/>
  <c r="F9" i="15"/>
  <c r="N9" i="15"/>
  <c r="W9" i="15"/>
  <c r="E9" i="15"/>
  <c r="G9" i="15"/>
  <c r="S9" i="15"/>
  <c r="Q9" i="15"/>
  <c r="C9" i="15"/>
  <c r="O9" i="15"/>
  <c r="R9" i="15"/>
  <c r="V9" i="15"/>
  <c r="J9" i="15"/>
  <c r="H9" i="15"/>
  <c r="I9" i="15"/>
  <c r="D9" i="15"/>
  <c r="D10" i="15"/>
  <c r="J10" i="15"/>
  <c r="C10" i="15"/>
  <c r="W10" i="15"/>
  <c r="E10" i="15"/>
  <c r="H10" i="15"/>
  <c r="I10" i="15"/>
  <c r="O10" i="15"/>
  <c r="N10" i="15"/>
  <c r="G10" i="15"/>
  <c r="R10" i="15"/>
  <c r="F10" i="15"/>
  <c r="V10" i="15"/>
  <c r="S10" i="15"/>
  <c r="Q10" i="15"/>
  <c r="W11" i="15"/>
  <c r="S11" i="15"/>
  <c r="Q11" i="15"/>
  <c r="R11" i="15"/>
  <c r="V11" i="15"/>
  <c r="N11" i="15"/>
  <c r="E11" i="15"/>
  <c r="H11" i="15"/>
  <c r="C11" i="15"/>
  <c r="I11" i="15"/>
  <c r="F11" i="15"/>
  <c r="D11" i="15"/>
  <c r="O11" i="15"/>
  <c r="G11" i="15"/>
  <c r="J11" i="15"/>
  <c r="J12" i="15"/>
  <c r="H12" i="15"/>
  <c r="Q12" i="15"/>
  <c r="V12" i="15"/>
  <c r="D12" i="15"/>
  <c r="W12" i="15"/>
  <c r="R12" i="15"/>
  <c r="E12" i="15"/>
  <c r="G12" i="15"/>
  <c r="C12" i="15"/>
  <c r="N12" i="15"/>
  <c r="F12" i="15"/>
  <c r="S12" i="15"/>
  <c r="I12" i="15"/>
  <c r="O12" i="15"/>
  <c r="W13" i="15"/>
  <c r="I13" i="15"/>
  <c r="O13" i="15"/>
  <c r="D13" i="15"/>
  <c r="N13" i="15"/>
  <c r="V13" i="15"/>
  <c r="G13" i="15"/>
  <c r="S13" i="15"/>
  <c r="J13" i="15"/>
  <c r="R13" i="15"/>
  <c r="E13" i="15"/>
  <c r="C13" i="15"/>
  <c r="F13" i="15"/>
  <c r="H13" i="15"/>
  <c r="Q13" i="15"/>
  <c r="S14" i="15"/>
  <c r="R14" i="15"/>
  <c r="D14" i="15"/>
  <c r="C14" i="15"/>
  <c r="F14" i="15"/>
  <c r="W14" i="15"/>
  <c r="J14" i="15"/>
  <c r="Q14" i="15"/>
  <c r="I14" i="15"/>
  <c r="N14" i="15"/>
  <c r="H14" i="15"/>
  <c r="V14" i="15"/>
  <c r="O14" i="15"/>
  <c r="E14" i="15"/>
  <c r="G14" i="15"/>
  <c r="V15" i="15"/>
  <c r="O15" i="15"/>
  <c r="S15" i="15"/>
  <c r="F15" i="15"/>
  <c r="I15" i="15"/>
  <c r="C15" i="15"/>
  <c r="D15" i="15"/>
  <c r="J15" i="15"/>
  <c r="R15" i="15"/>
  <c r="Q15" i="15"/>
  <c r="W15" i="15"/>
  <c r="H15" i="15"/>
  <c r="G15" i="15"/>
  <c r="N15" i="15"/>
  <c r="E15" i="15"/>
  <c r="C16" i="15"/>
  <c r="F16" i="15"/>
  <c r="W16" i="15"/>
  <c r="J16" i="15"/>
  <c r="G16" i="15"/>
  <c r="N16" i="15"/>
  <c r="S16" i="15"/>
  <c r="E16" i="15"/>
  <c r="V16" i="15"/>
  <c r="R16" i="15"/>
  <c r="Q16" i="15"/>
  <c r="O16" i="15"/>
  <c r="H16" i="15"/>
  <c r="I16" i="15"/>
  <c r="D16" i="15"/>
  <c r="N17" i="15"/>
  <c r="S17" i="15"/>
  <c r="C17" i="15"/>
  <c r="Q17" i="15"/>
  <c r="V17" i="15"/>
  <c r="E17" i="15"/>
  <c r="D17" i="15"/>
  <c r="I17" i="15"/>
  <c r="R17" i="15"/>
  <c r="G17" i="15"/>
  <c r="H17" i="15"/>
  <c r="F17" i="15"/>
  <c r="O17" i="15"/>
  <c r="J17" i="15"/>
  <c r="W17" i="15"/>
  <c r="V18" i="15"/>
  <c r="G18" i="15"/>
  <c r="N18" i="15"/>
  <c r="F18" i="15"/>
  <c r="S18" i="15"/>
  <c r="D18" i="15"/>
  <c r="R18" i="15"/>
  <c r="Q18" i="15"/>
  <c r="W18" i="15"/>
  <c r="C18" i="15"/>
  <c r="H18" i="15"/>
  <c r="I18" i="15"/>
  <c r="E18" i="15"/>
  <c r="J18" i="15"/>
  <c r="O18" i="15"/>
  <c r="V19" i="15"/>
  <c r="F19" i="15"/>
  <c r="N19" i="15"/>
  <c r="I19" i="15"/>
  <c r="Q19" i="15"/>
  <c r="G19" i="15"/>
  <c r="O19" i="15"/>
  <c r="D19" i="15"/>
  <c r="W19" i="15"/>
  <c r="E19" i="15"/>
  <c r="R19" i="15"/>
  <c r="C19" i="15"/>
  <c r="H19" i="15"/>
  <c r="J19" i="15"/>
  <c r="S19" i="15"/>
  <c r="T19" i="15" s="1"/>
  <c r="V20" i="15"/>
  <c r="N20" i="15"/>
  <c r="D20" i="15"/>
  <c r="W20" i="15"/>
  <c r="J20" i="15"/>
  <c r="H20" i="15"/>
  <c r="E20" i="15"/>
  <c r="Q20" i="15"/>
  <c r="R20" i="15"/>
  <c r="S20" i="15"/>
  <c r="G20" i="15"/>
  <c r="F20" i="15"/>
  <c r="C20" i="15"/>
  <c r="I20" i="15"/>
  <c r="O20" i="15"/>
  <c r="V21" i="15"/>
  <c r="J21" i="15"/>
  <c r="E21" i="15"/>
  <c r="W21" i="15"/>
  <c r="C21" i="15"/>
  <c r="D21" i="15"/>
  <c r="F21" i="15"/>
  <c r="Q21" i="15"/>
  <c r="S21" i="15"/>
  <c r="H21" i="15"/>
  <c r="I21" i="15"/>
  <c r="N21" i="15"/>
  <c r="O21" i="15"/>
  <c r="G21" i="15"/>
  <c r="R21" i="15"/>
  <c r="R22" i="15"/>
  <c r="Q22" i="15"/>
  <c r="G22" i="15"/>
  <c r="I22" i="15"/>
  <c r="C22" i="15"/>
  <c r="N22" i="15"/>
  <c r="O22" i="15"/>
  <c r="V22" i="15"/>
  <c r="W22" i="15"/>
  <c r="F22" i="15"/>
  <c r="E22" i="15"/>
  <c r="J22" i="15"/>
  <c r="D22" i="15"/>
  <c r="H22" i="15"/>
  <c r="S22" i="15"/>
  <c r="R23" i="15"/>
  <c r="C23" i="15"/>
  <c r="V23" i="15"/>
  <c r="I23" i="15"/>
  <c r="N23" i="15"/>
  <c r="E23" i="15"/>
  <c r="O23" i="15"/>
  <c r="W23" i="15"/>
  <c r="H23" i="15"/>
  <c r="S23" i="15"/>
  <c r="J23" i="15"/>
  <c r="F23" i="15"/>
  <c r="Q23" i="15"/>
  <c r="D23" i="15"/>
  <c r="G23" i="15"/>
  <c r="I24" i="15"/>
  <c r="C24" i="15"/>
  <c r="F24" i="15"/>
  <c r="E24" i="15"/>
  <c r="S24" i="15"/>
  <c r="W24" i="15"/>
  <c r="G24" i="15"/>
  <c r="R24" i="15"/>
  <c r="N24" i="15"/>
  <c r="J24" i="15"/>
  <c r="D24" i="15"/>
  <c r="O24" i="15"/>
  <c r="V24" i="15"/>
  <c r="Q24" i="15"/>
  <c r="M24" i="15" s="1"/>
  <c r="H24" i="15"/>
  <c r="W25" i="15"/>
  <c r="I25" i="15"/>
  <c r="H25" i="15"/>
  <c r="J25" i="15"/>
  <c r="O25" i="15"/>
  <c r="Q25" i="15"/>
  <c r="G25" i="15"/>
  <c r="C25" i="15"/>
  <c r="F25" i="15"/>
  <c r="S25" i="15"/>
  <c r="R25" i="15"/>
  <c r="V25" i="15"/>
  <c r="D25" i="15"/>
  <c r="E25" i="15"/>
  <c r="N25" i="15"/>
  <c r="K25" i="15" s="1"/>
  <c r="D26" i="15"/>
  <c r="V26" i="15"/>
  <c r="S26" i="15"/>
  <c r="E26" i="15"/>
  <c r="J26" i="15"/>
  <c r="O26" i="15"/>
  <c r="G26" i="15"/>
  <c r="C26" i="15"/>
  <c r="H26" i="15"/>
  <c r="I26" i="15"/>
  <c r="Q26" i="15"/>
  <c r="N26" i="15"/>
  <c r="R26" i="15"/>
  <c r="W26" i="15"/>
  <c r="F26" i="15"/>
  <c r="O27" i="15"/>
  <c r="R27" i="15"/>
  <c r="G27" i="15"/>
  <c r="D27" i="15"/>
  <c r="J27" i="15"/>
  <c r="I27" i="15"/>
  <c r="S27" i="15"/>
  <c r="F27" i="15"/>
  <c r="V27" i="15"/>
  <c r="E27" i="15"/>
  <c r="C27" i="15"/>
  <c r="W27" i="15"/>
  <c r="N27" i="15"/>
  <c r="Q27" i="15"/>
  <c r="H27" i="15"/>
  <c r="W28" i="15"/>
  <c r="H28" i="15"/>
  <c r="C28" i="15"/>
  <c r="R28" i="15"/>
  <c r="G28" i="15"/>
  <c r="S28" i="15"/>
  <c r="D28" i="15"/>
  <c r="I28" i="15"/>
  <c r="F28" i="15"/>
  <c r="O28" i="15"/>
  <c r="E28" i="15"/>
  <c r="V28" i="15"/>
  <c r="J28" i="15"/>
  <c r="Q28" i="15"/>
  <c r="N28" i="15"/>
  <c r="H29" i="15"/>
  <c r="S29" i="15"/>
  <c r="E29" i="15"/>
  <c r="R29" i="15"/>
  <c r="D29" i="15"/>
  <c r="I29" i="15"/>
  <c r="Q29" i="15"/>
  <c r="G29" i="15"/>
  <c r="N29" i="15"/>
  <c r="K29" i="15" s="1"/>
  <c r="O29" i="15"/>
  <c r="V29" i="15"/>
  <c r="F29" i="15"/>
  <c r="J29" i="15"/>
  <c r="C29" i="15"/>
  <c r="W29" i="15"/>
  <c r="V30" i="15"/>
  <c r="W30" i="15"/>
  <c r="N30" i="15"/>
  <c r="C30" i="15"/>
  <c r="I30" i="15"/>
  <c r="J30" i="15"/>
  <c r="D30" i="15"/>
  <c r="O30" i="15"/>
  <c r="Q30" i="15"/>
  <c r="S30" i="15"/>
  <c r="G30" i="15"/>
  <c r="R30" i="15"/>
  <c r="F30" i="15"/>
  <c r="H30" i="15"/>
  <c r="E30" i="15"/>
  <c r="R31" i="15"/>
  <c r="E31" i="15"/>
  <c r="G31" i="15"/>
  <c r="N31" i="15"/>
  <c r="S31" i="15"/>
  <c r="T31" i="15" s="1"/>
  <c r="Q31" i="15"/>
  <c r="V31" i="15"/>
  <c r="F31" i="15"/>
  <c r="O31" i="15"/>
  <c r="H31" i="15"/>
  <c r="D31" i="15"/>
  <c r="I31" i="15"/>
  <c r="J31" i="15"/>
  <c r="C31" i="15"/>
  <c r="W31" i="15"/>
  <c r="F32" i="15"/>
  <c r="C32" i="15"/>
  <c r="W32" i="15"/>
  <c r="V32" i="15"/>
  <c r="O32" i="15"/>
  <c r="S32" i="15"/>
  <c r="H32" i="15"/>
  <c r="J32" i="15"/>
  <c r="D32" i="15"/>
  <c r="N32" i="15"/>
  <c r="I32" i="15"/>
  <c r="E32" i="15"/>
  <c r="Q32" i="15"/>
  <c r="R32" i="15"/>
  <c r="G32" i="15"/>
  <c r="O33" i="15"/>
  <c r="H33" i="15"/>
  <c r="S33" i="15"/>
  <c r="W33" i="15"/>
  <c r="G33" i="15"/>
  <c r="R33" i="15"/>
  <c r="I33" i="15"/>
  <c r="N33" i="15"/>
  <c r="E33" i="15"/>
  <c r="D33" i="15"/>
  <c r="J33" i="15"/>
  <c r="F33" i="15"/>
  <c r="V33" i="15"/>
  <c r="Q33" i="15"/>
  <c r="C33" i="15"/>
  <c r="N34" i="15"/>
  <c r="W34" i="15"/>
  <c r="R34" i="15"/>
  <c r="D34" i="15"/>
  <c r="Q34" i="15"/>
  <c r="S34" i="15"/>
  <c r="J34" i="15"/>
  <c r="I34" i="15"/>
  <c r="V34" i="15"/>
  <c r="O34" i="15"/>
  <c r="E34" i="15"/>
  <c r="G34" i="15"/>
  <c r="H34" i="15"/>
  <c r="F34" i="15"/>
  <c r="C34" i="15"/>
  <c r="R35" i="15"/>
  <c r="Q35" i="15"/>
  <c r="G35" i="15"/>
  <c r="J35" i="15"/>
  <c r="W35" i="15"/>
  <c r="H35" i="15"/>
  <c r="I35" i="15"/>
  <c r="D35" i="15"/>
  <c r="E35" i="15"/>
  <c r="N35" i="15"/>
  <c r="K35" i="15" s="1"/>
  <c r="F35" i="15"/>
  <c r="V35" i="15"/>
  <c r="S35" i="15"/>
  <c r="T35" i="15" s="1"/>
  <c r="C35" i="15"/>
  <c r="O35" i="15"/>
  <c r="E36" i="15"/>
  <c r="J36" i="15"/>
  <c r="V36" i="15"/>
  <c r="F36" i="15"/>
  <c r="I36" i="15"/>
  <c r="R36" i="15"/>
  <c r="D36" i="15"/>
  <c r="C36" i="15"/>
  <c r="Q36" i="15"/>
  <c r="G36" i="15"/>
  <c r="H36" i="15"/>
  <c r="N36" i="15"/>
  <c r="S36" i="15"/>
  <c r="W36" i="15"/>
  <c r="O36" i="15"/>
  <c r="J37" i="15"/>
  <c r="E37" i="15"/>
  <c r="O37" i="15"/>
  <c r="R37" i="15"/>
  <c r="W37" i="15"/>
  <c r="I37" i="15"/>
  <c r="H37" i="15"/>
  <c r="N37" i="15"/>
  <c r="Q37" i="15"/>
  <c r="M37" i="15" s="1"/>
  <c r="G37" i="15"/>
  <c r="F37" i="15"/>
  <c r="V37" i="15"/>
  <c r="S37" i="15"/>
  <c r="D37" i="15"/>
  <c r="C37" i="15"/>
  <c r="M36" i="14"/>
  <c r="T36" i="14"/>
  <c r="K35" i="14"/>
  <c r="K34" i="14"/>
  <c r="M33" i="14"/>
  <c r="L28" i="14"/>
  <c r="P28" i="14"/>
  <c r="T26" i="14"/>
  <c r="L26" i="14"/>
  <c r="P26" i="14"/>
  <c r="T25" i="14"/>
  <c r="M23" i="14"/>
  <c r="K21" i="14"/>
  <c r="T20" i="14"/>
  <c r="K18" i="14"/>
  <c r="T15" i="14"/>
  <c r="T14" i="14"/>
  <c r="L14" i="14"/>
  <c r="P14" i="14"/>
  <c r="L13" i="14"/>
  <c r="P13" i="14"/>
  <c r="L11" i="14"/>
  <c r="P11" i="14"/>
  <c r="L10" i="14"/>
  <c r="P10" i="14"/>
  <c r="M10" i="14"/>
  <c r="T10" i="14"/>
  <c r="R38" i="14"/>
  <c r="G38" i="14"/>
  <c r="G39" i="14" s="1"/>
  <c r="V38" i="14"/>
  <c r="Y42" i="15"/>
  <c r="W44" i="15"/>
  <c r="Y46" i="15"/>
  <c r="Y45" i="15"/>
  <c r="Y40" i="15"/>
  <c r="Y44" i="15"/>
  <c r="Y43" i="15"/>
  <c r="Y41" i="15"/>
  <c r="AO365" i="13"/>
  <c r="X37" i="15" s="1"/>
  <c r="L37" i="14"/>
  <c r="P37" i="14"/>
  <c r="Y40" i="14"/>
  <c r="Y41" i="14"/>
  <c r="Y42" i="14"/>
  <c r="AT365" i="3"/>
  <c r="AU365" i="3" s="1"/>
  <c r="Y43" i="14"/>
  <c r="Y44" i="14"/>
  <c r="Y46" i="14"/>
  <c r="Y45" i="14"/>
  <c r="W44" i="14"/>
  <c r="AO365" i="3"/>
  <c r="T37" i="14"/>
  <c r="K37" i="14"/>
  <c r="P36" i="14"/>
  <c r="L36" i="14"/>
  <c r="P35" i="14"/>
  <c r="L35" i="14"/>
  <c r="L34" i="14"/>
  <c r="P34" i="14"/>
  <c r="L33" i="14"/>
  <c r="P33" i="14"/>
  <c r="T32" i="14"/>
  <c r="P32" i="14"/>
  <c r="L32" i="14"/>
  <c r="K32" i="14"/>
  <c r="M31" i="14"/>
  <c r="K29" i="14"/>
  <c r="K28" i="14"/>
  <c r="K26" i="14"/>
  <c r="T22" i="14"/>
  <c r="P20" i="14"/>
  <c r="L20" i="14"/>
  <c r="T19" i="14"/>
  <c r="L19" i="14"/>
  <c r="P19" i="14"/>
  <c r="T18" i="14"/>
  <c r="L17" i="14"/>
  <c r="P17" i="14"/>
  <c r="P16" i="14"/>
  <c r="L16" i="14"/>
  <c r="L12" i="14"/>
  <c r="P12" i="14"/>
  <c r="M12" i="14"/>
  <c r="I38" i="14"/>
  <c r="K9" i="14"/>
  <c r="N38" i="14"/>
  <c r="K38" i="14" s="1"/>
  <c r="F38" i="14"/>
  <c r="F39" i="14" s="1"/>
  <c r="M10" i="15" l="1"/>
  <c r="K12" i="15"/>
  <c r="K8" i="15"/>
  <c r="W41" i="14"/>
  <c r="X37" i="14"/>
  <c r="W43" i="15"/>
  <c r="Y37" i="15"/>
  <c r="Y38" i="15" s="1"/>
  <c r="L8" i="15"/>
  <c r="P8" i="15"/>
  <c r="T8" i="15"/>
  <c r="M8" i="15"/>
  <c r="W42" i="15"/>
  <c r="W41" i="15"/>
  <c r="T23" i="15"/>
  <c r="M13" i="15"/>
  <c r="T22" i="15"/>
  <c r="T10" i="15"/>
  <c r="M12" i="15"/>
  <c r="K15" i="15"/>
  <c r="M15" i="15"/>
  <c r="K33" i="15"/>
  <c r="M21" i="15"/>
  <c r="M16" i="15"/>
  <c r="K10" i="15"/>
  <c r="T36" i="15"/>
  <c r="M36" i="15"/>
  <c r="K37" i="15"/>
  <c r="M35" i="15"/>
  <c r="M34" i="15"/>
  <c r="K28" i="15"/>
  <c r="M27" i="15"/>
  <c r="K21" i="15"/>
  <c r="T34" i="15"/>
  <c r="M20" i="15"/>
  <c r="K14" i="15"/>
  <c r="M28" i="15"/>
  <c r="T20" i="15"/>
  <c r="M14" i="15"/>
  <c r="M31" i="15"/>
  <c r="M30" i="15"/>
  <c r="T18" i="15"/>
  <c r="M17" i="15"/>
  <c r="T16" i="15"/>
  <c r="T14" i="15"/>
  <c r="T13" i="15"/>
  <c r="K11" i="15"/>
  <c r="T11" i="15"/>
  <c r="T33" i="15"/>
  <c r="T28" i="15"/>
  <c r="K27" i="15"/>
  <c r="M23" i="15"/>
  <c r="M38" i="14"/>
  <c r="M32" i="15"/>
  <c r="M33" i="15"/>
  <c r="L32" i="15"/>
  <c r="P32" i="15"/>
  <c r="K31" i="15"/>
  <c r="K30" i="15"/>
  <c r="P29" i="15"/>
  <c r="L29" i="15"/>
  <c r="T29" i="15"/>
  <c r="M26" i="15"/>
  <c r="T26" i="15"/>
  <c r="T25" i="15"/>
  <c r="M25" i="15"/>
  <c r="K24" i="15"/>
  <c r="T24" i="15"/>
  <c r="L22" i="15"/>
  <c r="P22" i="15"/>
  <c r="P18" i="15"/>
  <c r="L18" i="15"/>
  <c r="K18" i="15"/>
  <c r="T17" i="15"/>
  <c r="T12" i="15"/>
  <c r="I38" i="15"/>
  <c r="R38" i="15"/>
  <c r="T9" i="15"/>
  <c r="S38" i="15"/>
  <c r="K9" i="15"/>
  <c r="N38" i="15"/>
  <c r="T37" i="15"/>
  <c r="K36" i="15"/>
  <c r="L35" i="15"/>
  <c r="P35" i="15"/>
  <c r="P34" i="15"/>
  <c r="L34" i="15"/>
  <c r="L33" i="15"/>
  <c r="P33" i="15"/>
  <c r="T30" i="15"/>
  <c r="T27" i="15"/>
  <c r="L26" i="15"/>
  <c r="P26" i="15"/>
  <c r="L25" i="15"/>
  <c r="P25" i="15"/>
  <c r="L24" i="15"/>
  <c r="P24" i="15"/>
  <c r="L23" i="15"/>
  <c r="P23" i="15"/>
  <c r="K22" i="15"/>
  <c r="M22" i="15"/>
  <c r="P21" i="15"/>
  <c r="L21" i="15"/>
  <c r="T21" i="15"/>
  <c r="L19" i="15"/>
  <c r="P19" i="15"/>
  <c r="K19" i="15"/>
  <c r="L17" i="15"/>
  <c r="P17" i="15"/>
  <c r="K17" i="15"/>
  <c r="L16" i="15"/>
  <c r="P16" i="15"/>
  <c r="T15" i="15"/>
  <c r="K13" i="15"/>
  <c r="M11" i="15"/>
  <c r="H38" i="15"/>
  <c r="L9" i="15"/>
  <c r="P9" i="15"/>
  <c r="O38" i="15"/>
  <c r="G38" i="15"/>
  <c r="G39" i="15" s="1"/>
  <c r="F38" i="15"/>
  <c r="F39" i="15" s="1"/>
  <c r="T38" i="14"/>
  <c r="L38" i="14"/>
  <c r="L36" i="15"/>
  <c r="P36" i="15"/>
  <c r="K34" i="15"/>
  <c r="L20" i="15"/>
  <c r="P20" i="15"/>
  <c r="L15" i="15"/>
  <c r="P15" i="15"/>
  <c r="L14" i="15"/>
  <c r="P14" i="15"/>
  <c r="L12" i="15"/>
  <c r="P12" i="15"/>
  <c r="J38" i="15"/>
  <c r="E38" i="15"/>
  <c r="E39" i="15" s="1"/>
  <c r="P38" i="14"/>
  <c r="AS365" i="3"/>
  <c r="AV365" i="3" s="1"/>
  <c r="W40" i="14"/>
  <c r="W43" i="14" s="1"/>
  <c r="L37" i="15"/>
  <c r="P37" i="15"/>
  <c r="K32" i="15"/>
  <c r="T32" i="15"/>
  <c r="L31" i="15"/>
  <c r="P31" i="15"/>
  <c r="P30" i="15"/>
  <c r="L30" i="15"/>
  <c r="M29" i="15"/>
  <c r="L28" i="15"/>
  <c r="P28" i="15"/>
  <c r="L27" i="15"/>
  <c r="P27" i="15"/>
  <c r="K26" i="15"/>
  <c r="K23" i="15"/>
  <c r="K20" i="15"/>
  <c r="M19" i="15"/>
  <c r="M18" i="15"/>
  <c r="K16" i="15"/>
  <c r="P13" i="15"/>
  <c r="L13" i="15"/>
  <c r="L11" i="15"/>
  <c r="P11" i="15"/>
  <c r="P10" i="15"/>
  <c r="L10" i="15"/>
  <c r="D38" i="15"/>
  <c r="D39" i="15" s="1"/>
  <c r="V38" i="15"/>
  <c r="M9" i="15"/>
  <c r="Q38" i="15"/>
  <c r="W38" i="15"/>
  <c r="W42" i="14" l="1"/>
  <c r="I43" i="14"/>
  <c r="I44" i="14" s="1"/>
  <c r="I43" i="15"/>
  <c r="I44" i="15" s="1"/>
  <c r="P38" i="15"/>
  <c r="T38" i="15"/>
  <c r="L38" i="15"/>
  <c r="M38" i="15"/>
  <c r="K38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Dwayne Purvis</author>
  </authors>
  <commentList>
    <comment ref="C9" authorId="0" shapeId="0" xr:uid="{D12EBE2A-328B-4C15-943A-1626DF3DBBD4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The economic limit of the project is calculated based on L:ease NRI.  
So Partner 1 can be a royalty interest and Partner 2 can stil earn a reversion.</t>
        </r>
      </text>
    </comment>
    <comment ref="D9" authorId="0" shapeId="0" xr:uid="{5EA75D1D-24F1-49AE-8AE2-F120DD639B77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Enter the names of the partners.  Partner 2 receives the interests after reversion</t>
        </r>
      </text>
    </comment>
    <comment ref="F9" authorId="0" shapeId="0" xr:uid="{5D7CF196-6287-41E7-ACCD-CCEE40298737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Reverts based on return to Parnter 1  for total project.
If only one threshold applies, set the other to 0.
If there is no reversion, then set post-reversion interests equal to initial interests.</t>
        </r>
      </text>
    </comment>
    <comment ref="B12" authorId="0" shapeId="0" xr:uid="{5C23D8B8-CA3A-4E5C-BBAC-CA0EA404B9A2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This is the total revenue interest of all of the working interest owners.  It is used to calculate economic limit.</t>
        </r>
      </text>
    </comment>
    <comment ref="I14" authorId="0" shapeId="0" xr:uid="{C3BEF2BA-F8B3-465E-A5A1-0F44E33CFF58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These formulas offer warnings if the interestes entered do not seem to be consistent.</t>
        </r>
      </text>
    </comment>
    <comment ref="F38" authorId="0" shapeId="0" xr:uid="{E0F6BE0E-EA92-49CB-89A4-41BD3F255AFE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This is the NET cost related to each interest. 
If this initial cost is a drilling cost instead of an acquisition cost, then the net initial capital cost will have to be calculated in this well by multiplying the 8/8ths cost by the working interest being evaluated.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Dwayne Purvis</author>
  </authors>
  <commentList>
    <comment ref="D4" authorId="0" shapeId="0" xr:uid="{BE51E3F0-ECC0-4FA5-973B-DCA7C2D7C4AF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Costs to each partner are determined by its current working interest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Dwayne Purvis</author>
  </authors>
  <commentList>
    <comment ref="Y5" authorId="0" shapeId="0" xr:uid="{2B6FB4DB-6EC8-47BD-997F-735DCF5BC26A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Z5" authorId="0" shapeId="0" xr:uid="{963F941A-81BB-4E44-B527-5F7338EEBC3B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AB5" authorId="0" shapeId="0" xr:uid="{B378944E-5AD5-49EE-A45C-55D18AC35680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AC5" authorId="0" shapeId="0" xr:uid="{6480CBD7-167F-447D-83E2-0808F887C7DF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AD5" authorId="0" shapeId="0" xr:uid="{0774032E-30A9-4C00-B1C0-AE1AA49DC900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AF6" authorId="0" shapeId="0" xr:uid="{CC6713A0-5EBD-4E97-860A-88589F96F452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the capex multiplied is not applied to the initial project costs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Dwayne Purvis</author>
  </authors>
  <commentList>
    <comment ref="Y5" authorId="0" shapeId="0" xr:uid="{18626E33-7547-486E-991C-F49B15BB99E4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Z5" authorId="0" shapeId="0" xr:uid="{3A2899B1-E1B1-430D-8EA5-090FA3671788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AB5" authorId="0" shapeId="0" xr:uid="{3C37F01F-B492-4DE8-BB49-B6AE7240A71D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AC5" authorId="0" shapeId="0" xr:uid="{081ED969-4675-4C38-8E90-D0474AE4D814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AD5" authorId="0" shapeId="0" xr:uid="{C98AFBF2-21B2-4AB5-B532-BFA519675572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this column is GROSS, not NET</t>
        </r>
      </text>
    </comment>
    <comment ref="AF6" authorId="0" shapeId="0" xr:uid="{7E0D4D4C-78D1-4973-AC90-C21713042CA1}">
      <text>
        <r>
          <rPr>
            <b/>
            <sz val="9"/>
            <color indexed="81"/>
            <rFont val="Tahoma"/>
            <family val="2"/>
          </rPr>
          <t>Dwayne Purvis:</t>
        </r>
        <r>
          <rPr>
            <sz val="9"/>
            <color indexed="81"/>
            <rFont val="Tahoma"/>
            <family val="2"/>
          </rPr>
          <t xml:space="preserve">
Note that the capex multiplied is not applied to the initial project costs
</t>
        </r>
      </text>
    </comment>
  </commentList>
</comments>
</file>

<file path=xl/sharedStrings.xml><?xml version="1.0" encoding="utf-8"?>
<sst xmlns="http://schemas.openxmlformats.org/spreadsheetml/2006/main" count="615" uniqueCount="258">
  <si>
    <t xml:space="preserve">Multipliers </t>
  </si>
  <si>
    <t>opex</t>
  </si>
  <si>
    <t>volumes</t>
  </si>
  <si>
    <t>capex</t>
  </si>
  <si>
    <t>For</t>
  </si>
  <si>
    <t>Volumes</t>
  </si>
  <si>
    <t>Prices</t>
  </si>
  <si>
    <t>Oil</t>
  </si>
  <si>
    <t>Gas</t>
  </si>
  <si>
    <t>b-factor</t>
  </si>
  <si>
    <t>minimum decline</t>
  </si>
  <si>
    <t>start date</t>
  </si>
  <si>
    <t>initial rate</t>
  </si>
  <si>
    <t>Water</t>
  </si>
  <si>
    <t>Notes</t>
  </si>
  <si>
    <t>Month</t>
  </si>
  <si>
    <t>NGL</t>
  </si>
  <si>
    <t>Table of Historical Production Data</t>
  </si>
  <si>
    <t>end</t>
  </si>
  <si>
    <t>Oil
(bo)</t>
  </si>
  <si>
    <t>Gas
(mcfpd)</t>
  </si>
  <si>
    <t>Water 
(bwpd)</t>
  </si>
  <si>
    <t>GOR 
(scf/stb)</t>
  </si>
  <si>
    <t>Watercut
(%)</t>
  </si>
  <si>
    <t>Condensate Yield (bo/mmcf)</t>
  </si>
  <si>
    <t>Gas 
(mcf)</t>
  </si>
  <si>
    <t>Water 
(stb)</t>
  </si>
  <si>
    <t>NGL 
(gals)</t>
  </si>
  <si>
    <t>Oil 
(bopd)</t>
  </si>
  <si>
    <t>Gross Volumes</t>
  </si>
  <si>
    <t>Benchmark Prices</t>
  </si>
  <si>
    <t>NGL yield</t>
  </si>
  <si>
    <t>Operating Costs</t>
  </si>
  <si>
    <t xml:space="preserve">Capital </t>
  </si>
  <si>
    <t>Net revenue</t>
  </si>
  <si>
    <t>Total</t>
  </si>
  <si>
    <t>Well count</t>
  </si>
  <si>
    <t>Fixed 
per month</t>
  </si>
  <si>
    <t>Fixed 
per well</t>
  </si>
  <si>
    <t>Variable 
per bo</t>
  </si>
  <si>
    <t>Variable 
per mcf</t>
  </si>
  <si>
    <t>Taxes</t>
  </si>
  <si>
    <t>Severance</t>
  </si>
  <si>
    <t>Ad valorem</t>
  </si>
  <si>
    <t>Net Cash Flow</t>
  </si>
  <si>
    <t>Cash Flow</t>
  </si>
  <si>
    <t>Undiscounted</t>
  </si>
  <si>
    <t>Discount rates</t>
  </si>
  <si>
    <t>(source for graphs of production)</t>
  </si>
  <si>
    <t>(source for production graphs and annual cash flow table)</t>
  </si>
  <si>
    <t>Working Interest</t>
  </si>
  <si>
    <t>Variable 
per bw</t>
  </si>
  <si>
    <t>Scheduling of future production</t>
  </si>
  <si>
    <t>Time</t>
  </si>
  <si>
    <t>-</t>
  </si>
  <si>
    <t>NGL shrink</t>
  </si>
  <si>
    <t>days</t>
  </si>
  <si>
    <t>/day</t>
  </si>
  <si>
    <t>reference: Fekete Harmony help documentation</t>
  </si>
  <si>
    <t>initial decline (PHD)</t>
  </si>
  <si>
    <t>initial decline (ARIES)</t>
  </si>
  <si>
    <t>oil price</t>
  </si>
  <si>
    <t>gas price</t>
  </si>
  <si>
    <t>Reverse</t>
  </si>
  <si>
    <t>Oil ($/stb)</t>
  </si>
  <si>
    <t>Gas ($/mmbtu)</t>
  </si>
  <si>
    <t>Net Revenue Interest</t>
  </si>
  <si>
    <t>%</t>
  </si>
  <si>
    <t>diff</t>
  </si>
  <si>
    <t>(mcf/d)</t>
  </si>
  <si>
    <t>mmBTU/mcf</t>
  </si>
  <si>
    <t>Capital Costs</t>
  </si>
  <si>
    <t>other costs</t>
  </si>
  <si>
    <t>severance tax</t>
  </si>
  <si>
    <t>ad valorem tax</t>
  </si>
  <si>
    <t>Yield Conversion</t>
  </si>
  <si>
    <t>=&gt;</t>
  </si>
  <si>
    <t>(applied to benchmark, also affects NGL)</t>
  </si>
  <si>
    <t>(applied to benchmark)</t>
  </si>
  <si>
    <t>(scheduling and forecasting for new wells are found on tab 'forecast volumes')</t>
  </si>
  <si>
    <t>New Wells Scheduling and Total</t>
  </si>
  <si>
    <t>Wells added</t>
  </si>
  <si>
    <t>(source for monthly calculations and graphs)</t>
  </si>
  <si>
    <t>wellcount</t>
  </si>
  <si>
    <t>Net Sales Volumes (NRI, after shrink)</t>
  </si>
  <si>
    <t>Base Forecast</t>
  </si>
  <si>
    <t>Total Volumes (base + new wells)</t>
  </si>
  <si>
    <t>Cumulative Undiscounted</t>
  </si>
  <si>
    <t>Year</t>
  </si>
  <si>
    <t>Gross Volume</t>
  </si>
  <si>
    <t>Net Volume</t>
  </si>
  <si>
    <t>Netback Price</t>
  </si>
  <si>
    <t>Oil
($/stb)</t>
  </si>
  <si>
    <t>Gas 
($/mcf)</t>
  </si>
  <si>
    <t>Cumulative Net Cash Flow</t>
  </si>
  <si>
    <t>Revenue</t>
  </si>
  <si>
    <t>Fixed</t>
  </si>
  <si>
    <t>Variable</t>
  </si>
  <si>
    <t>primary</t>
  </si>
  <si>
    <t>others</t>
  </si>
  <si>
    <t>bbl/mmcf</t>
  </si>
  <si>
    <t>gal/mcf</t>
  </si>
  <si>
    <t>NGL ($/bbl)</t>
  </si>
  <si>
    <t>NGL 
(bbl)</t>
  </si>
  <si>
    <t>NGL Yield 
(bbl/mmcf)</t>
  </si>
  <si>
    <t>Convert dates to set graph range</t>
  </si>
  <si>
    <t>end date</t>
  </si>
  <si>
    <t>NGL 
(bpd)</t>
  </si>
  <si>
    <t>NGL
(bpd)</t>
  </si>
  <si>
    <t>lease use</t>
  </si>
  <si>
    <t>energy content</t>
  </si>
  <si>
    <t>(of residue gas,applied with gas percent differential)</t>
  </si>
  <si>
    <t>(pdfiff compared to oil benchmark)</t>
  </si>
  <si>
    <t>(percentage diff is applied first)</t>
  </si>
  <si>
    <t>(sales gas)</t>
  </si>
  <si>
    <t>(applied to both fixed and variable)</t>
  </si>
  <si>
    <t>Helpful Conversions</t>
  </si>
  <si>
    <t>Convert decline params</t>
  </si>
  <si>
    <t>Intermediate calculations for base</t>
  </si>
  <si>
    <t>Intermediate calculations for new wells</t>
  </si>
  <si>
    <t>Alternative price decks (copy into table at left to use)</t>
  </si>
  <si>
    <t>Historical Cum</t>
  </si>
  <si>
    <t>Remaining</t>
  </si>
  <si>
    <t>Ultimate</t>
  </si>
  <si>
    <t>Economic Limit</t>
  </si>
  <si>
    <t>NGL
($/bbl)</t>
  </si>
  <si>
    <t>Project</t>
  </si>
  <si>
    <t>New wells</t>
  </si>
  <si>
    <t>Gross 8/8ths</t>
  </si>
  <si>
    <t>Total Capital</t>
  </si>
  <si>
    <t>Well 
count</t>
  </si>
  <si>
    <t>Total Taxes</t>
  </si>
  <si>
    <t>Total Cash Flow</t>
  </si>
  <si>
    <t>Di nominal</t>
  </si>
  <si>
    <t>Dmin nominal</t>
  </si>
  <si>
    <t>qlm</t>
  </si>
  <si>
    <t>tlim</t>
  </si>
  <si>
    <t>qlim</t>
  </si>
  <si>
    <t>Cum Discounted</t>
  </si>
  <si>
    <t>Discounted Cumulative Cash Flow</t>
  </si>
  <si>
    <t>Discounted Cash Flow Analysis</t>
  </si>
  <si>
    <t>Oil &amp; Gas</t>
  </si>
  <si>
    <t>Base Decline Params</t>
  </si>
  <si>
    <t>Initial decline</t>
  </si>
  <si>
    <t>Minimum decline</t>
  </si>
  <si>
    <t>Initial rate (/day)</t>
  </si>
  <si>
    <t>Price differentials</t>
  </si>
  <si>
    <t>Initial Investment</t>
  </si>
  <si>
    <t>ROI</t>
  </si>
  <si>
    <t>Disc ROI</t>
  </si>
  <si>
    <t>Rate of Return</t>
  </si>
  <si>
    <t>/month</t>
  </si>
  <si>
    <t>/well /month</t>
  </si>
  <si>
    <t>/bo</t>
  </si>
  <si>
    <t>/mcf</t>
  </si>
  <si>
    <t>/bw</t>
  </si>
  <si>
    <t>MMBtu/mcf</t>
  </si>
  <si>
    <t>Shrink</t>
  </si>
  <si>
    <t>NGL yield (bbl/mmcf)</t>
  </si>
  <si>
    <t>Economic life</t>
  </si>
  <si>
    <t>Abandonment date</t>
  </si>
  <si>
    <t>WI</t>
  </si>
  <si>
    <t>NRI</t>
  </si>
  <si>
    <t>Price differentials and taxes</t>
  </si>
  <si>
    <t>Information about using the Cash Flow Model</t>
  </si>
  <si>
    <t xml:space="preserve">for the  AAPL Petroleum Economics course </t>
  </si>
  <si>
    <t>historical production</t>
  </si>
  <si>
    <t>For the purpose of demonstration, the model currently contains fictitious information.</t>
  </si>
  <si>
    <t>Light grey cells represent data that should be input by the user.</t>
  </si>
  <si>
    <t>assumptions</t>
  </si>
  <si>
    <t>but a section at the bottom of the sheet includes helpful unit conversions</t>
  </si>
  <si>
    <t>output table</t>
  </si>
  <si>
    <t>rate time graph</t>
  </si>
  <si>
    <t>However, the model does allow for a drilling program with the same parameters.</t>
  </si>
  <si>
    <t>The table can be customized to show more detail by unhiding columns.</t>
  </si>
  <si>
    <t xml:space="preserve">the curves not relevant to the current analysis. </t>
  </si>
  <si>
    <t>cash flow graph</t>
  </si>
  <si>
    <t>forecast production</t>
  </si>
  <si>
    <t>monthly calculations</t>
  </si>
  <si>
    <t xml:space="preserve">The dark grey tabs, like this one, contain mainly background data and intermediate calculations. </t>
  </si>
  <si>
    <t>"Assumptions" tab is the main input tab, and "output table" is the main cash flow table.</t>
  </si>
  <si>
    <t>Graph tabs offer another way to view and check the analysis.</t>
  </si>
  <si>
    <t>tab</t>
  </si>
  <si>
    <t>description</t>
  </si>
  <si>
    <t>The user should copy into this table the actual historical production, or else delete the artificial data.</t>
  </si>
  <si>
    <t>The user should enter to the light grey tabs the inputs for the calculation.</t>
  </si>
  <si>
    <t>The decline equations are programmed to match the PHDwin formulation,</t>
  </si>
  <si>
    <t>including a conversion of ARIES decline rates to PHD (only the decline rates need conversion).</t>
  </si>
  <si>
    <t>The tab is set up to handle a single cash flow.</t>
  </si>
  <si>
    <t>The decline parameters for the new wells are entered on the tab "forecast production".</t>
  </si>
  <si>
    <t>This is the cash flow output for review or printing.</t>
  </si>
  <si>
    <t>This shows the historical production, the curve fit, and the projection of future rates and ratios.</t>
  </si>
  <si>
    <t xml:space="preserve">By default it shows all of the rates and ratios, but the user may hide </t>
  </si>
  <si>
    <t>This shows the cash flow over time.</t>
  </si>
  <si>
    <t>This tab makes the volume calculations for the base forecast and for new wells.</t>
  </si>
  <si>
    <t>This tab makes the monthly cash flow calculations which are summarized into tab "output table".</t>
  </si>
  <si>
    <t>The user should also enter header data where placeholder text contains []'s.</t>
  </si>
  <si>
    <t>Created by Dwayne Purvis, P.E. on behalf of AAPL, May 2018</t>
  </si>
  <si>
    <t>Total Cash Flow above eco limit</t>
  </si>
  <si>
    <t>Payout</t>
  </si>
  <si>
    <t>(applied to gross volumes of oil, gas and water)</t>
  </si>
  <si>
    <t>Netback Prices, incl multiplier</t>
  </si>
  <si>
    <t>Please report any bugs to dpurvis@dpurvisPE.com</t>
  </si>
  <si>
    <t>Daily Rates and Ratios (calculated from volumes)</t>
  </si>
  <si>
    <t>[Project Name]</t>
  </si>
  <si>
    <t>[Subtitle 1, e.g. API number]</t>
  </si>
  <si>
    <t>[Subtitle 2, e.g. field and reservoir]</t>
  </si>
  <si>
    <t>[Subtitle 3, e.g. county and state]</t>
  </si>
  <si>
    <t>The PDP forecast runs longer to accommodate</t>
  </si>
  <si>
    <t>start dates for the forecast earlier than the as-of date.</t>
  </si>
  <si>
    <t>Reversion</t>
  </si>
  <si>
    <t>ROR</t>
  </si>
  <si>
    <t>after both reversion criteria</t>
  </si>
  <si>
    <t>Interests checksum</t>
  </si>
  <si>
    <t>ROI Threshold</t>
  </si>
  <si>
    <t>ROR Threshold</t>
  </si>
  <si>
    <t>Reverted</t>
  </si>
  <si>
    <t>ROR to date</t>
  </si>
  <si>
    <t>Current Interests</t>
  </si>
  <si>
    <t>Initial Capital Costs for Project</t>
  </si>
  <si>
    <t>as of</t>
  </si>
  <si>
    <t>oil</t>
  </si>
  <si>
    <t>gas</t>
  </si>
  <si>
    <t>fixed $/month</t>
  </si>
  <si>
    <t>fixed $/well/month</t>
  </si>
  <si>
    <t>variable $/bo</t>
  </si>
  <si>
    <t>variable $/mcf</t>
  </si>
  <si>
    <t>variable $/bw</t>
  </si>
  <si>
    <t>partner 1</t>
  </si>
  <si>
    <t>partner 2</t>
  </si>
  <si>
    <t>Monthly cash flow calculations for Partner 1</t>
  </si>
  <si>
    <t>Monthly cash flow calculations for Partner 2</t>
  </si>
  <si>
    <t>Reversion is calculated for Partner 1</t>
  </si>
  <si>
    <t>[Partner 1]</t>
  </si>
  <si>
    <t>[Partner 2]</t>
  </si>
  <si>
    <t>Reversion Date</t>
  </si>
  <si>
    <t>Time to reversion</t>
  </si>
  <si>
    <t>APO WI</t>
  </si>
  <si>
    <t>APO NRI</t>
  </si>
  <si>
    <t>(The subscripts "(1)" and "(2)" on tab names indicate to which partner the tab pertains.)</t>
  </si>
  <si>
    <t>Tab "(1)" pertains to the partner giving the carry, and "(2)" pertains to the partner receiving the reversion.</t>
  </si>
  <si>
    <t>(defaults to last wellcount in historical)</t>
  </si>
  <si>
    <t>Wellcount</t>
  </si>
  <si>
    <t>Additional assumptions related to drilling new wells</t>
  </si>
  <si>
    <t>New Wells Forecast (single well)</t>
  </si>
  <si>
    <t>D&amp;C cost</t>
  </si>
  <si>
    <t>for each new well</t>
  </si>
  <si>
    <t>Capital</t>
  </si>
  <si>
    <t>acquisition cost (initial cost for yardsticks and reversion)</t>
  </si>
  <si>
    <t>acquisition costs (initial cost for yardsticks)</t>
  </si>
  <si>
    <t>Volumes for New Wells</t>
  </si>
  <si>
    <r>
      <t xml:space="preserve">(does </t>
    </r>
    <r>
      <rPr>
        <i/>
        <sz val="12"/>
        <color theme="1"/>
        <rFont val="Calibri"/>
        <family val="2"/>
        <scheme val="minor"/>
      </rPr>
      <t>not</t>
    </r>
    <r>
      <rPr>
        <sz val="12"/>
        <color theme="1"/>
        <rFont val="Calibri"/>
        <family val="2"/>
        <scheme val="minor"/>
      </rPr>
      <t xml:space="preserve"> apply to initial cost, cells F38 and F39)</t>
    </r>
  </si>
  <si>
    <t>Net costs</t>
  </si>
  <si>
    <t>Max Negative  Investment</t>
  </si>
  <si>
    <t>corrected and expanded March 2020, Sept 2020, Dec 2020</t>
  </si>
  <si>
    <t>Lease NRI</t>
  </si>
  <si>
    <t>NET Total Variable</t>
  </si>
  <si>
    <t>NET 
Total Fixed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</si>
</sst>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yyyy;@"/>
    <numFmt numFmtId="166" formatCode="_(* #,##0.0_);_(* \(#,##0.0\);_(* &quot;-&quot;??_);_(@_)"/>
    <numFmt numFmtId="167" formatCode="0.0%"/>
    <numFmt numFmtId="168" formatCode="_([$$-409]#,##0.00_);\ \([$$-409]#,##0.00\)"/>
    <numFmt numFmtId="169" formatCode="&quot;$&quot;#,##0"/>
    <numFmt numFmtId="170" formatCode="#,##0_);\(#,##0\);\-_)"/>
    <numFmt numFmtId="171" formatCode="_(&quot;$&quot;* #,##0_);_(&quot;$&quot;* \(#,##0\);_(&quot;$&quot;* &quot;-&quot;??_);_(@_)"/>
    <numFmt numFmtId="172" formatCode="_(* #,##0_);_(* \(#,##0\);_(* &quot;-&quot;??_);"/>
    <numFmt numFmtId="173" formatCode="&quot;$&quot;#,##0.00"/>
    <numFmt numFmtId="174" formatCode="_(* #,##0.0_);_(* \(#,##0.0\);_(* &quot;-&quot;??_)"/>
    <numFmt numFmtId="175" formatCode="_(* #,##0.000_);_(* \(#,##0.000\);_(* &quot;-&quot;??_);_(@_)"/>
    <numFmt numFmtId="176" formatCode="0.0"/>
    <numFmt numFmtId="177" formatCode="mmm\-yyyy"/>
  </numFmts>
  <fonts count="2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u/>
      <sz val="12"/>
      <color theme="1" tint="0.499984740745262"/>
      <name val="Calibri"/>
      <family val="2"/>
      <scheme val="minor"/>
    </font>
    <font>
      <sz val="12"/>
      <color rgb="FFC00000"/>
      <name val="Calibri"/>
      <family val="2"/>
      <scheme val="minor"/>
    </font>
    <font>
      <i/>
      <sz val="12"/>
      <color theme="1" tint="0.499984740745262"/>
      <name val="Calibri"/>
      <family val="2"/>
      <scheme val="minor"/>
    </font>
    <font>
      <i/>
      <u/>
      <sz val="12"/>
      <color theme="1" tint="0.499984740745262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auto="1"/>
      </top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auto="1"/>
      </bottom>
      <diagonal/>
    </border>
    <border>
      <left style="thin">
        <color theme="2" tint="-9.9948118533890809E-2"/>
      </left>
      <right/>
      <top style="medium">
        <color auto="1"/>
      </top>
      <bottom/>
      <diagonal/>
    </border>
    <border>
      <left style="thin">
        <color theme="2" tint="-9.9948118533890809E-2"/>
      </left>
      <right/>
      <top/>
      <bottom/>
      <diagonal/>
    </border>
    <border>
      <left style="thin">
        <color theme="2" tint="-9.9948118533890809E-2"/>
      </left>
      <right/>
      <top/>
      <bottom style="thin">
        <color theme="1" tint="0.499984740745262"/>
      </bottom>
      <diagonal/>
    </border>
    <border>
      <left/>
      <right/>
      <top style="medium">
        <color auto="1"/>
      </top>
      <bottom/>
      <diagonal/>
    </border>
    <border>
      <left/>
      <right style="thin">
        <color theme="1" tint="0.499984740745262"/>
      </right>
      <top style="medium">
        <color auto="1"/>
      </top>
      <bottom/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/>
      <top style="thin">
        <color theme="1" tint="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12" fillId="0" borderId="0"/>
  </cellStyleXfs>
  <cellXfs count="352"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/>
    <xf numFmtId="0" fontId="2" fillId="0" borderId="0" xfId="0" applyFont="1" applyAlignment="1"/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1" applyNumberFormat="1" applyFont="1" applyAlignment="1">
      <alignment vertical="center"/>
    </xf>
    <xf numFmtId="43" fontId="0" fillId="0" borderId="0" xfId="1" applyFont="1" applyAlignment="1"/>
    <xf numFmtId="0" fontId="9" fillId="0" borderId="0" xfId="0" applyFont="1" applyAlignment="1">
      <alignment horizontal="left"/>
    </xf>
    <xf numFmtId="165" fontId="0" fillId="0" borderId="0" xfId="0" applyNumberFormat="1" applyAlignment="1">
      <alignment horizontal="right" vertical="center"/>
    </xf>
    <xf numFmtId="0" fontId="5" fillId="0" borderId="1" xfId="0" applyFont="1" applyBorder="1" applyAlignment="1">
      <alignment horizontal="right" vertical="center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10" fillId="0" borderId="0" xfId="0" applyFont="1" applyAlignment="1">
      <alignment horizontal="right"/>
    </xf>
    <xf numFmtId="164" fontId="0" fillId="0" borderId="0" xfId="1" applyNumberFormat="1" applyFont="1" applyAlignment="1"/>
    <xf numFmtId="165" fontId="0" fillId="0" borderId="2" xfId="0" applyNumberFormat="1" applyBorder="1" applyAlignment="1">
      <alignment horizontal="right" vertical="center"/>
    </xf>
    <xf numFmtId="164" fontId="0" fillId="0" borderId="2" xfId="1" applyNumberFormat="1" applyFont="1" applyBorder="1" applyAlignment="1"/>
    <xf numFmtId="0" fontId="5" fillId="0" borderId="1" xfId="0" applyFont="1" applyBorder="1" applyAlignment="1">
      <alignment horizontal="center" vertical="center" wrapText="1"/>
    </xf>
    <xf numFmtId="9" fontId="0" fillId="0" borderId="0" xfId="0" applyNumberFormat="1" applyAlignment="1"/>
    <xf numFmtId="1" fontId="0" fillId="0" borderId="0" xfId="0" applyNumberFormat="1" applyAlignment="1">
      <alignment horizontal="right" vertical="center"/>
    </xf>
    <xf numFmtId="1" fontId="0" fillId="0" borderId="2" xfId="0" applyNumberFormat="1" applyBorder="1" applyAlignment="1">
      <alignment horizontal="right" vertical="center"/>
    </xf>
    <xf numFmtId="1" fontId="10" fillId="0" borderId="0" xfId="0" applyNumberFormat="1" applyFont="1" applyAlignment="1">
      <alignment horizontal="right"/>
    </xf>
    <xf numFmtId="164" fontId="0" fillId="0" borderId="0" xfId="1" applyNumberFormat="1" applyFont="1" applyBorder="1" applyAlignment="1"/>
    <xf numFmtId="2" fontId="0" fillId="0" borderId="0" xfId="1" applyNumberFormat="1" applyFont="1" applyAlignment="1">
      <alignment vertical="center"/>
    </xf>
    <xf numFmtId="2" fontId="0" fillId="0" borderId="0" xfId="1" applyNumberFormat="1" applyFont="1" applyAlignment="1"/>
    <xf numFmtId="2" fontId="0" fillId="0" borderId="0" xfId="0" applyNumberFormat="1" applyAlignment="1"/>
    <xf numFmtId="9" fontId="0" fillId="0" borderId="0" xfId="3" applyFont="1" applyAlignment="1">
      <alignment vertical="center"/>
    </xf>
    <xf numFmtId="9" fontId="0" fillId="0" borderId="0" xfId="1" applyNumberFormat="1" applyFont="1" applyAlignment="1"/>
    <xf numFmtId="43" fontId="0" fillId="0" borderId="0" xfId="1" applyNumberFormat="1" applyFont="1" applyAlignment="1">
      <alignment vertical="center"/>
    </xf>
    <xf numFmtId="1" fontId="0" fillId="0" borderId="0" xfId="0" applyNumberFormat="1" applyAlignment="1">
      <alignment horizontal="right"/>
    </xf>
    <xf numFmtId="1" fontId="0" fillId="0" borderId="0" xfId="0" applyNumberFormat="1" applyAlignment="1"/>
    <xf numFmtId="0" fontId="11" fillId="0" borderId="0" xfId="0" quotePrefix="1" applyFont="1" applyAlignment="1"/>
    <xf numFmtId="167" fontId="0" fillId="0" borderId="0" xfId="3" applyNumberFormat="1" applyFont="1" applyAlignment="1">
      <alignment vertical="center"/>
    </xf>
    <xf numFmtId="14" fontId="0" fillId="0" borderId="0" xfId="0" applyNumberFormat="1" applyAlignment="1"/>
    <xf numFmtId="10" fontId="0" fillId="0" borderId="0" xfId="0" applyNumberFormat="1" applyAlignment="1"/>
    <xf numFmtId="167" fontId="0" fillId="0" borderId="0" xfId="0" applyNumberFormat="1" applyAlignment="1"/>
    <xf numFmtId="14" fontId="10" fillId="0" borderId="0" xfId="0" applyNumberFormat="1" applyFont="1" applyAlignment="1">
      <alignment horizontal="right"/>
    </xf>
    <xf numFmtId="165" fontId="0" fillId="0" borderId="0" xfId="1" applyNumberFormat="1" applyFont="1" applyAlignment="1">
      <alignment vertical="center"/>
    </xf>
    <xf numFmtId="165" fontId="0" fillId="0" borderId="0" xfId="1" applyNumberFormat="1" applyFont="1" applyAlignment="1"/>
    <xf numFmtId="165" fontId="0" fillId="0" borderId="2" xfId="1" applyNumberFormat="1" applyFont="1" applyBorder="1" applyAlignment="1"/>
    <xf numFmtId="164" fontId="0" fillId="0" borderId="3" xfId="1" applyNumberFormat="1" applyFont="1" applyBorder="1" applyAlignment="1"/>
    <xf numFmtId="164" fontId="0" fillId="0" borderId="4" xfId="1" applyNumberFormat="1" applyFont="1" applyBorder="1" applyAlignment="1"/>
    <xf numFmtId="164" fontId="0" fillId="0" borderId="5" xfId="1" applyNumberFormat="1" applyFont="1" applyBorder="1" applyAlignment="1"/>
    <xf numFmtId="165" fontId="0" fillId="0" borderId="2" xfId="1" applyNumberFormat="1" applyFont="1" applyBorder="1" applyAlignment="1">
      <alignment vertical="center"/>
    </xf>
    <xf numFmtId="0" fontId="0" fillId="0" borderId="0" xfId="0" applyBorder="1" applyAlignment="1">
      <alignment horizontal="right"/>
    </xf>
    <xf numFmtId="1" fontId="0" fillId="0" borderId="0" xfId="0" applyNumberFormat="1" applyBorder="1" applyAlignment="1"/>
    <xf numFmtId="9" fontId="0" fillId="0" borderId="0" xfId="0" applyNumberFormat="1" applyBorder="1" applyAlignment="1"/>
    <xf numFmtId="2" fontId="0" fillId="0" borderId="0" xfId="0" applyNumberFormat="1" applyBorder="1" applyAlignment="1"/>
    <xf numFmtId="0" fontId="10" fillId="0" borderId="0" xfId="0" applyFont="1" applyBorder="1" applyAlignment="1">
      <alignment horizontal="right"/>
    </xf>
    <xf numFmtId="0" fontId="0" fillId="0" borderId="0" xfId="0" applyBorder="1" applyAlignment="1"/>
    <xf numFmtId="9" fontId="0" fillId="0" borderId="0" xfId="3" applyFont="1" applyAlignment="1"/>
    <xf numFmtId="164" fontId="10" fillId="0" borderId="0" xfId="0" applyNumberFormat="1" applyFont="1" applyAlignment="1">
      <alignment horizontal="right"/>
    </xf>
    <xf numFmtId="9" fontId="0" fillId="0" borderId="2" xfId="3" applyFont="1" applyBorder="1" applyAlignment="1"/>
    <xf numFmtId="37" fontId="0" fillId="0" borderId="0" xfId="1" applyNumberFormat="1" applyFont="1" applyAlignment="1"/>
    <xf numFmtId="37" fontId="0" fillId="0" borderId="2" xfId="1" applyNumberFormat="1" applyFont="1" applyBorder="1" applyAlignment="1"/>
    <xf numFmtId="9" fontId="0" fillId="0" borderId="2" xfId="1" applyNumberFormat="1" applyFont="1" applyBorder="1" applyAlignment="1"/>
    <xf numFmtId="1" fontId="0" fillId="0" borderId="0" xfId="1" applyNumberFormat="1" applyFont="1" applyAlignment="1"/>
    <xf numFmtId="1" fontId="0" fillId="0" borderId="2" xfId="1" applyNumberFormat="1" applyFont="1" applyBorder="1" applyAlignment="1"/>
    <xf numFmtId="0" fontId="5" fillId="0" borderId="1" xfId="0" applyFont="1" applyBorder="1" applyAlignment="1">
      <alignment horizontal="right" vertical="center"/>
    </xf>
    <xf numFmtId="170" fontId="0" fillId="0" borderId="0" xfId="1" applyNumberFormat="1" applyFont="1" applyAlignment="1">
      <alignment horizontal="center"/>
    </xf>
    <xf numFmtId="170" fontId="0" fillId="0" borderId="2" xfId="1" applyNumberFormat="1" applyFont="1" applyBorder="1" applyAlignment="1">
      <alignment horizontal="center"/>
    </xf>
    <xf numFmtId="170" fontId="10" fillId="0" borderId="0" xfId="0" applyNumberFormat="1" applyFont="1" applyAlignment="1">
      <alignment horizontal="center"/>
    </xf>
    <xf numFmtId="44" fontId="0" fillId="0" borderId="4" xfId="2" applyFont="1" applyBorder="1" applyAlignment="1"/>
    <xf numFmtId="44" fontId="0" fillId="0" borderId="0" xfId="2" applyFont="1" applyAlignment="1"/>
    <xf numFmtId="44" fontId="0" fillId="0" borderId="3" xfId="2" applyFont="1" applyBorder="1" applyAlignment="1"/>
    <xf numFmtId="44" fontId="10" fillId="0" borderId="0" xfId="2" applyFont="1" applyAlignment="1">
      <alignment horizontal="right"/>
    </xf>
    <xf numFmtId="171" fontId="0" fillId="0" borderId="3" xfId="2" applyNumberFormat="1" applyFont="1" applyBorder="1" applyAlignment="1"/>
    <xf numFmtId="171" fontId="0" fillId="0" borderId="0" xfId="2" applyNumberFormat="1" applyFont="1" applyAlignment="1"/>
    <xf numFmtId="171" fontId="0" fillId="0" borderId="4" xfId="2" applyNumberFormat="1" applyFont="1" applyBorder="1" applyAlignment="1"/>
    <xf numFmtId="171" fontId="10" fillId="0" borderId="0" xfId="2" applyNumberFormat="1" applyFont="1" applyAlignment="1">
      <alignment horizontal="right"/>
    </xf>
    <xf numFmtId="171" fontId="0" fillId="0" borderId="0" xfId="2" applyNumberFormat="1" applyFont="1" applyBorder="1" applyAlignment="1"/>
    <xf numFmtId="0" fontId="0" fillId="0" borderId="0" xfId="0" applyAlignment="1">
      <alignment vertical="top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top"/>
    </xf>
    <xf numFmtId="0" fontId="0" fillId="0" borderId="0" xfId="1" applyNumberFormat="1" applyFont="1" applyAlignment="1">
      <alignment horizontal="center"/>
    </xf>
    <xf numFmtId="0" fontId="0" fillId="0" borderId="0" xfId="0" applyNumberFormat="1" applyAlignment="1"/>
    <xf numFmtId="172" fontId="0" fillId="0" borderId="0" xfId="1" applyNumberFormat="1" applyFont="1" applyAlignment="1">
      <alignment vertical="center"/>
    </xf>
    <xf numFmtId="0" fontId="9" fillId="0" borderId="0" xfId="0" applyFont="1" applyAlignment="1">
      <alignment horizontal="centerContinuous"/>
    </xf>
    <xf numFmtId="0" fontId="0" fillId="0" borderId="1" xfId="0" applyBorder="1" applyAlignment="1">
      <alignment horizontal="right" vertical="top"/>
    </xf>
    <xf numFmtId="164" fontId="0" fillId="0" borderId="1" xfId="1" applyNumberFormat="1" applyFont="1" applyBorder="1" applyAlignment="1">
      <alignment vertical="center"/>
    </xf>
    <xf numFmtId="43" fontId="0" fillId="0" borderId="1" xfId="1" applyNumberFormat="1" applyFont="1" applyBorder="1" applyAlignment="1">
      <alignment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164" fontId="5" fillId="0" borderId="0" xfId="1" applyNumberFormat="1" applyFont="1" applyAlignment="1">
      <alignment vertical="center"/>
    </xf>
    <xf numFmtId="43" fontId="5" fillId="0" borderId="0" xfId="1" applyNumberFormat="1" applyFont="1" applyAlignment="1">
      <alignment vertical="center"/>
    </xf>
    <xf numFmtId="43" fontId="0" fillId="0" borderId="3" xfId="1" applyNumberFormat="1" applyFont="1" applyBorder="1" applyAlignment="1">
      <alignment vertical="center"/>
    </xf>
    <xf numFmtId="43" fontId="0" fillId="0" borderId="4" xfId="1" applyNumberFormat="1" applyFont="1" applyBorder="1" applyAlignment="1">
      <alignment vertical="center"/>
    </xf>
    <xf numFmtId="43" fontId="0" fillId="0" borderId="6" xfId="1" applyNumberFormat="1" applyFont="1" applyBorder="1" applyAlignment="1">
      <alignment vertical="center"/>
    </xf>
    <xf numFmtId="172" fontId="0" fillId="0" borderId="3" xfId="1" applyNumberFormat="1" applyFont="1" applyBorder="1" applyAlignment="1">
      <alignment vertical="center"/>
    </xf>
    <xf numFmtId="164" fontId="0" fillId="0" borderId="4" xfId="1" applyNumberFormat="1" applyFont="1" applyBorder="1" applyAlignment="1">
      <alignment vertical="center"/>
    </xf>
    <xf numFmtId="164" fontId="0" fillId="0" borderId="6" xfId="1" applyNumberFormat="1" applyFont="1" applyBorder="1" applyAlignment="1">
      <alignment vertical="center"/>
    </xf>
    <xf numFmtId="38" fontId="0" fillId="0" borderId="0" xfId="1" applyNumberFormat="1" applyFont="1" applyAlignment="1">
      <alignment vertical="center"/>
    </xf>
    <xf numFmtId="38" fontId="0" fillId="0" borderId="0" xfId="1" applyNumberFormat="1" applyFont="1" applyAlignment="1"/>
    <xf numFmtId="38" fontId="0" fillId="0" borderId="0" xfId="0" applyNumberFormat="1" applyAlignment="1"/>
    <xf numFmtId="38" fontId="0" fillId="0" borderId="4" xfId="0" applyNumberFormat="1" applyBorder="1" applyAlignment="1">
      <alignment horizontal="left"/>
    </xf>
    <xf numFmtId="0" fontId="0" fillId="0" borderId="2" xfId="1" applyNumberFormat="1" applyFont="1" applyBorder="1" applyAlignment="1">
      <alignment horizontal="center"/>
    </xf>
    <xf numFmtId="38" fontId="0" fillId="0" borderId="2" xfId="1" applyNumberFormat="1" applyFont="1" applyBorder="1" applyAlignment="1"/>
    <xf numFmtId="38" fontId="0" fillId="0" borderId="2" xfId="0" applyNumberFormat="1" applyBorder="1" applyAlignment="1"/>
    <xf numFmtId="44" fontId="0" fillId="0" borderId="5" xfId="2" applyFont="1" applyBorder="1" applyAlignment="1"/>
    <xf numFmtId="44" fontId="0" fillId="0" borderId="2" xfId="2" applyFont="1" applyBorder="1" applyAlignment="1"/>
    <xf numFmtId="171" fontId="0" fillId="0" borderId="5" xfId="2" applyNumberFormat="1" applyFont="1" applyBorder="1" applyAlignment="1"/>
    <xf numFmtId="171" fontId="0" fillId="0" borderId="2" xfId="2" applyNumberFormat="1" applyFont="1" applyBorder="1" applyAlignment="1"/>
    <xf numFmtId="0" fontId="0" fillId="0" borderId="2" xfId="0" applyBorder="1" applyAlignment="1"/>
    <xf numFmtId="38" fontId="0" fillId="0" borderId="0" xfId="1" applyNumberFormat="1" applyFont="1" applyAlignment="1">
      <alignment horizontal="right" vertical="center"/>
    </xf>
    <xf numFmtId="38" fontId="0" fillId="0" borderId="2" xfId="1" applyNumberFormat="1" applyFont="1" applyBorder="1" applyAlignment="1">
      <alignment horizontal="right" vertical="center"/>
    </xf>
    <xf numFmtId="38" fontId="0" fillId="0" borderId="0" xfId="0" applyNumberFormat="1" applyAlignment="1">
      <alignment horizontal="right"/>
    </xf>
    <xf numFmtId="38" fontId="0" fillId="0" borderId="3" xfId="0" applyNumberFormat="1" applyBorder="1" applyAlignment="1">
      <alignment horizontal="right"/>
    </xf>
    <xf numFmtId="38" fontId="0" fillId="0" borderId="4" xfId="0" applyNumberFormat="1" applyBorder="1" applyAlignment="1">
      <alignment horizontal="right"/>
    </xf>
    <xf numFmtId="38" fontId="0" fillId="0" borderId="5" xfId="0" applyNumberFormat="1" applyBorder="1" applyAlignment="1">
      <alignment horizontal="right"/>
    </xf>
    <xf numFmtId="164" fontId="0" fillId="0" borderId="7" xfId="1" applyNumberFormat="1" applyFont="1" applyBorder="1" applyAlignment="1"/>
    <xf numFmtId="164" fontId="0" fillId="0" borderId="8" xfId="1" applyNumberFormat="1" applyFont="1" applyBorder="1" applyAlignment="1"/>
    <xf numFmtId="164" fontId="0" fillId="0" borderId="9" xfId="1" applyNumberFormat="1" applyFont="1" applyBorder="1" applyAlignment="1"/>
    <xf numFmtId="0" fontId="5" fillId="0" borderId="0" xfId="0" applyFont="1" applyBorder="1" applyAlignment="1">
      <alignment horizontal="right"/>
    </xf>
    <xf numFmtId="0" fontId="9" fillId="0" borderId="0" xfId="0" applyFont="1" applyBorder="1" applyAlignment="1"/>
    <xf numFmtId="0" fontId="0" fillId="0" borderId="0" xfId="0" applyAlignment="1">
      <alignment horizontal="left" indent="1"/>
    </xf>
    <xf numFmtId="164" fontId="0" fillId="0" borderId="0" xfId="1" applyNumberFormat="1" applyFont="1" applyAlignment="1">
      <alignment horizontal="center" vertical="center"/>
    </xf>
    <xf numFmtId="43" fontId="0" fillId="0" borderId="0" xfId="1" applyFont="1" applyAlignment="1">
      <alignment horizontal="center"/>
    </xf>
    <xf numFmtId="0" fontId="0" fillId="0" borderId="0" xfId="0" applyFont="1" applyAlignment="1">
      <alignment horizontal="right" vertical="center"/>
    </xf>
    <xf numFmtId="0" fontId="5" fillId="0" borderId="0" xfId="0" applyFont="1" applyAlignme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right" wrapText="1"/>
    </xf>
    <xf numFmtId="0" fontId="0" fillId="0" borderId="0" xfId="0" applyFont="1" applyAlignment="1"/>
    <xf numFmtId="0" fontId="5" fillId="0" borderId="0" xfId="0" applyFont="1" applyAlignment="1">
      <alignment horizontal="right"/>
    </xf>
    <xf numFmtId="0" fontId="0" fillId="0" borderId="4" xfId="0" applyBorder="1" applyAlignment="1"/>
    <xf numFmtId="0" fontId="13" fillId="0" borderId="0" xfId="0" applyFont="1" applyAlignment="1">
      <alignment horizontal="right" vertical="center"/>
    </xf>
    <xf numFmtId="37" fontId="0" fillId="0" borderId="0" xfId="0" applyNumberFormat="1" applyAlignment="1">
      <alignment horizontal="right"/>
    </xf>
    <xf numFmtId="0" fontId="9" fillId="0" borderId="0" xfId="0" applyFont="1" applyAlignment="1">
      <alignment horizontal="right"/>
    </xf>
    <xf numFmtId="0" fontId="0" fillId="0" borderId="0" xfId="2" applyNumberFormat="1" applyFont="1" applyBorder="1" applyAlignment="1">
      <alignment horizontal="center"/>
    </xf>
    <xf numFmtId="0" fontId="0" fillId="0" borderId="2" xfId="2" applyNumberFormat="1" applyFont="1" applyBorder="1" applyAlignment="1">
      <alignment horizontal="center"/>
    </xf>
    <xf numFmtId="164" fontId="0" fillId="0" borderId="0" xfId="1" applyNumberFormat="1" applyFont="1" applyAlignment="1">
      <alignment vertical="top"/>
    </xf>
    <xf numFmtId="43" fontId="0" fillId="0" borderId="4" xfId="1" applyNumberFormat="1" applyFont="1" applyBorder="1" applyAlignment="1">
      <alignment vertical="top"/>
    </xf>
    <xf numFmtId="43" fontId="0" fillId="0" borderId="0" xfId="1" applyNumberFormat="1" applyFont="1" applyAlignment="1">
      <alignment vertical="top"/>
    </xf>
    <xf numFmtId="164" fontId="0" fillId="0" borderId="4" xfId="1" applyNumberFormat="1" applyFont="1" applyBorder="1" applyAlignment="1">
      <alignment vertical="top"/>
    </xf>
    <xf numFmtId="174" fontId="0" fillId="0" borderId="0" xfId="1" applyNumberFormat="1" applyFont="1" applyAlignment="1">
      <alignment vertical="center"/>
    </xf>
    <xf numFmtId="174" fontId="0" fillId="0" borderId="0" xfId="1" applyNumberFormat="1" applyFont="1" applyAlignment="1">
      <alignment vertical="top"/>
    </xf>
    <xf numFmtId="174" fontId="0" fillId="0" borderId="1" xfId="1" applyNumberFormat="1" applyFont="1" applyBorder="1" applyAlignment="1">
      <alignment vertical="center"/>
    </xf>
    <xf numFmtId="0" fontId="0" fillId="0" borderId="0" xfId="0" applyFont="1" applyAlignment="1">
      <alignment horizontal="left" vertical="center"/>
    </xf>
    <xf numFmtId="164" fontId="6" fillId="0" borderId="0" xfId="1" applyNumberFormat="1" applyFont="1" applyAlignment="1">
      <alignment vertical="center"/>
    </xf>
    <xf numFmtId="171" fontId="0" fillId="0" borderId="0" xfId="0" applyNumberFormat="1" applyAlignment="1"/>
    <xf numFmtId="171" fontId="0" fillId="0" borderId="10" xfId="2" applyNumberFormat="1" applyFont="1" applyBorder="1" applyAlignment="1"/>
    <xf numFmtId="171" fontId="0" fillId="0" borderId="11" xfId="2" applyNumberFormat="1" applyFont="1" applyBorder="1" applyAlignment="1"/>
    <xf numFmtId="171" fontId="0" fillId="0" borderId="12" xfId="2" applyNumberFormat="1" applyFont="1" applyBorder="1" applyAlignment="1"/>
    <xf numFmtId="171" fontId="0" fillId="0" borderId="13" xfId="2" applyNumberFormat="1" applyFont="1" applyBorder="1" applyAlignment="1"/>
    <xf numFmtId="0" fontId="8" fillId="0" borderId="0" xfId="0" applyFont="1" applyAlignment="1">
      <alignment horizontal="right"/>
    </xf>
    <xf numFmtId="0" fontId="10" fillId="0" borderId="4" xfId="0" applyFont="1" applyBorder="1" applyAlignment="1">
      <alignment horizontal="right"/>
    </xf>
    <xf numFmtId="0" fontId="0" fillId="0" borderId="15" xfId="0" applyBorder="1" applyAlignment="1">
      <alignment horizontal="right"/>
    </xf>
    <xf numFmtId="43" fontId="0" fillId="0" borderId="0" xfId="1" applyFont="1" applyBorder="1" applyAlignment="1"/>
    <xf numFmtId="43" fontId="0" fillId="0" borderId="15" xfId="1" applyFont="1" applyBorder="1" applyAlignment="1"/>
    <xf numFmtId="8" fontId="0" fillId="0" borderId="0" xfId="1" applyNumberFormat="1" applyFont="1" applyBorder="1" applyAlignment="1"/>
    <xf numFmtId="3" fontId="0" fillId="0" borderId="15" xfId="0" applyNumberFormat="1" applyBorder="1" applyAlignment="1"/>
    <xf numFmtId="3" fontId="0" fillId="0" borderId="0" xfId="1" applyNumberFormat="1" applyFont="1" applyBorder="1" applyAlignment="1"/>
    <xf numFmtId="43" fontId="0" fillId="0" borderId="15" xfId="1" quotePrefix="1" applyFont="1" applyBorder="1" applyAlignment="1">
      <alignment horizontal="center"/>
    </xf>
    <xf numFmtId="164" fontId="0" fillId="0" borderId="15" xfId="0" applyNumberFormat="1" applyBorder="1" applyAlignment="1">
      <alignment horizontal="left"/>
    </xf>
    <xf numFmtId="0" fontId="8" fillId="0" borderId="2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16" fillId="0" borderId="0" xfId="0" applyFont="1" applyAlignment="1"/>
    <xf numFmtId="0" fontId="16" fillId="0" borderId="0" xfId="0" applyFont="1" applyAlignment="1">
      <alignment horizontal="right" vertical="center"/>
    </xf>
    <xf numFmtId="0" fontId="16" fillId="0" borderId="2" xfId="0" applyFont="1" applyBorder="1" applyAlignment="1">
      <alignment horizontal="right" vertical="center"/>
    </xf>
    <xf numFmtId="0" fontId="16" fillId="0" borderId="2" xfId="0" applyFont="1" applyBorder="1" applyAlignment="1">
      <alignment horizontal="left" vertical="center"/>
    </xf>
    <xf numFmtId="0" fontId="16" fillId="0" borderId="15" xfId="0" applyFont="1" applyBorder="1" applyAlignment="1">
      <alignment horizontal="right" vertical="center"/>
    </xf>
    <xf numFmtId="0" fontId="16" fillId="0" borderId="0" xfId="0" applyFont="1"/>
    <xf numFmtId="0" fontId="5" fillId="0" borderId="2" xfId="0" applyFont="1" applyBorder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17" fillId="0" borderId="0" xfId="0" applyFont="1" applyAlignment="1">
      <alignment horizontal="centerContinuous" vertical="center"/>
    </xf>
    <xf numFmtId="164" fontId="17" fillId="0" borderId="0" xfId="1" applyNumberFormat="1" applyFont="1" applyAlignment="1">
      <alignment horizontal="centerContinuous" vertical="center"/>
    </xf>
    <xf numFmtId="43" fontId="17" fillId="0" borderId="0" xfId="1" applyFont="1" applyAlignment="1">
      <alignment horizontal="centerContinuous"/>
    </xf>
    <xf numFmtId="0" fontId="10" fillId="0" borderId="0" xfId="0" applyFont="1" applyAlignment="1"/>
    <xf numFmtId="0" fontId="10" fillId="0" borderId="0" xfId="0" quotePrefix="1" applyFont="1" applyAlignment="1"/>
    <xf numFmtId="0" fontId="10" fillId="0" borderId="2" xfId="0" applyFont="1" applyBorder="1" applyAlignment="1">
      <alignment horizontal="centerContinuous"/>
    </xf>
    <xf numFmtId="0" fontId="10" fillId="0" borderId="0" xfId="0" applyFont="1" applyAlignment="1">
      <alignment horizontal="right" vertical="center"/>
    </xf>
    <xf numFmtId="37" fontId="10" fillId="0" borderId="0" xfId="1" applyNumberFormat="1" applyFont="1" applyAlignment="1">
      <alignment vertical="center"/>
    </xf>
    <xf numFmtId="37" fontId="10" fillId="0" borderId="0" xfId="1" applyNumberFormat="1" applyFont="1" applyAlignment="1"/>
    <xf numFmtId="10" fontId="10" fillId="0" borderId="0" xfId="3" applyNumberFormat="1" applyFont="1" applyAlignment="1"/>
    <xf numFmtId="9" fontId="10" fillId="0" borderId="0" xfId="0" applyNumberFormat="1" applyFont="1" applyAlignment="1"/>
    <xf numFmtId="171" fontId="10" fillId="0" borderId="0" xfId="2" applyNumberFormat="1" applyFont="1" applyAlignment="1"/>
    <xf numFmtId="9" fontId="10" fillId="0" borderId="0" xfId="3" applyFont="1" applyAlignment="1">
      <alignment vertical="center"/>
    </xf>
    <xf numFmtId="9" fontId="10" fillId="0" borderId="0" xfId="3" applyFont="1" applyAlignment="1"/>
    <xf numFmtId="44" fontId="10" fillId="0" borderId="0" xfId="2" applyFont="1" applyAlignment="1"/>
    <xf numFmtId="43" fontId="10" fillId="0" borderId="0" xfId="1" applyNumberFormat="1" applyFont="1" applyAlignment="1">
      <alignment vertical="center"/>
    </xf>
    <xf numFmtId="43" fontId="10" fillId="0" borderId="0" xfId="1" applyNumberFormat="1" applyFont="1" applyAlignment="1"/>
    <xf numFmtId="164" fontId="10" fillId="0" borderId="0" xfId="1" applyNumberFormat="1" applyFont="1" applyAlignment="1">
      <alignment vertical="center"/>
    </xf>
    <xf numFmtId="43" fontId="10" fillId="0" borderId="0" xfId="1" applyFont="1" applyAlignment="1"/>
    <xf numFmtId="0" fontId="5" fillId="0" borderId="0" xfId="0" applyFont="1" applyFill="1" applyAlignment="1">
      <alignment horizontal="right"/>
    </xf>
    <xf numFmtId="6" fontId="5" fillId="0" borderId="0" xfId="0" applyNumberFormat="1" applyFont="1" applyFill="1" applyAlignment="1">
      <alignment horizontal="center"/>
    </xf>
    <xf numFmtId="6" fontId="5" fillId="0" borderId="0" xfId="0" applyNumberFormat="1" applyFont="1" applyFill="1" applyAlignment="1"/>
    <xf numFmtId="176" fontId="5" fillId="0" borderId="0" xfId="0" applyNumberFormat="1" applyFont="1" applyFill="1" applyAlignment="1">
      <alignment horizontal="center"/>
    </xf>
    <xf numFmtId="40" fontId="5" fillId="0" borderId="0" xfId="0" applyNumberFormat="1" applyFont="1" applyFill="1" applyAlignment="1">
      <alignment horizontal="center"/>
    </xf>
    <xf numFmtId="9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right" vertical="center"/>
    </xf>
    <xf numFmtId="166" fontId="5" fillId="0" borderId="0" xfId="1" applyNumberFormat="1" applyFont="1" applyFill="1" applyAlignment="1">
      <alignment horizontal="center"/>
    </xf>
    <xf numFmtId="177" fontId="5" fillId="0" borderId="0" xfId="1" applyNumberFormat="1" applyFont="1" applyFill="1" applyAlignment="1">
      <alignment horizontal="center"/>
    </xf>
    <xf numFmtId="172" fontId="0" fillId="0" borderId="4" xfId="1" applyNumberFormat="1" applyFont="1" applyBorder="1" applyAlignment="1">
      <alignment vertical="center"/>
    </xf>
    <xf numFmtId="0" fontId="0" fillId="0" borderId="0" xfId="0" applyFill="1" applyAlignment="1">
      <alignment horizontal="left"/>
    </xf>
    <xf numFmtId="0" fontId="0" fillId="0" borderId="0" xfId="0" applyFill="1" applyAlignment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/>
    <xf numFmtId="0" fontId="0" fillId="0" borderId="1" xfId="0" applyBorder="1" applyAlignment="1"/>
    <xf numFmtId="8" fontId="0" fillId="0" borderId="0" xfId="0" applyNumberFormat="1" applyFill="1" applyAlignment="1"/>
    <xf numFmtId="0" fontId="10" fillId="0" borderId="0" xfId="0" applyFont="1" applyFill="1" applyAlignment="1">
      <alignment horizontal="right"/>
    </xf>
    <xf numFmtId="0" fontId="16" fillId="0" borderId="1" xfId="0" applyFont="1" applyBorder="1"/>
    <xf numFmtId="0" fontId="0" fillId="0" borderId="1" xfId="0" applyBorder="1"/>
    <xf numFmtId="0" fontId="0" fillId="0" borderId="16" xfId="0" applyBorder="1"/>
    <xf numFmtId="0" fontId="0" fillId="0" borderId="17" xfId="0" applyBorder="1"/>
    <xf numFmtId="37" fontId="0" fillId="2" borderId="0" xfId="1" applyNumberFormat="1" applyFont="1" applyFill="1" applyAlignment="1">
      <alignment vertical="center"/>
    </xf>
    <xf numFmtId="37" fontId="0" fillId="2" borderId="0" xfId="1" applyNumberFormat="1" applyFont="1" applyFill="1" applyAlignment="1"/>
    <xf numFmtId="37" fontId="0" fillId="2" borderId="2" xfId="1" applyNumberFormat="1" applyFont="1" applyFill="1" applyBorder="1" applyAlignment="1">
      <alignment vertical="center"/>
    </xf>
    <xf numFmtId="37" fontId="0" fillId="2" borderId="2" xfId="1" applyNumberFormat="1" applyFont="1" applyFill="1" applyBorder="1" applyAlignment="1"/>
    <xf numFmtId="14" fontId="0" fillId="2" borderId="14" xfId="0" applyNumberFormat="1" applyFill="1" applyBorder="1" applyAlignment="1">
      <alignment horizontal="center"/>
    </xf>
    <xf numFmtId="14" fontId="0" fillId="2" borderId="14" xfId="0" applyNumberFormat="1" applyFill="1" applyBorder="1" applyAlignment="1">
      <alignment horizontal="right"/>
    </xf>
    <xf numFmtId="1" fontId="0" fillId="2" borderId="4" xfId="0" applyNumberFormat="1" applyFill="1" applyBorder="1" applyAlignment="1">
      <alignment horizontal="right"/>
    </xf>
    <xf numFmtId="9" fontId="0" fillId="2" borderId="4" xfId="3" applyFont="1" applyFill="1" applyBorder="1" applyAlignment="1">
      <alignment vertical="center"/>
    </xf>
    <xf numFmtId="2" fontId="0" fillId="2" borderId="4" xfId="1" applyNumberFormat="1" applyFont="1" applyFill="1" applyBorder="1" applyAlignment="1">
      <alignment vertical="center"/>
    </xf>
    <xf numFmtId="9" fontId="0" fillId="2" borderId="4" xfId="1" applyNumberFormat="1" applyFont="1" applyFill="1" applyBorder="1" applyAlignment="1">
      <alignment vertical="center"/>
    </xf>
    <xf numFmtId="164" fontId="0" fillId="2" borderId="4" xfId="1" applyNumberFormat="1" applyFont="1" applyFill="1" applyBorder="1" applyAlignment="1">
      <alignment vertical="center"/>
    </xf>
    <xf numFmtId="0" fontId="0" fillId="2" borderId="4" xfId="0" applyFill="1" applyBorder="1" applyAlignment="1">
      <alignment horizontal="right"/>
    </xf>
    <xf numFmtId="1" fontId="0" fillId="2" borderId="0" xfId="0" applyNumberFormat="1" applyFill="1" applyBorder="1" applyAlignment="1"/>
    <xf numFmtId="9" fontId="0" fillId="2" borderId="0" xfId="1" applyNumberFormat="1" applyFont="1" applyFill="1" applyBorder="1" applyAlignment="1"/>
    <xf numFmtId="9" fontId="0" fillId="2" borderId="0" xfId="0" applyNumberFormat="1" applyFill="1" applyBorder="1" applyAlignment="1"/>
    <xf numFmtId="2" fontId="0" fillId="2" borderId="0" xfId="1" applyNumberFormat="1" applyFont="1" applyFill="1" applyBorder="1" applyAlignment="1"/>
    <xf numFmtId="2" fontId="0" fillId="2" borderId="0" xfId="0" applyNumberFormat="1" applyFill="1" applyBorder="1" applyAlignment="1"/>
    <xf numFmtId="9" fontId="0" fillId="2" borderId="14" xfId="3" applyFont="1" applyFill="1" applyBorder="1" applyAlignment="1">
      <alignment vertical="center"/>
    </xf>
    <xf numFmtId="43" fontId="0" fillId="2" borderId="0" xfId="1" applyFont="1" applyFill="1" applyBorder="1" applyAlignment="1"/>
    <xf numFmtId="9" fontId="0" fillId="2" borderId="4" xfId="3" applyFont="1" applyFill="1" applyBorder="1" applyAlignment="1">
      <alignment horizontal="center" vertical="center"/>
    </xf>
    <xf numFmtId="167" fontId="0" fillId="2" borderId="15" xfId="0" applyNumberFormat="1" applyFill="1" applyBorder="1" applyAlignment="1">
      <alignment horizontal="center"/>
    </xf>
    <xf numFmtId="167" fontId="0" fillId="2" borderId="0" xfId="0" applyNumberFormat="1" applyFill="1" applyBorder="1" applyAlignment="1">
      <alignment horizontal="center"/>
    </xf>
    <xf numFmtId="173" fontId="0" fillId="2" borderId="15" xfId="1" applyNumberFormat="1" applyFont="1" applyFill="1" applyBorder="1" applyAlignment="1">
      <alignment horizontal="center"/>
    </xf>
    <xf numFmtId="173" fontId="0" fillId="2" borderId="0" xfId="1" applyNumberFormat="1" applyFont="1" applyFill="1" applyBorder="1" applyAlignment="1">
      <alignment horizontal="center"/>
    </xf>
    <xf numFmtId="5" fontId="0" fillId="2" borderId="14" xfId="1" applyNumberFormat="1" applyFont="1" applyFill="1" applyBorder="1" applyAlignment="1">
      <alignment vertical="center"/>
    </xf>
    <xf numFmtId="5" fontId="0" fillId="2" borderId="4" xfId="1" applyNumberFormat="1" applyFont="1" applyFill="1" applyBorder="1" applyAlignment="1">
      <alignment vertical="center"/>
    </xf>
    <xf numFmtId="7" fontId="0" fillId="2" borderId="4" xfId="1" applyNumberFormat="1" applyFont="1" applyFill="1" applyBorder="1" applyAlignment="1">
      <alignment vertical="center"/>
    </xf>
    <xf numFmtId="169" fontId="0" fillId="2" borderId="15" xfId="0" applyNumberFormat="1" applyFill="1" applyBorder="1" applyAlignment="1"/>
    <xf numFmtId="0" fontId="0" fillId="2" borderId="15" xfId="0" applyFill="1" applyBorder="1" applyAlignment="1"/>
    <xf numFmtId="14" fontId="0" fillId="2" borderId="4" xfId="0" applyNumberFormat="1" applyFill="1" applyBorder="1" applyAlignment="1"/>
    <xf numFmtId="169" fontId="0" fillId="2" borderId="0" xfId="0" applyNumberFormat="1" applyFill="1" applyBorder="1" applyAlignment="1"/>
    <xf numFmtId="0" fontId="0" fillId="2" borderId="0" xfId="0" applyFill="1" applyBorder="1" applyAlignment="1"/>
    <xf numFmtId="169" fontId="0" fillId="2" borderId="14" xfId="0" applyNumberFormat="1" applyFill="1" applyBorder="1" applyAlignment="1"/>
    <xf numFmtId="8" fontId="5" fillId="2" borderId="4" xfId="0" applyNumberFormat="1" applyFont="1" applyFill="1" applyBorder="1" applyAlignment="1"/>
    <xf numFmtId="8" fontId="5" fillId="2" borderId="0" xfId="0" applyNumberFormat="1" applyFont="1" applyFill="1" applyAlignment="1"/>
    <xf numFmtId="8" fontId="0" fillId="2" borderId="4" xfId="0" applyNumberFormat="1" applyFill="1" applyBorder="1" applyAlignment="1"/>
    <xf numFmtId="8" fontId="0" fillId="2" borderId="0" xfId="0" applyNumberFormat="1" applyFill="1" applyAlignment="1"/>
    <xf numFmtId="0" fontId="4" fillId="2" borderId="1" xfId="0" applyFont="1" applyFill="1" applyBorder="1" applyAlignment="1">
      <alignment horizontal="left"/>
    </xf>
    <xf numFmtId="0" fontId="16" fillId="2" borderId="0" xfId="0" applyFont="1" applyFill="1" applyAlignment="1">
      <alignment horizontal="left"/>
    </xf>
    <xf numFmtId="9" fontId="0" fillId="2" borderId="14" xfId="0" applyNumberFormat="1" applyFill="1" applyBorder="1" applyAlignment="1">
      <alignment horizontal="center"/>
    </xf>
    <xf numFmtId="9" fontId="0" fillId="2" borderId="15" xfId="0" applyNumberFormat="1" applyFill="1" applyBorder="1" applyAlignment="1">
      <alignment horizontal="center"/>
    </xf>
    <xf numFmtId="43" fontId="0" fillId="2" borderId="14" xfId="1" applyNumberFormat="1" applyFont="1" applyFill="1" applyBorder="1" applyAlignment="1">
      <alignment vertical="center"/>
    </xf>
    <xf numFmtId="43" fontId="0" fillId="2" borderId="4" xfId="1" applyNumberFormat="1" applyFont="1" applyFill="1" applyBorder="1" applyAlignment="1">
      <alignment vertical="center"/>
    </xf>
    <xf numFmtId="167" fontId="0" fillId="2" borderId="14" xfId="3" applyNumberFormat="1" applyFont="1" applyFill="1" applyBorder="1" applyAlignment="1">
      <alignment vertical="center"/>
    </xf>
    <xf numFmtId="167" fontId="0" fillId="2" borderId="15" xfId="3" applyNumberFormat="1" applyFont="1" applyFill="1" applyBorder="1" applyAlignment="1">
      <alignment vertical="center"/>
    </xf>
    <xf numFmtId="167" fontId="0" fillId="2" borderId="4" xfId="3" applyNumberFormat="1" applyFont="1" applyFill="1" applyBorder="1" applyAlignment="1">
      <alignment vertical="center"/>
    </xf>
    <xf numFmtId="167" fontId="0" fillId="2" borderId="0" xfId="3" applyNumberFormat="1" applyFont="1" applyFill="1" applyBorder="1" applyAlignment="1">
      <alignment vertical="center"/>
    </xf>
    <xf numFmtId="166" fontId="0" fillId="2" borderId="14" xfId="1" applyNumberFormat="1" applyFont="1" applyFill="1" applyBorder="1" applyAlignment="1">
      <alignment vertical="center"/>
    </xf>
    <xf numFmtId="14" fontId="0" fillId="2" borderId="4" xfId="1" applyNumberFormat="1" applyFont="1" applyFill="1" applyBorder="1" applyAlignment="1">
      <alignment horizontal="right" vertical="center"/>
    </xf>
    <xf numFmtId="1" fontId="0" fillId="2" borderId="0" xfId="0" applyNumberFormat="1" applyFont="1" applyFill="1" applyAlignment="1"/>
    <xf numFmtId="9" fontId="0" fillId="2" borderId="0" xfId="1" applyNumberFormat="1" applyFont="1" applyFill="1" applyAlignment="1"/>
    <xf numFmtId="9" fontId="0" fillId="2" borderId="0" xfId="0" applyNumberFormat="1" applyFont="1" applyFill="1" applyAlignment="1"/>
    <xf numFmtId="2" fontId="0" fillId="2" borderId="0" xfId="1" applyNumberFormat="1" applyFont="1" applyFill="1" applyAlignment="1"/>
    <xf numFmtId="2" fontId="0" fillId="2" borderId="0" xfId="0" applyNumberFormat="1" applyFont="1" applyFill="1" applyAlignment="1"/>
    <xf numFmtId="170" fontId="0" fillId="2" borderId="0" xfId="1" applyNumberFormat="1" applyFont="1" applyFill="1" applyAlignment="1">
      <alignment horizontal="center"/>
    </xf>
    <xf numFmtId="170" fontId="0" fillId="2" borderId="2" xfId="1" applyNumberFormat="1" applyFont="1" applyFill="1" applyBorder="1" applyAlignment="1">
      <alignment horizontal="center"/>
    </xf>
    <xf numFmtId="0" fontId="7" fillId="0" borderId="18" xfId="0" applyFont="1" applyBorder="1" applyAlignment="1">
      <alignment horizontal="left"/>
    </xf>
    <xf numFmtId="0" fontId="7" fillId="0" borderId="18" xfId="0" applyFont="1" applyBorder="1" applyAlignment="1">
      <alignment horizontal="right"/>
    </xf>
    <xf numFmtId="1" fontId="0" fillId="2" borderId="19" xfId="0" applyNumberFormat="1" applyFont="1" applyFill="1" applyBorder="1" applyAlignment="1">
      <alignment horizontal="right"/>
    </xf>
    <xf numFmtId="9" fontId="0" fillId="2" borderId="17" xfId="3" applyFont="1" applyFill="1" applyBorder="1" applyAlignment="1">
      <alignment vertical="center"/>
    </xf>
    <xf numFmtId="2" fontId="0" fillId="2" borderId="17" xfId="1" applyNumberFormat="1" applyFont="1" applyFill="1" applyBorder="1" applyAlignment="1">
      <alignment vertical="center"/>
    </xf>
    <xf numFmtId="9" fontId="0" fillId="2" borderId="17" xfId="1" applyNumberFormat="1" applyFont="1" applyFill="1" applyBorder="1" applyAlignment="1">
      <alignment vertical="center"/>
    </xf>
    <xf numFmtId="165" fontId="0" fillId="0" borderId="0" xfId="1" applyNumberFormat="1" applyFont="1" applyFill="1" applyAlignment="1"/>
    <xf numFmtId="1" fontId="0" fillId="0" borderId="0" xfId="0" applyNumberFormat="1" applyFill="1" applyAlignment="1">
      <alignment horizontal="right" vertical="center"/>
    </xf>
    <xf numFmtId="175" fontId="0" fillId="0" borderId="0" xfId="1" applyNumberFormat="1" applyFont="1" applyFill="1" applyAlignment="1"/>
    <xf numFmtId="164" fontId="0" fillId="0" borderId="0" xfId="1" applyNumberFormat="1" applyFont="1" applyFill="1" applyAlignment="1"/>
    <xf numFmtId="164" fontId="0" fillId="0" borderId="0" xfId="1" applyNumberFormat="1" applyFont="1" applyFill="1" applyBorder="1" applyAlignment="1"/>
    <xf numFmtId="170" fontId="0" fillId="0" borderId="0" xfId="1" applyNumberFormat="1" applyFont="1" applyFill="1" applyAlignment="1">
      <alignment horizontal="center"/>
    </xf>
    <xf numFmtId="165" fontId="0" fillId="0" borderId="0" xfId="1" applyNumberFormat="1" applyFont="1" applyFill="1" applyAlignment="1">
      <alignment vertical="center"/>
    </xf>
    <xf numFmtId="164" fontId="0" fillId="0" borderId="8" xfId="1" applyNumberFormat="1" applyFont="1" applyFill="1" applyBorder="1" applyAlignment="1"/>
    <xf numFmtId="164" fontId="0" fillId="0" borderId="4" xfId="1" applyNumberFormat="1" applyFont="1" applyFill="1" applyBorder="1" applyAlignment="1"/>
    <xf numFmtId="9" fontId="0" fillId="0" borderId="0" xfId="3" applyFont="1" applyFill="1" applyAlignment="1"/>
    <xf numFmtId="0" fontId="0" fillId="0" borderId="2" xfId="0" applyFill="1" applyBorder="1" applyAlignment="1"/>
    <xf numFmtId="10" fontId="0" fillId="2" borderId="14" xfId="0" applyNumberFormat="1" applyFill="1" applyBorder="1" applyAlignment="1">
      <alignment horizontal="center"/>
    </xf>
    <xf numFmtId="10" fontId="0" fillId="2" borderId="4" xfId="0" applyNumberFormat="1" applyFill="1" applyBorder="1" applyAlignment="1">
      <alignment horizontal="center"/>
    </xf>
    <xf numFmtId="0" fontId="0" fillId="0" borderId="0" xfId="0" applyFill="1" applyBorder="1" applyAlignment="1"/>
    <xf numFmtId="0" fontId="0" fillId="0" borderId="20" xfId="0" applyBorder="1" applyAlignment="1">
      <alignment horizontal="right"/>
    </xf>
    <xf numFmtId="0" fontId="1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0" fillId="0" borderId="2" xfId="0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10" fontId="0" fillId="0" borderId="14" xfId="0" applyNumberFormat="1" applyFill="1" applyBorder="1" applyAlignment="1">
      <alignment horizontal="center"/>
    </xf>
    <xf numFmtId="10" fontId="0" fillId="0" borderId="4" xfId="0" applyNumberFormat="1" applyFill="1" applyBorder="1" applyAlignment="1">
      <alignment horizontal="center"/>
    </xf>
    <xf numFmtId="2" fontId="0" fillId="2" borderId="14" xfId="0" applyNumberFormat="1" applyFont="1" applyFill="1" applyBorder="1" applyAlignment="1">
      <alignment horizontal="center"/>
    </xf>
    <xf numFmtId="9" fontId="0" fillId="2" borderId="4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left"/>
    </xf>
    <xf numFmtId="1" fontId="0" fillId="0" borderId="3" xfId="2" applyNumberFormat="1" applyFont="1" applyBorder="1" applyAlignment="1"/>
    <xf numFmtId="1" fontId="0" fillId="0" borderId="0" xfId="2" applyNumberFormat="1" applyFont="1" applyBorder="1" applyAlignment="1">
      <alignment horizontal="center"/>
    </xf>
    <xf numFmtId="1" fontId="0" fillId="0" borderId="2" xfId="2" applyNumberFormat="1" applyFont="1" applyBorder="1" applyAlignment="1">
      <alignment horizontal="center"/>
    </xf>
    <xf numFmtId="0" fontId="0" fillId="0" borderId="15" xfId="0" applyFill="1" applyBorder="1" applyAlignment="1"/>
    <xf numFmtId="167" fontId="0" fillId="0" borderId="4" xfId="3" applyNumberFormat="1" applyFont="1" applyBorder="1" applyAlignment="1">
      <alignment horizontal="center"/>
    </xf>
    <xf numFmtId="167" fontId="0" fillId="0" borderId="5" xfId="3" applyNumberFormat="1" applyFont="1" applyBorder="1" applyAlignment="1">
      <alignment horizontal="center"/>
    </xf>
    <xf numFmtId="1" fontId="0" fillId="0" borderId="3" xfId="2" applyNumberFormat="1" applyFont="1" applyBorder="1" applyAlignment="1">
      <alignment horizontal="center"/>
    </xf>
    <xf numFmtId="1" fontId="0" fillId="0" borderId="4" xfId="2" applyNumberFormat="1" applyFont="1" applyBorder="1" applyAlignment="1">
      <alignment horizontal="center"/>
    </xf>
    <xf numFmtId="1" fontId="0" fillId="0" borderId="5" xfId="2" applyNumberFormat="1" applyFont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4" xfId="0" applyNumberFormat="1" applyBorder="1" applyAlignment="1">
      <alignment horizontal="center"/>
    </xf>
    <xf numFmtId="9" fontId="0" fillId="0" borderId="5" xfId="0" applyNumberFormat="1" applyBorder="1" applyAlignment="1">
      <alignment horizontal="center"/>
    </xf>
    <xf numFmtId="9" fontId="0" fillId="0" borderId="2" xfId="0" applyNumberFormat="1" applyBorder="1" applyAlignment="1">
      <alignment horizontal="center"/>
    </xf>
    <xf numFmtId="0" fontId="18" fillId="0" borderId="0" xfId="0" applyFont="1" applyAlignment="1"/>
    <xf numFmtId="0" fontId="0" fillId="2" borderId="15" xfId="0" applyFill="1" applyBorder="1" applyAlignment="1">
      <alignment horizontal="left" indent="1"/>
    </xf>
    <xf numFmtId="0" fontId="0" fillId="2" borderId="0" xfId="0" applyFill="1" applyBorder="1" applyAlignment="1">
      <alignment horizontal="left" indent="1"/>
    </xf>
    <xf numFmtId="169" fontId="0" fillId="2" borderId="4" xfId="0" applyNumberFormat="1" applyFill="1" applyBorder="1" applyAlignment="1"/>
    <xf numFmtId="14" fontId="0" fillId="0" borderId="15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2" borderId="2" xfId="0" applyFill="1" applyBorder="1" applyAlignment="1">
      <alignment horizontal="center"/>
    </xf>
    <xf numFmtId="10" fontId="0" fillId="0" borderId="0" xfId="3" applyNumberFormat="1" applyFont="1" applyFill="1" applyAlignment="1">
      <alignment horizontal="center"/>
    </xf>
    <xf numFmtId="0" fontId="10" fillId="0" borderId="2" xfId="0" applyFont="1" applyBorder="1" applyAlignment="1"/>
    <xf numFmtId="176" fontId="10" fillId="0" borderId="0" xfId="0" applyNumberFormat="1" applyFont="1" applyAlignment="1">
      <alignment horizontal="center"/>
    </xf>
    <xf numFmtId="177" fontId="10" fillId="0" borderId="0" xfId="1" applyNumberFormat="1" applyFont="1" applyFill="1" applyAlignment="1">
      <alignment horizontal="center"/>
    </xf>
    <xf numFmtId="0" fontId="10" fillId="0" borderId="0" xfId="2" applyNumberFormat="1" applyFont="1" applyBorder="1" applyAlignment="1">
      <alignment horizontal="center"/>
    </xf>
    <xf numFmtId="0" fontId="10" fillId="0" borderId="2" xfId="2" applyNumberFormat="1" applyFont="1" applyBorder="1" applyAlignment="1">
      <alignment horizontal="center"/>
    </xf>
    <xf numFmtId="165" fontId="0" fillId="2" borderId="0" xfId="0" applyNumberFormat="1" applyFill="1" applyAlignment="1">
      <alignment horizontal="right" vertical="center"/>
    </xf>
    <xf numFmtId="9" fontId="0" fillId="2" borderId="14" xfId="3" applyFont="1" applyFill="1" applyBorder="1" applyAlignment="1">
      <alignment horizontal="center" vertical="center"/>
    </xf>
    <xf numFmtId="40" fontId="0" fillId="0" borderId="0" xfId="0" applyNumberFormat="1" applyAlignment="1"/>
    <xf numFmtId="169" fontId="0" fillId="2" borderId="14" xfId="0" applyNumberFormat="1" applyFont="1" applyFill="1" applyBorder="1" applyAlignment="1"/>
    <xf numFmtId="0" fontId="0" fillId="0" borderId="15" xfId="0" applyFont="1" applyFill="1" applyBorder="1" applyAlignment="1">
      <alignment horizontal="left" indent="1"/>
    </xf>
    <xf numFmtId="164" fontId="19" fillId="0" borderId="0" xfId="1" applyNumberFormat="1" applyFont="1" applyAlignment="1"/>
    <xf numFmtId="164" fontId="10" fillId="0" borderId="0" xfId="1" applyNumberFormat="1" applyFont="1" applyAlignment="1"/>
    <xf numFmtId="0" fontId="19" fillId="0" borderId="0" xfId="0" applyFont="1" applyAlignment="1">
      <alignment horizontal="right"/>
    </xf>
    <xf numFmtId="9" fontId="19" fillId="0" borderId="0" xfId="3" applyFont="1" applyAlignment="1"/>
    <xf numFmtId="167" fontId="19" fillId="0" borderId="0" xfId="3" applyNumberFormat="1" applyFont="1" applyAlignment="1"/>
    <xf numFmtId="2" fontId="19" fillId="0" borderId="0" xfId="3" applyNumberFormat="1" applyFont="1" applyAlignment="1"/>
    <xf numFmtId="0" fontId="19" fillId="0" borderId="0" xfId="0" applyFont="1" applyAlignment="1">
      <alignment horizontal="left"/>
    </xf>
    <xf numFmtId="1" fontId="19" fillId="0" borderId="0" xfId="0" applyNumberFormat="1" applyFont="1" applyAlignment="1"/>
    <xf numFmtId="0" fontId="19" fillId="0" borderId="0" xfId="0" quotePrefix="1" applyFont="1" applyAlignment="1"/>
    <xf numFmtId="3" fontId="19" fillId="0" borderId="0" xfId="0" applyNumberFormat="1" applyFont="1" applyAlignment="1"/>
    <xf numFmtId="0" fontId="19" fillId="0" borderId="0" xfId="0" applyFont="1" applyAlignment="1"/>
    <xf numFmtId="0" fontId="20" fillId="0" borderId="0" xfId="0" applyFont="1" applyAlignment="1">
      <alignment horizontal="left"/>
    </xf>
    <xf numFmtId="14" fontId="0" fillId="2" borderId="14" xfId="0" applyNumberFormat="1" applyFill="1" applyBorder="1" applyAlignment="1"/>
    <xf numFmtId="7" fontId="21" fillId="0" borderId="0" xfId="1" applyNumberFormat="1" applyFont="1" applyFill="1" applyBorder="1" applyAlignment="1">
      <alignment vertical="center"/>
    </xf>
    <xf numFmtId="43" fontId="0" fillId="0" borderId="0" xfId="0" applyNumberFormat="1" applyAlignment="1"/>
    <xf numFmtId="1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right"/>
    </xf>
    <xf numFmtId="9" fontId="0" fillId="0" borderId="0" xfId="0" applyNumberFormat="1" applyFon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171" fontId="0" fillId="0" borderId="4" xfId="2" applyNumberFormat="1" applyFont="1" applyFill="1" applyBorder="1" applyAlignment="1"/>
    <xf numFmtId="171" fontId="0" fillId="0" borderId="0" xfId="2" applyNumberFormat="1" applyFont="1" applyFill="1" applyAlignment="1"/>
    <xf numFmtId="171" fontId="0" fillId="0" borderId="0" xfId="2" applyNumberFormat="1" applyFont="1" applyFill="1" applyBorder="1" applyAlignment="1"/>
    <xf numFmtId="171" fontId="0" fillId="0" borderId="12" xfId="2" applyNumberFormat="1" applyFont="1" applyFill="1" applyBorder="1" applyAlignment="1"/>
    <xf numFmtId="0" fontId="0" fillId="0" borderId="0" xfId="2" applyNumberFormat="1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Normal" xfId="0" builtinId="0"/>
    <cellStyle name="Normal 2" xfId="4" xr:uid="{7BD386A0-B54B-4937-B012-EB23676E3061}"/>
    <cellStyle name="Percent" xfId="3" builtinId="5"/>
  </cellStyles>
  <dxfs count="0"/>
  <tableStyles count="0" defaultTableStyle="TableStyleMedium9" defaultPivotStyle="PivotStyleMedium7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theme" Target="theme/theme1.xml"/><Relationship Id="rId5" Type="http://schemas.openxmlformats.org/officeDocument/2006/relationships/chartsheet" Target="chartsheets/sheet1.xml"/><Relationship Id="rId10" Type="http://schemas.openxmlformats.org/officeDocument/2006/relationships/worksheet" Target="worksheets/sheet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assumptions!$B$2</c:f>
          <c:strCache>
            <c:ptCount val="1"/>
            <c:pt idx="0">
              <c:v>[Project Name]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366922884705259E-2"/>
          <c:y val="0.11921706094250827"/>
          <c:w val="0.90691609614223367"/>
          <c:h val="0.77972820579430036"/>
        </c:manualLayout>
      </c:layout>
      <c:scatterChart>
        <c:scatterStyle val="lineMarker"/>
        <c:varyColors val="0"/>
        <c:ser>
          <c:idx val="5"/>
          <c:order val="0"/>
          <c:tx>
            <c:v>Oil (bopd)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'historical production'!$B$6:$B$365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'historical production'!$I$6:$I$365</c:f>
              <c:numCache>
                <c:formatCode>#,##0_);\(#,##0\)</c:formatCode>
                <c:ptCount val="360"/>
                <c:pt idx="0">
                  <c:v>92.763785935483881</c:v>
                </c:pt>
                <c:pt idx="1">
                  <c:v>98.873098178571439</c:v>
                </c:pt>
                <c:pt idx="2">
                  <c:v>82.776668451612892</c:v>
                </c:pt>
                <c:pt idx="3">
                  <c:v>74.927925000000002</c:v>
                </c:pt>
                <c:pt idx="4">
                  <c:v>66.636964870967745</c:v>
                </c:pt>
                <c:pt idx="5">
                  <c:v>66.739868933333327</c:v>
                </c:pt>
                <c:pt idx="6">
                  <c:v>62.378441387096771</c:v>
                </c:pt>
                <c:pt idx="7">
                  <c:v>58.42674693548387</c:v>
                </c:pt>
                <c:pt idx="8">
                  <c:v>55.087850166666662</c:v>
                </c:pt>
                <c:pt idx="9">
                  <c:v>50.277659806451609</c:v>
                </c:pt>
                <c:pt idx="10">
                  <c:v>51.106964166666664</c:v>
                </c:pt>
                <c:pt idx="11">
                  <c:v>44.883170612903228</c:v>
                </c:pt>
                <c:pt idx="12">
                  <c:v>49.475987677419354</c:v>
                </c:pt>
                <c:pt idx="13">
                  <c:v>53.924951172413792</c:v>
                </c:pt>
                <c:pt idx="14">
                  <c:v>47.584291999999998</c:v>
                </c:pt>
                <c:pt idx="15">
                  <c:v>44.541793500000004</c:v>
                </c:pt>
                <c:pt idx="16">
                  <c:v>40.491178903225808</c:v>
                </c:pt>
                <c:pt idx="17">
                  <c:v>37.904992566666671</c:v>
                </c:pt>
                <c:pt idx="18">
                  <c:v>40.835299258064516</c:v>
                </c:pt>
                <c:pt idx="19">
                  <c:v>38.385363806451608</c:v>
                </c:pt>
                <c:pt idx="20">
                  <c:v>35.406930633333332</c:v>
                </c:pt>
                <c:pt idx="21">
                  <c:v>37.514282258064512</c:v>
                </c:pt>
                <c:pt idx="22">
                  <c:v>31.012399349999999</c:v>
                </c:pt>
                <c:pt idx="23">
                  <c:v>36.016261870967746</c:v>
                </c:pt>
                <c:pt idx="24">
                  <c:v>31.109961945161292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B7-4B9E-979A-20983D203061}"/>
            </c:ext>
          </c:extLst>
        </c:ser>
        <c:ser>
          <c:idx val="6"/>
          <c:order val="1"/>
          <c:tx>
            <c:v>Gas (mcfpd)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'historical production'!$B$6:$B$365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'historical production'!$J$6:$J$365</c:f>
              <c:numCache>
                <c:formatCode>#,##0_);\(#,##0\)</c:formatCode>
                <c:ptCount val="360"/>
                <c:pt idx="0">
                  <c:v>213.83190316129031</c:v>
                </c:pt>
                <c:pt idx="1">
                  <c:v>262.53579557142859</c:v>
                </c:pt>
                <c:pt idx="2">
                  <c:v>252.09327661290322</c:v>
                </c:pt>
                <c:pt idx="3">
                  <c:v>230.72782530000001</c:v>
                </c:pt>
                <c:pt idx="4">
                  <c:v>214.98760806451614</c:v>
                </c:pt>
                <c:pt idx="5">
                  <c:v>189.76400716666666</c:v>
                </c:pt>
                <c:pt idx="6">
                  <c:v>182.20922403225808</c:v>
                </c:pt>
                <c:pt idx="7">
                  <c:v>176.96670622580646</c:v>
                </c:pt>
                <c:pt idx="8">
                  <c:v>183.98702126666666</c:v>
                </c:pt>
                <c:pt idx="9">
                  <c:v>199.47130574193548</c:v>
                </c:pt>
                <c:pt idx="10">
                  <c:v>199.70396693333333</c:v>
                </c:pt>
                <c:pt idx="11">
                  <c:v>187.54155906451612</c:v>
                </c:pt>
                <c:pt idx="12">
                  <c:v>183.6625286451613</c:v>
                </c:pt>
                <c:pt idx="13">
                  <c:v>163.7650494827586</c:v>
                </c:pt>
                <c:pt idx="14">
                  <c:v>177.4488591612903</c:v>
                </c:pt>
                <c:pt idx="15">
                  <c:v>173.34885700000001</c:v>
                </c:pt>
                <c:pt idx="16">
                  <c:v>156.88435393548386</c:v>
                </c:pt>
                <c:pt idx="17">
                  <c:v>142.68038993333332</c:v>
                </c:pt>
                <c:pt idx="18">
                  <c:v>144.101539</c:v>
                </c:pt>
                <c:pt idx="19">
                  <c:v>136.59904145161289</c:v>
                </c:pt>
                <c:pt idx="20">
                  <c:v>127.62401303333333</c:v>
                </c:pt>
                <c:pt idx="21">
                  <c:v>146.7550768387097</c:v>
                </c:pt>
                <c:pt idx="22">
                  <c:v>149.36598293333333</c:v>
                </c:pt>
                <c:pt idx="23">
                  <c:v>138.3153560967742</c:v>
                </c:pt>
                <c:pt idx="24">
                  <c:v>131.29132029032257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B7-4B9E-979A-20983D203061}"/>
            </c:ext>
          </c:extLst>
        </c:ser>
        <c:ser>
          <c:idx val="7"/>
          <c:order val="2"/>
          <c:tx>
            <c:v>Water (bwpd)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'historical production'!$B$6:$B$365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'historical production'!$K$6:$K$365</c:f>
              <c:numCache>
                <c:formatCode>#,##0_);\(#,##0\)</c:formatCode>
                <c:ptCount val="360"/>
                <c:pt idx="0">
                  <c:v>48.933790096774189</c:v>
                </c:pt>
                <c:pt idx="1">
                  <c:v>56.102017285714282</c:v>
                </c:pt>
                <c:pt idx="2">
                  <c:v>46.570675193548389</c:v>
                </c:pt>
                <c:pt idx="3">
                  <c:v>40.961062066666663</c:v>
                </c:pt>
                <c:pt idx="4">
                  <c:v>38.664163709677425</c:v>
                </c:pt>
                <c:pt idx="5">
                  <c:v>40.166981999999997</c:v>
                </c:pt>
                <c:pt idx="6">
                  <c:v>37.95712651612903</c:v>
                </c:pt>
                <c:pt idx="7">
                  <c:v>40.787510387096773</c:v>
                </c:pt>
                <c:pt idx="8">
                  <c:v>32.642919543333335</c:v>
                </c:pt>
                <c:pt idx="9">
                  <c:v>35.556803870967741</c:v>
                </c:pt>
                <c:pt idx="10">
                  <c:v>34.986362</c:v>
                </c:pt>
                <c:pt idx="11">
                  <c:v>33.750309032258059</c:v>
                </c:pt>
                <c:pt idx="12">
                  <c:v>30.27186069032258</c:v>
                </c:pt>
                <c:pt idx="13">
                  <c:v>30.611111017241381</c:v>
                </c:pt>
                <c:pt idx="14">
                  <c:v>27.311251438709675</c:v>
                </c:pt>
                <c:pt idx="15">
                  <c:v>26.059799080000001</c:v>
                </c:pt>
                <c:pt idx="16">
                  <c:v>28.730420232258066</c:v>
                </c:pt>
                <c:pt idx="17">
                  <c:v>23.984299903333334</c:v>
                </c:pt>
                <c:pt idx="18">
                  <c:v>24.422330841935484</c:v>
                </c:pt>
                <c:pt idx="19">
                  <c:v>23.049832764516129</c:v>
                </c:pt>
                <c:pt idx="20">
                  <c:v>20.777330513333332</c:v>
                </c:pt>
                <c:pt idx="21">
                  <c:v>20.80686436451613</c:v>
                </c:pt>
                <c:pt idx="22">
                  <c:v>22.301805513333331</c:v>
                </c:pt>
                <c:pt idx="23">
                  <c:v>22.80472596129032</c:v>
                </c:pt>
                <c:pt idx="24">
                  <c:v>20.084195996774191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B7-4B9E-979A-20983D203061}"/>
            </c:ext>
          </c:extLst>
        </c:ser>
        <c:ser>
          <c:idx val="8"/>
          <c:order val="3"/>
          <c:tx>
            <c:v>NGL (bpd)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'historical production'!$B$6:$B$365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'historical production'!$L$6:$L$365</c:f>
              <c:numCache>
                <c:formatCode>#,##0_);\(#,##0\)</c:formatCode>
                <c:ptCount val="360"/>
                <c:pt idx="0">
                  <c:v>32.074785476190478</c:v>
                </c:pt>
                <c:pt idx="1">
                  <c:v>39.380369336734695</c:v>
                </c:pt>
                <c:pt idx="2">
                  <c:v>37.813991490015354</c:v>
                </c:pt>
                <c:pt idx="3">
                  <c:v>34.609173793650797</c:v>
                </c:pt>
                <c:pt idx="4">
                  <c:v>32.248141213517663</c:v>
                </c:pt>
                <c:pt idx="5">
                  <c:v>28.464601071428568</c:v>
                </c:pt>
                <c:pt idx="6">
                  <c:v>27.331383602150542</c:v>
                </c:pt>
                <c:pt idx="7">
                  <c:v>26.545005937019969</c:v>
                </c:pt>
                <c:pt idx="8">
                  <c:v>27.59805319047619</c:v>
                </c:pt>
                <c:pt idx="9">
                  <c:v>29.920695860215055</c:v>
                </c:pt>
                <c:pt idx="10">
                  <c:v>29.955595039682539</c:v>
                </c:pt>
                <c:pt idx="11">
                  <c:v>28.13123386328725</c:v>
                </c:pt>
                <c:pt idx="12">
                  <c:v>27.549379293394775</c:v>
                </c:pt>
                <c:pt idx="13">
                  <c:v>24.564757422003286</c:v>
                </c:pt>
                <c:pt idx="14">
                  <c:v>26.617328870967743</c:v>
                </c:pt>
                <c:pt idx="15">
                  <c:v>26.002328547619047</c:v>
                </c:pt>
                <c:pt idx="16">
                  <c:v>23.532653087557602</c:v>
                </c:pt>
                <c:pt idx="17">
                  <c:v>21.402058492063492</c:v>
                </c:pt>
                <c:pt idx="18">
                  <c:v>21.615230852534559</c:v>
                </c:pt>
                <c:pt idx="19">
                  <c:v>20.489856221198156</c:v>
                </c:pt>
                <c:pt idx="20">
                  <c:v>19.143601952380951</c:v>
                </c:pt>
                <c:pt idx="21">
                  <c:v>22.013261528417821</c:v>
                </c:pt>
                <c:pt idx="22">
                  <c:v>22.404897436507937</c:v>
                </c:pt>
                <c:pt idx="23">
                  <c:v>20.747303417818742</c:v>
                </c:pt>
                <c:pt idx="24">
                  <c:v>19.693698041474654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B7-4B9E-979A-20983D203061}"/>
            </c:ext>
          </c:extLst>
        </c:ser>
        <c:ser>
          <c:idx val="9"/>
          <c:order val="4"/>
          <c:tx>
            <c:v>GOR (scf/stb)</c:v>
          </c:tx>
          <c:spPr>
            <a:ln w="95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'historical production'!$B$6:$B$365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'historical production'!$M$6:$M$365</c:f>
              <c:numCache>
                <c:formatCode>#,##0_);\(#,##0\)</c:formatCode>
                <c:ptCount val="360"/>
                <c:pt idx="0">
                  <c:v>2305.1226403157789</c:v>
                </c:pt>
                <c:pt idx="1">
                  <c:v>2655.2803584375538</c:v>
                </c:pt>
                <c:pt idx="2">
                  <c:v>3045.4629466063179</c:v>
                </c:pt>
                <c:pt idx="3">
                  <c:v>3079.3302403609869</c:v>
                </c:pt>
                <c:pt idx="4">
                  <c:v>3226.2515029129349</c:v>
                </c:pt>
                <c:pt idx="5">
                  <c:v>2843.3380256743167</c:v>
                </c:pt>
                <c:pt idx="6">
                  <c:v>2921.0288038705116</c:v>
                </c:pt>
                <c:pt idx="7">
                  <c:v>3028.8646126613398</c:v>
                </c:pt>
                <c:pt idx="8">
                  <c:v>3339.8838529733753</c:v>
                </c:pt>
                <c:pt idx="9">
                  <c:v>3967.3943956385056</c:v>
                </c:pt>
                <c:pt idx="10">
                  <c:v>3907.5685709304103</c:v>
                </c:pt>
                <c:pt idx="11">
                  <c:v>4178.4382988888219</c:v>
                </c:pt>
                <c:pt idx="12">
                  <c:v>3712.1548708159326</c:v>
                </c:pt>
                <c:pt idx="13">
                  <c:v>3036.9067736223624</c:v>
                </c:pt>
                <c:pt idx="14">
                  <c:v>3729.1478280540628</c:v>
                </c:pt>
                <c:pt idx="15">
                  <c:v>3891.8248094343126</c:v>
                </c:pt>
                <c:pt idx="16">
                  <c:v>3874.5316433102266</c:v>
                </c:pt>
                <c:pt idx="17">
                  <c:v>3764.1582354195011</c:v>
                </c:pt>
                <c:pt idx="18">
                  <c:v>3528.84738493845</c:v>
                </c:pt>
                <c:pt idx="19">
                  <c:v>3558.6230767638067</c:v>
                </c:pt>
                <c:pt idx="20">
                  <c:v>3604.4924185883419</c:v>
                </c:pt>
                <c:pt idx="21">
                  <c:v>3911.9787986124006</c:v>
                </c:pt>
                <c:pt idx="22">
                  <c:v>4816.3310825330682</c:v>
                </c:pt>
                <c:pt idx="23">
                  <c:v>3840.3584634158956</c:v>
                </c:pt>
                <c:pt idx="24">
                  <c:v>4220.2340369864396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B7-4B9E-979A-20983D203061}"/>
            </c:ext>
          </c:extLst>
        </c:ser>
        <c:ser>
          <c:idx val="10"/>
          <c:order val="5"/>
          <c:tx>
            <c:v>Watercut (%)</c:v>
          </c:tx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'historical production'!$B$6:$B$365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'historical production'!$N$6:$N$365</c:f>
              <c:numCache>
                <c:formatCode>0%</c:formatCode>
                <c:ptCount val="360"/>
                <c:pt idx="0">
                  <c:v>0.34533964141796047</c:v>
                </c:pt>
                <c:pt idx="1">
                  <c:v>0.36200661711165549</c:v>
                </c:pt>
                <c:pt idx="2">
                  <c:v>0.36004353766479946</c:v>
                </c:pt>
                <c:pt idx="3">
                  <c:v>0.35345085933923365</c:v>
                </c:pt>
                <c:pt idx="4">
                  <c:v>0.36717710655936953</c:v>
                </c:pt>
                <c:pt idx="5">
                  <c:v>0.37571943845813927</c:v>
                </c:pt>
                <c:pt idx="6">
                  <c:v>0.37830180572395705</c:v>
                </c:pt>
                <c:pt idx="7">
                  <c:v>0.41110533392879367</c:v>
                </c:pt>
                <c:pt idx="8">
                  <c:v>0.37208062406424469</c:v>
                </c:pt>
                <c:pt idx="9">
                  <c:v>0.414248570418012</c:v>
                </c:pt>
                <c:pt idx="10">
                  <c:v>0.40637716717170941</c:v>
                </c:pt>
                <c:pt idx="11">
                  <c:v>0.42921042264132953</c:v>
                </c:pt>
                <c:pt idx="12">
                  <c:v>0.37959470142353796</c:v>
                </c:pt>
                <c:pt idx="13">
                  <c:v>0.36210713184825066</c:v>
                </c:pt>
                <c:pt idx="14">
                  <c:v>0.36465789798373893</c:v>
                </c:pt>
                <c:pt idx="15">
                  <c:v>0.36911064081835193</c:v>
                </c:pt>
                <c:pt idx="16">
                  <c:v>0.4150499351513896</c:v>
                </c:pt>
                <c:pt idx="17">
                  <c:v>0.38753553233718741</c:v>
                </c:pt>
                <c:pt idx="18">
                  <c:v>0.37424483243585466</c:v>
                </c:pt>
                <c:pt idx="19">
                  <c:v>0.37518937109430078</c:v>
                </c:pt>
                <c:pt idx="20">
                  <c:v>0.36980695463975188</c:v>
                </c:pt>
                <c:pt idx="21">
                  <c:v>0.35676363668165911</c:v>
                </c:pt>
                <c:pt idx="22">
                  <c:v>0.41830888354242951</c:v>
                </c:pt>
                <c:pt idx="23">
                  <c:v>0.38769709251268236</c:v>
                </c:pt>
                <c:pt idx="24">
                  <c:v>0.39231421717207898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B7-4B9E-979A-20983D203061}"/>
            </c:ext>
          </c:extLst>
        </c:ser>
        <c:ser>
          <c:idx val="11"/>
          <c:order val="6"/>
          <c:tx>
            <c:v>Condensate yield (bbl/mmcf)</c:v>
          </c:tx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'historical production'!$B$6:$B$365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'historical production'!$O$6:$O$365</c:f>
              <c:numCache>
                <c:formatCode>0</c:formatCode>
                <c:ptCount val="360"/>
                <c:pt idx="0">
                  <c:v>433.81639766594373</c:v>
                </c:pt>
                <c:pt idx="1">
                  <c:v>376.60806581962214</c:v>
                </c:pt>
                <c:pt idx="2">
                  <c:v>328.35730315298713</c:v>
                </c:pt>
                <c:pt idx="3">
                  <c:v>324.7459421184949</c:v>
                </c:pt>
                <c:pt idx="4">
                  <c:v>309.95723646997601</c:v>
                </c:pt>
                <c:pt idx="5">
                  <c:v>351.69930235883339</c:v>
                </c:pt>
                <c:pt idx="6">
                  <c:v>342.34513493155191</c:v>
                </c:pt>
                <c:pt idx="7">
                  <c:v>330.15671807177307</c:v>
                </c:pt>
                <c:pt idx="8">
                  <c:v>299.41160951143161</c:v>
                </c:pt>
                <c:pt idx="9">
                  <c:v>252.05459812599793</c:v>
                </c:pt>
                <c:pt idx="10">
                  <c:v>255.913615295021</c:v>
                </c:pt>
                <c:pt idx="11">
                  <c:v>239.32386419728431</c:v>
                </c:pt>
                <c:pt idx="12">
                  <c:v>269.38531252070305</c:v>
                </c:pt>
                <c:pt idx="13">
                  <c:v>329.2824161366072</c:v>
                </c:pt>
                <c:pt idx="14">
                  <c:v>268.15777923231815</c:v>
                </c:pt>
                <c:pt idx="15">
                  <c:v>256.94887333465368</c:v>
                </c:pt>
                <c:pt idx="16">
                  <c:v>258.09571118785465</c:v>
                </c:pt>
                <c:pt idx="17">
                  <c:v>265.66364574961972</c:v>
                </c:pt>
                <c:pt idx="18">
                  <c:v>283.37864773300248</c:v>
                </c:pt>
                <c:pt idx="19">
                  <c:v>281.00756343922626</c:v>
                </c:pt>
                <c:pt idx="20">
                  <c:v>277.43157256844461</c:v>
                </c:pt>
                <c:pt idx="21">
                  <c:v>255.62510726149776</c:v>
                </c:pt>
                <c:pt idx="22">
                  <c:v>207.6269224154056</c:v>
                </c:pt>
                <c:pt idx="23">
                  <c:v>260.39235907955504</c:v>
                </c:pt>
                <c:pt idx="24">
                  <c:v>236.95368342985881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B7-4B9E-979A-20983D203061}"/>
            </c:ext>
          </c:extLst>
        </c:ser>
        <c:ser>
          <c:idx val="12"/>
          <c:order val="7"/>
          <c:tx>
            <c:v>NGL yield (bbl/mmcf)</c:v>
          </c:tx>
          <c:spPr>
            <a:ln w="952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'historical production'!$B$6:$B$365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'historical production'!$P$6:$P$365</c:f>
              <c:numCache>
                <c:formatCode>0</c:formatCode>
                <c:ptCount val="360"/>
                <c:pt idx="0">
                  <c:v>150.00000000933878</c:v>
                </c:pt>
                <c:pt idx="1">
                  <c:v>150.00000000388675</c:v>
                </c:pt>
                <c:pt idx="2">
                  <c:v>149.99999999238327</c:v>
                </c:pt>
                <c:pt idx="3">
                  <c:v>149.9999999941524</c:v>
                </c:pt>
                <c:pt idx="4">
                  <c:v>150.00000001786262</c:v>
                </c:pt>
                <c:pt idx="5">
                  <c:v>149.99999998117963</c:v>
                </c:pt>
                <c:pt idx="6">
                  <c:v>149.9999999852468</c:v>
                </c:pt>
                <c:pt idx="7">
                  <c:v>150.00000001779432</c:v>
                </c:pt>
                <c:pt idx="8">
                  <c:v>150.00000000258814</c:v>
                </c:pt>
                <c:pt idx="9">
                  <c:v>149.99999999460942</c:v>
                </c:pt>
                <c:pt idx="10">
                  <c:v>149.99999999841035</c:v>
                </c:pt>
                <c:pt idx="11">
                  <c:v>150.00000001924818</c:v>
                </c:pt>
                <c:pt idx="12">
                  <c:v>149.99999998159984</c:v>
                </c:pt>
                <c:pt idx="13">
                  <c:v>149.99999999749332</c:v>
                </c:pt>
                <c:pt idx="14">
                  <c:v>149.99999998182122</c:v>
                </c:pt>
                <c:pt idx="15">
                  <c:v>149.99999998626495</c:v>
                </c:pt>
                <c:pt idx="16">
                  <c:v>149.9999999823757</c:v>
                </c:pt>
                <c:pt idx="17">
                  <c:v>150.00000001446236</c:v>
                </c:pt>
                <c:pt idx="18">
                  <c:v>150.00000001758872</c:v>
                </c:pt>
                <c:pt idx="19">
                  <c:v>150.00000002530194</c:v>
                </c:pt>
                <c:pt idx="20">
                  <c:v>149.99999997947839</c:v>
                </c:pt>
                <c:pt idx="21">
                  <c:v>150.00000001779406</c:v>
                </c:pt>
                <c:pt idx="22">
                  <c:v>149.99999997662076</c:v>
                </c:pt>
                <c:pt idx="23">
                  <c:v>150.00000002387739</c:v>
                </c:pt>
                <c:pt idx="24">
                  <c:v>149.99999998420512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B7-4B9E-979A-20983D203061}"/>
            </c:ext>
          </c:extLst>
        </c:ser>
        <c:ser>
          <c:idx val="19"/>
          <c:order val="8"/>
          <c:tx>
            <c:v>Wellcount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'historical production'!$B$6:$B$365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'historical production'!$C$6:$C$365</c:f>
              <c:numCache>
                <c:formatCode>#,##0_);\(#,##0\)</c:formatCode>
                <c:ptCount val="3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C2-4834-877B-7B9B3F332A65}"/>
            </c:ext>
          </c:extLst>
        </c:ser>
        <c:ser>
          <c:idx val="0"/>
          <c:order val="9"/>
          <c:tx>
            <c:v>Oil base forecast</c:v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'forecast production'!$O$7:$O$366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'forecast production'!$Q$7:$Q$366</c:f>
              <c:numCache>
                <c:formatCode>_(* #,##0_);_(* \(#,##0\);_(* "-"??_);_(@_)</c:formatCode>
                <c:ptCount val="360"/>
                <c:pt idx="0">
                  <c:v>100</c:v>
                </c:pt>
                <c:pt idx="1">
                  <c:v>91.818768983399892</c:v>
                </c:pt>
                <c:pt idx="2">
                  <c:v>85.500695927598173</c:v>
                </c:pt>
                <c:pt idx="3">
                  <c:v>79.448117169397179</c:v>
                </c:pt>
                <c:pt idx="4">
                  <c:v>74.354375773280282</c:v>
                </c:pt>
                <c:pt idx="5">
                  <c:v>69.734389098801969</c:v>
                </c:pt>
                <c:pt idx="6">
                  <c:v>65.779070390432409</c:v>
                </c:pt>
                <c:pt idx="7">
                  <c:v>62.137183241839615</c:v>
                </c:pt>
                <c:pt idx="8">
                  <c:v>58.877409578086876</c:v>
                </c:pt>
                <c:pt idx="9">
                  <c:v>56.03270585804735</c:v>
                </c:pt>
                <c:pt idx="10">
                  <c:v>53.368231195656506</c:v>
                </c:pt>
                <c:pt idx="11">
                  <c:v>51.020366144633947</c:v>
                </c:pt>
                <c:pt idx="12">
                  <c:v>48.801828239314865</c:v>
                </c:pt>
                <c:pt idx="13">
                  <c:v>46.768189348172314</c:v>
                </c:pt>
                <c:pt idx="14">
                  <c:v>45.013435470912214</c:v>
                </c:pt>
                <c:pt idx="15">
                  <c:v>43.277661636522012</c:v>
                </c:pt>
                <c:pt idx="16">
                  <c:v>41.720754559607741</c:v>
                </c:pt>
                <c:pt idx="17">
                  <c:v>40.225414816520463</c:v>
                </c:pt>
                <c:pt idx="18">
                  <c:v>38.876950452966454</c:v>
                </c:pt>
                <c:pt idx="19">
                  <c:v>37.575336313296503</c:v>
                </c:pt>
                <c:pt idx="20">
                  <c:v>36.358055667655819</c:v>
                </c:pt>
                <c:pt idx="21">
                  <c:v>35.252853624346969</c:v>
                </c:pt>
                <c:pt idx="22">
                  <c:v>34.179249933394338</c:v>
                </c:pt>
                <c:pt idx="23">
                  <c:v>33.20075793776298</c:v>
                </c:pt>
                <c:pt idx="24">
                  <c:v>32.246815816070743</c:v>
                </c:pt>
                <c:pt idx="25">
                  <c:v>31.346160976653252</c:v>
                </c:pt>
                <c:pt idx="26">
                  <c:v>30.574845304532118</c:v>
                </c:pt>
                <c:pt idx="27">
                  <c:v>29.763991369584929</c:v>
                </c:pt>
                <c:pt idx="28">
                  <c:v>29.01921885819441</c:v>
                </c:pt>
                <c:pt idx="29">
                  <c:v>28.287790268865979</c:v>
                </c:pt>
                <c:pt idx="30">
                  <c:v>27.614226592351095</c:v>
                </c:pt>
                <c:pt idx="31">
                  <c:v>26.951099812445086</c:v>
                </c:pt>
                <c:pt idx="32">
                  <c:v>26.319074749905599</c:v>
                </c:pt>
                <c:pt idx="33">
                  <c:v>25.735035360770443</c:v>
                </c:pt>
                <c:pt idx="34">
                  <c:v>25.158148515095895</c:v>
                </c:pt>
                <c:pt idx="35">
                  <c:v>24.623973509766579</c:v>
                </c:pt>
                <c:pt idx="36">
                  <c:v>24.095311776237747</c:v>
                </c:pt>
                <c:pt idx="37">
                  <c:v>23.588873020603231</c:v>
                </c:pt>
                <c:pt idx="38">
                  <c:v>23.149401746967307</c:v>
                </c:pt>
                <c:pt idx="39">
                  <c:v>22.681559038533493</c:v>
                </c:pt>
                <c:pt idx="40">
                  <c:v>22.246467425157462</c:v>
                </c:pt>
                <c:pt idx="41">
                  <c:v>21.814068192302354</c:v>
                </c:pt>
                <c:pt idx="42">
                  <c:v>21.411326134940964</c:v>
                </c:pt>
                <c:pt idx="43">
                  <c:v>21.010489934645058</c:v>
                </c:pt>
                <c:pt idx="44">
                  <c:v>20.624385850954404</c:v>
                </c:pt>
                <c:pt idx="45">
                  <c:v>20.264012049266391</c:v>
                </c:pt>
                <c:pt idx="46">
                  <c:v>19.904621584176589</c:v>
                </c:pt>
                <c:pt idx="47">
                  <c:v>19.56875722382593</c:v>
                </c:pt>
                <c:pt idx="48">
                  <c:v>19.233400885249686</c:v>
                </c:pt>
                <c:pt idx="49">
                  <c:v>18.909345112606278</c:v>
                </c:pt>
                <c:pt idx="50">
                  <c:v>18.625894657657977</c:v>
                </c:pt>
                <c:pt idx="51">
                  <c:v>18.321825015000911</c:v>
                </c:pt>
                <c:pt idx="52">
                  <c:v>18.036869772170544</c:v>
                </c:pt>
                <c:pt idx="53">
                  <c:v>17.751580535468889</c:v>
                </c:pt>
                <c:pt idx="54">
                  <c:v>17.48395748293359</c:v>
                </c:pt>
                <c:pt idx="55">
                  <c:v>17.21576095221738</c:v>
                </c:pt>
                <c:pt idx="56">
                  <c:v>16.955668156860035</c:v>
                </c:pt>
                <c:pt idx="57">
                  <c:v>16.711340323867276</c:v>
                </c:pt>
                <c:pt idx="58">
                  <c:v>16.466157112600389</c:v>
                </c:pt>
                <c:pt idx="59">
                  <c:v>16.235637253421221</c:v>
                </c:pt>
                <c:pt idx="60">
                  <c:v>16.00411738975162</c:v>
                </c:pt>
                <c:pt idx="61">
                  <c:v>15.779107629421953</c:v>
                </c:pt>
                <c:pt idx="62">
                  <c:v>15.574268188491683</c:v>
                </c:pt>
                <c:pt idx="63">
                  <c:v>15.361102536240018</c:v>
                </c:pt>
                <c:pt idx="64">
                  <c:v>15.160296467656886</c:v>
                </c:pt>
                <c:pt idx="65">
                  <c:v>14.958238794896358</c:v>
                </c:pt>
                <c:pt idx="66">
                  <c:v>14.767762076587317</c:v>
                </c:pt>
                <c:pt idx="67">
                  <c:v>14.575966215856843</c:v>
                </c:pt>
                <c:pt idx="68">
                  <c:v>14.389088368392196</c:v>
                </c:pt>
                <c:pt idx="69">
                  <c:v>14.212745456032927</c:v>
                </c:pt>
                <c:pt idx="70">
                  <c:v>14.035008455415614</c:v>
                </c:pt>
                <c:pt idx="71">
                  <c:v>13.867186878305242</c:v>
                </c:pt>
                <c:pt idx="72">
                  <c:v>13.697936092292739</c:v>
                </c:pt>
                <c:pt idx="73">
                  <c:v>13.532766944264308</c:v>
                </c:pt>
                <c:pt idx="74">
                  <c:v>13.386968672010454</c:v>
                </c:pt>
                <c:pt idx="75">
                  <c:v>13.229170470111285</c:v>
                </c:pt>
                <c:pt idx="76">
                  <c:v>13.079964592211926</c:v>
                </c:pt>
                <c:pt idx="77">
                  <c:v>12.929280256449291</c:v>
                </c:pt>
                <c:pt idx="78">
                  <c:v>12.786725912231429</c:v>
                </c:pt>
                <c:pt idx="79">
                  <c:v>12.642684999821245</c:v>
                </c:pt>
                <c:pt idx="80">
                  <c:v>12.501853144496277</c:v>
                </c:pt>
                <c:pt idx="81">
                  <c:v>12.368519769647431</c:v>
                </c:pt>
                <c:pt idx="82">
                  <c:v>12.233697186333124</c:v>
                </c:pt>
                <c:pt idx="83">
                  <c:v>12.105993069316089</c:v>
                </c:pt>
                <c:pt idx="84">
                  <c:v>11.976803180658857</c:v>
                </c:pt>
                <c:pt idx="85">
                  <c:v>11.850341494332332</c:v>
                </c:pt>
                <c:pt idx="86">
                  <c:v>11.738391778922374</c:v>
                </c:pt>
                <c:pt idx="87">
                  <c:v>11.616889160744044</c:v>
                </c:pt>
                <c:pt idx="88">
                  <c:v>11.501677146455508</c:v>
                </c:pt>
                <c:pt idx="89">
                  <c:v>11.385001170410398</c:v>
                </c:pt>
                <c:pt idx="90">
                  <c:v>11.274320897171044</c:v>
                </c:pt>
                <c:pt idx="91">
                  <c:v>11.162189566504713</c:v>
                </c:pt>
                <c:pt idx="92">
                  <c:v>11.052266726255837</c:v>
                </c:pt>
                <c:pt idx="93">
                  <c:v>10.947931686164393</c:v>
                </c:pt>
                <c:pt idx="94">
                  <c:v>10.842168283933232</c:v>
                </c:pt>
                <c:pt idx="95">
                  <c:v>10.741744240729599</c:v>
                </c:pt>
                <c:pt idx="96">
                  <c:v>10.639908577933891</c:v>
                </c:pt>
                <c:pt idx="97">
                  <c:v>10.539985660248066</c:v>
                </c:pt>
                <c:pt idx="98">
                  <c:v>10.451332299440182</c:v>
                </c:pt>
                <c:pt idx="99">
                  <c:v>10.354903908549488</c:v>
                </c:pt>
                <c:pt idx="100">
                  <c:v>10.263265322291632</c:v>
                </c:pt>
                <c:pt idx="101">
                  <c:v>10.170260636588774</c:v>
                </c:pt>
                <c:pt idx="102">
                  <c:v>10.081847064111948</c:v>
                </c:pt>
                <c:pt idx="103">
                  <c:v>9.992086928698777</c:v>
                </c:pt>
                <c:pt idx="104">
                  <c:v>9.9039109838174202</c:v>
                </c:pt>
                <c:pt idx="105">
                  <c:v>9.8200486165849004</c:v>
                </c:pt>
                <c:pt idx="106">
                  <c:v>9.7348699217979835</c:v>
                </c:pt>
                <c:pt idx="107">
                  <c:v>9.6538341565259262</c:v>
                </c:pt>
                <c:pt idx="108">
                  <c:v>9.5715024459365345</c:v>
                </c:pt>
                <c:pt idx="109">
                  <c:v>9.4905631747655139</c:v>
                </c:pt>
                <c:pt idx="110">
                  <c:v>9.4160753309322018</c:v>
                </c:pt>
                <c:pt idx="111">
                  <c:v>9.3377326283964734</c:v>
                </c:pt>
                <c:pt idx="112">
                  <c:v>9.2631484330201577</c:v>
                </c:pt>
                <c:pt idx="113">
                  <c:v>9.1873195539979875</c:v>
                </c:pt>
                <c:pt idx="114">
                  <c:v>9.1151095339915322</c:v>
                </c:pt>
                <c:pt idx="115">
                  <c:v>9.0416753972908364</c:v>
                </c:pt>
                <c:pt idx="116">
                  <c:v>8.9694150205734928</c:v>
                </c:pt>
                <c:pt idx="117">
                  <c:v>8.9005768963990164</c:v>
                </c:pt>
                <c:pt idx="118">
                  <c:v>8.8305454850518448</c:v>
                </c:pt>
                <c:pt idx="119">
                  <c:v>8.7638145116251991</c:v>
                </c:pt>
                <c:pt idx="120" formatCode="_(* #,##0.000_);_(* \(#,##0.000\);_(* &quot;-&quot;??_);_(@_)">
                  <c:v>8.6959105005649686</c:v>
                </c:pt>
                <c:pt idx="121">
                  <c:v>8.629050670137584</c:v>
                </c:pt>
                <c:pt idx="122">
                  <c:v>8.5695387457766223</c:v>
                </c:pt>
                <c:pt idx="123">
                  <c:v>8.5046007964723653</c:v>
                </c:pt>
                <c:pt idx="124">
                  <c:v>8.4426878579805127</c:v>
                </c:pt>
                <c:pt idx="125">
                  <c:v>8.3796511013482604</c:v>
                </c:pt>
                <c:pt idx="126">
                  <c:v>8.3195376203191529</c:v>
                </c:pt>
                <c:pt idx="127">
                  <c:v>8.258319769967855</c:v>
                </c:pt>
                <c:pt idx="128">
                  <c:v>8.1979962602794618</c:v>
                </c:pt>
                <c:pt idx="129">
                  <c:v>8.1404518716885157</c:v>
                </c:pt>
                <c:pt idx="130">
                  <c:v>8.0818319118019133</c:v>
                </c:pt>
                <c:pt idx="131">
                  <c:v>8.025901196469361</c:v>
                </c:pt>
                <c:pt idx="132">
                  <c:v>7.9689136290409683</c:v>
                </c:pt>
                <c:pt idx="133">
                  <c:v>7.9126535947351453</c:v>
                </c:pt>
                <c:pt idx="134" formatCode="_(* #,##0.000_);_(* \(#,##0.000\);_(* &quot;-&quot;??_);_(@_)">
                  <c:v>7.8622026420532141</c:v>
                </c:pt>
                <c:pt idx="135">
                  <c:v>7.8067213630858907</c:v>
                </c:pt>
                <c:pt idx="136">
                  <c:v>7.7534026058079624</c:v>
                </c:pt>
                <c:pt idx="137">
                  <c:v>7.6986890970746815</c:v>
                </c:pt>
                <c:pt idx="138">
                  <c:v>7.6461081842645831</c:v>
                </c:pt>
                <c:pt idx="139">
                  <c:v>7.5921518210799865</c:v>
                </c:pt>
                <c:pt idx="140">
                  <c:v>7.5385762122684588</c:v>
                </c:pt>
                <c:pt idx="141">
                  <c:v>7.4870888468830712</c:v>
                </c:pt>
                <c:pt idx="142">
                  <c:v>7.4342546369448534</c:v>
                </c:pt>
                <c:pt idx="143">
                  <c:v>7.3834797725563428</c:v>
                </c:pt>
                <c:pt idx="144">
                  <c:v>7.331376701742613</c:v>
                </c:pt>
                <c:pt idx="145">
                  <c:v>7.279641307156334</c:v>
                </c:pt>
                <c:pt idx="146">
                  <c:v>7.2332264306889575</c:v>
                </c:pt>
                <c:pt idx="147">
                  <c:v>7.1821836540390205</c:v>
                </c:pt>
                <c:pt idx="148">
                  <c:v>7.1331303973433258</c:v>
                </c:pt>
                <c:pt idx="149">
                  <c:v>7.0827939693087076</c:v>
                </c:pt>
                <c:pt idx="150">
                  <c:v>7.034419529523416</c:v>
                </c:pt>
                <c:pt idx="151">
                  <c:v>6.9847796753935878</c:v>
                </c:pt>
                <c:pt idx="152">
                  <c:v>6.9354901152869823</c:v>
                </c:pt>
                <c:pt idx="153">
                  <c:v>6.8881217391324254</c:v>
                </c:pt>
                <c:pt idx="154">
                  <c:v>6.8395142659892647</c:v>
                </c:pt>
                <c:pt idx="155">
                  <c:v>6.7928013907518352</c:v>
                </c:pt>
                <c:pt idx="156">
                  <c:v>6.7448665656032052</c:v>
                </c:pt>
                <c:pt idx="157">
                  <c:v>6.697270002583827</c:v>
                </c:pt>
                <c:pt idx="158">
                  <c:v>6.6530483018777637</c:v>
                </c:pt>
                <c:pt idx="159">
                  <c:v>6.6060996736593536</c:v>
                </c:pt>
                <c:pt idx="160">
                  <c:v>6.5609809857144805</c:v>
                </c:pt>
                <c:pt idx="161">
                  <c:v>6.5146820497877087</c:v>
                </c:pt>
                <c:pt idx="162">
                  <c:v>6.4701877307515536</c:v>
                </c:pt>
                <c:pt idx="163">
                  <c:v>6.4245294964368203</c:v>
                </c:pt>
                <c:pt idx="164">
                  <c:v>6.3791934590114963</c:v>
                </c:pt>
                <c:pt idx="165">
                  <c:v>6.3356245070980473</c:v>
                </c:pt>
                <c:pt idx="166">
                  <c:v>6.2909158463430614</c:v>
                </c:pt>
                <c:pt idx="167">
                  <c:v>6.2479498175242156</c:v>
                </c:pt>
                <c:pt idx="168">
                  <c:v>6.2038598515717007</c:v>
                </c:pt>
                <c:pt idx="169">
                  <c:v>6.1600810156945665</c:v>
                </c:pt>
                <c:pt idx="170">
                  <c:v>6.1208044377275419</c:v>
                </c:pt>
                <c:pt idx="171">
                  <c:v>6.0776116997666056</c:v>
                </c:pt>
                <c:pt idx="172">
                  <c:v>6.0361025068573229</c:v>
                </c:pt>
                <c:pt idx="173">
                  <c:v>5.9935074858046908</c:v>
                </c:pt>
                <c:pt idx="174">
                  <c:v>5.9525727122914294</c:v>
                </c:pt>
                <c:pt idx="175">
                  <c:v>5.9105671367218751</c:v>
                </c:pt>
                <c:pt idx="176">
                  <c:v>5.8688579822905771</c:v>
                </c:pt>
                <c:pt idx="177">
                  <c:v>5.8287745465302034</c:v>
                </c:pt>
                <c:pt idx="178">
                  <c:v>5.7876425786356158</c:v>
                </c:pt>
                <c:pt idx="179">
                  <c:v>5.7481138321222787</c:v>
                </c:pt>
                <c:pt idx="180">
                  <c:v>5.7075510634459654</c:v>
                </c:pt>
                <c:pt idx="181">
                  <c:v>5.6672745344390014</c:v>
                </c:pt>
                <c:pt idx="182">
                  <c:v>5.6311400827093392</c:v>
                </c:pt>
                <c:pt idx="183">
                  <c:v>5.5914027637852772</c:v>
                </c:pt>
                <c:pt idx="184">
                  <c:v>5.5532143063087371</c:v>
                </c:pt>
                <c:pt idx="185">
                  <c:v>5.5140268869403162</c:v>
                </c:pt>
                <c:pt idx="186">
                  <c:v>5.4763668953081153</c:v>
                </c:pt>
                <c:pt idx="187">
                  <c:v>5.4377217657841248</c:v>
                </c:pt>
                <c:pt idx="188">
                  <c:v>5.399349343707331</c:v>
                </c:pt>
                <c:pt idx="189">
                  <c:v>5.3624725828077882</c:v>
                </c:pt>
                <c:pt idx="190">
                  <c:v>5.324631172344767</c:v>
                </c:pt>
                <c:pt idx="191">
                  <c:v>5.288264725552497</c:v>
                </c:pt>
                <c:pt idx="192">
                  <c:v>5.2509469783702887</c:v>
                </c:pt>
                <c:pt idx="193">
                  <c:v>5.2138925716838811</c:v>
                </c:pt>
                <c:pt idx="194">
                  <c:v>5.1806488760925928</c:v>
                </c:pt>
                <c:pt idx="195">
                  <c:v>5.1440905426824557</c:v>
                </c:pt>
                <c:pt idx="196">
                  <c:v>5.1089571618040388</c:v>
                </c:pt>
                <c:pt idx="197">
                  <c:v>5.0729047359850918</c:v>
                </c:pt>
                <c:pt idx="198">
                  <c:v>5.038257543683466</c:v>
                </c:pt>
                <c:pt idx="199">
                  <c:v>5.0027040245213961</c:v>
                </c:pt>
                <c:pt idx="200">
                  <c:v>4.9674013962107448</c:v>
                </c:pt>
                <c:pt idx="201">
                  <c:v>4.9334747761831643</c:v>
                </c:pt>
                <c:pt idx="202">
                  <c:v>4.898660678557186</c:v>
                </c:pt>
                <c:pt idx="203">
                  <c:v>4.8652035475082975</c:v>
                </c:pt>
                <c:pt idx="204">
                  <c:v>4.8308712201006658</c:v>
                </c:pt>
                <c:pt idx="205">
                  <c:v>4.796781165949171</c:v>
                </c:pt>
                <c:pt idx="206">
                  <c:v>4.7651082871506087</c:v>
                </c:pt>
                <c:pt idx="207">
                  <c:v>4.7314823029035447</c:v>
                </c:pt>
                <c:pt idx="208">
                  <c:v>4.6991669755413792</c:v>
                </c:pt>
                <c:pt idx="209">
                  <c:v>4.6660063199650992</c:v>
                </c:pt>
                <c:pt idx="210">
                  <c:v>4.6341381839242919</c:v>
                </c:pt>
                <c:pt idx="211">
                  <c:v>4.6014364176304277</c:v>
                </c:pt>
                <c:pt idx="212">
                  <c:v>4.5689654181968287</c:v>
                </c:pt>
                <c:pt idx="213">
                  <c:v>4.5377600572246788</c:v>
                </c:pt>
                <c:pt idx="214">
                  <c:v>4.5057384033595076</c:v>
                </c:pt>
                <c:pt idx="215">
                  <c:v>4.4749648735877727</c:v>
                </c:pt>
                <c:pt idx="216">
                  <c:v>4.4433863470826793</c:v>
                </c:pt>
                <c:pt idx="217">
                  <c:v>4.4120306610611202</c:v>
                </c:pt>
                <c:pt idx="218">
                  <c:v>4.3838996241785599</c:v>
                </c:pt>
                <c:pt idx="219">
                  <c:v>4.3529637186712611</c:v>
                </c:pt>
                <c:pt idx="220">
                  <c:v>4.3232336174980697</c:v>
                </c:pt>
                <c:pt idx="221">
                  <c:v>4.2927258143678921</c:v>
                </c:pt>
                <c:pt idx="222">
                  <c:v>4.263407129210349</c:v>
                </c:pt>
                <c:pt idx="223">
                  <c:v>4.2333215042199939</c:v>
                </c:pt>
                <c:pt idx="224">
                  <c:v>4.2034481847410827</c:v>
                </c:pt>
                <c:pt idx="225">
                  <c:v>4.1747392526467042</c:v>
                </c:pt>
                <c:pt idx="226">
                  <c:v>4.1452793310907481</c:v>
                </c:pt>
                <c:pt idx="227">
                  <c:v>4.1169676837007509</c:v>
                </c:pt>
                <c:pt idx="228">
                  <c:v>4.087915439316065</c:v>
                </c:pt>
                <c:pt idx="229">
                  <c:v>4.0590682081762308</c:v>
                </c:pt>
                <c:pt idx="230">
                  <c:v>4.0331876542442755</c:v>
                </c:pt>
                <c:pt idx="231">
                  <c:v>4.0047266211775607</c:v>
                </c:pt>
                <c:pt idx="232">
                  <c:v>3.9773749280982238</c:v>
                </c:pt>
                <c:pt idx="233">
                  <c:v>3.9493077492184607</c:v>
                </c:pt>
                <c:pt idx="234">
                  <c:v>3.922334558873521</c:v>
                </c:pt>
                <c:pt idx="235">
                  <c:v>3.8946557838823943</c:v>
                </c:pt>
                <c:pt idx="236">
                  <c:v>3.8671723299617957</c:v>
                </c:pt>
                <c:pt idx="237">
                  <c:v>3.8407601124349688</c:v>
                </c:pt>
                <c:pt idx="238">
                  <c:v>3.813656984603488</c:v>
                </c:pt>
                <c:pt idx="239">
                  <c:v>3.7876102690046913</c:v>
                </c:pt>
                <c:pt idx="240">
                  <c:v>3.7608822041707803</c:v>
                </c:pt>
                <c:pt idx="241">
                  <c:v>3.7343427515221328</c:v>
                </c:pt>
                <c:pt idx="242">
                  <c:v>3.7105326419047335</c:v>
                </c:pt>
                <c:pt idx="243">
                  <c:v>3.6843484914833557</c:v>
                </c:pt>
                <c:pt idx="244">
                  <c:v>3.6591849338503661</c:v>
                </c:pt>
                <c:pt idx="245">
                  <c:v>3.6333631292809843</c:v>
                </c:pt>
                <c:pt idx="246">
                  <c:v>3.6085477941636395</c:v>
                </c:pt>
                <c:pt idx="247">
                  <c:v>3.5830833211718027</c:v>
                </c:pt>
                <c:pt idx="248">
                  <c:v>3.5577985435648523</c:v>
                </c:pt>
                <c:pt idx="249">
                  <c:v>3.5334993034401716</c:v>
                </c:pt>
                <c:pt idx="250">
                  <c:v>3.5085644258352091</c:v>
                </c:pt>
                <c:pt idx="251">
                  <c:v>3.4846014474843159</c:v>
                </c:pt>
                <c:pt idx="252">
                  <c:v>3.4600116278371176</c:v>
                </c:pt>
                <c:pt idx="253">
                  <c:v>3.4355953314003624</c:v>
                </c:pt>
                <c:pt idx="254">
                  <c:v>3.4129102868323931</c:v>
                </c:pt>
                <c:pt idx="255">
                  <c:v>3.3888263708695323</c:v>
                </c:pt>
                <c:pt idx="256">
                  <c:v>3.3656811858012117</c:v>
                </c:pt>
                <c:pt idx="257">
                  <c:v>3.3419305518776192</c:v>
                </c:pt>
                <c:pt idx="258">
                  <c:v>3.3191056583470497</c:v>
                </c:pt>
                <c:pt idx="259">
                  <c:v>3.295683694383948</c:v>
                </c:pt>
                <c:pt idx="260">
                  <c:v>3.2724270124131531</c:v>
                </c:pt>
                <c:pt idx="261">
                  <c:v>3.2500768178219088</c:v>
                </c:pt>
                <c:pt idx="262">
                  <c:v>3.2271419703237889</c:v>
                </c:pt>
                <c:pt idx="263">
                  <c:v>3.2051010659012573</c:v>
                </c:pt>
                <c:pt idx="264">
                  <c:v>3.1824835992126483</c:v>
                </c:pt>
                <c:pt idx="265">
                  <c:v>3.1600257374129002</c:v>
                </c:pt>
                <c:pt idx="266">
                  <c:v>3.139877463885802</c:v>
                </c:pt>
                <c:pt idx="267">
                  <c:v>3.1177202611999699</c:v>
                </c:pt>
                <c:pt idx="268">
                  <c:v>3.0964266909371148</c:v>
                </c:pt>
                <c:pt idx="269">
                  <c:v>3.0745761077274101</c:v>
                </c:pt>
                <c:pt idx="270">
                  <c:v>3.0535772056792858</c:v>
                </c:pt>
                <c:pt idx="271">
                  <c:v>3.0320289988332325</c:v>
                </c:pt>
                <c:pt idx="272">
                  <c:v>3.0106328514201017</c:v>
                </c:pt>
                <c:pt idx="273">
                  <c:v>2.9900706723961568</c:v>
                </c:pt>
                <c:pt idx="274">
                  <c:v>2.9689706126978863</c:v>
                </c:pt>
                <c:pt idx="275">
                  <c:v>2.9486929806291573</c:v>
                </c:pt>
                <c:pt idx="276">
                  <c:v>2.9278849112756373</c:v>
                </c:pt>
                <c:pt idx="277">
                  <c:v>2.9072236784198684</c:v>
                </c:pt>
                <c:pt idx="278">
                  <c:v>2.8886872667749381</c:v>
                </c:pt>
                <c:pt idx="279">
                  <c:v>2.8683026403039724</c:v>
                </c:pt>
                <c:pt idx="280">
                  <c:v>2.8487125556621455</c:v>
                </c:pt>
                <c:pt idx="281">
                  <c:v>2.8286100191092176</c:v>
                </c:pt>
                <c:pt idx="282">
                  <c:v>2.8092910292249438</c:v>
                </c:pt>
                <c:pt idx="283">
                  <c:v>2.7894666789265745</c:v>
                </c:pt>
                <c:pt idx="284">
                  <c:v>2.769782223306493</c:v>
                </c:pt>
                <c:pt idx="285">
                  <c:v>2.7508650186044639</c:v>
                </c:pt>
                <c:pt idx="286">
                  <c:v>2.7314529636820555</c:v>
                </c:pt>
                <c:pt idx="287">
                  <c:v>2.7127975421788246</c:v>
                </c:pt>
                <c:pt idx="288">
                  <c:v>2.6936541183735865</c:v>
                </c:pt>
                <c:pt idx="289">
                  <c:v>2.674645784146279</c:v>
                </c:pt>
                <c:pt idx="290">
                  <c:v>2.6575922854329432</c:v>
                </c:pt>
                <c:pt idx="291">
                  <c:v>2.6388384290796552</c:v>
                </c:pt>
                <c:pt idx="292">
                  <c:v>2.6208155512091746</c:v>
                </c:pt>
                <c:pt idx="293">
                  <c:v>2.6023212175804797</c:v>
                </c:pt>
                <c:pt idx="294">
                  <c:v>2.584547746886948</c:v>
                </c:pt>
                <c:pt idx="295">
                  <c:v>2.5663093446124483</c:v>
                </c:pt>
                <c:pt idx="296">
                  <c:v>2.5481996454419744</c:v>
                </c:pt>
                <c:pt idx="297">
                  <c:v>2.5307958171161076</c:v>
                </c:pt>
                <c:pt idx="298">
                  <c:v>2.5129367265874909</c:v>
                </c:pt>
                <c:pt idx="299">
                  <c:v>2.4957737388045187</c:v>
                </c:pt>
                <c:pt idx="300">
                  <c:v>2.4781617889036998</c:v>
                </c:pt>
                <c:pt idx="301">
                  <c:v>2.4606741214145775</c:v>
                </c:pt>
                <c:pt idx="302">
                  <c:v>2.4444264272809417</c:v>
                </c:pt>
                <c:pt idx="303">
                  <c:v>2.4271768204339157</c:v>
                </c:pt>
                <c:pt idx="304">
                  <c:v>2.4105995601808132</c:v>
                </c:pt>
                <c:pt idx="305">
                  <c:v>2.393588659703441</c:v>
                </c:pt>
                <c:pt idx="306">
                  <c:v>2.3772408016418738</c:v>
                </c:pt>
                <c:pt idx="307">
                  <c:v>2.3604653042280916</c:v>
                </c:pt>
                <c:pt idx="308">
                  <c:v>2.3438081866239133</c:v>
                </c:pt>
                <c:pt idx="309">
                  <c:v>2.3278003218627168</c:v>
                </c:pt>
                <c:pt idx="310">
                  <c:v>2.3113737115453108</c:v>
                </c:pt>
                <c:pt idx="311">
                  <c:v>2.2955873694725413</c:v>
                </c:pt>
                <c:pt idx="312">
                  <c:v>2.2793880765977508</c:v>
                </c:pt>
                <c:pt idx="313">
                  <c:v>2.2633030974246013</c:v>
                </c:pt>
                <c:pt idx="314">
                  <c:v>2.2488723130984667</c:v>
                </c:pt>
                <c:pt idx="315">
                  <c:v>2.2330026747992022</c:v>
                </c:pt>
                <c:pt idx="316">
                  <c:v>2.2177515953663476</c:v>
                </c:pt>
                <c:pt idx="317">
                  <c:v>2.202101566927166</c:v>
                </c:pt>
                <c:pt idx="318">
                  <c:v>2.1870615375105245</c:v>
                </c:pt>
                <c:pt idx="319">
                  <c:v>2.1716280798898451</c:v>
                </c:pt>
                <c:pt idx="320">
                  <c:v>2.1563035316939998</c:v>
                </c:pt>
                <c:pt idx="321">
                  <c:v>2.141576296113699</c:v>
                </c:pt>
                <c:pt idx="322">
                  <c:v>2.1264638146216854</c:v>
                </c:pt>
                <c:pt idx="323">
                  <c:v>2.111940379914738</c:v>
                </c:pt>
                <c:pt idx="324">
                  <c:v>2.0970370304699313</c:v>
                </c:pt>
                <c:pt idx="325">
                  <c:v>2.0822388496306328</c:v>
                </c:pt>
                <c:pt idx="326">
                  <c:v>2.0689625280505894</c:v>
                </c:pt>
                <c:pt idx="327">
                  <c:v>2.0543624608152662</c:v>
                </c:pt>
                <c:pt idx="328">
                  <c:v>2.0403314677370403</c:v>
                </c:pt>
                <c:pt idx="329">
                  <c:v>2.0259334415729926</c:v>
                </c:pt>
                <c:pt idx="330">
                  <c:v>2.0120966145096824</c:v>
                </c:pt>
                <c:pt idx="331">
                  <c:v>1.9978978334986572</c:v>
                </c:pt>
                <c:pt idx="332">
                  <c:v>1.9837992491584804</c:v>
                </c:pt>
                <c:pt idx="333">
                  <c:v>1.9702501924246036</c:v>
                </c:pt>
                <c:pt idx="334">
                  <c:v>1.9563467094519507</c:v>
                </c:pt>
                <c:pt idx="335">
                  <c:v>1.9429851495215589</c:v>
                </c:pt>
                <c:pt idx="336">
                  <c:v>1.9292740680323366</c:v>
                </c:pt>
                <c:pt idx="337">
                  <c:v>1.9156597416601828</c:v>
                </c:pt>
                <c:pt idx="338">
                  <c:v>1.9034455258065421</c:v>
                </c:pt>
                <c:pt idx="339">
                  <c:v>1.890013463950045</c:v>
                </c:pt>
                <c:pt idx="340">
                  <c:v>1.877104950318077</c:v>
                </c:pt>
                <c:pt idx="341">
                  <c:v>1.8638587662471535</c:v>
                </c:pt>
                <c:pt idx="342">
                  <c:v>1.8511288853489078</c:v>
                </c:pt>
                <c:pt idx="343">
                  <c:v>1.8380660068187644</c:v>
                </c:pt>
                <c:pt idx="344">
                  <c:v>1.8250953092258018</c:v>
                </c:pt>
                <c:pt idx="345">
                  <c:v>1.8126301770306352</c:v>
                </c:pt>
                <c:pt idx="346">
                  <c:v>1.7998389726957951</c:v>
                </c:pt>
                <c:pt idx="347">
                  <c:v>1.7875463375598344</c:v>
                </c:pt>
                <c:pt idx="348">
                  <c:v>1.77493214258975</c:v>
                </c:pt>
                <c:pt idx="349">
                  <c:v>1.7624069623273679</c:v>
                </c:pt>
                <c:pt idx="350">
                  <c:v>1.7507698873430451</c:v>
                </c:pt>
                <c:pt idx="351">
                  <c:v>1.7384152130933999</c:v>
                </c:pt>
                <c:pt idx="352">
                  <c:v>1.7265420931901494</c:v>
                </c:pt>
                <c:pt idx="353">
                  <c:v>1.7143583874422534</c:v>
                </c:pt>
                <c:pt idx="354">
                  <c:v>1.7026495721155483</c:v>
                </c:pt>
                <c:pt idx="355">
                  <c:v>1.6906344689447321</c:v>
                </c:pt>
                <c:pt idx="356">
                  <c:v>1.6787041528649114</c:v>
                </c:pt>
                <c:pt idx="357">
                  <c:v>1.6672388507098623</c:v>
                </c:pt>
                <c:pt idx="358">
                  <c:v>1.6554736307082019</c:v>
                </c:pt>
                <c:pt idx="359">
                  <c:v>1.6441669895985145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4B7-4B9E-979A-20983D203061}"/>
            </c:ext>
          </c:extLst>
        </c:ser>
        <c:ser>
          <c:idx val="1"/>
          <c:order val="10"/>
          <c:tx>
            <c:v>Gas base forecast</c:v>
          </c:tx>
          <c:spPr>
            <a:ln w="19050" cap="rnd">
              <a:solidFill>
                <a:schemeClr val="accent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'forecast production'!$O$7:$O$366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'forecast production'!$R$7:$R$366</c:f>
              <c:numCache>
                <c:formatCode>_(* #,##0_);_(* \(#,##0\);_(* "-"??_);_(@_)</c:formatCode>
                <c:ptCount val="360"/>
                <c:pt idx="0">
                  <c:v>250</c:v>
                </c:pt>
                <c:pt idx="1">
                  <c:v>241.17608056545268</c:v>
                </c:pt>
                <c:pt idx="2">
                  <c:v>233.72493728037074</c:v>
                </c:pt>
                <c:pt idx="3">
                  <c:v>225.99473831417077</c:v>
                </c:pt>
                <c:pt idx="4">
                  <c:v>218.98566085514156</c:v>
                </c:pt>
                <c:pt idx="5">
                  <c:v>212.18550777860943</c:v>
                </c:pt>
                <c:pt idx="6">
                  <c:v>205.99509718254021</c:v>
                </c:pt>
                <c:pt idx="7">
                  <c:v>199.96670002795017</c:v>
                </c:pt>
                <c:pt idx="8">
                  <c:v>194.28110990394026</c:v>
                </c:pt>
                <c:pt idx="9">
                  <c:v>189.07851965400101</c:v>
                </c:pt>
                <c:pt idx="10">
                  <c:v>183.98735135945904</c:v>
                </c:pt>
                <c:pt idx="11">
                  <c:v>179.31483278600899</c:v>
                </c:pt>
                <c:pt idx="12">
                  <c:v>174.72951150602466</c:v>
                </c:pt>
                <c:pt idx="13">
                  <c:v>170.37284877553924</c:v>
                </c:pt>
                <c:pt idx="14">
                  <c:v>166.48946126272969</c:v>
                </c:pt>
                <c:pt idx="15">
                  <c:v>162.52936378839158</c:v>
                </c:pt>
                <c:pt idx="16">
                  <c:v>158.87234662118468</c:v>
                </c:pt>
                <c:pt idx="17">
                  <c:v>155.26239092060885</c:v>
                </c:pt>
                <c:pt idx="18">
                  <c:v>151.92172530605299</c:v>
                </c:pt>
                <c:pt idx="19">
                  <c:v>148.61744436624448</c:v>
                </c:pt>
                <c:pt idx="20">
                  <c:v>145.4538392422125</c:v>
                </c:pt>
                <c:pt idx="21">
                  <c:v>142.51793714031311</c:v>
                </c:pt>
                <c:pt idx="22">
                  <c:v>139.60613852710608</c:v>
                </c:pt>
                <c:pt idx="23">
                  <c:v>136.89935961234082</c:v>
                </c:pt>
                <c:pt idx="24">
                  <c:v>134.21045705335172</c:v>
                </c:pt>
                <c:pt idx="25">
                  <c:v>131.62514768850764</c:v>
                </c:pt>
                <c:pt idx="26">
                  <c:v>129.37417566621133</c:v>
                </c:pt>
                <c:pt idx="27">
                  <c:v>126.97016401207293</c:v>
                </c:pt>
                <c:pt idx="28">
                  <c:v>124.72726391616615</c:v>
                </c:pt>
                <c:pt idx="29">
                  <c:v>122.49135490353704</c:v>
                </c:pt>
                <c:pt idx="30">
                  <c:v>120.40259681028866</c:v>
                </c:pt>
                <c:pt idx="31">
                  <c:v>118.31775519381934</c:v>
                </c:pt>
                <c:pt idx="32">
                  <c:v>116.30388517446382</c:v>
                </c:pt>
                <c:pt idx="33">
                  <c:v>114.41919501007219</c:v>
                </c:pt>
                <c:pt idx="34">
                  <c:v>112.53479539799044</c:v>
                </c:pt>
                <c:pt idx="35">
                  <c:v>110.76935401671048</c:v>
                </c:pt>
                <c:pt idx="36">
                  <c:v>109.0023290207277</c:v>
                </c:pt>
                <c:pt idx="37">
                  <c:v>107.29079501110549</c:v>
                </c:pt>
                <c:pt idx="38">
                  <c:v>105.79044516514875</c:v>
                </c:pt>
                <c:pt idx="39">
                  <c:v>104.17754364829139</c:v>
                </c:pt>
                <c:pt idx="40">
                  <c:v>102.66281742107438</c:v>
                </c:pt>
                <c:pt idx="41">
                  <c:v>101.14319001233319</c:v>
                </c:pt>
                <c:pt idx="42">
                  <c:v>99.714811938838196</c:v>
                </c:pt>
                <c:pt idx="43">
                  <c:v>98.280595336365067</c:v>
                </c:pt>
                <c:pt idx="44">
                  <c:v>96.887050943847356</c:v>
                </c:pt>
                <c:pt idx="45">
                  <c:v>95.575577439485514</c:v>
                </c:pt>
                <c:pt idx="46">
                  <c:v>94.257173070654858</c:v>
                </c:pt>
                <c:pt idx="47">
                  <c:v>93.015473686079815</c:v>
                </c:pt>
                <c:pt idx="48">
                  <c:v>91.766291802565036</c:v>
                </c:pt>
                <c:pt idx="49">
                  <c:v>90.550217882340917</c:v>
                </c:pt>
                <c:pt idx="50">
                  <c:v>89.479203655122717</c:v>
                </c:pt>
                <c:pt idx="51">
                  <c:v>88.322608707661303</c:v>
                </c:pt>
                <c:pt idx="52">
                  <c:v>87.231440297145568</c:v>
                </c:pt>
                <c:pt idx="53">
                  <c:v>86.131866969216389</c:v>
                </c:pt>
                <c:pt idx="54">
                  <c:v>85.093839528818719</c:v>
                </c:pt>
                <c:pt idx="55">
                  <c:v>84.047172556186112</c:v>
                </c:pt>
                <c:pt idx="56">
                  <c:v>83.025941044664506</c:v>
                </c:pt>
                <c:pt idx="57">
                  <c:v>82.06100727935484</c:v>
                </c:pt>
                <c:pt idx="58">
                  <c:v>81.08719241449738</c:v>
                </c:pt>
                <c:pt idx="59">
                  <c:v>80.166547209045888</c:v>
                </c:pt>
                <c:pt idx="60">
                  <c:v>79.236921627663989</c:v>
                </c:pt>
                <c:pt idx="61">
                  <c:v>78.328609104391333</c:v>
                </c:pt>
                <c:pt idx="62">
                  <c:v>77.497549862387132</c:v>
                </c:pt>
                <c:pt idx="63">
                  <c:v>76.628458657866929</c:v>
                </c:pt>
                <c:pt idx="64">
                  <c:v>75.805763071864689</c:v>
                </c:pt>
                <c:pt idx="65">
                  <c:v>74.973998933104156</c:v>
                </c:pt>
                <c:pt idx="66">
                  <c:v>74.186262340692167</c:v>
                </c:pt>
                <c:pt idx="67">
                  <c:v>73.389471117815759</c:v>
                </c:pt>
                <c:pt idx="68">
                  <c:v>72.609613754596452</c:v>
                </c:pt>
                <c:pt idx="69">
                  <c:v>71.870533080807036</c:v>
                </c:pt>
                <c:pt idx="70">
                  <c:v>71.122458463710245</c:v>
                </c:pt>
                <c:pt idx="71">
                  <c:v>70.413194877149564</c:v>
                </c:pt>
                <c:pt idx="72">
                  <c:v>69.694998916314631</c:v>
                </c:pt>
                <c:pt idx="73">
                  <c:v>68.991305847440159</c:v>
                </c:pt>
                <c:pt idx="74">
                  <c:v>68.367815550693365</c:v>
                </c:pt>
                <c:pt idx="75">
                  <c:v>67.690537565193694</c:v>
                </c:pt>
                <c:pt idx="76">
                  <c:v>67.047762375910153</c:v>
                </c:pt>
                <c:pt idx="77">
                  <c:v>66.396261197305407</c:v>
                </c:pt>
                <c:pt idx="78">
                  <c:v>65.777719064138239</c:v>
                </c:pt>
                <c:pt idx="79">
                  <c:v>65.150550628785652</c:v>
                </c:pt>
                <c:pt idx="80">
                  <c:v>64.535228919212244</c:v>
                </c:pt>
                <c:pt idx="81">
                  <c:v>63.950722661852183</c:v>
                </c:pt>
                <c:pt idx="82">
                  <c:v>63.357752944011899</c:v>
                </c:pt>
                <c:pt idx="83">
                  <c:v>62.794288182060889</c:v>
                </c:pt>
                <c:pt idx="84">
                  <c:v>62.222474278278618</c:v>
                </c:pt>
                <c:pt idx="85">
                  <c:v>61.660980439319538</c:v>
                </c:pt>
                <c:pt idx="86">
                  <c:v>61.162464518397321</c:v>
                </c:pt>
                <c:pt idx="87">
                  <c:v>60.619855303747265</c:v>
                </c:pt>
                <c:pt idx="88">
                  <c:v>60.103838366535854</c:v>
                </c:pt>
                <c:pt idx="89">
                  <c:v>59.579769549202432</c:v>
                </c:pt>
                <c:pt idx="90">
                  <c:v>59.081235026789479</c:v>
                </c:pt>
                <c:pt idx="91">
                  <c:v>58.574772325662984</c:v>
                </c:pt>
                <c:pt idx="92">
                  <c:v>58.076918934089086</c:v>
                </c:pt>
                <c:pt idx="93">
                  <c:v>57.603117457739465</c:v>
                </c:pt>
                <c:pt idx="94">
                  <c:v>57.121576243534747</c:v>
                </c:pt>
                <c:pt idx="95">
                  <c:v>56.663172743618794</c:v>
                </c:pt>
                <c:pt idx="96">
                  <c:v>56.197154938381459</c:v>
                </c:pt>
                <c:pt idx="97">
                  <c:v>55.738739992302882</c:v>
                </c:pt>
                <c:pt idx="98">
                  <c:v>55.331068974431858</c:v>
                </c:pt>
                <c:pt idx="99">
                  <c:v>54.886619053970058</c:v>
                </c:pt>
                <c:pt idx="100">
                  <c:v>54.463252151001996</c:v>
                </c:pt>
                <c:pt idx="101">
                  <c:v>54.032580217507885</c:v>
                </c:pt>
                <c:pt idx="102">
                  <c:v>53.622236785584548</c:v>
                </c:pt>
                <c:pt idx="103">
                  <c:v>53.204711948878604</c:v>
                </c:pt>
                <c:pt idx="104">
                  <c:v>52.793638916697084</c:v>
                </c:pt>
                <c:pt idx="105">
                  <c:v>52.401829471985124</c:v>
                </c:pt>
                <c:pt idx="106">
                  <c:v>52.003022877110944</c:v>
                </c:pt>
                <c:pt idx="107">
                  <c:v>51.622818462745641</c:v>
                </c:pt>
                <c:pt idx="108">
                  <c:v>51.235737337223291</c:v>
                </c:pt>
                <c:pt idx="109">
                  <c:v>50.854417876265657</c:v>
                </c:pt>
                <c:pt idx="110">
                  <c:v>50.502802577259359</c:v>
                </c:pt>
                <c:pt idx="111">
                  <c:v>50.132275297794301</c:v>
                </c:pt>
                <c:pt idx="112">
                  <c:v>49.778840710542795</c:v>
                </c:pt>
                <c:pt idx="113">
                  <c:v>49.418822504079088</c:v>
                </c:pt>
                <c:pt idx="114">
                  <c:v>49.07534161519775</c:v>
                </c:pt>
                <c:pt idx="115">
                  <c:v>48.725391643689079</c:v>
                </c:pt>
                <c:pt idx="116">
                  <c:v>48.380397231515623</c:v>
                </c:pt>
                <c:pt idx="117">
                  <c:v>48.051151553055291</c:v>
                </c:pt>
                <c:pt idx="118">
                  <c:v>47.715605962502806</c:v>
                </c:pt>
                <c:pt idx="119">
                  <c:v>47.395316445772899</c:v>
                </c:pt>
                <c:pt idx="120">
                  <c:v>47.06883674396498</c:v>
                </c:pt>
                <c:pt idx="121">
                  <c:v>46.746824141231151</c:v>
                </c:pt>
                <c:pt idx="122">
                  <c:v>46.459737822732762</c:v>
                </c:pt>
                <c:pt idx="123">
                  <c:v>46.145977590306181</c:v>
                </c:pt>
                <c:pt idx="124">
                  <c:v>45.846347485649737</c:v>
                </c:pt>
                <c:pt idx="125">
                  <c:v>45.540790232961768</c:v>
                </c:pt>
                <c:pt idx="126">
                  <c:v>45.248942816837967</c:v>
                </c:pt>
                <c:pt idx="127">
                  <c:v>44.951271008717349</c:v>
                </c:pt>
                <c:pt idx="128">
                  <c:v>44.657490093743434</c:v>
                </c:pt>
                <c:pt idx="129">
                  <c:v>44.376819227975609</c:v>
                </c:pt>
                <c:pt idx="130">
                  <c:v>44.090475126240072</c:v>
                </c:pt>
                <c:pt idx="131">
                  <c:v>43.816864519577926</c:v>
                </c:pt>
                <c:pt idx="132">
                  <c:v>43.537678378391632</c:v>
                </c:pt>
                <c:pt idx="133">
                  <c:v>43.262027469964842</c:v>
                </c:pt>
                <c:pt idx="134">
                  <c:v>43.016035528055426</c:v>
                </c:pt>
                <c:pt idx="135">
                  <c:v>42.746930008987277</c:v>
                </c:pt>
                <c:pt idx="136">
                  <c:v>42.48969186636964</c:v>
                </c:pt>
                <c:pt idx="137">
                  <c:v>42.227111500501167</c:v>
                </c:pt>
                <c:pt idx="138">
                  <c:v>41.976073170813486</c:v>
                </c:pt>
                <c:pt idx="139">
                  <c:v>41.719783474476699</c:v>
                </c:pt>
                <c:pt idx="140">
                  <c:v>41.466604397768513</c:v>
                </c:pt>
                <c:pt idx="141">
                  <c:v>41.224501083253642</c:v>
                </c:pt>
                <c:pt idx="142">
                  <c:v>40.977279817179934</c:v>
                </c:pt>
                <c:pt idx="143">
                  <c:v>40.740840355625096</c:v>
                </c:pt>
                <c:pt idx="144">
                  <c:v>40.499369048703194</c:v>
                </c:pt>
                <c:pt idx="145">
                  <c:v>40.260743281220194</c:v>
                </c:pt>
                <c:pt idx="146">
                  <c:v>40.04761451524822</c:v>
                </c:pt>
                <c:pt idx="147">
                  <c:v>39.814267273373801</c:v>
                </c:pt>
                <c:pt idx="148">
                  <c:v>39.591021989236879</c:v>
                </c:pt>
                <c:pt idx="149">
                  <c:v>39.362950160184702</c:v>
                </c:pt>
                <c:pt idx="150">
                  <c:v>39.144723541299804</c:v>
                </c:pt>
                <c:pt idx="151">
                  <c:v>38.92175022968452</c:v>
                </c:pt>
                <c:pt idx="152">
                  <c:v>38.701302699441641</c:v>
                </c:pt>
                <c:pt idx="153">
                  <c:v>38.490331057131932</c:v>
                </c:pt>
                <c:pt idx="154">
                  <c:v>38.274729906792274</c:v>
                </c:pt>
                <c:pt idx="155">
                  <c:v>38.068370970354295</c:v>
                </c:pt>
                <c:pt idx="156">
                  <c:v>37.857458122446594</c:v>
                </c:pt>
                <c:pt idx="157">
                  <c:v>37.648869467939356</c:v>
                </c:pt>
                <c:pt idx="158">
                  <c:v>37.455808397016682</c:v>
                </c:pt>
                <c:pt idx="159">
                  <c:v>37.251610380509796</c:v>
                </c:pt>
                <c:pt idx="160">
                  <c:v>37.056108152733977</c:v>
                </c:pt>
                <c:pt idx="161">
                  <c:v>36.856233350660339</c:v>
                </c:pt>
                <c:pt idx="162">
                  <c:v>36.664848438826574</c:v>
                </c:pt>
                <c:pt idx="163">
                  <c:v>36.469160995712414</c:v>
                </c:pt>
                <c:pt idx="164">
                  <c:v>36.275551307274156</c:v>
                </c:pt>
                <c:pt idx="165">
                  <c:v>36.090134382415307</c:v>
                </c:pt>
                <c:pt idx="166">
                  <c:v>35.900517717709214</c:v>
                </c:pt>
                <c:pt idx="167">
                  <c:v>35.739359643498695</c:v>
                </c:pt>
                <c:pt idx="168">
                  <c:v>35.552035827799365</c:v>
                </c:pt>
                <c:pt idx="169">
                  <c:v>35.365693848715971</c:v>
                </c:pt>
                <c:pt idx="170">
                  <c:v>35.198224592784335</c:v>
                </c:pt>
                <c:pt idx="171">
                  <c:v>35.013737075315298</c:v>
                </c:pt>
                <c:pt idx="172">
                  <c:v>34.836121504737839</c:v>
                </c:pt>
                <c:pt idx="173">
                  <c:v>34.653531909693989</c:v>
                </c:pt>
                <c:pt idx="174">
                  <c:v>34.477743566124012</c:v>
                </c:pt>
                <c:pt idx="175">
                  <c:v>34.29703236855547</c:v>
                </c:pt>
                <c:pt idx="176">
                  <c:v>34.117268348312038</c:v>
                </c:pt>
                <c:pt idx="177">
                  <c:v>33.944200330145478</c:v>
                </c:pt>
                <c:pt idx="178">
                  <c:v>33.766285639168018</c:v>
                </c:pt>
                <c:pt idx="179">
                  <c:v>33.59499806488877</c:v>
                </c:pt>
                <c:pt idx="180">
                  <c:v>33.418913678131403</c:v>
                </c:pt>
                <c:pt idx="181">
                  <c:v>33.243752217793009</c:v>
                </c:pt>
                <c:pt idx="182">
                  <c:v>33.086331117217277</c:v>
                </c:pt>
                <c:pt idx="183">
                  <c:v>32.912912850796374</c:v>
                </c:pt>
                <c:pt idx="184">
                  <c:v>32.745954214453569</c:v>
                </c:pt>
                <c:pt idx="185">
                  <c:v>32.574319995112347</c:v>
                </c:pt>
                <c:pt idx="186">
                  <c:v>32.40907895215657</c:v>
                </c:pt>
                <c:pt idx="187">
                  <c:v>32.239210426442142</c:v>
                </c:pt>
                <c:pt idx="188">
                  <c:v>32.070232247413308</c:v>
                </c:pt>
                <c:pt idx="189">
                  <c:v>31.90754831033675</c:v>
                </c:pt>
                <c:pt idx="190">
                  <c:v>31.740308500817935</c:v>
                </c:pt>
                <c:pt idx="191">
                  <c:v>31.579298180995441</c:v>
                </c:pt>
                <c:pt idx="192">
                  <c:v>31.413778857443511</c:v>
                </c:pt>
                <c:pt idx="193">
                  <c:v>31.249127084725426</c:v>
                </c:pt>
                <c:pt idx="194">
                  <c:v>31.101151250184238</c:v>
                </c:pt>
                <c:pt idx="195">
                  <c:v>30.93813807974859</c:v>
                </c:pt>
                <c:pt idx="196">
                  <c:v>30.78119696158635</c:v>
                </c:pt>
                <c:pt idx="197">
                  <c:v>30.619860795405604</c:v>
                </c:pt>
                <c:pt idx="198">
                  <c:v>30.464534215027168</c:v>
                </c:pt>
                <c:pt idx="199">
                  <c:v>30.304857800855608</c:v>
                </c:pt>
                <c:pt idx="200">
                  <c:v>30.146018312568508</c:v>
                </c:pt>
                <c:pt idx="201">
                  <c:v>29.993095411716542</c:v>
                </c:pt>
                <c:pt idx="202">
                  <c:v>29.835889990768859</c:v>
                </c:pt>
                <c:pt idx="203">
                  <c:v>29.684540290135711</c:v>
                </c:pt>
                <c:pt idx="204">
                  <c:v>29.528952125996899</c:v>
                </c:pt>
                <c:pt idx="205">
                  <c:v>29.374179459641898</c:v>
                </c:pt>
                <c:pt idx="206">
                  <c:v>29.230126615736555</c:v>
                </c:pt>
                <c:pt idx="207">
                  <c:v>29.076920209531952</c:v>
                </c:pt>
                <c:pt idx="208">
                  <c:v>28.929420564962669</c:v>
                </c:pt>
                <c:pt idx="209">
                  <c:v>28.777790275549098</c:v>
                </c:pt>
                <c:pt idx="210">
                  <c:v>28.631808039241236</c:v>
                </c:pt>
                <c:pt idx="211">
                  <c:v>28.481737652256641</c:v>
                </c:pt>
                <c:pt idx="212">
                  <c:v>28.33245384225031</c:v>
                </c:pt>
                <c:pt idx="213">
                  <c:v>28.188730681702602</c:v>
                </c:pt>
                <c:pt idx="214">
                  <c:v>28.040982634628179</c:v>
                </c:pt>
                <c:pt idx="215">
                  <c:v>27.898738031617398</c:v>
                </c:pt>
                <c:pt idx="216">
                  <c:v>27.752509948254716</c:v>
                </c:pt>
                <c:pt idx="217">
                  <c:v>27.607048302869963</c:v>
                </c:pt>
                <c:pt idx="218">
                  <c:v>27.47631901879236</c:v>
                </c:pt>
                <c:pt idx="219">
                  <c:v>27.332304996960033</c:v>
                </c:pt>
                <c:pt idx="220">
                  <c:v>27.19365533106491</c:v>
                </c:pt>
                <c:pt idx="221">
                  <c:v>27.05112285901615</c:v>
                </c:pt>
                <c:pt idx="222">
                  <c:v>26.913899556886761</c:v>
                </c:pt>
                <c:pt idx="223">
                  <c:v>26.772833393121243</c:v>
                </c:pt>
                <c:pt idx="224">
                  <c:v>26.632506611715289</c:v>
                </c:pt>
                <c:pt idx="225">
                  <c:v>26.497406840800444</c:v>
                </c:pt>
                <c:pt idx="226">
                  <c:v>26.358523676550487</c:v>
                </c:pt>
                <c:pt idx="227">
                  <c:v>26.224813749720354</c:v>
                </c:pt>
                <c:pt idx="228">
                  <c:v>26.087359351359432</c:v>
                </c:pt>
                <c:pt idx="229">
                  <c:v>25.950625404697764</c:v>
                </c:pt>
                <c:pt idx="230">
                  <c:v>25.827739877664822</c:v>
                </c:pt>
                <c:pt idx="231">
                  <c:v>25.692366697142429</c:v>
                </c:pt>
                <c:pt idx="232">
                  <c:v>25.562036011201013</c:v>
                </c:pt>
                <c:pt idx="233">
                  <c:v>25.428055487475181</c:v>
                </c:pt>
                <c:pt idx="234">
                  <c:v>25.299065583473553</c:v>
                </c:pt>
                <c:pt idx="235">
                  <c:v>25.166463389533966</c:v>
                </c:pt>
                <c:pt idx="236">
                  <c:v>25.034556215012373</c:v>
                </c:pt>
                <c:pt idx="237">
                  <c:v>24.907562430352414</c:v>
                </c:pt>
                <c:pt idx="238">
                  <c:v>24.777012255957459</c:v>
                </c:pt>
                <c:pt idx="239">
                  <c:v>24.651324924737136</c:v>
                </c:pt>
                <c:pt idx="240">
                  <c:v>24.522117790277861</c:v>
                </c:pt>
                <c:pt idx="241">
                  <c:v>24.393587880415897</c:v>
                </c:pt>
                <c:pt idx="242">
                  <c:v>24.27807548500493</c:v>
                </c:pt>
                <c:pt idx="243">
                  <c:v>24.150824695313883</c:v>
                </c:pt>
                <c:pt idx="244">
                  <c:v>24.028313850528953</c:v>
                </c:pt>
                <c:pt idx="245">
                  <c:v>23.902372158226669</c:v>
                </c:pt>
                <c:pt idx="246">
                  <c:v>23.781121648465138</c:v>
                </c:pt>
                <c:pt idx="247">
                  <c:v>23.656475586161925</c:v>
                </c:pt>
                <c:pt idx="248">
                  <c:v>23.532482842111627</c:v>
                </c:pt>
                <c:pt idx="249">
                  <c:v>23.41310868453127</c:v>
                </c:pt>
                <c:pt idx="250">
                  <c:v>23.290391520600011</c:v>
                </c:pt>
                <c:pt idx="251">
                  <c:v>23.172245429252904</c:v>
                </c:pt>
                <c:pt idx="252">
                  <c:v>23.050790722861187</c:v>
                </c:pt>
                <c:pt idx="253">
                  <c:v>22.92997260759094</c:v>
                </c:pt>
                <c:pt idx="254">
                  <c:v>22.817522563860074</c:v>
                </c:pt>
                <c:pt idx="255">
                  <c:v>22.697927097290339</c:v>
                </c:pt>
                <c:pt idx="256">
                  <c:v>22.582786423684464</c:v>
                </c:pt>
                <c:pt idx="257">
                  <c:v>22.464421300072711</c:v>
                </c:pt>
                <c:pt idx="258">
                  <c:v>22.350465140571021</c:v>
                </c:pt>
                <c:pt idx="259">
                  <c:v>22.233317702716796</c:v>
                </c:pt>
                <c:pt idx="260">
                  <c:v>22.116784279922637</c:v>
                </c:pt>
                <c:pt idx="261">
                  <c:v>22.004591592499207</c:v>
                </c:pt>
                <c:pt idx="262">
                  <c:v>21.88925701177002</c:v>
                </c:pt>
                <c:pt idx="263">
                  <c:v>21.778218510929644</c:v>
                </c:pt>
                <c:pt idx="264">
                  <c:v>21.664070439131635</c:v>
                </c:pt>
                <c:pt idx="265">
                  <c:v>21.550520661555371</c:v>
                </c:pt>
                <c:pt idx="266">
                  <c:v>21.448471210028469</c:v>
                </c:pt>
                <c:pt idx="267">
                  <c:v>21.336051471452915</c:v>
                </c:pt>
                <c:pt idx="268">
                  <c:v>21.227819238263393</c:v>
                </c:pt>
                <c:pt idx="269">
                  <c:v>21.116556022068345</c:v>
                </c:pt>
                <c:pt idx="270">
                  <c:v>21.009437232136762</c:v>
                </c:pt>
                <c:pt idx="271">
                  <c:v>20.899318640553783</c:v>
                </c:pt>
                <c:pt idx="272">
                  <c:v>20.789777223127274</c:v>
                </c:pt>
                <c:pt idx="273">
                  <c:v>20.684316096949249</c:v>
                </c:pt>
                <c:pt idx="274">
                  <c:v>20.575901591063822</c:v>
                </c:pt>
                <c:pt idx="275">
                  <c:v>20.471525400273869</c:v>
                </c:pt>
                <c:pt idx="276">
                  <c:v>20.364226212783734</c:v>
                </c:pt>
                <c:pt idx="277">
                  <c:v>20.257489421862047</c:v>
                </c:pt>
                <c:pt idx="278">
                  <c:v>20.161562937426762</c:v>
                </c:pt>
                <c:pt idx="279">
                  <c:v>20.05588838316574</c:v>
                </c:pt>
                <c:pt idx="280">
                  <c:v>19.954150083967587</c:v>
                </c:pt>
                <c:pt idx="281">
                  <c:v>19.84956266074424</c:v>
                </c:pt>
                <c:pt idx="282">
                  <c:v>19.748870998208549</c:v>
                </c:pt>
                <c:pt idx="283">
                  <c:v>19.645359522120557</c:v>
                </c:pt>
                <c:pt idx="284">
                  <c:v>19.542390589739636</c:v>
                </c:pt>
                <c:pt idx="285">
                  <c:v>19.443257131132295</c:v>
                </c:pt>
                <c:pt idx="286">
                  <c:v>19.34134749559999</c:v>
                </c:pt>
                <c:pt idx="287">
                  <c:v>19.243233876257431</c:v>
                </c:pt>
                <c:pt idx="288">
                  <c:v>19.14237264001671</c:v>
                </c:pt>
                <c:pt idx="289">
                  <c:v>19.042040056550324</c:v>
                </c:pt>
                <c:pt idx="290">
                  <c:v>18.951869161181151</c:v>
                </c:pt>
                <c:pt idx="291">
                  <c:v>18.852535080175794</c:v>
                </c:pt>
                <c:pt idx="292">
                  <c:v>18.756901078929531</c:v>
                </c:pt>
                <c:pt idx="293">
                  <c:v>18.658588901099588</c:v>
                </c:pt>
                <c:pt idx="294">
                  <c:v>18.563938738316036</c:v>
                </c:pt>
                <c:pt idx="295">
                  <c:v>18.46663795079332</c:v>
                </c:pt>
                <c:pt idx="296">
                  <c:v>18.369847154355259</c:v>
                </c:pt>
                <c:pt idx="297">
                  <c:v>18.276661703264356</c:v>
                </c:pt>
                <c:pt idx="298">
                  <c:v>18.18086664586399</c:v>
                </c:pt>
                <c:pt idx="299">
                  <c:v>18.088639843681985</c:v>
                </c:pt>
                <c:pt idx="300">
                  <c:v>17.993830281615704</c:v>
                </c:pt>
                <c:pt idx="301">
                  <c:v>17.899517653157304</c:v>
                </c:pt>
                <c:pt idx="302">
                  <c:v>17.811737280397825</c:v>
                </c:pt>
                <c:pt idx="303">
                  <c:v>17.718379071832242</c:v>
                </c:pt>
                <c:pt idx="304">
                  <c:v>17.628498348681163</c:v>
                </c:pt>
                <c:pt idx="305">
                  <c:v>17.536100566273635</c:v>
                </c:pt>
                <c:pt idx="306">
                  <c:v>17.447144494515783</c:v>
                </c:pt>
                <c:pt idx="307">
                  <c:v>17.355697257845307</c:v>
                </c:pt>
                <c:pt idx="308">
                  <c:v>17.264729331534031</c:v>
                </c:pt>
                <c:pt idx="309">
                  <c:v>17.17714985538472</c:v>
                </c:pt>
                <c:pt idx="310">
                  <c:v>17.08711776511096</c:v>
                </c:pt>
                <c:pt idx="311">
                  <c:v>17.000439266187918</c:v>
                </c:pt>
                <c:pt idx="312">
                  <c:v>16.911333384502473</c:v>
                </c:pt>
                <c:pt idx="313">
                  <c:v>16.822694541228607</c:v>
                </c:pt>
                <c:pt idx="314">
                  <c:v>16.743033043573956</c:v>
                </c:pt>
                <c:pt idx="315">
                  <c:v>16.655276327522305</c:v>
                </c:pt>
                <c:pt idx="316">
                  <c:v>16.57078844776029</c:v>
                </c:pt>
                <c:pt idx="317">
                  <c:v>16.483934532297216</c:v>
                </c:pt>
                <c:pt idx="318">
                  <c:v>16.400315824844832</c:v>
                </c:pt>
                <c:pt idx="319">
                  <c:v>16.314355422374586</c:v>
                </c:pt>
                <c:pt idx="320">
                  <c:v>16.228845571641987</c:v>
                </c:pt>
                <c:pt idx="321">
                  <c:v>16.146520864061635</c:v>
                </c:pt>
                <c:pt idx="322">
                  <c:v>16.061890699204302</c:v>
                </c:pt>
                <c:pt idx="323">
                  <c:v>15.980412910216641</c:v>
                </c:pt>
                <c:pt idx="324">
                  <c:v>15.896653381432326</c:v>
                </c:pt>
                <c:pt idx="325">
                  <c:v>15.813332868754891</c:v>
                </c:pt>
                <c:pt idx="326">
                  <c:v>15.738451060959518</c:v>
                </c:pt>
                <c:pt idx="327">
                  <c:v>15.655959747870968</c:v>
                </c:pt>
                <c:pt idx="328">
                  <c:v>15.576541140894673</c:v>
                </c:pt>
                <c:pt idx="329">
                  <c:v>15.494898460359384</c:v>
                </c:pt>
                <c:pt idx="330">
                  <c:v>15.416296875354142</c:v>
                </c:pt>
                <c:pt idx="331">
                  <c:v>15.335494097032109</c:v>
                </c:pt>
                <c:pt idx="332">
                  <c:v>15.255114837343465</c:v>
                </c:pt>
                <c:pt idx="333">
                  <c:v>15.177729612217938</c:v>
                </c:pt>
                <c:pt idx="334">
                  <c:v>15.098177257252042</c:v>
                </c:pt>
                <c:pt idx="335">
                  <c:v>15.021588135603642</c:v>
                </c:pt>
                <c:pt idx="336">
                  <c:v>14.942854178546385</c:v>
                </c:pt>
                <c:pt idx="337">
                  <c:v>14.864532896629596</c:v>
                </c:pt>
                <c:pt idx="338">
                  <c:v>14.794143997301944</c:v>
                </c:pt>
                <c:pt idx="339">
                  <c:v>14.71660216299871</c:v>
                </c:pt>
                <c:pt idx="340">
                  <c:v>14.641948672440991</c:v>
                </c:pt>
                <c:pt idx="341">
                  <c:v>14.565204552737818</c:v>
                </c:pt>
                <c:pt idx="342">
                  <c:v>14.491319062832893</c:v>
                </c:pt>
                <c:pt idx="343">
                  <c:v>14.415364451210182</c:v>
                </c:pt>
                <c:pt idx="344">
                  <c:v>14.339807947102857</c:v>
                </c:pt>
                <c:pt idx="345">
                  <c:v>14.267065835484859</c:v>
                </c:pt>
                <c:pt idx="346">
                  <c:v>14.192286621816919</c:v>
                </c:pt>
                <c:pt idx="347">
                  <c:v>14.120292847467423</c:v>
                </c:pt>
                <c:pt idx="348">
                  <c:v>14.046282927833602</c:v>
                </c:pt>
                <c:pt idx="349">
                  <c:v>13.972660922831819</c:v>
                </c:pt>
                <c:pt idx="350">
                  <c:v>13.904138105177477</c:v>
                </c:pt>
                <c:pt idx="351">
                  <c:v>13.831261136203969</c:v>
                </c:pt>
                <c:pt idx="352">
                  <c:v>13.761098750131659</c:v>
                </c:pt>
                <c:pt idx="353">
                  <c:v>13.68897150577688</c:v>
                </c:pt>
                <c:pt idx="354">
                  <c:v>13.619530917947388</c:v>
                </c:pt>
                <c:pt idx="355">
                  <c:v>13.548145685390514</c:v>
                </c:pt>
                <c:pt idx="356">
                  <c:v>13.477134610464907</c:v>
                </c:pt>
                <c:pt idx="357">
                  <c:v>13.408768616042831</c:v>
                </c:pt>
                <c:pt idx="358">
                  <c:v>13.338488070279233</c:v>
                </c:pt>
                <c:pt idx="359">
                  <c:v>13.270825393651851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4B7-4B9E-979A-20983D203061}"/>
            </c:ext>
          </c:extLst>
        </c:ser>
        <c:ser>
          <c:idx val="2"/>
          <c:order val="11"/>
          <c:tx>
            <c:v>Water base forecast</c:v>
          </c:tx>
          <c:spPr>
            <a:ln w="190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'forecast production'!$O$7:$O$366</c:f>
              <c:numCache>
                <c:formatCode>[$-409]mmmm\ yyyy;@</c:formatCode>
                <c:ptCount val="3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  <c:pt idx="336">
                  <c:v>53693</c:v>
                </c:pt>
                <c:pt idx="337">
                  <c:v>53724</c:v>
                </c:pt>
                <c:pt idx="338">
                  <c:v>53752</c:v>
                </c:pt>
                <c:pt idx="339">
                  <c:v>53783</c:v>
                </c:pt>
                <c:pt idx="340">
                  <c:v>53813</c:v>
                </c:pt>
                <c:pt idx="341">
                  <c:v>53844</c:v>
                </c:pt>
                <c:pt idx="342">
                  <c:v>53874</c:v>
                </c:pt>
                <c:pt idx="343">
                  <c:v>53905</c:v>
                </c:pt>
                <c:pt idx="344">
                  <c:v>53936</c:v>
                </c:pt>
                <c:pt idx="345">
                  <c:v>53966</c:v>
                </c:pt>
                <c:pt idx="346">
                  <c:v>53997</c:v>
                </c:pt>
                <c:pt idx="347">
                  <c:v>54027</c:v>
                </c:pt>
                <c:pt idx="348">
                  <c:v>54058</c:v>
                </c:pt>
                <c:pt idx="349">
                  <c:v>54089</c:v>
                </c:pt>
                <c:pt idx="350">
                  <c:v>54118</c:v>
                </c:pt>
                <c:pt idx="351">
                  <c:v>54149</c:v>
                </c:pt>
                <c:pt idx="352">
                  <c:v>54179</c:v>
                </c:pt>
                <c:pt idx="353">
                  <c:v>54210</c:v>
                </c:pt>
                <c:pt idx="354">
                  <c:v>54240</c:v>
                </c:pt>
                <c:pt idx="355">
                  <c:v>54271</c:v>
                </c:pt>
                <c:pt idx="356">
                  <c:v>54302</c:v>
                </c:pt>
                <c:pt idx="357">
                  <c:v>54332</c:v>
                </c:pt>
                <c:pt idx="358">
                  <c:v>54363</c:v>
                </c:pt>
                <c:pt idx="359">
                  <c:v>54393</c:v>
                </c:pt>
              </c:numCache>
            </c:numRef>
          </c:xVal>
          <c:yVal>
            <c:numRef>
              <c:f>'forecast production'!$S$7:$S$366</c:f>
              <c:numCache>
                <c:formatCode>_(* #,##0_);_(* \(#,##0\);_(* "-"??_);_(@_)</c:formatCode>
                <c:ptCount val="360"/>
                <c:pt idx="0">
                  <c:v>50</c:v>
                </c:pt>
                <c:pt idx="1">
                  <c:v>48.203870051608732</c:v>
                </c:pt>
                <c:pt idx="2">
                  <c:v>46.637349977651233</c:v>
                </c:pt>
                <c:pt idx="3">
                  <c:v>44.96258760127477</c:v>
                </c:pt>
                <c:pt idx="4">
                  <c:v>43.39941090445604</c:v>
                </c:pt>
                <c:pt idx="5">
                  <c:v>41.841474346452259</c:v>
                </c:pt>
                <c:pt idx="6">
                  <c:v>40.387320710804048</c:v>
                </c:pt>
                <c:pt idx="7">
                  <c:v>38.938022906600345</c:v>
                </c:pt>
                <c:pt idx="8">
                  <c:v>37.540983746709749</c:v>
                </c:pt>
                <c:pt idx="9">
                  <c:v>36.236983671091608</c:v>
                </c:pt>
                <c:pt idx="10">
                  <c:v>34.937312568838514</c:v>
                </c:pt>
                <c:pt idx="11">
                  <c:v>33.7241803474218</c:v>
                </c:pt>
                <c:pt idx="12">
                  <c:v>32.515059753095528</c:v>
                </c:pt>
                <c:pt idx="13">
                  <c:v>31.349498952715383</c:v>
                </c:pt>
                <c:pt idx="14">
                  <c:v>30.29717298471602</c:v>
                </c:pt>
                <c:pt idx="15">
                  <c:v>29.211492910271961</c:v>
                </c:pt>
                <c:pt idx="16">
                  <c:v>28.198070333505914</c:v>
                </c:pt>
                <c:pt idx="17">
                  <c:v>27.187966364643973</c:v>
                </c:pt>
                <c:pt idx="18">
                  <c:v>26.245077710517975</c:v>
                </c:pt>
                <c:pt idx="19">
                  <c:v>25.305264528111458</c:v>
                </c:pt>
                <c:pt idx="20">
                  <c:v>24.399267427182373</c:v>
                </c:pt>
                <c:pt idx="21">
                  <c:v>23.553541557218598</c:v>
                </c:pt>
                <c:pt idx="22">
                  <c:v>22.710557799773163</c:v>
                </c:pt>
                <c:pt idx="23">
                  <c:v>21.923643153606172</c:v>
                </c:pt>
                <c:pt idx="24">
                  <c:v>21.13926980300365</c:v>
                </c:pt>
                <c:pt idx="25">
                  <c:v>20.383094632745951</c:v>
                </c:pt>
                <c:pt idx="26">
                  <c:v>19.723486639582742</c:v>
                </c:pt>
                <c:pt idx="27">
                  <c:v>19.018195662544148</c:v>
                </c:pt>
                <c:pt idx="28">
                  <c:v>18.359794437784302</c:v>
                </c:pt>
                <c:pt idx="29">
                  <c:v>17.703498522213689</c:v>
                </c:pt>
                <c:pt idx="30">
                  <c:v>17.090827127208993</c:v>
                </c:pt>
                <c:pt idx="31">
                  <c:v>16.480106945878568</c:v>
                </c:pt>
                <c:pt idx="32">
                  <c:v>15.891315303961013</c:v>
                </c:pt>
                <c:pt idx="33">
                  <c:v>15.34165043838383</c:v>
                </c:pt>
                <c:pt idx="34">
                  <c:v>14.793725486860563</c:v>
                </c:pt>
                <c:pt idx="35">
                  <c:v>14.282205026682595</c:v>
                </c:pt>
                <c:pt idx="36">
                  <c:v>13.772297179288524</c:v>
                </c:pt>
                <c:pt idx="37">
                  <c:v>13.28068197414235</c:v>
                </c:pt>
                <c:pt idx="38">
                  <c:v>12.851816393095474</c:v>
                </c:pt>
                <c:pt idx="39">
                  <c:v>12.393214386417208</c:v>
                </c:pt>
                <c:pt idx="40">
                  <c:v>11.965068571131056</c:v>
                </c:pt>
                <c:pt idx="41">
                  <c:v>11.538258950329086</c:v>
                </c:pt>
                <c:pt idx="42">
                  <c:v>11.139789042219109</c:v>
                </c:pt>
                <c:pt idx="43">
                  <c:v>10.742557616794631</c:v>
                </c:pt>
                <c:pt idx="44">
                  <c:v>10.359559263118944</c:v>
                </c:pt>
                <c:pt idx="45">
                  <c:v>10.001984681438795</c:v>
                </c:pt>
                <c:pt idx="46">
                  <c:v>9.6455145840470067</c:v>
                </c:pt>
                <c:pt idx="47">
                  <c:v>9.3127030236753683</c:v>
                </c:pt>
                <c:pt idx="48">
                  <c:v>8.9809152096530038</c:v>
                </c:pt>
                <c:pt idx="49">
                  <c:v>8.661005129344634</c:v>
                </c:pt>
                <c:pt idx="50">
                  <c:v>8.3819075549926172</c:v>
                </c:pt>
                <c:pt idx="51">
                  <c:v>8.0834359496752111</c:v>
                </c:pt>
                <c:pt idx="52">
                  <c:v>7.8047647533021127</c:v>
                </c:pt>
                <c:pt idx="53">
                  <c:v>7.5269419675546789</c:v>
                </c:pt>
                <c:pt idx="54">
                  <c:v>7.2675464452489935</c:v>
                </c:pt>
                <c:pt idx="55">
                  <c:v>7.0089373451132202</c:v>
                </c:pt>
                <c:pt idx="56">
                  <c:v>6.7595749789058415</c:v>
                </c:pt>
                <c:pt idx="57">
                  <c:v>6.5267476849253629</c:v>
                </c:pt>
                <c:pt idx="58">
                  <c:v>6.2946217962309099</c:v>
                </c:pt>
                <c:pt idx="59">
                  <c:v>6.0778852729471584</c:v>
                </c:pt>
                <c:pt idx="60">
                  <c:v>5.8617989248608611</c:v>
                </c:pt>
                <c:pt idx="61">
                  <c:v>5.6534321057340744</c:v>
                </c:pt>
                <c:pt idx="62">
                  <c:v>5.4652512434232543</c:v>
                </c:pt>
                <c:pt idx="63">
                  <c:v>5.2710471311428568</c:v>
                </c:pt>
                <c:pt idx="64">
                  <c:v>5.0897125058915202</c:v>
                </c:pt>
                <c:pt idx="65">
                  <c:v>4.9089161176312004</c:v>
                </c:pt>
                <c:pt idx="66">
                  <c:v>4.7400985663060222</c:v>
                </c:pt>
                <c:pt idx="67">
                  <c:v>4.571779957594261</c:v>
                </c:pt>
                <c:pt idx="68">
                  <c:v>4.4094670764332564</c:v>
                </c:pt>
                <c:pt idx="69">
                  <c:v>4.2579054823731957</c:v>
                </c:pt>
                <c:pt idx="70">
                  <c:v>4.1067889339474428</c:v>
                </c:pt>
                <c:pt idx="71">
                  <c:v>3.965680256262603</c:v>
                </c:pt>
                <c:pt idx="72">
                  <c:v>3.8249841436113194</c:v>
                </c:pt>
                <c:pt idx="73">
                  <c:v>3.6893037742770018</c:v>
                </c:pt>
                <c:pt idx="74">
                  <c:v>3.570915324981323</c:v>
                </c:pt>
                <c:pt idx="75">
                  <c:v>3.4442900587628738</c:v>
                </c:pt>
                <c:pt idx="76">
                  <c:v>3.3260469843436784</c:v>
                </c:pt>
                <c:pt idx="77">
                  <c:v>3.2081459203619378</c:v>
                </c:pt>
                <c:pt idx="78">
                  <c:v>3.0980481379240494</c:v>
                </c:pt>
                <c:pt idx="79">
                  <c:v>2.9882674155687603</c:v>
                </c:pt>
                <c:pt idx="80">
                  <c:v>2.882395578290232</c:v>
                </c:pt>
                <c:pt idx="81">
                  <c:v>2.783528979677544</c:v>
                </c:pt>
                <c:pt idx="82">
                  <c:v>2.6849452157961351</c:v>
                </c:pt>
                <c:pt idx="83">
                  <c:v>2.5928832945003779</c:v>
                </c:pt>
                <c:pt idx="84">
                  <c:v>2.5010835805242988</c:v>
                </c:pt>
                <c:pt idx="85">
                  <c:v>2.4125496595162006</c:v>
                </c:pt>
                <c:pt idx="86">
                  <c:v>2.3352933684822181</c:v>
                </c:pt>
                <c:pt idx="87">
                  <c:v>2.2526559605507321</c:v>
                </c:pt>
                <c:pt idx="88">
                  <c:v>2.1754830441875086</c:v>
                </c:pt>
                <c:pt idx="89">
                  <c:v>2.0985275230426153</c:v>
                </c:pt>
                <c:pt idx="90">
                  <c:v>2.0266598651206085</c:v>
                </c:pt>
                <c:pt idx="91">
                  <c:v>1.9549937535938082</c:v>
                </c:pt>
                <c:pt idx="92">
                  <c:v>1.8858740962802594</c:v>
                </c:pt>
                <c:pt idx="93">
                  <c:v>1.8213230114199883</c:v>
                </c:pt>
                <c:pt idx="94">
                  <c:v>1.7569517307836247</c:v>
                </c:pt>
                <c:pt idx="95">
                  <c:v>1.6968344136595699</c:v>
                </c:pt>
                <c:pt idx="96">
                  <c:v>1.6368837958394042</c:v>
                </c:pt>
                <c:pt idx="97">
                  <c:v>1.579061498314863</c:v>
                </c:pt>
                <c:pt idx="98">
                  <c:v>1.5286010382722428</c:v>
                </c:pt>
                <c:pt idx="99">
                  <c:v>1.4746219312934663</c:v>
                </c:pt>
                <c:pt idx="100">
                  <c:v>1.4242084525227905</c:v>
                </c:pt>
                <c:pt idx="101">
                  <c:v>1.373933200217661</c:v>
                </c:pt>
                <c:pt idx="102">
                  <c:v>1.3269783251643683</c:v>
                </c:pt>
                <c:pt idx="103">
                  <c:v>1.2801516054260333</c:v>
                </c:pt>
                <c:pt idx="104">
                  <c:v>1.2349852862048216</c:v>
                </c:pt>
                <c:pt idx="105">
                  <c:v>1.1928011310151203</c:v>
                </c:pt>
                <c:pt idx="106">
                  <c:v>1.1507313140356681</c:v>
                </c:pt>
                <c:pt idx="107">
                  <c:v>1.1114387175437095</c:v>
                </c:pt>
                <c:pt idx="108">
                  <c:v>1.0722521305001211</c:v>
                </c:pt>
                <c:pt idx="109">
                  <c:v>1.0344538284939186</c:v>
                </c:pt>
                <c:pt idx="110">
                  <c:v>1.0003071476136278</c:v>
                </c:pt>
                <c:pt idx="111">
                  <c:v>0.96505702515673641</c:v>
                </c:pt>
                <c:pt idx="112">
                  <c:v>0.93213289593167803</c:v>
                </c:pt>
                <c:pt idx="113">
                  <c:v>0.89929656973650363</c:v>
                </c:pt>
                <c:pt idx="114">
                  <c:v>0.86862657759357742</c:v>
                </c:pt>
                <c:pt idx="115">
                  <c:v>0.83803799450360406</c:v>
                </c:pt>
                <c:pt idx="116">
                  <c:v>0.80853177951405064</c:v>
                </c:pt>
                <c:pt idx="117">
                  <c:v>0.78097167900696463</c:v>
                </c:pt>
                <c:pt idx="118">
                  <c:v>0.75348421475003591</c:v>
                </c:pt>
                <c:pt idx="119">
                  <c:v>0.72780939528558752</c:v>
                </c:pt>
                <c:pt idx="120">
                  <c:v>0.70220192359095168</c:v>
                </c:pt>
                <c:pt idx="121">
                  <c:v>0.67749977830495312</c:v>
                </c:pt>
                <c:pt idx="122">
                  <c:v>0.65593953637100466</c:v>
                </c:pt>
                <c:pt idx="123">
                  <c:v>0.6328725360834383</c:v>
                </c:pt>
                <c:pt idx="124">
                  <c:v>0.61132601008643539</c:v>
                </c:pt>
                <c:pt idx="125">
                  <c:v>0.58983533954111511</c:v>
                </c:pt>
                <c:pt idx="126">
                  <c:v>0.56976098842225087</c:v>
                </c:pt>
                <c:pt idx="127">
                  <c:v>0.54973842703654419</c:v>
                </c:pt>
                <c:pt idx="128">
                  <c:v>0.5304228928057233</c:v>
                </c:pt>
                <c:pt idx="129">
                  <c:v>0.51237998912425131</c:v>
                </c:pt>
                <c:pt idx="130">
                  <c:v>0.49438329650328261</c:v>
                </c:pt>
                <c:pt idx="131">
                  <c:v>0.47757213157594347</c:v>
                </c:pt>
                <c:pt idx="132">
                  <c:v>0.46080381453458946</c:v>
                </c:pt>
                <c:pt idx="133">
                  <c:v>0.44462709942058382</c:v>
                </c:pt>
                <c:pt idx="134">
                  <c:v>0.43050690743900649</c:v>
                </c:pt>
                <c:pt idx="135">
                  <c:v>0.41539882480114076</c:v>
                </c:pt>
                <c:pt idx="136">
                  <c:v>0.40128554925122428</c:v>
                </c:pt>
                <c:pt idx="137">
                  <c:v>0.38720781255163955</c:v>
                </c:pt>
                <c:pt idx="138">
                  <c:v>0.37405687554005629</c:v>
                </c:pt>
                <c:pt idx="139">
                  <c:v>0.36093889140676422</c:v>
                </c:pt>
                <c:pt idx="140">
                  <c:v>0.34828316720997499</c:v>
                </c:pt>
                <c:pt idx="141">
                  <c:v>0.33646040421330747</c:v>
                </c:pt>
                <c:pt idx="142">
                  <c:v>0.32466704563033416</c:v>
                </c:pt>
                <c:pt idx="143">
                  <c:v>0.31364975347079688</c:v>
                </c:pt>
                <c:pt idx="144">
                  <c:v>0.30265972637551058</c:v>
                </c:pt>
                <c:pt idx="145">
                  <c:v>0.29205663813029914</c:v>
                </c:pt>
                <c:pt idx="146">
                  <c:v>0.28280084126371757</c:v>
                </c:pt>
                <c:pt idx="147">
                  <c:v>0.27289677145789876</c:v>
                </c:pt>
                <c:pt idx="148">
                  <c:v>0.26364415928965546</c:v>
                </c:pt>
                <c:pt idx="149">
                  <c:v>0.25441416251877486</c:v>
                </c:pt>
                <c:pt idx="150">
                  <c:v>0.24579117846908982</c:v>
                </c:pt>
                <c:pt idx="151">
                  <c:v>0.23718916463110387</c:v>
                </c:pt>
                <c:pt idx="152">
                  <c:v>0.22888964971722175</c:v>
                </c:pt>
                <c:pt idx="153">
                  <c:v>0.22113580977771213</c:v>
                </c:pt>
                <c:pt idx="154">
                  <c:v>0.21340068242786397</c:v>
                </c:pt>
                <c:pt idx="155">
                  <c:v>0.20617403364271772</c:v>
                </c:pt>
                <c:pt idx="156">
                  <c:v>0.19896473627927694</c:v>
                </c:pt>
                <c:pt idx="157">
                  <c:v>0.19200874278836236</c:v>
                </c:pt>
                <c:pt idx="158">
                  <c:v>0.18572291445951566</c:v>
                </c:pt>
                <c:pt idx="159">
                  <c:v>0.17923206328775268</c:v>
                </c:pt>
                <c:pt idx="160">
                  <c:v>0.17316771037488635</c:v>
                </c:pt>
                <c:pt idx="161">
                  <c:v>0.16711773254349502</c:v>
                </c:pt>
                <c:pt idx="162">
                  <c:v>0.16146521467266689</c:v>
                </c:pt>
                <c:pt idx="163">
                  <c:v>0.15582602630639419</c:v>
                </c:pt>
                <c:pt idx="164">
                  <c:v>0.15038473723137943</c:v>
                </c:pt>
                <c:pt idx="165">
                  <c:v>0.1453008253525653</c:v>
                </c:pt>
                <c:pt idx="166">
                  <c:v>0.14022880812212773</c:v>
                </c:pt>
                <c:pt idx="167">
                  <c:v>0.13548985654306153</c:v>
                </c:pt>
                <c:pt idx="168">
                  <c:v>0.13076193447644166</c:v>
                </c:pt>
                <c:pt idx="169">
                  <c:v>0.12619978927047956</c:v>
                </c:pt>
                <c:pt idx="170">
                  <c:v>0.12221676836801154</c:v>
                </c:pt>
                <c:pt idx="171">
                  <c:v>0.11795417001104476</c:v>
                </c:pt>
                <c:pt idx="172">
                  <c:v>0.11397136397706377</c:v>
                </c:pt>
                <c:pt idx="173">
                  <c:v>0.10999770697628633</c:v>
                </c:pt>
                <c:pt idx="174">
                  <c:v>0.10628483099619841</c:v>
                </c:pt>
                <c:pt idx="175">
                  <c:v>0.10258043861579211</c:v>
                </c:pt>
                <c:pt idx="176">
                  <c:v>9.900577994741315E-2</c:v>
                </c:pt>
                <c:pt idx="177">
                  <c:v>9.5665655365005001E-2</c:v>
                </c:pt>
                <c:pt idx="178">
                  <c:v>9.233310117548231E-2</c:v>
                </c:pt>
                <c:pt idx="179">
                  <c:v>8.9219158449260677E-2</c:v>
                </c:pt>
                <c:pt idx="180">
                  <c:v>8.6112235490168332E-2</c:v>
                </c:pt>
                <c:pt idx="181">
                  <c:v>8.3114028434244244E-2</c:v>
                </c:pt>
                <c:pt idx="182">
                  <c:v>8.0496231901740656E-2</c:v>
                </c:pt>
                <c:pt idx="183">
                  <c:v>7.7694487875679674E-2</c:v>
                </c:pt>
                <c:pt idx="184">
                  <c:v>7.5076455624854085E-2</c:v>
                </c:pt>
                <c:pt idx="185">
                  <c:v>7.2464246250242351E-2</c:v>
                </c:pt>
                <c:pt idx="186">
                  <c:v>7.0023290975560704E-2</c:v>
                </c:pt>
                <c:pt idx="187">
                  <c:v>6.7587735028195886E-2</c:v>
                </c:pt>
                <c:pt idx="188">
                  <c:v>6.5237301513138196E-2</c:v>
                </c:pt>
                <c:pt idx="189">
                  <c:v>6.3040919912824969E-2</c:v>
                </c:pt>
                <c:pt idx="190">
                  <c:v>6.0849356372595025E-2</c:v>
                </c:pt>
                <c:pt idx="191">
                  <c:v>5.880140715279291E-2</c:v>
                </c:pt>
                <c:pt idx="192">
                  <c:v>5.6757925507372464E-2</c:v>
                </c:pt>
                <c:pt idx="193">
                  <c:v>5.4785802105365877E-2</c:v>
                </c:pt>
                <c:pt idx="194">
                  <c:v>5.3063778860951628E-2</c:v>
                </c:pt>
                <c:pt idx="195">
                  <c:v>5.1220622468635874E-2</c:v>
                </c:pt>
                <c:pt idx="196">
                  <c:v>4.9498197206653688E-2</c:v>
                </c:pt>
                <c:pt idx="197">
                  <c:v>4.7779477657286844E-2</c:v>
                </c:pt>
                <c:pt idx="198">
                  <c:v>4.6173318806999646E-2</c:v>
                </c:pt>
                <c:pt idx="199">
                  <c:v>4.457059606202491E-2</c:v>
                </c:pt>
                <c:pt idx="200">
                  <c:v>4.3023773880636364E-2</c:v>
                </c:pt>
                <c:pt idx="201">
                  <c:v>4.1578228188658105E-2</c:v>
                </c:pt>
                <c:pt idx="202">
                  <c:v>4.0135748597332016E-2</c:v>
                </c:pt>
                <c:pt idx="203">
                  <c:v>3.8787697422331173E-2</c:v>
                </c:pt>
                <c:pt idx="204">
                  <c:v>3.7442489245707054E-2</c:v>
                </c:pt>
                <c:pt idx="205">
                  <c:v>3.6144159766969601E-2</c:v>
                </c:pt>
                <c:pt idx="206">
                  <c:v>3.4970578156230059E-2</c:v>
                </c:pt>
                <c:pt idx="207">
                  <c:v>3.3758369667017063E-2</c:v>
                </c:pt>
                <c:pt idx="208">
                  <c:v>3.2625481247308519E-2</c:v>
                </c:pt>
                <c:pt idx="209">
                  <c:v>3.1494947940933458E-2</c:v>
                </c:pt>
                <c:pt idx="210">
                  <c:v>3.0438377553354969E-2</c:v>
                </c:pt>
                <c:pt idx="211">
                  <c:v>2.9383990872009394E-2</c:v>
                </c:pt>
                <c:pt idx="212">
                  <c:v>2.8366304435000787E-2</c:v>
                </c:pt>
                <c:pt idx="213">
                  <c:v>2.741518078466482E-2</c:v>
                </c:pt>
                <c:pt idx="214">
                  <c:v>2.6466005605190499E-2</c:v>
                </c:pt>
                <c:pt idx="215">
                  <c:v>2.557890144722651E-2</c:v>
                </c:pt>
                <c:pt idx="216">
                  <c:v>2.4693603920798488E-2</c:v>
                </c:pt>
                <c:pt idx="217">
                  <c:v>2.3839094807821232E-2</c:v>
                </c:pt>
                <c:pt idx="218">
                  <c:v>2.3092847742598902E-2</c:v>
                </c:pt>
                <c:pt idx="219">
                  <c:v>2.2293994986687313E-2</c:v>
                </c:pt>
                <c:pt idx="220">
                  <c:v>2.1547360658584716E-2</c:v>
                </c:pt>
                <c:pt idx="221">
                  <c:v>2.0802224644599156E-2</c:v>
                </c:pt>
                <c:pt idx="222">
                  <c:v>2.0105787373617897E-2</c:v>
                </c:pt>
                <c:pt idx="223">
                  <c:v>1.9410739311615535E-2</c:v>
                </c:pt>
                <c:pt idx="224">
                  <c:v>1.8739834702131409E-2</c:v>
                </c:pt>
                <c:pt idx="225">
                  <c:v>1.8112766014686452E-2</c:v>
                </c:pt>
                <c:pt idx="226">
                  <c:v>1.7486936805158941E-2</c:v>
                </c:pt>
                <c:pt idx="227">
                  <c:v>1.69019913186906E-2</c:v>
                </c:pt>
                <c:pt idx="228">
                  <c:v>1.6318195028887504E-2</c:v>
                </c:pt>
                <c:pt idx="229">
                  <c:v>1.5754660427738015E-2</c:v>
                </c:pt>
                <c:pt idx="230">
                  <c:v>1.5262488543225174E-2</c:v>
                </c:pt>
                <c:pt idx="231">
                  <c:v>1.4735584981869476E-2</c:v>
                </c:pt>
                <c:pt idx="232">
                  <c:v>1.4243087947748079E-2</c:v>
                </c:pt>
                <c:pt idx="233">
                  <c:v>1.375154387120605E-2</c:v>
                </c:pt>
                <c:pt idx="234">
                  <c:v>1.3292091850792184E-2</c:v>
                </c:pt>
                <c:pt idx="235">
                  <c:v>1.2833523346860984E-2</c:v>
                </c:pt>
                <c:pt idx="236">
                  <c:v>1.239085150898871E-2</c:v>
                </c:pt>
                <c:pt idx="237">
                  <c:v>1.1977073459317962E-2</c:v>
                </c:pt>
                <c:pt idx="238">
                  <c:v>1.1564083631100322E-2</c:v>
                </c:pt>
                <c:pt idx="239">
                  <c:v>1.1178045580315913E-2</c:v>
                </c:pt>
                <c:pt idx="240">
                  <c:v>1.0792738294175885E-2</c:v>
                </c:pt>
                <c:pt idx="241">
                  <c:v>1.0420776653111145E-2</c:v>
                </c:pt>
                <c:pt idx="242">
                  <c:v>1.009589549824768E-2</c:v>
                </c:pt>
                <c:pt idx="243">
                  <c:v>9.7480639577535704E-3</c:v>
                </c:pt>
                <c:pt idx="244">
                  <c:v>9.4229223220910954E-3</c:v>
                </c:pt>
                <c:pt idx="245">
                  <c:v>9.0983865668545893E-3</c:v>
                </c:pt>
                <c:pt idx="246">
                  <c:v>8.7950174486162765E-3</c:v>
                </c:pt>
                <c:pt idx="247">
                  <c:v>8.4922100218614571E-3</c:v>
                </c:pt>
                <c:pt idx="248">
                  <c:v>8.1998784007438676E-3</c:v>
                </c:pt>
                <c:pt idx="249">
                  <c:v>7.9266080991253728E-3</c:v>
                </c:pt>
                <c:pt idx="250">
                  <c:v>7.6538388505808892E-3</c:v>
                </c:pt>
                <c:pt idx="251">
                  <c:v>7.3988523250469469E-3</c:v>
                </c:pt>
                <c:pt idx="252">
                  <c:v>7.1443302932762132E-3</c:v>
                </c:pt>
                <c:pt idx="253">
                  <c:v>6.8986061318958829E-3</c:v>
                </c:pt>
                <c:pt idx="254">
                  <c:v>6.6764290769356091E-3</c:v>
                </c:pt>
                <c:pt idx="255">
                  <c:v>6.4468744442449256E-3</c:v>
                </c:pt>
                <c:pt idx="256">
                  <c:v>6.2322788582372095E-3</c:v>
                </c:pt>
                <c:pt idx="257">
                  <c:v>6.0180678306364288E-3</c:v>
                </c:pt>
                <c:pt idx="258">
                  <c:v>5.8178135916892495E-3</c:v>
                </c:pt>
                <c:pt idx="259">
                  <c:v>5.6179158331660433E-3</c:v>
                </c:pt>
                <c:pt idx="260">
                  <c:v>5.4249196350181954E-3</c:v>
                </c:pt>
                <c:pt idx="261">
                  <c:v>5.2444947495029074E-3</c:v>
                </c:pt>
                <c:pt idx="262">
                  <c:v>5.0643878166773031E-3</c:v>
                </c:pt>
                <c:pt idx="263">
                  <c:v>4.8960106193523256E-3</c:v>
                </c:pt>
                <c:pt idx="264">
                  <c:v>4.7279281476056059E-3</c:v>
                </c:pt>
                <c:pt idx="265">
                  <c:v>4.5656438841041921E-3</c:v>
                </c:pt>
                <c:pt idx="266">
                  <c:v>4.4238809196475463E-3</c:v>
                </c:pt>
                <c:pt idx="267">
                  <c:v>4.2720825349637477E-3</c:v>
                </c:pt>
                <c:pt idx="268">
                  <c:v>4.1301660788637057E-3</c:v>
                </c:pt>
                <c:pt idx="269">
                  <c:v>3.9884938718936103E-3</c:v>
                </c:pt>
                <c:pt idx="270">
                  <c:v>3.8560428187264851E-3</c:v>
                </c:pt>
                <c:pt idx="271">
                  <c:v>3.7238181574511904E-3</c:v>
                </c:pt>
                <c:pt idx="272">
                  <c:v>3.5961493992364892E-3</c:v>
                </c:pt>
                <c:pt idx="273">
                  <c:v>3.4767882065110428E-3</c:v>
                </c:pt>
                <c:pt idx="274">
                  <c:v>3.3576289044698806E-3</c:v>
                </c:pt>
                <c:pt idx="275">
                  <c:v>3.2462221283910456E-3</c:v>
                </c:pt>
                <c:pt idx="276">
                  <c:v>3.1350024732600458E-3</c:v>
                </c:pt>
                <c:pt idx="277">
                  <c:v>3.027611738317565E-3</c:v>
                </c:pt>
                <c:pt idx="278">
                  <c:v>2.9337944291755414E-3</c:v>
                </c:pt>
                <c:pt idx="279">
                  <c:v>2.8333289007291948E-3</c:v>
                </c:pt>
                <c:pt idx="280">
                  <c:v>2.7393969291570988E-3</c:v>
                </c:pt>
                <c:pt idx="281">
                  <c:v>2.6456199852714236E-3</c:v>
                </c:pt>
                <c:pt idx="282">
                  <c:v>2.5579405854416455E-3</c:v>
                </c:pt>
                <c:pt idx="283">
                  <c:v>2.4704048610520472E-3</c:v>
                </c:pt>
                <c:pt idx="284">
                  <c:v>2.3858791731103603E-3</c:v>
                </c:pt>
                <c:pt idx="285">
                  <c:v>2.3068480898817251E-3</c:v>
                </c:pt>
                <c:pt idx="286">
                  <c:v>2.2279451076694856E-3</c:v>
                </c:pt>
                <c:pt idx="287">
                  <c:v>2.1541703557523399E-3</c:v>
                </c:pt>
                <c:pt idx="288">
                  <c:v>2.0805143173104387E-3</c:v>
                </c:pt>
                <c:pt idx="289">
                  <c:v>2.0093889066914688E-3</c:v>
                </c:pt>
                <c:pt idx="290">
                  <c:v>1.9472489991177752E-3</c:v>
                </c:pt>
                <c:pt idx="291">
                  <c:v>1.8807011047606475E-3</c:v>
                </c:pt>
                <c:pt idx="292">
                  <c:v>1.8184766191283446E-3</c:v>
                </c:pt>
                <c:pt idx="293">
                  <c:v>1.7563504517664049E-3</c:v>
                </c:pt>
                <c:pt idx="294">
                  <c:v>1.698259744236178E-3</c:v>
                </c:pt>
                <c:pt idx="295">
                  <c:v>1.6402601418219695E-3</c:v>
                </c:pt>
                <c:pt idx="296">
                  <c:v>1.5842509268139324E-3</c:v>
                </c:pt>
                <c:pt idx="297">
                  <c:v>1.5318789115784694E-3</c:v>
                </c:pt>
                <c:pt idx="298">
                  <c:v>1.4795881067556553E-3</c:v>
                </c:pt>
                <c:pt idx="299">
                  <c:v>1.4306924567183989E-3</c:v>
                </c:pt>
                <c:pt idx="300">
                  <c:v>1.3818720537845442E-3</c:v>
                </c:pt>
                <c:pt idx="301">
                  <c:v>1.3347256228593331E-3</c:v>
                </c:pt>
                <c:pt idx="302">
                  <c:v>1.2920852375984222E-3</c:v>
                </c:pt>
                <c:pt idx="303">
                  <c:v>1.2480166838398999E-3</c:v>
                </c:pt>
                <c:pt idx="304">
                  <c:v>1.2068082238398494E-3</c:v>
                </c:pt>
                <c:pt idx="305">
                  <c:v>1.1656619795853947E-3</c:v>
                </c:pt>
                <c:pt idx="306">
                  <c:v>1.127185717639569E-3</c:v>
                </c:pt>
                <c:pt idx="307">
                  <c:v>1.0887670968127302E-3</c:v>
                </c:pt>
                <c:pt idx="308">
                  <c:v>1.0516642457750554E-3</c:v>
                </c:pt>
                <c:pt idx="309">
                  <c:v>1.0169683887116417E-3</c:v>
                </c:pt>
                <c:pt idx="310">
                  <c:v>9.8232389840358721E-4</c:v>
                </c:pt>
                <c:pt idx="311">
                  <c:v>9.4992654069752118E-4</c:v>
                </c:pt>
                <c:pt idx="312">
                  <c:v>9.1757676891273895E-4</c:v>
                </c:pt>
                <c:pt idx="313">
                  <c:v>8.863339887405083E-4</c:v>
                </c:pt>
                <c:pt idx="314">
                  <c:v>8.590344993760808E-4</c:v>
                </c:pt>
                <c:pt idx="315">
                  <c:v>8.2979451156030791E-4</c:v>
                </c:pt>
                <c:pt idx="316">
                  <c:v>8.0245031571428297E-4</c:v>
                </c:pt>
                <c:pt idx="317">
                  <c:v>7.7514549489189925E-4</c:v>
                </c:pt>
                <c:pt idx="318">
                  <c:v>7.4961070051255232E-4</c:v>
                </c:pt>
                <c:pt idx="319">
                  <c:v>7.2411237847227225E-4</c:v>
                </c:pt>
                <c:pt idx="320">
                  <c:v>6.9948558057545622E-4</c:v>
                </c:pt>
                <c:pt idx="321">
                  <c:v>6.7645480234080843E-4</c:v>
                </c:pt>
                <c:pt idx="322">
                  <c:v>6.5345651593725121E-4</c:v>
                </c:pt>
                <c:pt idx="323">
                  <c:v>6.3194845778500285E-4</c:v>
                </c:pt>
                <c:pt idx="324">
                  <c:v>6.1047049330740838E-4</c:v>
                </c:pt>
                <c:pt idx="325">
                  <c:v>5.8972602295499516E-4</c:v>
                </c:pt>
                <c:pt idx="326">
                  <c:v>5.7159858204774657E-4</c:v>
                </c:pt>
                <c:pt idx="327">
                  <c:v>5.5218130104553974E-4</c:v>
                </c:pt>
                <c:pt idx="328">
                  <c:v>5.3402168581042448E-4</c:v>
                </c:pt>
                <c:pt idx="329">
                  <c:v>5.1588695747405524E-4</c:v>
                </c:pt>
                <c:pt idx="330">
                  <c:v>4.9892662639542285E-4</c:v>
                </c:pt>
                <c:pt idx="331">
                  <c:v>4.8198934204805318E-4</c:v>
                </c:pt>
                <c:pt idx="332">
                  <c:v>4.6562981177954437E-4</c:v>
                </c:pt>
                <c:pt idx="333">
                  <c:v>4.5032944987657134E-4</c:v>
                </c:pt>
                <c:pt idx="334">
                  <c:v>4.3504961176398383E-4</c:v>
                </c:pt>
                <c:pt idx="335">
                  <c:v>4.207588735698011E-4</c:v>
                </c:pt>
                <c:pt idx="336">
                  <c:v>4.0648713948271799E-4</c:v>
                </c:pt>
                <c:pt idx="337">
                  <c:v>3.9270182650456387E-4</c:v>
                </c:pt>
                <c:pt idx="338">
                  <c:v>3.8065479751615968E-4</c:v>
                </c:pt>
                <c:pt idx="339">
                  <c:v>3.6774970839331694E-4</c:v>
                </c:pt>
                <c:pt idx="340">
                  <c:v>3.5567965002435912E-4</c:v>
                </c:pt>
                <c:pt idx="341">
                  <c:v>3.4362529728768299E-4</c:v>
                </c:pt>
                <c:pt idx="342">
                  <c:v>3.3235079751331632E-4</c:v>
                </c:pt>
                <c:pt idx="343">
                  <c:v>3.2109083801196858E-4</c:v>
                </c:pt>
                <c:pt idx="344">
                  <c:v>3.102142053464078E-4</c:v>
                </c:pt>
                <c:pt idx="345">
                  <c:v>3.0004105602110157E-4</c:v>
                </c:pt>
                <c:pt idx="346">
                  <c:v>2.8988084959991436E-4</c:v>
                </c:pt>
                <c:pt idx="347">
                  <c:v>2.8037767945103206E-4</c:v>
                </c:pt>
                <c:pt idx="348">
                  <c:v>2.7088649027886251E-4</c:v>
                </c:pt>
                <c:pt idx="349">
                  <c:v>2.6171814321620124E-4</c:v>
                </c:pt>
                <c:pt idx="350">
                  <c:v>2.5342379364915466E-4</c:v>
                </c:pt>
                <c:pt idx="351">
                  <c:v>2.4484929225499798E-4</c:v>
                </c:pt>
                <c:pt idx="352">
                  <c:v>2.3682905284094248E-4</c:v>
                </c:pt>
                <c:pt idx="353">
                  <c:v>2.2881869473230135E-4</c:v>
                </c:pt>
                <c:pt idx="354">
                  <c:v>2.2132604564254065E-4</c:v>
                </c:pt>
                <c:pt idx="355">
                  <c:v>2.1384254167864164E-4</c:v>
                </c:pt>
                <c:pt idx="356">
                  <c:v>2.0661329294850949E-4</c:v>
                </c:pt>
                <c:pt idx="357">
                  <c:v>1.9985115277049774E-4</c:v>
                </c:pt>
                <c:pt idx="358">
                  <c:v>1.9309714891394171E-4</c:v>
                </c:pt>
                <c:pt idx="359">
                  <c:v>1.8677947360788182E-4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4B7-4B9E-979A-20983D203061}"/>
            </c:ext>
          </c:extLst>
        </c:ser>
        <c:ser>
          <c:idx val="3"/>
          <c:order val="12"/>
          <c:tx>
            <c:v>Oil total forecast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'forecast production'!$Z$7:$Z$366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'forecast production'!$AA$7:$AA$366</c:f>
              <c:numCache>
                <c:formatCode>_(* #,##0_);_(* \(#,##0\);_(* "-"??_);_(@_)</c:formatCode>
                <c:ptCount val="360"/>
                <c:pt idx="0">
                  <c:v>32.246815816070743</c:v>
                </c:pt>
                <c:pt idx="1">
                  <c:v>31.346160976653252</c:v>
                </c:pt>
                <c:pt idx="2">
                  <c:v>30.574845304532118</c:v>
                </c:pt>
                <c:pt idx="3">
                  <c:v>29.763991369584929</c:v>
                </c:pt>
                <c:pt idx="4">
                  <c:v>29.01921885819441</c:v>
                </c:pt>
                <c:pt idx="5">
                  <c:v>28.287790268865979</c:v>
                </c:pt>
                <c:pt idx="6">
                  <c:v>27.614226592351095</c:v>
                </c:pt>
                <c:pt idx="7">
                  <c:v>26.951099812445086</c:v>
                </c:pt>
                <c:pt idx="8">
                  <c:v>26.319074749905599</c:v>
                </c:pt>
                <c:pt idx="9">
                  <c:v>25.735035360770443</c:v>
                </c:pt>
                <c:pt idx="10">
                  <c:v>25.158148515095895</c:v>
                </c:pt>
                <c:pt idx="11">
                  <c:v>24.623973509766579</c:v>
                </c:pt>
                <c:pt idx="12">
                  <c:v>24.095311776237747</c:v>
                </c:pt>
                <c:pt idx="13">
                  <c:v>23.588873020603231</c:v>
                </c:pt>
                <c:pt idx="14">
                  <c:v>23.149401746967307</c:v>
                </c:pt>
                <c:pt idx="15">
                  <c:v>22.681559038533493</c:v>
                </c:pt>
                <c:pt idx="16">
                  <c:v>22.246467425157462</c:v>
                </c:pt>
                <c:pt idx="17">
                  <c:v>21.814068192302354</c:v>
                </c:pt>
                <c:pt idx="18">
                  <c:v>21.411326134940964</c:v>
                </c:pt>
                <c:pt idx="19">
                  <c:v>21.010489934645058</c:v>
                </c:pt>
                <c:pt idx="20">
                  <c:v>20.624385850954404</c:v>
                </c:pt>
                <c:pt idx="21">
                  <c:v>20.264012049266391</c:v>
                </c:pt>
                <c:pt idx="22">
                  <c:v>19.904621584176589</c:v>
                </c:pt>
                <c:pt idx="23">
                  <c:v>19.56875722382593</c:v>
                </c:pt>
                <c:pt idx="24">
                  <c:v>19.233400885249686</c:v>
                </c:pt>
                <c:pt idx="25">
                  <c:v>18.909345112606278</c:v>
                </c:pt>
                <c:pt idx="26">
                  <c:v>18.625894657657977</c:v>
                </c:pt>
                <c:pt idx="27">
                  <c:v>18.321825015000911</c:v>
                </c:pt>
                <c:pt idx="28">
                  <c:v>18.036869772170544</c:v>
                </c:pt>
                <c:pt idx="29">
                  <c:v>17.751580535468889</c:v>
                </c:pt>
                <c:pt idx="30">
                  <c:v>17.48395748293359</c:v>
                </c:pt>
                <c:pt idx="31">
                  <c:v>17.21576095221738</c:v>
                </c:pt>
                <c:pt idx="32">
                  <c:v>16.955668156860035</c:v>
                </c:pt>
                <c:pt idx="33">
                  <c:v>16.711340323867276</c:v>
                </c:pt>
                <c:pt idx="34">
                  <c:v>16.466157112600389</c:v>
                </c:pt>
                <c:pt idx="35">
                  <c:v>16.235637253421221</c:v>
                </c:pt>
                <c:pt idx="36">
                  <c:v>16.00411738975162</c:v>
                </c:pt>
                <c:pt idx="37">
                  <c:v>15.779107629421953</c:v>
                </c:pt>
                <c:pt idx="38">
                  <c:v>15.574268188491683</c:v>
                </c:pt>
                <c:pt idx="39">
                  <c:v>15.361102536240018</c:v>
                </c:pt>
                <c:pt idx="40">
                  <c:v>15.160296467656886</c:v>
                </c:pt>
                <c:pt idx="41">
                  <c:v>14.958238794896358</c:v>
                </c:pt>
                <c:pt idx="42">
                  <c:v>14.767762076587317</c:v>
                </c:pt>
                <c:pt idx="43">
                  <c:v>14.575966215856843</c:v>
                </c:pt>
                <c:pt idx="44">
                  <c:v>14.389088368392196</c:v>
                </c:pt>
                <c:pt idx="45">
                  <c:v>14.212745456032927</c:v>
                </c:pt>
                <c:pt idx="46">
                  <c:v>14.035008455415614</c:v>
                </c:pt>
                <c:pt idx="47">
                  <c:v>13.867186878305242</c:v>
                </c:pt>
                <c:pt idx="48">
                  <c:v>13.697936092292739</c:v>
                </c:pt>
                <c:pt idx="49">
                  <c:v>13.532766944264308</c:v>
                </c:pt>
                <c:pt idx="50">
                  <c:v>13.386968672010454</c:v>
                </c:pt>
                <c:pt idx="51">
                  <c:v>13.229170470111285</c:v>
                </c:pt>
                <c:pt idx="52">
                  <c:v>13.079964592211926</c:v>
                </c:pt>
                <c:pt idx="53">
                  <c:v>12.929280256449291</c:v>
                </c:pt>
                <c:pt idx="54">
                  <c:v>12.786725912231429</c:v>
                </c:pt>
                <c:pt idx="55">
                  <c:v>12.642684999821245</c:v>
                </c:pt>
                <c:pt idx="56">
                  <c:v>12.501853144496277</c:v>
                </c:pt>
                <c:pt idx="57">
                  <c:v>12.368519769647431</c:v>
                </c:pt>
                <c:pt idx="58">
                  <c:v>12.233697186333124</c:v>
                </c:pt>
                <c:pt idx="59">
                  <c:v>12.105993069316089</c:v>
                </c:pt>
                <c:pt idx="60">
                  <c:v>11.976803180658857</c:v>
                </c:pt>
                <c:pt idx="61">
                  <c:v>11.850341494332332</c:v>
                </c:pt>
                <c:pt idx="62">
                  <c:v>11.738391778922374</c:v>
                </c:pt>
                <c:pt idx="63">
                  <c:v>11.616889160744044</c:v>
                </c:pt>
                <c:pt idx="64">
                  <c:v>11.501677146455508</c:v>
                </c:pt>
                <c:pt idx="65">
                  <c:v>11.385001170410398</c:v>
                </c:pt>
                <c:pt idx="66">
                  <c:v>11.274320897171044</c:v>
                </c:pt>
                <c:pt idx="67">
                  <c:v>11.162189566504713</c:v>
                </c:pt>
                <c:pt idx="68">
                  <c:v>11.052266726255837</c:v>
                </c:pt>
                <c:pt idx="69">
                  <c:v>10.947931686164393</c:v>
                </c:pt>
                <c:pt idx="70">
                  <c:v>10.842168283933232</c:v>
                </c:pt>
                <c:pt idx="71">
                  <c:v>10.741744240729599</c:v>
                </c:pt>
                <c:pt idx="72">
                  <c:v>10.639908577933891</c:v>
                </c:pt>
                <c:pt idx="73">
                  <c:v>10.539985660248066</c:v>
                </c:pt>
                <c:pt idx="74">
                  <c:v>10.451332299440182</c:v>
                </c:pt>
                <c:pt idx="75">
                  <c:v>10.354903908549488</c:v>
                </c:pt>
                <c:pt idx="76">
                  <c:v>10.263265322291632</c:v>
                </c:pt>
                <c:pt idx="77">
                  <c:v>10.170260636588774</c:v>
                </c:pt>
                <c:pt idx="78">
                  <c:v>10.081847064111948</c:v>
                </c:pt>
                <c:pt idx="79">
                  <c:v>9.992086928698777</c:v>
                </c:pt>
                <c:pt idx="80">
                  <c:v>9.9039109838174202</c:v>
                </c:pt>
                <c:pt idx="81">
                  <c:v>9.8200486165849004</c:v>
                </c:pt>
                <c:pt idx="82">
                  <c:v>9.7348699217979835</c:v>
                </c:pt>
                <c:pt idx="83">
                  <c:v>9.6538341565259262</c:v>
                </c:pt>
                <c:pt idx="84">
                  <c:v>9.5715024459365345</c:v>
                </c:pt>
                <c:pt idx="85">
                  <c:v>9.4905631747655139</c:v>
                </c:pt>
                <c:pt idx="86">
                  <c:v>9.4160753309322018</c:v>
                </c:pt>
                <c:pt idx="87">
                  <c:v>9.3377326283964734</c:v>
                </c:pt>
                <c:pt idx="88">
                  <c:v>9.2631484330201577</c:v>
                </c:pt>
                <c:pt idx="89">
                  <c:v>9.1873195539979875</c:v>
                </c:pt>
                <c:pt idx="90">
                  <c:v>9.1151095339915322</c:v>
                </c:pt>
                <c:pt idx="91">
                  <c:v>9.0416753972908364</c:v>
                </c:pt>
                <c:pt idx="92">
                  <c:v>8.9694150205734928</c:v>
                </c:pt>
                <c:pt idx="93">
                  <c:v>8.9005768963990164</c:v>
                </c:pt>
                <c:pt idx="94">
                  <c:v>8.8305454850518448</c:v>
                </c:pt>
                <c:pt idx="95">
                  <c:v>8.7638145116251991</c:v>
                </c:pt>
                <c:pt idx="96">
                  <c:v>8.6959105005649686</c:v>
                </c:pt>
                <c:pt idx="97">
                  <c:v>8.629050670137584</c:v>
                </c:pt>
                <c:pt idx="98">
                  <c:v>8.5695387457766223</c:v>
                </c:pt>
                <c:pt idx="99">
                  <c:v>8.5046007964723653</c:v>
                </c:pt>
                <c:pt idx="100">
                  <c:v>8.4426878579805127</c:v>
                </c:pt>
                <c:pt idx="101">
                  <c:v>8.3796511013482604</c:v>
                </c:pt>
                <c:pt idx="102">
                  <c:v>8.3195376203191529</c:v>
                </c:pt>
                <c:pt idx="103">
                  <c:v>8.258319769967855</c:v>
                </c:pt>
                <c:pt idx="104">
                  <c:v>8.1979962602794618</c:v>
                </c:pt>
                <c:pt idx="105">
                  <c:v>8.1404518716885157</c:v>
                </c:pt>
                <c:pt idx="106">
                  <c:v>8.0818319118019133</c:v>
                </c:pt>
                <c:pt idx="107">
                  <c:v>8.025901196469361</c:v>
                </c:pt>
                <c:pt idx="108">
                  <c:v>7.9689136290409683</c:v>
                </c:pt>
                <c:pt idx="109">
                  <c:v>7.9126535947351453</c:v>
                </c:pt>
                <c:pt idx="110">
                  <c:v>7.8622026420532141</c:v>
                </c:pt>
                <c:pt idx="111">
                  <c:v>7.8067213630858907</c:v>
                </c:pt>
                <c:pt idx="112">
                  <c:v>7.7534026058079624</c:v>
                </c:pt>
                <c:pt idx="113">
                  <c:v>7.6986890970746815</c:v>
                </c:pt>
                <c:pt idx="114">
                  <c:v>7.6461081842645831</c:v>
                </c:pt>
                <c:pt idx="115">
                  <c:v>7.5921518210799865</c:v>
                </c:pt>
                <c:pt idx="116">
                  <c:v>7.5385762122684588</c:v>
                </c:pt>
                <c:pt idx="117">
                  <c:v>7.4870888468830712</c:v>
                </c:pt>
                <c:pt idx="118">
                  <c:v>7.4342546369448534</c:v>
                </c:pt>
                <c:pt idx="119">
                  <c:v>7.3834797725563428</c:v>
                </c:pt>
                <c:pt idx="120">
                  <c:v>7.331376701742613</c:v>
                </c:pt>
                <c:pt idx="121">
                  <c:v>7.279641307156334</c:v>
                </c:pt>
                <c:pt idx="122">
                  <c:v>7.2332264306889575</c:v>
                </c:pt>
                <c:pt idx="123">
                  <c:v>7.1821836540390205</c:v>
                </c:pt>
                <c:pt idx="124">
                  <c:v>7.1331303973433258</c:v>
                </c:pt>
                <c:pt idx="125">
                  <c:v>7.0827939693087076</c:v>
                </c:pt>
                <c:pt idx="126">
                  <c:v>7.034419529523416</c:v>
                </c:pt>
                <c:pt idx="127">
                  <c:v>6.9847796753935878</c:v>
                </c:pt>
                <c:pt idx="128">
                  <c:v>6.9354901152869823</c:v>
                </c:pt>
                <c:pt idx="129">
                  <c:v>6.8881217391324254</c:v>
                </c:pt>
                <c:pt idx="130">
                  <c:v>6.8395142659892647</c:v>
                </c:pt>
                <c:pt idx="131">
                  <c:v>6.7928013907518352</c:v>
                </c:pt>
                <c:pt idx="132">
                  <c:v>6.7448665656032052</c:v>
                </c:pt>
                <c:pt idx="133">
                  <c:v>6.697270002583827</c:v>
                </c:pt>
                <c:pt idx="134">
                  <c:v>6.6530483018777637</c:v>
                </c:pt>
                <c:pt idx="135">
                  <c:v>6.6060996736593536</c:v>
                </c:pt>
                <c:pt idx="136">
                  <c:v>6.5609809857144805</c:v>
                </c:pt>
                <c:pt idx="137">
                  <c:v>6.5146820497877087</c:v>
                </c:pt>
                <c:pt idx="138">
                  <c:v>6.4701877307515536</c:v>
                </c:pt>
                <c:pt idx="139">
                  <c:v>6.4245294964368203</c:v>
                </c:pt>
                <c:pt idx="140">
                  <c:v>6.3791934590114963</c:v>
                </c:pt>
                <c:pt idx="141">
                  <c:v>6.3356245070980473</c:v>
                </c:pt>
                <c:pt idx="142">
                  <c:v>6.2909158463430614</c:v>
                </c:pt>
                <c:pt idx="143">
                  <c:v>6.2479498175242156</c:v>
                </c:pt>
                <c:pt idx="144">
                  <c:v>6.2038598515717007</c:v>
                </c:pt>
                <c:pt idx="145">
                  <c:v>6.1600810156945665</c:v>
                </c:pt>
                <c:pt idx="146">
                  <c:v>6.1208044377275419</c:v>
                </c:pt>
                <c:pt idx="147">
                  <c:v>6.0776116997666056</c:v>
                </c:pt>
                <c:pt idx="148">
                  <c:v>6.0361025068573229</c:v>
                </c:pt>
                <c:pt idx="149">
                  <c:v>5.9935074858046908</c:v>
                </c:pt>
                <c:pt idx="150">
                  <c:v>5.9525727122914294</c:v>
                </c:pt>
                <c:pt idx="151">
                  <c:v>5.9105671367218751</c:v>
                </c:pt>
                <c:pt idx="152">
                  <c:v>5.8688579822905771</c:v>
                </c:pt>
                <c:pt idx="153">
                  <c:v>5.8287745465302034</c:v>
                </c:pt>
                <c:pt idx="154">
                  <c:v>5.7876425786356158</c:v>
                </c:pt>
                <c:pt idx="155">
                  <c:v>5.7481138321222787</c:v>
                </c:pt>
                <c:pt idx="156">
                  <c:v>5.7075510634459654</c:v>
                </c:pt>
                <c:pt idx="157">
                  <c:v>5.6672745344390014</c:v>
                </c:pt>
                <c:pt idx="158">
                  <c:v>5.6311400827093392</c:v>
                </c:pt>
                <c:pt idx="159">
                  <c:v>5.5914027637852772</c:v>
                </c:pt>
                <c:pt idx="160">
                  <c:v>5.5532143063087371</c:v>
                </c:pt>
                <c:pt idx="161">
                  <c:v>5.5140268869403162</c:v>
                </c:pt>
                <c:pt idx="162">
                  <c:v>5.4763668953081153</c:v>
                </c:pt>
                <c:pt idx="163">
                  <c:v>5.4377217657841248</c:v>
                </c:pt>
                <c:pt idx="164">
                  <c:v>5.399349343707331</c:v>
                </c:pt>
                <c:pt idx="165">
                  <c:v>5.3624725828077882</c:v>
                </c:pt>
                <c:pt idx="166">
                  <c:v>5.324631172344767</c:v>
                </c:pt>
                <c:pt idx="167">
                  <c:v>5.288264725552497</c:v>
                </c:pt>
                <c:pt idx="168">
                  <c:v>5.2509469783702887</c:v>
                </c:pt>
                <c:pt idx="169">
                  <c:v>5.2138925716838811</c:v>
                </c:pt>
                <c:pt idx="170">
                  <c:v>5.1806488760925928</c:v>
                </c:pt>
                <c:pt idx="171">
                  <c:v>5.1440905426824557</c:v>
                </c:pt>
                <c:pt idx="172">
                  <c:v>5.1089571618040388</c:v>
                </c:pt>
                <c:pt idx="173">
                  <c:v>5.0729047359850918</c:v>
                </c:pt>
                <c:pt idx="174">
                  <c:v>5.038257543683466</c:v>
                </c:pt>
                <c:pt idx="175">
                  <c:v>5.0027040245213961</c:v>
                </c:pt>
                <c:pt idx="176">
                  <c:v>4.9674013962107448</c:v>
                </c:pt>
                <c:pt idx="177">
                  <c:v>4.9334747761831643</c:v>
                </c:pt>
                <c:pt idx="178">
                  <c:v>4.898660678557186</c:v>
                </c:pt>
                <c:pt idx="179">
                  <c:v>4.8652035475082975</c:v>
                </c:pt>
                <c:pt idx="180">
                  <c:v>4.8308712201006658</c:v>
                </c:pt>
                <c:pt idx="181">
                  <c:v>4.796781165949171</c:v>
                </c:pt>
                <c:pt idx="182">
                  <c:v>4.7651082871506087</c:v>
                </c:pt>
                <c:pt idx="183">
                  <c:v>4.7314823029035447</c:v>
                </c:pt>
                <c:pt idx="184">
                  <c:v>4.6991669755413792</c:v>
                </c:pt>
                <c:pt idx="185">
                  <c:v>4.6660063199650992</c:v>
                </c:pt>
                <c:pt idx="186">
                  <c:v>4.6341381839242919</c:v>
                </c:pt>
                <c:pt idx="187">
                  <c:v>4.6014364176304277</c:v>
                </c:pt>
                <c:pt idx="188">
                  <c:v>4.5689654181968287</c:v>
                </c:pt>
                <c:pt idx="189">
                  <c:v>4.5377600572246788</c:v>
                </c:pt>
                <c:pt idx="190">
                  <c:v>4.5057384033595076</c:v>
                </c:pt>
                <c:pt idx="191">
                  <c:v>4.4749648735877727</c:v>
                </c:pt>
                <c:pt idx="192">
                  <c:v>4.4433863470826793</c:v>
                </c:pt>
                <c:pt idx="193">
                  <c:v>4.4120306610611202</c:v>
                </c:pt>
                <c:pt idx="194">
                  <c:v>4.3838996241785599</c:v>
                </c:pt>
                <c:pt idx="195">
                  <c:v>4.3529637186712611</c:v>
                </c:pt>
                <c:pt idx="196">
                  <c:v>4.3232336174980697</c:v>
                </c:pt>
                <c:pt idx="197">
                  <c:v>4.2927258143678921</c:v>
                </c:pt>
                <c:pt idx="198">
                  <c:v>4.263407129210349</c:v>
                </c:pt>
                <c:pt idx="199">
                  <c:v>4.2333215042199939</c:v>
                </c:pt>
                <c:pt idx="200">
                  <c:v>4.2034481847410827</c:v>
                </c:pt>
                <c:pt idx="201">
                  <c:v>4.1747392526467042</c:v>
                </c:pt>
                <c:pt idx="202">
                  <c:v>4.1452793310907481</c:v>
                </c:pt>
                <c:pt idx="203">
                  <c:v>4.1169676837007509</c:v>
                </c:pt>
                <c:pt idx="204">
                  <c:v>4.087915439316065</c:v>
                </c:pt>
                <c:pt idx="205">
                  <c:v>4.0590682081762308</c:v>
                </c:pt>
                <c:pt idx="206">
                  <c:v>4.0331876542442755</c:v>
                </c:pt>
                <c:pt idx="207">
                  <c:v>4.0047266211775607</c:v>
                </c:pt>
                <c:pt idx="208">
                  <c:v>3.9773749280982238</c:v>
                </c:pt>
                <c:pt idx="209">
                  <c:v>3.9493077492184607</c:v>
                </c:pt>
                <c:pt idx="210">
                  <c:v>3.922334558873521</c:v>
                </c:pt>
                <c:pt idx="211">
                  <c:v>3.8946557838823943</c:v>
                </c:pt>
                <c:pt idx="212">
                  <c:v>3.8671723299617957</c:v>
                </c:pt>
                <c:pt idx="213">
                  <c:v>3.8407601124349688</c:v>
                </c:pt>
                <c:pt idx="214">
                  <c:v>3.813656984603488</c:v>
                </c:pt>
                <c:pt idx="215">
                  <c:v>3.7876102690046913</c:v>
                </c:pt>
                <c:pt idx="216">
                  <c:v>3.7608822041707803</c:v>
                </c:pt>
                <c:pt idx="217">
                  <c:v>3.7343427515221328</c:v>
                </c:pt>
                <c:pt idx="218">
                  <c:v>3.7105326419047335</c:v>
                </c:pt>
                <c:pt idx="219">
                  <c:v>3.6843484914833557</c:v>
                </c:pt>
                <c:pt idx="220">
                  <c:v>3.6591849338503661</c:v>
                </c:pt>
                <c:pt idx="221">
                  <c:v>3.6333631292809843</c:v>
                </c:pt>
                <c:pt idx="222">
                  <c:v>3.6085477941636395</c:v>
                </c:pt>
                <c:pt idx="223">
                  <c:v>3.5830833211718027</c:v>
                </c:pt>
                <c:pt idx="224">
                  <c:v>3.5577985435648523</c:v>
                </c:pt>
                <c:pt idx="225">
                  <c:v>3.5334993034401716</c:v>
                </c:pt>
                <c:pt idx="226">
                  <c:v>3.5085644258352091</c:v>
                </c:pt>
                <c:pt idx="227">
                  <c:v>3.4846014474843159</c:v>
                </c:pt>
                <c:pt idx="228">
                  <c:v>3.4600116278371176</c:v>
                </c:pt>
                <c:pt idx="229">
                  <c:v>3.4355953314003624</c:v>
                </c:pt>
                <c:pt idx="230">
                  <c:v>3.4129102868323931</c:v>
                </c:pt>
                <c:pt idx="231">
                  <c:v>3.3888263708695323</c:v>
                </c:pt>
                <c:pt idx="232">
                  <c:v>3.3656811858012117</c:v>
                </c:pt>
                <c:pt idx="233">
                  <c:v>3.3419305518776192</c:v>
                </c:pt>
                <c:pt idx="234">
                  <c:v>3.3191056583470497</c:v>
                </c:pt>
                <c:pt idx="235">
                  <c:v>3.295683694383948</c:v>
                </c:pt>
                <c:pt idx="236">
                  <c:v>3.2724270124131531</c:v>
                </c:pt>
                <c:pt idx="237">
                  <c:v>3.2500768178219088</c:v>
                </c:pt>
                <c:pt idx="238">
                  <c:v>3.2271419703237889</c:v>
                </c:pt>
                <c:pt idx="239">
                  <c:v>3.2051010659012573</c:v>
                </c:pt>
                <c:pt idx="240">
                  <c:v>3.1824835992126483</c:v>
                </c:pt>
                <c:pt idx="241">
                  <c:v>3.1600257374129002</c:v>
                </c:pt>
                <c:pt idx="242">
                  <c:v>3.139877463885802</c:v>
                </c:pt>
                <c:pt idx="243">
                  <c:v>3.1177202611999699</c:v>
                </c:pt>
                <c:pt idx="244">
                  <c:v>3.0964266909371148</c:v>
                </c:pt>
                <c:pt idx="245">
                  <c:v>3.0745761077274101</c:v>
                </c:pt>
                <c:pt idx="246">
                  <c:v>3.0535772056792858</c:v>
                </c:pt>
                <c:pt idx="247">
                  <c:v>3.0320289988332325</c:v>
                </c:pt>
                <c:pt idx="248">
                  <c:v>3.0106328514201017</c:v>
                </c:pt>
                <c:pt idx="249">
                  <c:v>2.9900706723961568</c:v>
                </c:pt>
                <c:pt idx="250">
                  <c:v>2.9689706126978863</c:v>
                </c:pt>
                <c:pt idx="251">
                  <c:v>2.9486929806291573</c:v>
                </c:pt>
                <c:pt idx="252">
                  <c:v>2.9278849112756373</c:v>
                </c:pt>
                <c:pt idx="253">
                  <c:v>2.9072236784198684</c:v>
                </c:pt>
                <c:pt idx="254">
                  <c:v>2.8886872667749381</c:v>
                </c:pt>
                <c:pt idx="255">
                  <c:v>2.8683026403039724</c:v>
                </c:pt>
                <c:pt idx="256">
                  <c:v>2.8487125556621455</c:v>
                </c:pt>
                <c:pt idx="257">
                  <c:v>2.8286100191092176</c:v>
                </c:pt>
                <c:pt idx="258">
                  <c:v>2.8092910292249438</c:v>
                </c:pt>
                <c:pt idx="259">
                  <c:v>2.7894666789265745</c:v>
                </c:pt>
                <c:pt idx="260">
                  <c:v>2.769782223306493</c:v>
                </c:pt>
                <c:pt idx="261">
                  <c:v>2.7508650186044639</c:v>
                </c:pt>
                <c:pt idx="262">
                  <c:v>2.7314529636820555</c:v>
                </c:pt>
                <c:pt idx="263">
                  <c:v>2.7127975421788246</c:v>
                </c:pt>
                <c:pt idx="264">
                  <c:v>2.6936541183735865</c:v>
                </c:pt>
                <c:pt idx="265">
                  <c:v>2.674645784146279</c:v>
                </c:pt>
                <c:pt idx="266">
                  <c:v>2.6575922854329432</c:v>
                </c:pt>
                <c:pt idx="267">
                  <c:v>2.6388384290796552</c:v>
                </c:pt>
                <c:pt idx="268">
                  <c:v>2.6208155512091746</c:v>
                </c:pt>
                <c:pt idx="269">
                  <c:v>2.6023212175804797</c:v>
                </c:pt>
                <c:pt idx="270">
                  <c:v>2.584547746886948</c:v>
                </c:pt>
                <c:pt idx="271">
                  <c:v>2.5663093446124483</c:v>
                </c:pt>
                <c:pt idx="272">
                  <c:v>2.5481996454419744</c:v>
                </c:pt>
                <c:pt idx="273">
                  <c:v>2.5307958171161076</c:v>
                </c:pt>
                <c:pt idx="274">
                  <c:v>2.5129367265874909</c:v>
                </c:pt>
                <c:pt idx="275">
                  <c:v>2.4957737388045187</c:v>
                </c:pt>
                <c:pt idx="276">
                  <c:v>2.4781617889036998</c:v>
                </c:pt>
                <c:pt idx="277">
                  <c:v>2.4606741214145775</c:v>
                </c:pt>
                <c:pt idx="278">
                  <c:v>2.4444264272809417</c:v>
                </c:pt>
                <c:pt idx="279">
                  <c:v>2.4271768204339157</c:v>
                </c:pt>
                <c:pt idx="280">
                  <c:v>2.4105995601808132</c:v>
                </c:pt>
                <c:pt idx="281">
                  <c:v>2.393588659703441</c:v>
                </c:pt>
                <c:pt idx="282">
                  <c:v>2.3772408016418738</c:v>
                </c:pt>
                <c:pt idx="283">
                  <c:v>2.3604653042280916</c:v>
                </c:pt>
                <c:pt idx="284">
                  <c:v>2.3438081866239133</c:v>
                </c:pt>
                <c:pt idx="285">
                  <c:v>2.3278003218627168</c:v>
                </c:pt>
                <c:pt idx="286">
                  <c:v>2.3113737115453108</c:v>
                </c:pt>
                <c:pt idx="287">
                  <c:v>2.2955873694725413</c:v>
                </c:pt>
                <c:pt idx="288">
                  <c:v>2.2793880765977508</c:v>
                </c:pt>
                <c:pt idx="289">
                  <c:v>2.2633030974246013</c:v>
                </c:pt>
                <c:pt idx="290">
                  <c:v>2.2488723130984667</c:v>
                </c:pt>
                <c:pt idx="291">
                  <c:v>2.2330026747992022</c:v>
                </c:pt>
                <c:pt idx="292">
                  <c:v>2.2177515953663476</c:v>
                </c:pt>
                <c:pt idx="293">
                  <c:v>2.202101566927166</c:v>
                </c:pt>
                <c:pt idx="294">
                  <c:v>2.1870615375105245</c:v>
                </c:pt>
                <c:pt idx="295">
                  <c:v>2.1716280798898451</c:v>
                </c:pt>
                <c:pt idx="296">
                  <c:v>2.1563035316939998</c:v>
                </c:pt>
                <c:pt idx="297">
                  <c:v>2.141576296113699</c:v>
                </c:pt>
                <c:pt idx="298">
                  <c:v>2.1264638146216854</c:v>
                </c:pt>
                <c:pt idx="299">
                  <c:v>2.111940379914738</c:v>
                </c:pt>
                <c:pt idx="300">
                  <c:v>2.0970370304699313</c:v>
                </c:pt>
                <c:pt idx="301">
                  <c:v>2.0822388496306328</c:v>
                </c:pt>
                <c:pt idx="302">
                  <c:v>2.0689625280505894</c:v>
                </c:pt>
                <c:pt idx="303">
                  <c:v>2.0543624608152662</c:v>
                </c:pt>
                <c:pt idx="304">
                  <c:v>2.0403314677370403</c:v>
                </c:pt>
                <c:pt idx="305">
                  <c:v>2.0259334415729926</c:v>
                </c:pt>
                <c:pt idx="306">
                  <c:v>2.0120966145096824</c:v>
                </c:pt>
                <c:pt idx="307">
                  <c:v>1.9978978334986572</c:v>
                </c:pt>
                <c:pt idx="308">
                  <c:v>1.9837992491584804</c:v>
                </c:pt>
                <c:pt idx="309">
                  <c:v>1.9702501924246036</c:v>
                </c:pt>
                <c:pt idx="310">
                  <c:v>1.9563467094519507</c:v>
                </c:pt>
                <c:pt idx="311">
                  <c:v>1.9429851495215589</c:v>
                </c:pt>
                <c:pt idx="312">
                  <c:v>1.9292740680323366</c:v>
                </c:pt>
                <c:pt idx="313">
                  <c:v>1.9156597416601828</c:v>
                </c:pt>
                <c:pt idx="314">
                  <c:v>1.9034455258065421</c:v>
                </c:pt>
                <c:pt idx="315">
                  <c:v>1.890013463950045</c:v>
                </c:pt>
                <c:pt idx="316">
                  <c:v>1.877104950318077</c:v>
                </c:pt>
                <c:pt idx="317">
                  <c:v>1.8638587662471535</c:v>
                </c:pt>
                <c:pt idx="318">
                  <c:v>1.8511288853489078</c:v>
                </c:pt>
                <c:pt idx="319">
                  <c:v>1.8380660068187644</c:v>
                </c:pt>
                <c:pt idx="320">
                  <c:v>1.8250953092258018</c:v>
                </c:pt>
                <c:pt idx="321">
                  <c:v>1.8126301770306352</c:v>
                </c:pt>
                <c:pt idx="322">
                  <c:v>1.7998389726957951</c:v>
                </c:pt>
                <c:pt idx="323">
                  <c:v>1.7875463375598344</c:v>
                </c:pt>
                <c:pt idx="324">
                  <c:v>1.77493214258975</c:v>
                </c:pt>
                <c:pt idx="325">
                  <c:v>1.7624069623273679</c:v>
                </c:pt>
                <c:pt idx="326">
                  <c:v>1.7507698873430451</c:v>
                </c:pt>
                <c:pt idx="327">
                  <c:v>1.7384152130933999</c:v>
                </c:pt>
                <c:pt idx="328">
                  <c:v>1.7265420931901494</c:v>
                </c:pt>
                <c:pt idx="329">
                  <c:v>1.7143583874422534</c:v>
                </c:pt>
                <c:pt idx="330">
                  <c:v>1.7026495721155483</c:v>
                </c:pt>
                <c:pt idx="331">
                  <c:v>1.6906344689447321</c:v>
                </c:pt>
                <c:pt idx="332">
                  <c:v>1.6787041528649114</c:v>
                </c:pt>
                <c:pt idx="333">
                  <c:v>1.6672388507098623</c:v>
                </c:pt>
                <c:pt idx="334">
                  <c:v>1.6554736307082019</c:v>
                </c:pt>
                <c:pt idx="335">
                  <c:v>1.6441669895985145</c:v>
                </c:pt>
                <c:pt idx="336">
                  <c:v>1.6325645810150906</c:v>
                </c:pt>
                <c:pt idx="337">
                  <c:v>1.6210440472569048</c:v>
                </c:pt>
                <c:pt idx="338">
                  <c:v>1.6107082963556016</c:v>
                </c:pt>
                <c:pt idx="339">
                  <c:v>1.5993419960459281</c:v>
                </c:pt>
                <c:pt idx="340">
                  <c:v>1.5884187257349378</c:v>
                </c:pt>
                <c:pt idx="341">
                  <c:v>1.577209716446873</c:v>
                </c:pt>
                <c:pt idx="342">
                  <c:v>1.5664376063463044</c:v>
                </c:pt>
                <c:pt idx="343">
                  <c:v>1.5553837114291535</c:v>
                </c:pt>
                <c:pt idx="344">
                  <c:v>1.5444078206357186</c:v>
                </c:pt>
                <c:pt idx="345">
                  <c:v>1.5338597426530736</c:v>
                </c:pt>
                <c:pt idx="346">
                  <c:v>1.5230357402515458</c:v>
                </c:pt>
                <c:pt idx="347">
                  <c:v>1.5126336304306334</c:v>
                </c:pt>
                <c:pt idx="348">
                  <c:v>1.501959414533883</c:v>
                </c:pt>
                <c:pt idx="349">
                  <c:v>1.4913605234763525</c:v>
                </c:pt>
                <c:pt idx="350">
                  <c:v>1.4818516326471536</c:v>
                </c:pt>
                <c:pt idx="351">
                  <c:v>1.4713946363622539</c:v>
                </c:pt>
                <c:pt idx="352">
                  <c:v>1.4613452276761427</c:v>
                </c:pt>
                <c:pt idx="353">
                  <c:v>1.4510329391311234</c:v>
                </c:pt>
                <c:pt idx="354">
                  <c:v>1.4411225978386004</c:v>
                </c:pt>
                <c:pt idx="355">
                  <c:v>1.430953014514821</c:v>
                </c:pt>
                <c:pt idx="356">
                  <c:v>1.4208551949848611</c:v>
                </c:pt>
                <c:pt idx="357">
                  <c:v>1.4111509632408277</c:v>
                </c:pt>
                <c:pt idx="358">
                  <c:v>1.4011928810314223</c:v>
                </c:pt>
                <c:pt idx="359">
                  <c:v>1.391622939996183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4B7-4B9E-979A-20983D203061}"/>
            </c:ext>
          </c:extLst>
        </c:ser>
        <c:ser>
          <c:idx val="4"/>
          <c:order val="13"/>
          <c:tx>
            <c:v>Gas total forecast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'forecast production'!$Z$7:$Z$366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'forecast production'!$AB$7:$AB$366</c:f>
              <c:numCache>
                <c:formatCode>_(* #,##0_);_(* \(#,##0\);_(* "-"??_);_(@_)</c:formatCode>
                <c:ptCount val="360"/>
                <c:pt idx="0">
                  <c:v>134.21045705335172</c:v>
                </c:pt>
                <c:pt idx="1">
                  <c:v>131.62514768850764</c:v>
                </c:pt>
                <c:pt idx="2">
                  <c:v>129.37417566621133</c:v>
                </c:pt>
                <c:pt idx="3">
                  <c:v>126.97016401207293</c:v>
                </c:pt>
                <c:pt idx="4">
                  <c:v>124.72726391616615</c:v>
                </c:pt>
                <c:pt idx="5">
                  <c:v>122.49135490353704</c:v>
                </c:pt>
                <c:pt idx="6">
                  <c:v>120.40259681028866</c:v>
                </c:pt>
                <c:pt idx="7">
                  <c:v>118.31775519381934</c:v>
                </c:pt>
                <c:pt idx="8">
                  <c:v>116.30388517446382</c:v>
                </c:pt>
                <c:pt idx="9">
                  <c:v>114.41919501007219</c:v>
                </c:pt>
                <c:pt idx="10">
                  <c:v>112.53479539799044</c:v>
                </c:pt>
                <c:pt idx="11">
                  <c:v>110.76935401671048</c:v>
                </c:pt>
                <c:pt idx="12">
                  <c:v>109.0023290207277</c:v>
                </c:pt>
                <c:pt idx="13">
                  <c:v>107.29079501110549</c:v>
                </c:pt>
                <c:pt idx="14">
                  <c:v>105.79044516514875</c:v>
                </c:pt>
                <c:pt idx="15">
                  <c:v>104.17754364829139</c:v>
                </c:pt>
                <c:pt idx="16">
                  <c:v>102.66281742107438</c:v>
                </c:pt>
                <c:pt idx="17">
                  <c:v>101.14319001233319</c:v>
                </c:pt>
                <c:pt idx="18">
                  <c:v>99.714811938838196</c:v>
                </c:pt>
                <c:pt idx="19">
                  <c:v>98.280595336365067</c:v>
                </c:pt>
                <c:pt idx="20">
                  <c:v>96.887050943847356</c:v>
                </c:pt>
                <c:pt idx="21">
                  <c:v>95.575577439485514</c:v>
                </c:pt>
                <c:pt idx="22">
                  <c:v>94.257173070654858</c:v>
                </c:pt>
                <c:pt idx="23">
                  <c:v>93.015473686079815</c:v>
                </c:pt>
                <c:pt idx="24">
                  <c:v>91.766291802565036</c:v>
                </c:pt>
                <c:pt idx="25">
                  <c:v>90.550217882340917</c:v>
                </c:pt>
                <c:pt idx="26">
                  <c:v>89.479203655122717</c:v>
                </c:pt>
                <c:pt idx="27">
                  <c:v>88.322608707661303</c:v>
                </c:pt>
                <c:pt idx="28">
                  <c:v>87.231440297145568</c:v>
                </c:pt>
                <c:pt idx="29">
                  <c:v>86.131866969216389</c:v>
                </c:pt>
                <c:pt idx="30">
                  <c:v>85.093839528818719</c:v>
                </c:pt>
                <c:pt idx="31">
                  <c:v>84.047172556186112</c:v>
                </c:pt>
                <c:pt idx="32">
                  <c:v>83.025941044664506</c:v>
                </c:pt>
                <c:pt idx="33">
                  <c:v>82.06100727935484</c:v>
                </c:pt>
                <c:pt idx="34">
                  <c:v>81.08719241449738</c:v>
                </c:pt>
                <c:pt idx="35">
                  <c:v>80.166547209045888</c:v>
                </c:pt>
                <c:pt idx="36">
                  <c:v>79.236921627663989</c:v>
                </c:pt>
                <c:pt idx="37">
                  <c:v>78.328609104391333</c:v>
                </c:pt>
                <c:pt idx="38">
                  <c:v>77.497549862387132</c:v>
                </c:pt>
                <c:pt idx="39">
                  <c:v>76.628458657866929</c:v>
                </c:pt>
                <c:pt idx="40">
                  <c:v>75.805763071864689</c:v>
                </c:pt>
                <c:pt idx="41">
                  <c:v>74.973998933104156</c:v>
                </c:pt>
                <c:pt idx="42">
                  <c:v>74.186262340692167</c:v>
                </c:pt>
                <c:pt idx="43">
                  <c:v>73.389471117815759</c:v>
                </c:pt>
                <c:pt idx="44">
                  <c:v>72.609613754596452</c:v>
                </c:pt>
                <c:pt idx="45">
                  <c:v>71.870533080807036</c:v>
                </c:pt>
                <c:pt idx="46">
                  <c:v>71.122458463710245</c:v>
                </c:pt>
                <c:pt idx="47">
                  <c:v>70.413194877149564</c:v>
                </c:pt>
                <c:pt idx="48">
                  <c:v>69.694998916314631</c:v>
                </c:pt>
                <c:pt idx="49">
                  <c:v>68.991305847440159</c:v>
                </c:pt>
                <c:pt idx="50">
                  <c:v>68.367815550693365</c:v>
                </c:pt>
                <c:pt idx="51">
                  <c:v>67.690537565193694</c:v>
                </c:pt>
                <c:pt idx="52">
                  <c:v>67.047762375910153</c:v>
                </c:pt>
                <c:pt idx="53">
                  <c:v>66.396261197305407</c:v>
                </c:pt>
                <c:pt idx="54">
                  <c:v>65.777719064138239</c:v>
                </c:pt>
                <c:pt idx="55">
                  <c:v>65.150550628785652</c:v>
                </c:pt>
                <c:pt idx="56">
                  <c:v>64.535228919212244</c:v>
                </c:pt>
                <c:pt idx="57">
                  <c:v>63.950722661852183</c:v>
                </c:pt>
                <c:pt idx="58">
                  <c:v>63.357752944011899</c:v>
                </c:pt>
                <c:pt idx="59">
                  <c:v>62.794288182060889</c:v>
                </c:pt>
                <c:pt idx="60">
                  <c:v>62.222474278278618</c:v>
                </c:pt>
                <c:pt idx="61">
                  <c:v>61.660980439319538</c:v>
                </c:pt>
                <c:pt idx="62">
                  <c:v>61.162464518397321</c:v>
                </c:pt>
                <c:pt idx="63">
                  <c:v>60.619855303747265</c:v>
                </c:pt>
                <c:pt idx="64">
                  <c:v>60.103838366535854</c:v>
                </c:pt>
                <c:pt idx="65">
                  <c:v>59.579769549202432</c:v>
                </c:pt>
                <c:pt idx="66">
                  <c:v>59.081235026789479</c:v>
                </c:pt>
                <c:pt idx="67">
                  <c:v>58.574772325662984</c:v>
                </c:pt>
                <c:pt idx="68">
                  <c:v>58.076918934089086</c:v>
                </c:pt>
                <c:pt idx="69">
                  <c:v>57.603117457739465</c:v>
                </c:pt>
                <c:pt idx="70">
                  <c:v>57.121576243534747</c:v>
                </c:pt>
                <c:pt idx="71">
                  <c:v>56.663172743618794</c:v>
                </c:pt>
                <c:pt idx="72">
                  <c:v>56.197154938381459</c:v>
                </c:pt>
                <c:pt idx="73">
                  <c:v>55.738739992302882</c:v>
                </c:pt>
                <c:pt idx="74">
                  <c:v>55.331068974431858</c:v>
                </c:pt>
                <c:pt idx="75">
                  <c:v>54.886619053970058</c:v>
                </c:pt>
                <c:pt idx="76">
                  <c:v>54.463252151001996</c:v>
                </c:pt>
                <c:pt idx="77">
                  <c:v>54.032580217507885</c:v>
                </c:pt>
                <c:pt idx="78">
                  <c:v>53.622236785584548</c:v>
                </c:pt>
                <c:pt idx="79">
                  <c:v>53.204711948878604</c:v>
                </c:pt>
                <c:pt idx="80">
                  <c:v>52.793638916697084</c:v>
                </c:pt>
                <c:pt idx="81">
                  <c:v>52.401829471985124</c:v>
                </c:pt>
                <c:pt idx="82">
                  <c:v>52.003022877110944</c:v>
                </c:pt>
                <c:pt idx="83">
                  <c:v>51.622818462745641</c:v>
                </c:pt>
                <c:pt idx="84">
                  <c:v>51.235737337223291</c:v>
                </c:pt>
                <c:pt idx="85">
                  <c:v>50.854417876265657</c:v>
                </c:pt>
                <c:pt idx="86">
                  <c:v>50.502802577259359</c:v>
                </c:pt>
                <c:pt idx="87">
                  <c:v>50.132275297794301</c:v>
                </c:pt>
                <c:pt idx="88">
                  <c:v>49.778840710542795</c:v>
                </c:pt>
                <c:pt idx="89">
                  <c:v>49.418822504079088</c:v>
                </c:pt>
                <c:pt idx="90">
                  <c:v>49.07534161519775</c:v>
                </c:pt>
                <c:pt idx="91">
                  <c:v>48.725391643689079</c:v>
                </c:pt>
                <c:pt idx="92">
                  <c:v>48.380397231515623</c:v>
                </c:pt>
                <c:pt idx="93">
                  <c:v>48.051151553055291</c:v>
                </c:pt>
                <c:pt idx="94">
                  <c:v>47.715605962502806</c:v>
                </c:pt>
                <c:pt idx="95">
                  <c:v>47.395316445772899</c:v>
                </c:pt>
                <c:pt idx="96">
                  <c:v>47.06883674396498</c:v>
                </c:pt>
                <c:pt idx="97">
                  <c:v>46.746824141231151</c:v>
                </c:pt>
                <c:pt idx="98">
                  <c:v>46.459737822732762</c:v>
                </c:pt>
                <c:pt idx="99">
                  <c:v>46.145977590306181</c:v>
                </c:pt>
                <c:pt idx="100">
                  <c:v>45.846347485649737</c:v>
                </c:pt>
                <c:pt idx="101">
                  <c:v>45.540790232961768</c:v>
                </c:pt>
                <c:pt idx="102">
                  <c:v>45.248942816837967</c:v>
                </c:pt>
                <c:pt idx="103">
                  <c:v>44.951271008717349</c:v>
                </c:pt>
                <c:pt idx="104">
                  <c:v>44.657490093743434</c:v>
                </c:pt>
                <c:pt idx="105">
                  <c:v>44.376819227975609</c:v>
                </c:pt>
                <c:pt idx="106">
                  <c:v>44.090475126240072</c:v>
                </c:pt>
                <c:pt idx="107">
                  <c:v>43.816864519577926</c:v>
                </c:pt>
                <c:pt idx="108">
                  <c:v>43.537678378391632</c:v>
                </c:pt>
                <c:pt idx="109">
                  <c:v>43.262027469964842</c:v>
                </c:pt>
                <c:pt idx="110">
                  <c:v>43.016035528055426</c:v>
                </c:pt>
                <c:pt idx="111">
                  <c:v>42.746930008987277</c:v>
                </c:pt>
                <c:pt idx="112">
                  <c:v>42.48969186636964</c:v>
                </c:pt>
                <c:pt idx="113">
                  <c:v>42.227111500501167</c:v>
                </c:pt>
                <c:pt idx="114">
                  <c:v>41.976073170813486</c:v>
                </c:pt>
                <c:pt idx="115">
                  <c:v>41.719783474476699</c:v>
                </c:pt>
                <c:pt idx="116">
                  <c:v>41.466604397768513</c:v>
                </c:pt>
                <c:pt idx="117">
                  <c:v>41.224501083253642</c:v>
                </c:pt>
                <c:pt idx="118">
                  <c:v>40.977279817179934</c:v>
                </c:pt>
                <c:pt idx="119">
                  <c:v>40.740840355625096</c:v>
                </c:pt>
                <c:pt idx="120">
                  <c:v>40.499369048703194</c:v>
                </c:pt>
                <c:pt idx="121">
                  <c:v>40.260743281220194</c:v>
                </c:pt>
                <c:pt idx="122">
                  <c:v>40.04761451524822</c:v>
                </c:pt>
                <c:pt idx="123">
                  <c:v>39.814267273373801</c:v>
                </c:pt>
                <c:pt idx="124">
                  <c:v>39.591021989236879</c:v>
                </c:pt>
                <c:pt idx="125">
                  <c:v>39.362950160184702</c:v>
                </c:pt>
                <c:pt idx="126">
                  <c:v>39.144723541299804</c:v>
                </c:pt>
                <c:pt idx="127">
                  <c:v>38.92175022968452</c:v>
                </c:pt>
                <c:pt idx="128">
                  <c:v>38.701302699441641</c:v>
                </c:pt>
                <c:pt idx="129">
                  <c:v>38.490331057131932</c:v>
                </c:pt>
                <c:pt idx="130">
                  <c:v>38.274729906792274</c:v>
                </c:pt>
                <c:pt idx="131">
                  <c:v>38.068370970354295</c:v>
                </c:pt>
                <c:pt idx="132">
                  <c:v>37.857458122446594</c:v>
                </c:pt>
                <c:pt idx="133">
                  <c:v>37.648869467939356</c:v>
                </c:pt>
                <c:pt idx="134">
                  <c:v>37.455808397016682</c:v>
                </c:pt>
                <c:pt idx="135">
                  <c:v>37.251610380509796</c:v>
                </c:pt>
                <c:pt idx="136">
                  <c:v>37.056108152733977</c:v>
                </c:pt>
                <c:pt idx="137">
                  <c:v>36.856233350660339</c:v>
                </c:pt>
                <c:pt idx="138">
                  <c:v>36.664848438826574</c:v>
                </c:pt>
                <c:pt idx="139">
                  <c:v>36.469160995712414</c:v>
                </c:pt>
                <c:pt idx="140">
                  <c:v>36.275551307274156</c:v>
                </c:pt>
                <c:pt idx="141">
                  <c:v>36.090134382415307</c:v>
                </c:pt>
                <c:pt idx="142">
                  <c:v>35.900517717709214</c:v>
                </c:pt>
                <c:pt idx="143">
                  <c:v>35.739359643498695</c:v>
                </c:pt>
                <c:pt idx="144">
                  <c:v>35.552035827799365</c:v>
                </c:pt>
                <c:pt idx="145">
                  <c:v>35.365693848715971</c:v>
                </c:pt>
                <c:pt idx="146">
                  <c:v>35.198224592784335</c:v>
                </c:pt>
                <c:pt idx="147">
                  <c:v>35.013737075315298</c:v>
                </c:pt>
                <c:pt idx="148">
                  <c:v>34.836121504737839</c:v>
                </c:pt>
                <c:pt idx="149">
                  <c:v>34.653531909693989</c:v>
                </c:pt>
                <c:pt idx="150">
                  <c:v>34.477743566124012</c:v>
                </c:pt>
                <c:pt idx="151">
                  <c:v>34.29703236855547</c:v>
                </c:pt>
                <c:pt idx="152">
                  <c:v>34.117268348312038</c:v>
                </c:pt>
                <c:pt idx="153">
                  <c:v>33.944200330145478</c:v>
                </c:pt>
                <c:pt idx="154">
                  <c:v>33.766285639168018</c:v>
                </c:pt>
                <c:pt idx="155">
                  <c:v>33.59499806488877</c:v>
                </c:pt>
                <c:pt idx="156">
                  <c:v>33.418913678131403</c:v>
                </c:pt>
                <c:pt idx="157">
                  <c:v>33.243752217793009</c:v>
                </c:pt>
                <c:pt idx="158">
                  <c:v>33.086331117217277</c:v>
                </c:pt>
                <c:pt idx="159">
                  <c:v>32.912912850796374</c:v>
                </c:pt>
                <c:pt idx="160">
                  <c:v>32.745954214453569</c:v>
                </c:pt>
                <c:pt idx="161">
                  <c:v>32.574319995112347</c:v>
                </c:pt>
                <c:pt idx="162">
                  <c:v>32.40907895215657</c:v>
                </c:pt>
                <c:pt idx="163">
                  <c:v>32.239210426442142</c:v>
                </c:pt>
                <c:pt idx="164">
                  <c:v>32.070232247413308</c:v>
                </c:pt>
                <c:pt idx="165">
                  <c:v>31.90754831033675</c:v>
                </c:pt>
                <c:pt idx="166">
                  <c:v>31.740308500817935</c:v>
                </c:pt>
                <c:pt idx="167">
                  <c:v>31.579298180995441</c:v>
                </c:pt>
                <c:pt idx="168">
                  <c:v>31.413778857443511</c:v>
                </c:pt>
                <c:pt idx="169">
                  <c:v>31.249127084725426</c:v>
                </c:pt>
                <c:pt idx="170">
                  <c:v>31.101151250184238</c:v>
                </c:pt>
                <c:pt idx="171">
                  <c:v>30.93813807974859</c:v>
                </c:pt>
                <c:pt idx="172">
                  <c:v>30.78119696158635</c:v>
                </c:pt>
                <c:pt idx="173">
                  <c:v>30.619860795405604</c:v>
                </c:pt>
                <c:pt idx="174">
                  <c:v>30.464534215027168</c:v>
                </c:pt>
                <c:pt idx="175">
                  <c:v>30.304857800855608</c:v>
                </c:pt>
                <c:pt idx="176">
                  <c:v>30.146018312568508</c:v>
                </c:pt>
                <c:pt idx="177">
                  <c:v>29.993095411716542</c:v>
                </c:pt>
                <c:pt idx="178">
                  <c:v>29.835889990768859</c:v>
                </c:pt>
                <c:pt idx="179">
                  <c:v>29.684540290135711</c:v>
                </c:pt>
                <c:pt idx="180">
                  <c:v>29.528952125996899</c:v>
                </c:pt>
                <c:pt idx="181">
                  <c:v>29.374179459641898</c:v>
                </c:pt>
                <c:pt idx="182">
                  <c:v>29.230126615736555</c:v>
                </c:pt>
                <c:pt idx="183">
                  <c:v>29.076920209531952</c:v>
                </c:pt>
                <c:pt idx="184">
                  <c:v>28.929420564962669</c:v>
                </c:pt>
                <c:pt idx="185">
                  <c:v>28.777790275549098</c:v>
                </c:pt>
                <c:pt idx="186">
                  <c:v>28.631808039241236</c:v>
                </c:pt>
                <c:pt idx="187">
                  <c:v>28.481737652256641</c:v>
                </c:pt>
                <c:pt idx="188">
                  <c:v>28.33245384225031</c:v>
                </c:pt>
                <c:pt idx="189">
                  <c:v>28.188730681702602</c:v>
                </c:pt>
                <c:pt idx="190">
                  <c:v>28.040982634628179</c:v>
                </c:pt>
                <c:pt idx="191">
                  <c:v>27.898738031617398</c:v>
                </c:pt>
                <c:pt idx="192">
                  <c:v>27.752509948254716</c:v>
                </c:pt>
                <c:pt idx="193">
                  <c:v>27.607048302869963</c:v>
                </c:pt>
                <c:pt idx="194">
                  <c:v>27.47631901879236</c:v>
                </c:pt>
                <c:pt idx="195">
                  <c:v>27.332304996960033</c:v>
                </c:pt>
                <c:pt idx="196">
                  <c:v>27.19365533106491</c:v>
                </c:pt>
                <c:pt idx="197">
                  <c:v>27.05112285901615</c:v>
                </c:pt>
                <c:pt idx="198">
                  <c:v>26.913899556886761</c:v>
                </c:pt>
                <c:pt idx="199">
                  <c:v>26.772833393121243</c:v>
                </c:pt>
                <c:pt idx="200">
                  <c:v>26.632506611715289</c:v>
                </c:pt>
                <c:pt idx="201">
                  <c:v>26.497406840800444</c:v>
                </c:pt>
                <c:pt idx="202">
                  <c:v>26.358523676550487</c:v>
                </c:pt>
                <c:pt idx="203">
                  <c:v>26.224813749720354</c:v>
                </c:pt>
                <c:pt idx="204">
                  <c:v>26.087359351359432</c:v>
                </c:pt>
                <c:pt idx="205">
                  <c:v>25.950625404697764</c:v>
                </c:pt>
                <c:pt idx="206">
                  <c:v>25.827739877664822</c:v>
                </c:pt>
                <c:pt idx="207">
                  <c:v>25.692366697142429</c:v>
                </c:pt>
                <c:pt idx="208">
                  <c:v>25.562036011201013</c:v>
                </c:pt>
                <c:pt idx="209">
                  <c:v>25.428055487475181</c:v>
                </c:pt>
                <c:pt idx="210">
                  <c:v>25.299065583473553</c:v>
                </c:pt>
                <c:pt idx="211">
                  <c:v>25.166463389533966</c:v>
                </c:pt>
                <c:pt idx="212">
                  <c:v>25.034556215012373</c:v>
                </c:pt>
                <c:pt idx="213">
                  <c:v>24.907562430352414</c:v>
                </c:pt>
                <c:pt idx="214">
                  <c:v>24.777012255957459</c:v>
                </c:pt>
                <c:pt idx="215">
                  <c:v>24.651324924737136</c:v>
                </c:pt>
                <c:pt idx="216">
                  <c:v>24.522117790277861</c:v>
                </c:pt>
                <c:pt idx="217">
                  <c:v>24.393587880415897</c:v>
                </c:pt>
                <c:pt idx="218">
                  <c:v>24.27807548500493</c:v>
                </c:pt>
                <c:pt idx="219">
                  <c:v>24.150824695313883</c:v>
                </c:pt>
                <c:pt idx="220">
                  <c:v>24.028313850528953</c:v>
                </c:pt>
                <c:pt idx="221">
                  <c:v>23.902372158226669</c:v>
                </c:pt>
                <c:pt idx="222">
                  <c:v>23.781121648465138</c:v>
                </c:pt>
                <c:pt idx="223">
                  <c:v>23.656475586161925</c:v>
                </c:pt>
                <c:pt idx="224">
                  <c:v>23.532482842111627</c:v>
                </c:pt>
                <c:pt idx="225">
                  <c:v>23.41310868453127</c:v>
                </c:pt>
                <c:pt idx="226">
                  <c:v>23.290391520600011</c:v>
                </c:pt>
                <c:pt idx="227">
                  <c:v>23.172245429252904</c:v>
                </c:pt>
                <c:pt idx="228">
                  <c:v>23.050790722861187</c:v>
                </c:pt>
                <c:pt idx="229">
                  <c:v>22.92997260759094</c:v>
                </c:pt>
                <c:pt idx="230">
                  <c:v>22.817522563860074</c:v>
                </c:pt>
                <c:pt idx="231">
                  <c:v>22.697927097290339</c:v>
                </c:pt>
                <c:pt idx="232">
                  <c:v>22.582786423684464</c:v>
                </c:pt>
                <c:pt idx="233">
                  <c:v>22.464421300072711</c:v>
                </c:pt>
                <c:pt idx="234">
                  <c:v>22.350465140571021</c:v>
                </c:pt>
                <c:pt idx="235">
                  <c:v>22.233317702716796</c:v>
                </c:pt>
                <c:pt idx="236">
                  <c:v>22.116784279922637</c:v>
                </c:pt>
                <c:pt idx="237">
                  <c:v>22.004591592499207</c:v>
                </c:pt>
                <c:pt idx="238">
                  <c:v>21.88925701177002</c:v>
                </c:pt>
                <c:pt idx="239">
                  <c:v>21.778218510929644</c:v>
                </c:pt>
                <c:pt idx="240">
                  <c:v>21.664070439131635</c:v>
                </c:pt>
                <c:pt idx="241">
                  <c:v>21.550520661555371</c:v>
                </c:pt>
                <c:pt idx="242">
                  <c:v>21.448471210028469</c:v>
                </c:pt>
                <c:pt idx="243">
                  <c:v>21.336051471452915</c:v>
                </c:pt>
                <c:pt idx="244">
                  <c:v>21.227819238263393</c:v>
                </c:pt>
                <c:pt idx="245">
                  <c:v>21.116556022068345</c:v>
                </c:pt>
                <c:pt idx="246">
                  <c:v>21.009437232136762</c:v>
                </c:pt>
                <c:pt idx="247">
                  <c:v>20.899318640553783</c:v>
                </c:pt>
                <c:pt idx="248">
                  <c:v>20.789777223127274</c:v>
                </c:pt>
                <c:pt idx="249">
                  <c:v>20.684316096949249</c:v>
                </c:pt>
                <c:pt idx="250">
                  <c:v>20.575901591063822</c:v>
                </c:pt>
                <c:pt idx="251">
                  <c:v>20.471525400273869</c:v>
                </c:pt>
                <c:pt idx="252">
                  <c:v>20.364226212783734</c:v>
                </c:pt>
                <c:pt idx="253">
                  <c:v>20.257489421862047</c:v>
                </c:pt>
                <c:pt idx="254">
                  <c:v>20.161562937426762</c:v>
                </c:pt>
                <c:pt idx="255">
                  <c:v>20.05588838316574</c:v>
                </c:pt>
                <c:pt idx="256">
                  <c:v>19.954150083967587</c:v>
                </c:pt>
                <c:pt idx="257">
                  <c:v>19.84956266074424</c:v>
                </c:pt>
                <c:pt idx="258">
                  <c:v>19.748870998208549</c:v>
                </c:pt>
                <c:pt idx="259">
                  <c:v>19.645359522120557</c:v>
                </c:pt>
                <c:pt idx="260">
                  <c:v>19.542390589739636</c:v>
                </c:pt>
                <c:pt idx="261">
                  <c:v>19.443257131132295</c:v>
                </c:pt>
                <c:pt idx="262">
                  <c:v>19.34134749559999</c:v>
                </c:pt>
                <c:pt idx="263">
                  <c:v>19.243233876257431</c:v>
                </c:pt>
                <c:pt idx="264">
                  <c:v>19.14237264001671</c:v>
                </c:pt>
                <c:pt idx="265">
                  <c:v>19.042040056550324</c:v>
                </c:pt>
                <c:pt idx="266">
                  <c:v>18.951869161181151</c:v>
                </c:pt>
                <c:pt idx="267">
                  <c:v>18.852535080175794</c:v>
                </c:pt>
                <c:pt idx="268">
                  <c:v>18.756901078929531</c:v>
                </c:pt>
                <c:pt idx="269">
                  <c:v>18.658588901099588</c:v>
                </c:pt>
                <c:pt idx="270">
                  <c:v>18.563938738316036</c:v>
                </c:pt>
                <c:pt idx="271">
                  <c:v>18.46663795079332</c:v>
                </c:pt>
                <c:pt idx="272">
                  <c:v>18.369847154355259</c:v>
                </c:pt>
                <c:pt idx="273">
                  <c:v>18.276661703264356</c:v>
                </c:pt>
                <c:pt idx="274">
                  <c:v>18.18086664586399</c:v>
                </c:pt>
                <c:pt idx="275">
                  <c:v>18.088639843681985</c:v>
                </c:pt>
                <c:pt idx="276">
                  <c:v>17.993830281615704</c:v>
                </c:pt>
                <c:pt idx="277">
                  <c:v>17.899517653157304</c:v>
                </c:pt>
                <c:pt idx="278">
                  <c:v>17.811737280397825</c:v>
                </c:pt>
                <c:pt idx="279">
                  <c:v>17.718379071832242</c:v>
                </c:pt>
                <c:pt idx="280">
                  <c:v>17.628498348681163</c:v>
                </c:pt>
                <c:pt idx="281">
                  <c:v>17.536100566273635</c:v>
                </c:pt>
                <c:pt idx="282">
                  <c:v>17.447144494515783</c:v>
                </c:pt>
                <c:pt idx="283">
                  <c:v>17.355697257845307</c:v>
                </c:pt>
                <c:pt idx="284">
                  <c:v>17.264729331534031</c:v>
                </c:pt>
                <c:pt idx="285">
                  <c:v>17.17714985538472</c:v>
                </c:pt>
                <c:pt idx="286">
                  <c:v>17.08711776511096</c:v>
                </c:pt>
                <c:pt idx="287">
                  <c:v>17.000439266187918</c:v>
                </c:pt>
                <c:pt idx="288">
                  <c:v>16.911333384502473</c:v>
                </c:pt>
                <c:pt idx="289">
                  <c:v>16.822694541228607</c:v>
                </c:pt>
                <c:pt idx="290">
                  <c:v>16.743033043573956</c:v>
                </c:pt>
                <c:pt idx="291">
                  <c:v>16.655276327522305</c:v>
                </c:pt>
                <c:pt idx="292">
                  <c:v>16.57078844776029</c:v>
                </c:pt>
                <c:pt idx="293">
                  <c:v>16.483934532297216</c:v>
                </c:pt>
                <c:pt idx="294">
                  <c:v>16.400315824844832</c:v>
                </c:pt>
                <c:pt idx="295">
                  <c:v>16.314355422374586</c:v>
                </c:pt>
                <c:pt idx="296">
                  <c:v>16.228845571641987</c:v>
                </c:pt>
                <c:pt idx="297">
                  <c:v>16.146520864061635</c:v>
                </c:pt>
                <c:pt idx="298">
                  <c:v>16.061890699204302</c:v>
                </c:pt>
                <c:pt idx="299">
                  <c:v>15.980412910216641</c:v>
                </c:pt>
                <c:pt idx="300">
                  <c:v>15.896653381432326</c:v>
                </c:pt>
                <c:pt idx="301">
                  <c:v>15.813332868754891</c:v>
                </c:pt>
                <c:pt idx="302">
                  <c:v>15.738451060959518</c:v>
                </c:pt>
                <c:pt idx="303">
                  <c:v>15.655959747870968</c:v>
                </c:pt>
                <c:pt idx="304">
                  <c:v>15.576541140894673</c:v>
                </c:pt>
                <c:pt idx="305">
                  <c:v>15.494898460359384</c:v>
                </c:pt>
                <c:pt idx="306">
                  <c:v>15.416296875354142</c:v>
                </c:pt>
                <c:pt idx="307">
                  <c:v>15.335494097032109</c:v>
                </c:pt>
                <c:pt idx="308">
                  <c:v>15.255114837343465</c:v>
                </c:pt>
                <c:pt idx="309">
                  <c:v>15.177729612217938</c:v>
                </c:pt>
                <c:pt idx="310">
                  <c:v>15.098177257252042</c:v>
                </c:pt>
                <c:pt idx="311">
                  <c:v>15.021588135603642</c:v>
                </c:pt>
                <c:pt idx="312">
                  <c:v>14.942854178546385</c:v>
                </c:pt>
                <c:pt idx="313">
                  <c:v>14.864532896629596</c:v>
                </c:pt>
                <c:pt idx="314">
                  <c:v>14.794143997301944</c:v>
                </c:pt>
                <c:pt idx="315">
                  <c:v>14.71660216299871</c:v>
                </c:pt>
                <c:pt idx="316">
                  <c:v>14.641948672440991</c:v>
                </c:pt>
                <c:pt idx="317">
                  <c:v>14.565204552737818</c:v>
                </c:pt>
                <c:pt idx="318">
                  <c:v>14.491319062832893</c:v>
                </c:pt>
                <c:pt idx="319">
                  <c:v>14.415364451210182</c:v>
                </c:pt>
                <c:pt idx="320">
                  <c:v>14.339807947102857</c:v>
                </c:pt>
                <c:pt idx="321">
                  <c:v>14.267065835484859</c:v>
                </c:pt>
                <c:pt idx="322">
                  <c:v>14.192286621816919</c:v>
                </c:pt>
                <c:pt idx="323">
                  <c:v>14.120292847467423</c:v>
                </c:pt>
                <c:pt idx="324">
                  <c:v>14.046282927833602</c:v>
                </c:pt>
                <c:pt idx="325">
                  <c:v>13.972660922831819</c:v>
                </c:pt>
                <c:pt idx="326">
                  <c:v>13.904138105177477</c:v>
                </c:pt>
                <c:pt idx="327">
                  <c:v>13.831261136203969</c:v>
                </c:pt>
                <c:pt idx="328">
                  <c:v>13.761098750131659</c:v>
                </c:pt>
                <c:pt idx="329">
                  <c:v>13.68897150577688</c:v>
                </c:pt>
                <c:pt idx="330">
                  <c:v>13.619530917947388</c:v>
                </c:pt>
                <c:pt idx="331">
                  <c:v>13.548145685390514</c:v>
                </c:pt>
                <c:pt idx="332">
                  <c:v>13.477134610464907</c:v>
                </c:pt>
                <c:pt idx="333">
                  <c:v>13.408768616042831</c:v>
                </c:pt>
                <c:pt idx="334">
                  <c:v>13.338488070279233</c:v>
                </c:pt>
                <c:pt idx="335">
                  <c:v>13.270825393651851</c:v>
                </c:pt>
                <c:pt idx="336">
                  <c:v>13.270825393651851</c:v>
                </c:pt>
                <c:pt idx="337">
                  <c:v>13.270825393651851</c:v>
                </c:pt>
                <c:pt idx="338">
                  <c:v>13.270825393651851</c:v>
                </c:pt>
                <c:pt idx="339">
                  <c:v>13.270825393651851</c:v>
                </c:pt>
                <c:pt idx="340">
                  <c:v>13.270825393651851</c:v>
                </c:pt>
                <c:pt idx="341">
                  <c:v>13.270825393651851</c:v>
                </c:pt>
                <c:pt idx="342">
                  <c:v>13.270825393651851</c:v>
                </c:pt>
                <c:pt idx="343">
                  <c:v>13.270825393651851</c:v>
                </c:pt>
                <c:pt idx="344">
                  <c:v>13.270825393651851</c:v>
                </c:pt>
                <c:pt idx="345">
                  <c:v>13.270825393651851</c:v>
                </c:pt>
                <c:pt idx="346">
                  <c:v>13.270825393651851</c:v>
                </c:pt>
                <c:pt idx="347">
                  <c:v>13.270825393651851</c:v>
                </c:pt>
                <c:pt idx="348">
                  <c:v>13.270825393651851</c:v>
                </c:pt>
                <c:pt idx="349">
                  <c:v>13.270825393651851</c:v>
                </c:pt>
                <c:pt idx="350">
                  <c:v>13.270825393651851</c:v>
                </c:pt>
                <c:pt idx="351">
                  <c:v>13.270825393651851</c:v>
                </c:pt>
                <c:pt idx="352">
                  <c:v>13.270825393651851</c:v>
                </c:pt>
                <c:pt idx="353">
                  <c:v>13.270825393651851</c:v>
                </c:pt>
                <c:pt idx="354">
                  <c:v>13.270825393651851</c:v>
                </c:pt>
                <c:pt idx="355">
                  <c:v>13.270825393651851</c:v>
                </c:pt>
                <c:pt idx="356">
                  <c:v>13.270825393651851</c:v>
                </c:pt>
                <c:pt idx="357">
                  <c:v>13.270825393651851</c:v>
                </c:pt>
                <c:pt idx="358">
                  <c:v>13.270825393651851</c:v>
                </c:pt>
                <c:pt idx="359">
                  <c:v>13.270825393651851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4B7-4B9E-979A-20983D203061}"/>
            </c:ext>
          </c:extLst>
        </c:ser>
        <c:ser>
          <c:idx val="13"/>
          <c:order val="14"/>
          <c:tx>
            <c:v>Water total foreast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'forecast production'!$Z$7:$Z$366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'forecast production'!$AC$7:$AC$366</c:f>
              <c:numCache>
                <c:formatCode>_(* #,##0_);_(* \(#,##0\);_(* "-"??_);_(@_)</c:formatCode>
                <c:ptCount val="360"/>
                <c:pt idx="0">
                  <c:v>21.13926980300365</c:v>
                </c:pt>
                <c:pt idx="1">
                  <c:v>20.383094632745951</c:v>
                </c:pt>
                <c:pt idx="2">
                  <c:v>19.723486639582742</c:v>
                </c:pt>
                <c:pt idx="3">
                  <c:v>19.018195662544148</c:v>
                </c:pt>
                <c:pt idx="4">
                  <c:v>18.359794437784302</c:v>
                </c:pt>
                <c:pt idx="5">
                  <c:v>17.703498522213689</c:v>
                </c:pt>
                <c:pt idx="6">
                  <c:v>17.090827127208993</c:v>
                </c:pt>
                <c:pt idx="7">
                  <c:v>16.480106945878568</c:v>
                </c:pt>
                <c:pt idx="8">
                  <c:v>15.891315303961013</c:v>
                </c:pt>
                <c:pt idx="9">
                  <c:v>15.34165043838383</c:v>
                </c:pt>
                <c:pt idx="10">
                  <c:v>14.793725486860563</c:v>
                </c:pt>
                <c:pt idx="11">
                  <c:v>14.282205026682595</c:v>
                </c:pt>
                <c:pt idx="12">
                  <c:v>13.772297179288524</c:v>
                </c:pt>
                <c:pt idx="13">
                  <c:v>13.28068197414235</c:v>
                </c:pt>
                <c:pt idx="14">
                  <c:v>12.851816393095474</c:v>
                </c:pt>
                <c:pt idx="15">
                  <c:v>12.393214386417208</c:v>
                </c:pt>
                <c:pt idx="16">
                  <c:v>11.965068571131056</c:v>
                </c:pt>
                <c:pt idx="17">
                  <c:v>11.538258950329086</c:v>
                </c:pt>
                <c:pt idx="18">
                  <c:v>11.139789042219109</c:v>
                </c:pt>
                <c:pt idx="19">
                  <c:v>10.742557616794631</c:v>
                </c:pt>
                <c:pt idx="20">
                  <c:v>10.359559263118944</c:v>
                </c:pt>
                <c:pt idx="21">
                  <c:v>10.001984681438795</c:v>
                </c:pt>
                <c:pt idx="22">
                  <c:v>9.6455145840470067</c:v>
                </c:pt>
                <c:pt idx="23">
                  <c:v>9.3127030236753683</c:v>
                </c:pt>
                <c:pt idx="24">
                  <c:v>8.9809152096530038</c:v>
                </c:pt>
                <c:pt idx="25">
                  <c:v>8.661005129344634</c:v>
                </c:pt>
                <c:pt idx="26">
                  <c:v>8.3819075549926172</c:v>
                </c:pt>
                <c:pt idx="27">
                  <c:v>8.0834359496752111</c:v>
                </c:pt>
                <c:pt idx="28">
                  <c:v>7.8047647533021127</c:v>
                </c:pt>
                <c:pt idx="29">
                  <c:v>7.5269419675546789</c:v>
                </c:pt>
                <c:pt idx="30">
                  <c:v>7.2675464452489935</c:v>
                </c:pt>
                <c:pt idx="31">
                  <c:v>7.0089373451132202</c:v>
                </c:pt>
                <c:pt idx="32">
                  <c:v>6.7595749789058415</c:v>
                </c:pt>
                <c:pt idx="33">
                  <c:v>6.5267476849253629</c:v>
                </c:pt>
                <c:pt idx="34">
                  <c:v>6.2946217962309099</c:v>
                </c:pt>
                <c:pt idx="35">
                  <c:v>6.0778852729471584</c:v>
                </c:pt>
                <c:pt idx="36">
                  <c:v>5.8617989248608611</c:v>
                </c:pt>
                <c:pt idx="37">
                  <c:v>5.6534321057340744</c:v>
                </c:pt>
                <c:pt idx="38">
                  <c:v>5.4652512434232543</c:v>
                </c:pt>
                <c:pt idx="39">
                  <c:v>5.2710471311428568</c:v>
                </c:pt>
                <c:pt idx="40">
                  <c:v>5.0897125058915202</c:v>
                </c:pt>
                <c:pt idx="41">
                  <c:v>4.9089161176312004</c:v>
                </c:pt>
                <c:pt idx="42">
                  <c:v>4.7400985663060222</c:v>
                </c:pt>
                <c:pt idx="43">
                  <c:v>4.571779957594261</c:v>
                </c:pt>
                <c:pt idx="44">
                  <c:v>4.4094670764332564</c:v>
                </c:pt>
                <c:pt idx="45">
                  <c:v>4.2579054823731957</c:v>
                </c:pt>
                <c:pt idx="46">
                  <c:v>4.1067889339474428</c:v>
                </c:pt>
                <c:pt idx="47">
                  <c:v>3.965680256262603</c:v>
                </c:pt>
                <c:pt idx="48">
                  <c:v>3.8249841436113194</c:v>
                </c:pt>
                <c:pt idx="49">
                  <c:v>3.6893037742770018</c:v>
                </c:pt>
                <c:pt idx="50">
                  <c:v>3.570915324981323</c:v>
                </c:pt>
                <c:pt idx="51">
                  <c:v>3.4442900587628738</c:v>
                </c:pt>
                <c:pt idx="52">
                  <c:v>3.3260469843436784</c:v>
                </c:pt>
                <c:pt idx="53">
                  <c:v>3.2081459203619378</c:v>
                </c:pt>
                <c:pt idx="54">
                  <c:v>3.0980481379240494</c:v>
                </c:pt>
                <c:pt idx="55">
                  <c:v>2.9882674155687603</c:v>
                </c:pt>
                <c:pt idx="56">
                  <c:v>2.882395578290232</c:v>
                </c:pt>
                <c:pt idx="57">
                  <c:v>2.783528979677544</c:v>
                </c:pt>
                <c:pt idx="58">
                  <c:v>2.6849452157961351</c:v>
                </c:pt>
                <c:pt idx="59">
                  <c:v>2.5928832945003779</c:v>
                </c:pt>
                <c:pt idx="60">
                  <c:v>2.5010835805242988</c:v>
                </c:pt>
                <c:pt idx="61">
                  <c:v>2.4125496595162006</c:v>
                </c:pt>
                <c:pt idx="62">
                  <c:v>2.3352933684822181</c:v>
                </c:pt>
                <c:pt idx="63">
                  <c:v>2.2526559605507321</c:v>
                </c:pt>
                <c:pt idx="64">
                  <c:v>2.1754830441875086</c:v>
                </c:pt>
                <c:pt idx="65">
                  <c:v>2.0985275230426153</c:v>
                </c:pt>
                <c:pt idx="66">
                  <c:v>2.0266598651206085</c:v>
                </c:pt>
                <c:pt idx="67">
                  <c:v>1.9549937535938082</c:v>
                </c:pt>
                <c:pt idx="68">
                  <c:v>1.8858740962802594</c:v>
                </c:pt>
                <c:pt idx="69">
                  <c:v>1.8213230114199883</c:v>
                </c:pt>
                <c:pt idx="70">
                  <c:v>1.7569517307836247</c:v>
                </c:pt>
                <c:pt idx="71">
                  <c:v>1.6968344136595699</c:v>
                </c:pt>
                <c:pt idx="72">
                  <c:v>1.6368837958394042</c:v>
                </c:pt>
                <c:pt idx="73">
                  <c:v>1.579061498314863</c:v>
                </c:pt>
                <c:pt idx="74">
                  <c:v>1.5286010382722428</c:v>
                </c:pt>
                <c:pt idx="75">
                  <c:v>1.4746219312934663</c:v>
                </c:pt>
                <c:pt idx="76">
                  <c:v>1.4242084525227905</c:v>
                </c:pt>
                <c:pt idx="77">
                  <c:v>1.373933200217661</c:v>
                </c:pt>
                <c:pt idx="78">
                  <c:v>1.3269783251643683</c:v>
                </c:pt>
                <c:pt idx="79">
                  <c:v>1.2801516054260333</c:v>
                </c:pt>
                <c:pt idx="80">
                  <c:v>1.2349852862048216</c:v>
                </c:pt>
                <c:pt idx="81">
                  <c:v>1.1928011310151203</c:v>
                </c:pt>
                <c:pt idx="82">
                  <c:v>1.1507313140356681</c:v>
                </c:pt>
                <c:pt idx="83">
                  <c:v>1.1114387175437095</c:v>
                </c:pt>
                <c:pt idx="84">
                  <c:v>1.0722521305001211</c:v>
                </c:pt>
                <c:pt idx="85">
                  <c:v>1.0344538284939186</c:v>
                </c:pt>
                <c:pt idx="86">
                  <c:v>1.0003071476136278</c:v>
                </c:pt>
                <c:pt idx="87">
                  <c:v>0.96505702515673641</c:v>
                </c:pt>
                <c:pt idx="88">
                  <c:v>0.93213289593167803</c:v>
                </c:pt>
                <c:pt idx="89">
                  <c:v>0.89929656973650363</c:v>
                </c:pt>
                <c:pt idx="90">
                  <c:v>0.86862657759357742</c:v>
                </c:pt>
                <c:pt idx="91">
                  <c:v>0.83803799450360406</c:v>
                </c:pt>
                <c:pt idx="92">
                  <c:v>0.80853177951405064</c:v>
                </c:pt>
                <c:pt idx="93">
                  <c:v>0.78097167900696463</c:v>
                </c:pt>
                <c:pt idx="94">
                  <c:v>0.75348421475003591</c:v>
                </c:pt>
                <c:pt idx="95">
                  <c:v>0.72780939528558752</c:v>
                </c:pt>
                <c:pt idx="96">
                  <c:v>0.70220192359095168</c:v>
                </c:pt>
                <c:pt idx="97">
                  <c:v>0.67749977830495312</c:v>
                </c:pt>
                <c:pt idx="98">
                  <c:v>0.65593953637100466</c:v>
                </c:pt>
                <c:pt idx="99">
                  <c:v>0.6328725360834383</c:v>
                </c:pt>
                <c:pt idx="100">
                  <c:v>0.61132601008643539</c:v>
                </c:pt>
                <c:pt idx="101">
                  <c:v>0.58983533954111511</c:v>
                </c:pt>
                <c:pt idx="102">
                  <c:v>0.56976098842225087</c:v>
                </c:pt>
                <c:pt idx="103">
                  <c:v>0.54973842703654419</c:v>
                </c:pt>
                <c:pt idx="104">
                  <c:v>0.5304228928057233</c:v>
                </c:pt>
                <c:pt idx="105">
                  <c:v>0.51237998912425131</c:v>
                </c:pt>
                <c:pt idx="106">
                  <c:v>0.49438329650328261</c:v>
                </c:pt>
                <c:pt idx="107">
                  <c:v>0.47757213157594347</c:v>
                </c:pt>
                <c:pt idx="108">
                  <c:v>0.46080381453458946</c:v>
                </c:pt>
                <c:pt idx="109">
                  <c:v>0.44462709942058382</c:v>
                </c:pt>
                <c:pt idx="110">
                  <c:v>0.43050690743900649</c:v>
                </c:pt>
                <c:pt idx="111">
                  <c:v>0.41539882480114076</c:v>
                </c:pt>
                <c:pt idx="112">
                  <c:v>0.40128554925122428</c:v>
                </c:pt>
                <c:pt idx="113">
                  <c:v>0.38720781255163955</c:v>
                </c:pt>
                <c:pt idx="114">
                  <c:v>0.37405687554005629</c:v>
                </c:pt>
                <c:pt idx="115">
                  <c:v>0.36093889140676422</c:v>
                </c:pt>
                <c:pt idx="116">
                  <c:v>0.34828316720997499</c:v>
                </c:pt>
                <c:pt idx="117">
                  <c:v>0.33646040421330747</c:v>
                </c:pt>
                <c:pt idx="118">
                  <c:v>0.32466704563033416</c:v>
                </c:pt>
                <c:pt idx="119">
                  <c:v>0.31364975347079688</c:v>
                </c:pt>
                <c:pt idx="120">
                  <c:v>0.30265972637551058</c:v>
                </c:pt>
                <c:pt idx="121">
                  <c:v>0.29205663813029914</c:v>
                </c:pt>
                <c:pt idx="122">
                  <c:v>0.28280084126371757</c:v>
                </c:pt>
                <c:pt idx="123">
                  <c:v>0.27289677145789876</c:v>
                </c:pt>
                <c:pt idx="124">
                  <c:v>0.26364415928965546</c:v>
                </c:pt>
                <c:pt idx="125">
                  <c:v>0.25441416251877486</c:v>
                </c:pt>
                <c:pt idx="126">
                  <c:v>0.24579117846908982</c:v>
                </c:pt>
                <c:pt idx="127">
                  <c:v>0.23718916463110387</c:v>
                </c:pt>
                <c:pt idx="128">
                  <c:v>0.22888964971722175</c:v>
                </c:pt>
                <c:pt idx="129">
                  <c:v>0.22113580977771213</c:v>
                </c:pt>
                <c:pt idx="130">
                  <c:v>0.21340068242786397</c:v>
                </c:pt>
                <c:pt idx="131">
                  <c:v>0.20617403364271772</c:v>
                </c:pt>
                <c:pt idx="132">
                  <c:v>0.19896473627927694</c:v>
                </c:pt>
                <c:pt idx="133">
                  <c:v>0.19200874278836236</c:v>
                </c:pt>
                <c:pt idx="134">
                  <c:v>0.18572291445951566</c:v>
                </c:pt>
                <c:pt idx="135">
                  <c:v>0.17923206328775268</c:v>
                </c:pt>
                <c:pt idx="136">
                  <c:v>0.17316771037488635</c:v>
                </c:pt>
                <c:pt idx="137">
                  <c:v>0.16711773254349502</c:v>
                </c:pt>
                <c:pt idx="138">
                  <c:v>0.16146521467266689</c:v>
                </c:pt>
                <c:pt idx="139">
                  <c:v>0.15582602630639419</c:v>
                </c:pt>
                <c:pt idx="140">
                  <c:v>0.15038473723137943</c:v>
                </c:pt>
                <c:pt idx="141">
                  <c:v>0.1453008253525653</c:v>
                </c:pt>
                <c:pt idx="142">
                  <c:v>0.14022880812212773</c:v>
                </c:pt>
                <c:pt idx="143">
                  <c:v>0.13548985654306153</c:v>
                </c:pt>
                <c:pt idx="144">
                  <c:v>0.13076193447644166</c:v>
                </c:pt>
                <c:pt idx="145">
                  <c:v>0.12619978927047956</c:v>
                </c:pt>
                <c:pt idx="146">
                  <c:v>0.12221676836801154</c:v>
                </c:pt>
                <c:pt idx="147">
                  <c:v>0.11795417001104476</c:v>
                </c:pt>
                <c:pt idx="148">
                  <c:v>0.11397136397706377</c:v>
                </c:pt>
                <c:pt idx="149">
                  <c:v>0.10999770697628633</c:v>
                </c:pt>
                <c:pt idx="150">
                  <c:v>0.10628483099619841</c:v>
                </c:pt>
                <c:pt idx="151">
                  <c:v>0.10258043861579211</c:v>
                </c:pt>
                <c:pt idx="152">
                  <c:v>9.900577994741315E-2</c:v>
                </c:pt>
                <c:pt idx="153">
                  <c:v>9.5665655365005001E-2</c:v>
                </c:pt>
                <c:pt idx="154">
                  <c:v>9.233310117548231E-2</c:v>
                </c:pt>
                <c:pt idx="155">
                  <c:v>8.9219158449260677E-2</c:v>
                </c:pt>
                <c:pt idx="156">
                  <c:v>8.6112235490168332E-2</c:v>
                </c:pt>
                <c:pt idx="157">
                  <c:v>8.3114028434244244E-2</c:v>
                </c:pt>
                <c:pt idx="158">
                  <c:v>8.0496231901740656E-2</c:v>
                </c:pt>
                <c:pt idx="159">
                  <c:v>7.7694487875679674E-2</c:v>
                </c:pt>
                <c:pt idx="160">
                  <c:v>7.5076455624854085E-2</c:v>
                </c:pt>
                <c:pt idx="161">
                  <c:v>7.2464246250242351E-2</c:v>
                </c:pt>
                <c:pt idx="162">
                  <c:v>7.0023290975560704E-2</c:v>
                </c:pt>
                <c:pt idx="163">
                  <c:v>6.7587735028195886E-2</c:v>
                </c:pt>
                <c:pt idx="164">
                  <c:v>6.5237301513138196E-2</c:v>
                </c:pt>
                <c:pt idx="165">
                  <c:v>6.3040919912824969E-2</c:v>
                </c:pt>
                <c:pt idx="166">
                  <c:v>6.0849356372595025E-2</c:v>
                </c:pt>
                <c:pt idx="167">
                  <c:v>5.880140715279291E-2</c:v>
                </c:pt>
                <c:pt idx="168">
                  <c:v>5.6757925507372464E-2</c:v>
                </c:pt>
                <c:pt idx="169">
                  <c:v>5.4785802105365877E-2</c:v>
                </c:pt>
                <c:pt idx="170">
                  <c:v>5.3063778860951628E-2</c:v>
                </c:pt>
                <c:pt idx="171">
                  <c:v>5.1220622468635874E-2</c:v>
                </c:pt>
                <c:pt idx="172">
                  <c:v>4.9498197206653688E-2</c:v>
                </c:pt>
                <c:pt idx="173">
                  <c:v>4.7779477657286844E-2</c:v>
                </c:pt>
                <c:pt idx="174">
                  <c:v>4.6173318806999646E-2</c:v>
                </c:pt>
                <c:pt idx="175">
                  <c:v>4.457059606202491E-2</c:v>
                </c:pt>
                <c:pt idx="176">
                  <c:v>4.3023773880636364E-2</c:v>
                </c:pt>
                <c:pt idx="177">
                  <c:v>4.1578228188658105E-2</c:v>
                </c:pt>
                <c:pt idx="178">
                  <c:v>4.0135748597332016E-2</c:v>
                </c:pt>
                <c:pt idx="179">
                  <c:v>3.8787697422331173E-2</c:v>
                </c:pt>
                <c:pt idx="180">
                  <c:v>3.7442489245707054E-2</c:v>
                </c:pt>
                <c:pt idx="181">
                  <c:v>3.6144159766969601E-2</c:v>
                </c:pt>
                <c:pt idx="182">
                  <c:v>3.4970578156230059E-2</c:v>
                </c:pt>
                <c:pt idx="183">
                  <c:v>3.3758369667017063E-2</c:v>
                </c:pt>
                <c:pt idx="184">
                  <c:v>3.2625481247308519E-2</c:v>
                </c:pt>
                <c:pt idx="185">
                  <c:v>3.1494947940933458E-2</c:v>
                </c:pt>
                <c:pt idx="186">
                  <c:v>3.0438377553354969E-2</c:v>
                </c:pt>
                <c:pt idx="187">
                  <c:v>2.9383990872009394E-2</c:v>
                </c:pt>
                <c:pt idx="188">
                  <c:v>2.8366304435000787E-2</c:v>
                </c:pt>
                <c:pt idx="189">
                  <c:v>2.741518078466482E-2</c:v>
                </c:pt>
                <c:pt idx="190">
                  <c:v>2.6466005605190499E-2</c:v>
                </c:pt>
                <c:pt idx="191">
                  <c:v>2.557890144722651E-2</c:v>
                </c:pt>
                <c:pt idx="192">
                  <c:v>2.4693603920798488E-2</c:v>
                </c:pt>
                <c:pt idx="193">
                  <c:v>2.3839094807821232E-2</c:v>
                </c:pt>
                <c:pt idx="194">
                  <c:v>2.3092847742598902E-2</c:v>
                </c:pt>
                <c:pt idx="195">
                  <c:v>2.2293994986687313E-2</c:v>
                </c:pt>
                <c:pt idx="196">
                  <c:v>2.1547360658584716E-2</c:v>
                </c:pt>
                <c:pt idx="197">
                  <c:v>2.0802224644599156E-2</c:v>
                </c:pt>
                <c:pt idx="198">
                  <c:v>2.0105787373617897E-2</c:v>
                </c:pt>
                <c:pt idx="199">
                  <c:v>1.9410739311615535E-2</c:v>
                </c:pt>
                <c:pt idx="200">
                  <c:v>1.8739834702131409E-2</c:v>
                </c:pt>
                <c:pt idx="201">
                  <c:v>1.8112766014686452E-2</c:v>
                </c:pt>
                <c:pt idx="202">
                  <c:v>1.7486936805158941E-2</c:v>
                </c:pt>
                <c:pt idx="203">
                  <c:v>1.69019913186906E-2</c:v>
                </c:pt>
                <c:pt idx="204">
                  <c:v>1.6318195028887504E-2</c:v>
                </c:pt>
                <c:pt idx="205">
                  <c:v>1.5754660427738015E-2</c:v>
                </c:pt>
                <c:pt idx="206">
                  <c:v>1.5262488543225174E-2</c:v>
                </c:pt>
                <c:pt idx="207">
                  <c:v>1.4735584981869476E-2</c:v>
                </c:pt>
                <c:pt idx="208">
                  <c:v>1.4243087947748079E-2</c:v>
                </c:pt>
                <c:pt idx="209">
                  <c:v>1.375154387120605E-2</c:v>
                </c:pt>
                <c:pt idx="210">
                  <c:v>1.3292091850792184E-2</c:v>
                </c:pt>
                <c:pt idx="211">
                  <c:v>1.2833523346860984E-2</c:v>
                </c:pt>
                <c:pt idx="212">
                  <c:v>1.239085150898871E-2</c:v>
                </c:pt>
                <c:pt idx="213">
                  <c:v>1.1977073459317962E-2</c:v>
                </c:pt>
                <c:pt idx="214">
                  <c:v>1.1564083631100322E-2</c:v>
                </c:pt>
                <c:pt idx="215">
                  <c:v>1.1178045580315913E-2</c:v>
                </c:pt>
                <c:pt idx="216">
                  <c:v>1.0792738294175885E-2</c:v>
                </c:pt>
                <c:pt idx="217">
                  <c:v>1.0420776653111145E-2</c:v>
                </c:pt>
                <c:pt idx="218">
                  <c:v>1.009589549824768E-2</c:v>
                </c:pt>
                <c:pt idx="219">
                  <c:v>9.7480639577535704E-3</c:v>
                </c:pt>
                <c:pt idx="220">
                  <c:v>9.4229223220910954E-3</c:v>
                </c:pt>
                <c:pt idx="221">
                  <c:v>9.0983865668545893E-3</c:v>
                </c:pt>
                <c:pt idx="222">
                  <c:v>8.7950174486162765E-3</c:v>
                </c:pt>
                <c:pt idx="223">
                  <c:v>8.4922100218614571E-3</c:v>
                </c:pt>
                <c:pt idx="224">
                  <c:v>8.1998784007438676E-3</c:v>
                </c:pt>
                <c:pt idx="225">
                  <c:v>7.9266080991253728E-3</c:v>
                </c:pt>
                <c:pt idx="226">
                  <c:v>7.6538388505808892E-3</c:v>
                </c:pt>
                <c:pt idx="227">
                  <c:v>7.3988523250469469E-3</c:v>
                </c:pt>
                <c:pt idx="228">
                  <c:v>7.1443302932762132E-3</c:v>
                </c:pt>
                <c:pt idx="229">
                  <c:v>6.8986061318958829E-3</c:v>
                </c:pt>
                <c:pt idx="230">
                  <c:v>6.6764290769356091E-3</c:v>
                </c:pt>
                <c:pt idx="231">
                  <c:v>6.4468744442449256E-3</c:v>
                </c:pt>
                <c:pt idx="232">
                  <c:v>6.2322788582372095E-3</c:v>
                </c:pt>
                <c:pt idx="233">
                  <c:v>6.0180678306364288E-3</c:v>
                </c:pt>
                <c:pt idx="234">
                  <c:v>5.8178135916892495E-3</c:v>
                </c:pt>
                <c:pt idx="235">
                  <c:v>5.6179158331660433E-3</c:v>
                </c:pt>
                <c:pt idx="236">
                  <c:v>5.4249196350181954E-3</c:v>
                </c:pt>
                <c:pt idx="237">
                  <c:v>5.2444947495029074E-3</c:v>
                </c:pt>
                <c:pt idx="238">
                  <c:v>5.0643878166773031E-3</c:v>
                </c:pt>
                <c:pt idx="239">
                  <c:v>4.8960106193523256E-3</c:v>
                </c:pt>
                <c:pt idx="240">
                  <c:v>4.7279281476056059E-3</c:v>
                </c:pt>
                <c:pt idx="241">
                  <c:v>4.5656438841041921E-3</c:v>
                </c:pt>
                <c:pt idx="242">
                  <c:v>4.4238809196475463E-3</c:v>
                </c:pt>
                <c:pt idx="243">
                  <c:v>4.2720825349637477E-3</c:v>
                </c:pt>
                <c:pt idx="244">
                  <c:v>4.1301660788637057E-3</c:v>
                </c:pt>
                <c:pt idx="245">
                  <c:v>3.9884938718936103E-3</c:v>
                </c:pt>
                <c:pt idx="246">
                  <c:v>3.8560428187264851E-3</c:v>
                </c:pt>
                <c:pt idx="247">
                  <c:v>3.7238181574511904E-3</c:v>
                </c:pt>
                <c:pt idx="248">
                  <c:v>3.5961493992364892E-3</c:v>
                </c:pt>
                <c:pt idx="249">
                  <c:v>3.4767882065110428E-3</c:v>
                </c:pt>
                <c:pt idx="250">
                  <c:v>3.3576289044698806E-3</c:v>
                </c:pt>
                <c:pt idx="251">
                  <c:v>3.2462221283910456E-3</c:v>
                </c:pt>
                <c:pt idx="252">
                  <c:v>3.1350024732600458E-3</c:v>
                </c:pt>
                <c:pt idx="253">
                  <c:v>3.027611738317565E-3</c:v>
                </c:pt>
                <c:pt idx="254">
                  <c:v>2.9337944291755414E-3</c:v>
                </c:pt>
                <c:pt idx="255">
                  <c:v>2.8333289007291948E-3</c:v>
                </c:pt>
                <c:pt idx="256">
                  <c:v>2.7393969291570988E-3</c:v>
                </c:pt>
                <c:pt idx="257">
                  <c:v>2.6456199852714236E-3</c:v>
                </c:pt>
                <c:pt idx="258">
                  <c:v>2.5579405854416455E-3</c:v>
                </c:pt>
                <c:pt idx="259">
                  <c:v>2.4704048610520472E-3</c:v>
                </c:pt>
                <c:pt idx="260">
                  <c:v>2.3858791731103603E-3</c:v>
                </c:pt>
                <c:pt idx="261">
                  <c:v>2.3068480898817251E-3</c:v>
                </c:pt>
                <c:pt idx="262">
                  <c:v>2.2279451076694856E-3</c:v>
                </c:pt>
                <c:pt idx="263">
                  <c:v>2.1541703557523399E-3</c:v>
                </c:pt>
                <c:pt idx="264">
                  <c:v>2.0805143173104387E-3</c:v>
                </c:pt>
                <c:pt idx="265">
                  <c:v>2.0093889066914688E-3</c:v>
                </c:pt>
                <c:pt idx="266">
                  <c:v>1.9472489991177752E-3</c:v>
                </c:pt>
                <c:pt idx="267">
                  <c:v>1.8807011047606475E-3</c:v>
                </c:pt>
                <c:pt idx="268">
                  <c:v>1.8184766191283446E-3</c:v>
                </c:pt>
                <c:pt idx="269">
                  <c:v>1.7563504517664049E-3</c:v>
                </c:pt>
                <c:pt idx="270">
                  <c:v>1.698259744236178E-3</c:v>
                </c:pt>
                <c:pt idx="271">
                  <c:v>1.6402601418219695E-3</c:v>
                </c:pt>
                <c:pt idx="272">
                  <c:v>1.5842509268139324E-3</c:v>
                </c:pt>
                <c:pt idx="273">
                  <c:v>1.5318789115784694E-3</c:v>
                </c:pt>
                <c:pt idx="274">
                  <c:v>1.4795881067556553E-3</c:v>
                </c:pt>
                <c:pt idx="275">
                  <c:v>1.4306924567183989E-3</c:v>
                </c:pt>
                <c:pt idx="276">
                  <c:v>1.3818720537845442E-3</c:v>
                </c:pt>
                <c:pt idx="277">
                  <c:v>1.3347256228593331E-3</c:v>
                </c:pt>
                <c:pt idx="278">
                  <c:v>1.2920852375984222E-3</c:v>
                </c:pt>
                <c:pt idx="279">
                  <c:v>1.2480166838398999E-3</c:v>
                </c:pt>
                <c:pt idx="280">
                  <c:v>1.2068082238398494E-3</c:v>
                </c:pt>
                <c:pt idx="281">
                  <c:v>1.1656619795853947E-3</c:v>
                </c:pt>
                <c:pt idx="282">
                  <c:v>1.127185717639569E-3</c:v>
                </c:pt>
                <c:pt idx="283">
                  <c:v>1.0887670968127302E-3</c:v>
                </c:pt>
                <c:pt idx="284">
                  <c:v>1.0516642457750554E-3</c:v>
                </c:pt>
                <c:pt idx="285">
                  <c:v>1.0169683887116417E-3</c:v>
                </c:pt>
                <c:pt idx="286">
                  <c:v>9.8232389840358721E-4</c:v>
                </c:pt>
                <c:pt idx="287">
                  <c:v>9.4992654069752118E-4</c:v>
                </c:pt>
                <c:pt idx="288">
                  <c:v>9.1757676891273895E-4</c:v>
                </c:pt>
                <c:pt idx="289">
                  <c:v>8.863339887405083E-4</c:v>
                </c:pt>
                <c:pt idx="290">
                  <c:v>8.590344993760808E-4</c:v>
                </c:pt>
                <c:pt idx="291">
                  <c:v>8.2979451156030791E-4</c:v>
                </c:pt>
                <c:pt idx="292">
                  <c:v>8.0245031571428297E-4</c:v>
                </c:pt>
                <c:pt idx="293">
                  <c:v>7.7514549489189925E-4</c:v>
                </c:pt>
                <c:pt idx="294">
                  <c:v>7.4961070051255232E-4</c:v>
                </c:pt>
                <c:pt idx="295">
                  <c:v>7.2411237847227225E-4</c:v>
                </c:pt>
                <c:pt idx="296">
                  <c:v>6.9948558057545622E-4</c:v>
                </c:pt>
                <c:pt idx="297">
                  <c:v>6.7645480234080843E-4</c:v>
                </c:pt>
                <c:pt idx="298">
                  <c:v>6.5345651593725121E-4</c:v>
                </c:pt>
                <c:pt idx="299">
                  <c:v>6.3194845778500285E-4</c:v>
                </c:pt>
                <c:pt idx="300">
                  <c:v>6.1047049330740838E-4</c:v>
                </c:pt>
                <c:pt idx="301">
                  <c:v>5.8972602295499516E-4</c:v>
                </c:pt>
                <c:pt idx="302">
                  <c:v>5.7159858204774657E-4</c:v>
                </c:pt>
                <c:pt idx="303">
                  <c:v>5.5218130104553974E-4</c:v>
                </c:pt>
                <c:pt idx="304">
                  <c:v>5.3402168581042448E-4</c:v>
                </c:pt>
                <c:pt idx="305">
                  <c:v>5.1588695747405524E-4</c:v>
                </c:pt>
                <c:pt idx="306">
                  <c:v>4.9892662639542285E-4</c:v>
                </c:pt>
                <c:pt idx="307">
                  <c:v>4.8198934204805318E-4</c:v>
                </c:pt>
                <c:pt idx="308">
                  <c:v>4.6562981177954437E-4</c:v>
                </c:pt>
                <c:pt idx="309">
                  <c:v>4.5032944987657134E-4</c:v>
                </c:pt>
                <c:pt idx="310">
                  <c:v>4.3504961176398383E-4</c:v>
                </c:pt>
                <c:pt idx="311">
                  <c:v>4.207588735698011E-4</c:v>
                </c:pt>
                <c:pt idx="312">
                  <c:v>4.0648713948271799E-4</c:v>
                </c:pt>
                <c:pt idx="313">
                  <c:v>3.9270182650456387E-4</c:v>
                </c:pt>
                <c:pt idx="314">
                  <c:v>3.8065479751615968E-4</c:v>
                </c:pt>
                <c:pt idx="315">
                  <c:v>3.6774970839331694E-4</c:v>
                </c:pt>
                <c:pt idx="316">
                  <c:v>3.5567965002435912E-4</c:v>
                </c:pt>
                <c:pt idx="317">
                  <c:v>3.4362529728768299E-4</c:v>
                </c:pt>
                <c:pt idx="318">
                  <c:v>3.3235079751331632E-4</c:v>
                </c:pt>
                <c:pt idx="319">
                  <c:v>3.2109083801196858E-4</c:v>
                </c:pt>
                <c:pt idx="320">
                  <c:v>3.102142053464078E-4</c:v>
                </c:pt>
                <c:pt idx="321">
                  <c:v>3.0004105602110157E-4</c:v>
                </c:pt>
                <c:pt idx="322">
                  <c:v>2.8988084959991436E-4</c:v>
                </c:pt>
                <c:pt idx="323">
                  <c:v>2.8037767945103206E-4</c:v>
                </c:pt>
                <c:pt idx="324">
                  <c:v>2.7088649027886251E-4</c:v>
                </c:pt>
                <c:pt idx="325">
                  <c:v>2.6171814321620124E-4</c:v>
                </c:pt>
                <c:pt idx="326">
                  <c:v>2.5342379364915466E-4</c:v>
                </c:pt>
                <c:pt idx="327">
                  <c:v>2.4484929225499798E-4</c:v>
                </c:pt>
                <c:pt idx="328">
                  <c:v>2.3682905284094248E-4</c:v>
                </c:pt>
                <c:pt idx="329">
                  <c:v>2.2881869473230135E-4</c:v>
                </c:pt>
                <c:pt idx="330">
                  <c:v>2.2132604564254065E-4</c:v>
                </c:pt>
                <c:pt idx="331">
                  <c:v>2.1384254167864164E-4</c:v>
                </c:pt>
                <c:pt idx="332">
                  <c:v>2.0661329294850949E-4</c:v>
                </c:pt>
                <c:pt idx="333">
                  <c:v>1.9985115277049774E-4</c:v>
                </c:pt>
                <c:pt idx="334">
                  <c:v>1.9309714891394171E-4</c:v>
                </c:pt>
                <c:pt idx="335">
                  <c:v>1.8677947360788182E-4</c:v>
                </c:pt>
                <c:pt idx="336">
                  <c:v>1.8677947360788182E-4</c:v>
                </c:pt>
                <c:pt idx="337">
                  <c:v>1.8677947360788182E-4</c:v>
                </c:pt>
                <c:pt idx="338">
                  <c:v>1.8677947360788182E-4</c:v>
                </c:pt>
                <c:pt idx="339">
                  <c:v>1.8677947360788182E-4</c:v>
                </c:pt>
                <c:pt idx="340">
                  <c:v>1.8677947360788182E-4</c:v>
                </c:pt>
                <c:pt idx="341">
                  <c:v>1.8677947360788182E-4</c:v>
                </c:pt>
                <c:pt idx="342">
                  <c:v>1.8677947360788182E-4</c:v>
                </c:pt>
                <c:pt idx="343">
                  <c:v>1.8677947360788182E-4</c:v>
                </c:pt>
                <c:pt idx="344">
                  <c:v>1.8677947360788182E-4</c:v>
                </c:pt>
                <c:pt idx="345">
                  <c:v>1.8677947360788182E-4</c:v>
                </c:pt>
                <c:pt idx="346">
                  <c:v>1.8677947360788182E-4</c:v>
                </c:pt>
                <c:pt idx="347">
                  <c:v>1.8677947360788182E-4</c:v>
                </c:pt>
                <c:pt idx="348">
                  <c:v>1.8677947360788182E-4</c:v>
                </c:pt>
                <c:pt idx="349">
                  <c:v>1.8677947360788182E-4</c:v>
                </c:pt>
                <c:pt idx="350">
                  <c:v>1.8677947360788182E-4</c:v>
                </c:pt>
                <c:pt idx="351">
                  <c:v>1.8677947360788182E-4</c:v>
                </c:pt>
                <c:pt idx="352">
                  <c:v>1.8677947360788182E-4</c:v>
                </c:pt>
                <c:pt idx="353">
                  <c:v>1.8677947360788182E-4</c:v>
                </c:pt>
                <c:pt idx="354">
                  <c:v>1.8677947360788182E-4</c:v>
                </c:pt>
                <c:pt idx="355">
                  <c:v>1.8677947360788182E-4</c:v>
                </c:pt>
                <c:pt idx="356">
                  <c:v>1.8677947360788182E-4</c:v>
                </c:pt>
                <c:pt idx="357">
                  <c:v>1.8677947360788182E-4</c:v>
                </c:pt>
                <c:pt idx="358">
                  <c:v>1.8677947360788182E-4</c:v>
                </c:pt>
                <c:pt idx="359">
                  <c:v>1.8677947360788182E-4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4B7-4B9E-979A-20983D203061}"/>
            </c:ext>
          </c:extLst>
        </c:ser>
        <c:ser>
          <c:idx val="14"/>
          <c:order val="15"/>
          <c:tx>
            <c:v>NGL total forecast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'forecast production'!$Z$7:$Z$366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'forecast production'!$AD$7:$AD$366</c:f>
              <c:numCache>
                <c:formatCode>_(* #,##0_);_(* \(#,##0\);_(* "-"??_);_(@_)</c:formatCode>
                <c:ptCount val="360"/>
                <c:pt idx="0">
                  <c:v>20.131568558002758</c:v>
                </c:pt>
                <c:pt idx="1">
                  <c:v>19.743772153276147</c:v>
                </c:pt>
                <c:pt idx="2">
                  <c:v>19.406126349931696</c:v>
                </c:pt>
                <c:pt idx="3">
                  <c:v>19.045524601810939</c:v>
                </c:pt>
                <c:pt idx="4">
                  <c:v>18.709089587424923</c:v>
                </c:pt>
                <c:pt idx="5">
                  <c:v>18.373703235530556</c:v>
                </c:pt>
                <c:pt idx="6">
                  <c:v>18.0603895215433</c:v>
                </c:pt>
                <c:pt idx="7">
                  <c:v>17.747663279072899</c:v>
                </c:pt>
                <c:pt idx="8">
                  <c:v>17.445582776169573</c:v>
                </c:pt>
                <c:pt idx="9">
                  <c:v>17.162879251510827</c:v>
                </c:pt>
                <c:pt idx="10">
                  <c:v>16.880219309698568</c:v>
                </c:pt>
                <c:pt idx="11">
                  <c:v>16.615403102506573</c:v>
                </c:pt>
                <c:pt idx="12">
                  <c:v>16.350349353109156</c:v>
                </c:pt>
                <c:pt idx="13">
                  <c:v>16.093619251665825</c:v>
                </c:pt>
                <c:pt idx="14">
                  <c:v>15.868566774772313</c:v>
                </c:pt>
                <c:pt idx="15">
                  <c:v>15.626631547243708</c:v>
                </c:pt>
                <c:pt idx="16">
                  <c:v>15.399422613161155</c:v>
                </c:pt>
                <c:pt idx="17">
                  <c:v>15.171478501849979</c:v>
                </c:pt>
                <c:pt idx="18">
                  <c:v>14.957221790825731</c:v>
                </c:pt>
                <c:pt idx="19">
                  <c:v>14.742089300454762</c:v>
                </c:pt>
                <c:pt idx="20">
                  <c:v>14.533057641577102</c:v>
                </c:pt>
                <c:pt idx="21">
                  <c:v>14.336336615922827</c:v>
                </c:pt>
                <c:pt idx="22">
                  <c:v>14.138575960598228</c:v>
                </c:pt>
                <c:pt idx="23">
                  <c:v>13.952321052911973</c:v>
                </c:pt>
                <c:pt idx="24">
                  <c:v>13.764943770384756</c:v>
                </c:pt>
                <c:pt idx="25">
                  <c:v>13.582532682351136</c:v>
                </c:pt>
                <c:pt idx="26">
                  <c:v>13.421880548268406</c:v>
                </c:pt>
                <c:pt idx="27">
                  <c:v>13.248391306149195</c:v>
                </c:pt>
                <c:pt idx="28">
                  <c:v>13.084716044571834</c:v>
                </c:pt>
                <c:pt idx="29">
                  <c:v>12.919780045382458</c:v>
                </c:pt>
                <c:pt idx="30">
                  <c:v>12.764075929322807</c:v>
                </c:pt>
                <c:pt idx="31">
                  <c:v>12.607075883427918</c:v>
                </c:pt>
                <c:pt idx="32">
                  <c:v>12.453891156699674</c:v>
                </c:pt>
                <c:pt idx="33">
                  <c:v>12.309151091903225</c:v>
                </c:pt>
                <c:pt idx="34">
                  <c:v>12.163078862174608</c:v>
                </c:pt>
                <c:pt idx="35">
                  <c:v>12.024982081356882</c:v>
                </c:pt>
                <c:pt idx="36">
                  <c:v>11.885538244149599</c:v>
                </c:pt>
                <c:pt idx="37">
                  <c:v>11.749291365658701</c:v>
                </c:pt>
                <c:pt idx="38">
                  <c:v>11.62463247935807</c:v>
                </c:pt>
                <c:pt idx="39">
                  <c:v>11.494268798680039</c:v>
                </c:pt>
                <c:pt idx="40">
                  <c:v>11.370864460779703</c:v>
                </c:pt>
                <c:pt idx="41">
                  <c:v>11.246099839965622</c:v>
                </c:pt>
                <c:pt idx="42">
                  <c:v>11.127939351103826</c:v>
                </c:pt>
                <c:pt idx="43">
                  <c:v>11.008420667672363</c:v>
                </c:pt>
                <c:pt idx="44">
                  <c:v>10.891442063189469</c:v>
                </c:pt>
                <c:pt idx="45">
                  <c:v>10.780579962121056</c:v>
                </c:pt>
                <c:pt idx="46">
                  <c:v>10.668368769556537</c:v>
                </c:pt>
                <c:pt idx="47">
                  <c:v>10.561979231572433</c:v>
                </c:pt>
                <c:pt idx="48">
                  <c:v>10.454249837447195</c:v>
                </c:pt>
                <c:pt idx="49">
                  <c:v>10.348695877116024</c:v>
                </c:pt>
                <c:pt idx="50">
                  <c:v>10.255172332604005</c:v>
                </c:pt>
                <c:pt idx="51">
                  <c:v>10.153580634779054</c:v>
                </c:pt>
                <c:pt idx="52">
                  <c:v>10.057164356386522</c:v>
                </c:pt>
                <c:pt idx="53">
                  <c:v>9.9594391795958117</c:v>
                </c:pt>
                <c:pt idx="54">
                  <c:v>9.8666578596207355</c:v>
                </c:pt>
                <c:pt idx="55">
                  <c:v>9.7725825943178481</c:v>
                </c:pt>
                <c:pt idx="56">
                  <c:v>9.6802843378818366</c:v>
                </c:pt>
                <c:pt idx="57">
                  <c:v>9.592608399277827</c:v>
                </c:pt>
                <c:pt idx="58">
                  <c:v>9.5036629416017853</c:v>
                </c:pt>
                <c:pt idx="59">
                  <c:v>9.4191432273091333</c:v>
                </c:pt>
                <c:pt idx="60">
                  <c:v>9.3333711417417931</c:v>
                </c:pt>
                <c:pt idx="61">
                  <c:v>9.2491470658979296</c:v>
                </c:pt>
                <c:pt idx="62">
                  <c:v>9.1743696777595982</c:v>
                </c:pt>
                <c:pt idx="63">
                  <c:v>9.092978295562089</c:v>
                </c:pt>
                <c:pt idx="64">
                  <c:v>9.0155757549803788</c:v>
                </c:pt>
                <c:pt idx="65">
                  <c:v>8.9369654323803651</c:v>
                </c:pt>
                <c:pt idx="66">
                  <c:v>8.8621852540184207</c:v>
                </c:pt>
                <c:pt idx="67">
                  <c:v>8.786215848849448</c:v>
                </c:pt>
                <c:pt idx="68">
                  <c:v>8.7115378401133636</c:v>
                </c:pt>
                <c:pt idx="69">
                  <c:v>8.6404676186609208</c:v>
                </c:pt>
                <c:pt idx="70">
                  <c:v>8.5682364365302117</c:v>
                </c:pt>
                <c:pt idx="71">
                  <c:v>8.4994759115428202</c:v>
                </c:pt>
                <c:pt idx="72">
                  <c:v>8.4295732407572199</c:v>
                </c:pt>
                <c:pt idx="73">
                  <c:v>8.360810998845432</c:v>
                </c:pt>
                <c:pt idx="74">
                  <c:v>8.299660346164778</c:v>
                </c:pt>
                <c:pt idx="75">
                  <c:v>8.2329928580955087</c:v>
                </c:pt>
                <c:pt idx="76">
                  <c:v>8.1694878226502983</c:v>
                </c:pt>
                <c:pt idx="77">
                  <c:v>8.1048870326261824</c:v>
                </c:pt>
                <c:pt idx="78">
                  <c:v>8.0433355178376811</c:v>
                </c:pt>
                <c:pt idx="79">
                  <c:v>7.98070679233179</c:v>
                </c:pt>
                <c:pt idx="80">
                  <c:v>7.9190458375045623</c:v>
                </c:pt>
                <c:pt idx="81">
                  <c:v>7.8602744207977686</c:v>
                </c:pt>
                <c:pt idx="82">
                  <c:v>7.8004534315666412</c:v>
                </c:pt>
                <c:pt idx="83">
                  <c:v>7.743422769411846</c:v>
                </c:pt>
                <c:pt idx="84">
                  <c:v>7.6853606005834942</c:v>
                </c:pt>
                <c:pt idx="85">
                  <c:v>7.6281626814398482</c:v>
                </c:pt>
                <c:pt idx="86">
                  <c:v>7.5754203865889034</c:v>
                </c:pt>
                <c:pt idx="87">
                  <c:v>7.5198412946691446</c:v>
                </c:pt>
                <c:pt idx="88">
                  <c:v>7.4668261065814194</c:v>
                </c:pt>
                <c:pt idx="89">
                  <c:v>7.4128233756118629</c:v>
                </c:pt>
                <c:pt idx="90">
                  <c:v>7.3613012422796622</c:v>
                </c:pt>
                <c:pt idx="91">
                  <c:v>7.3088087465533622</c:v>
                </c:pt>
                <c:pt idx="92">
                  <c:v>7.2570595847273438</c:v>
                </c:pt>
                <c:pt idx="93">
                  <c:v>7.2076727329582937</c:v>
                </c:pt>
                <c:pt idx="94">
                  <c:v>7.1573408943754213</c:v>
                </c:pt>
                <c:pt idx="95">
                  <c:v>7.109297466865935</c:v>
                </c:pt>
                <c:pt idx="96">
                  <c:v>7.0603255115947476</c:v>
                </c:pt>
                <c:pt idx="97">
                  <c:v>7.0120236211846727</c:v>
                </c:pt>
                <c:pt idx="98">
                  <c:v>6.9689606734099145</c:v>
                </c:pt>
                <c:pt idx="99">
                  <c:v>6.9218966385459275</c:v>
                </c:pt>
                <c:pt idx="100">
                  <c:v>6.8769521228474604</c:v>
                </c:pt>
                <c:pt idx="101">
                  <c:v>6.8311185349442649</c:v>
                </c:pt>
                <c:pt idx="102">
                  <c:v>6.7873414225256949</c:v>
                </c:pt>
                <c:pt idx="103">
                  <c:v>6.7426906513076021</c:v>
                </c:pt>
                <c:pt idx="104">
                  <c:v>6.6986235140615147</c:v>
                </c:pt>
                <c:pt idx="105">
                  <c:v>6.6565228841963409</c:v>
                </c:pt>
                <c:pt idx="106">
                  <c:v>6.6135712689360107</c:v>
                </c:pt>
                <c:pt idx="107">
                  <c:v>6.5725296779366893</c:v>
                </c:pt>
                <c:pt idx="108">
                  <c:v>6.5306517567587452</c:v>
                </c:pt>
                <c:pt idx="109">
                  <c:v>6.4893041204947259</c:v>
                </c:pt>
                <c:pt idx="110">
                  <c:v>6.4524053292083137</c:v>
                </c:pt>
                <c:pt idx="111">
                  <c:v>6.412039501348092</c:v>
                </c:pt>
                <c:pt idx="112">
                  <c:v>6.3734537799554456</c:v>
                </c:pt>
                <c:pt idx="113">
                  <c:v>6.334066725075175</c:v>
                </c:pt>
                <c:pt idx="114">
                  <c:v>6.296410975622023</c:v>
                </c:pt>
                <c:pt idx="115">
                  <c:v>6.2579675211715049</c:v>
                </c:pt>
                <c:pt idx="116">
                  <c:v>6.2199906596652772</c:v>
                </c:pt>
                <c:pt idx="117">
                  <c:v>6.1836751624880462</c:v>
                </c:pt>
                <c:pt idx="118">
                  <c:v>6.1465919725769904</c:v>
                </c:pt>
                <c:pt idx="119">
                  <c:v>6.1111260533437646</c:v>
                </c:pt>
                <c:pt idx="120">
                  <c:v>6.0749053573054788</c:v>
                </c:pt>
                <c:pt idx="121">
                  <c:v>6.0391114921830296</c:v>
                </c:pt>
                <c:pt idx="122">
                  <c:v>6.0071421772872329</c:v>
                </c:pt>
                <c:pt idx="123">
                  <c:v>5.9721400910060707</c:v>
                </c:pt>
                <c:pt idx="124">
                  <c:v>5.9386532983855318</c:v>
                </c:pt>
                <c:pt idx="125">
                  <c:v>5.9044425240277052</c:v>
                </c:pt>
                <c:pt idx="126">
                  <c:v>5.8717085311949706</c:v>
                </c:pt>
                <c:pt idx="127">
                  <c:v>5.838262534452678</c:v>
                </c:pt>
                <c:pt idx="128">
                  <c:v>5.8051954049162466</c:v>
                </c:pt>
                <c:pt idx="129">
                  <c:v>5.7735496585697899</c:v>
                </c:pt>
                <c:pt idx="130">
                  <c:v>5.7412094860188407</c:v>
                </c:pt>
                <c:pt idx="131">
                  <c:v>5.7102556455531444</c:v>
                </c:pt>
                <c:pt idx="132">
                  <c:v>5.6786187183669883</c:v>
                </c:pt>
                <c:pt idx="133">
                  <c:v>5.6473304201909036</c:v>
                </c:pt>
                <c:pt idx="134">
                  <c:v>5.6183712595525028</c:v>
                </c:pt>
                <c:pt idx="135">
                  <c:v>5.5877415570764688</c:v>
                </c:pt>
                <c:pt idx="136">
                  <c:v>5.558416222910096</c:v>
                </c:pt>
                <c:pt idx="137">
                  <c:v>5.5284350025990507</c:v>
                </c:pt>
                <c:pt idx="138">
                  <c:v>5.499727265823986</c:v>
                </c:pt>
                <c:pt idx="139">
                  <c:v>5.4703741493568625</c:v>
                </c:pt>
                <c:pt idx="140">
                  <c:v>5.4413326960911235</c:v>
                </c:pt>
                <c:pt idx="141">
                  <c:v>5.4135201573622966</c:v>
                </c:pt>
                <c:pt idx="142">
                  <c:v>5.3850776576563817</c:v>
                </c:pt>
                <c:pt idx="143">
                  <c:v>5.3609039465248047</c:v>
                </c:pt>
                <c:pt idx="144">
                  <c:v>5.3328053741699053</c:v>
                </c:pt>
                <c:pt idx="145">
                  <c:v>5.3048540773073958</c:v>
                </c:pt>
                <c:pt idx="146">
                  <c:v>5.2797336889176503</c:v>
                </c:pt>
                <c:pt idx="147">
                  <c:v>5.252060561297295</c:v>
                </c:pt>
                <c:pt idx="148">
                  <c:v>5.2254182257106763</c:v>
                </c:pt>
                <c:pt idx="149">
                  <c:v>5.1980297864540983</c:v>
                </c:pt>
                <c:pt idx="150">
                  <c:v>5.1716615349186021</c:v>
                </c:pt>
                <c:pt idx="151">
                  <c:v>5.14455485528332</c:v>
                </c:pt>
                <c:pt idx="152">
                  <c:v>5.1175902522468055</c:v>
                </c:pt>
                <c:pt idx="153">
                  <c:v>5.0916300495218207</c:v>
                </c:pt>
                <c:pt idx="154">
                  <c:v>5.0649428458752022</c:v>
                </c:pt>
                <c:pt idx="155">
                  <c:v>5.0392497097333155</c:v>
                </c:pt>
                <c:pt idx="156">
                  <c:v>5.0128370517197114</c:v>
                </c:pt>
                <c:pt idx="157">
                  <c:v>4.9865628326689508</c:v>
                </c:pt>
                <c:pt idx="158">
                  <c:v>4.962949667582591</c:v>
                </c:pt>
                <c:pt idx="159">
                  <c:v>4.9369369276194561</c:v>
                </c:pt>
                <c:pt idx="160">
                  <c:v>4.9118931321680348</c:v>
                </c:pt>
                <c:pt idx="161">
                  <c:v>4.8861479992668517</c:v>
                </c:pt>
                <c:pt idx="162">
                  <c:v>4.8613618428234853</c:v>
                </c:pt>
                <c:pt idx="163">
                  <c:v>4.8358815639663213</c:v>
                </c:pt>
                <c:pt idx="164">
                  <c:v>4.8105348371119963</c:v>
                </c:pt>
                <c:pt idx="165">
                  <c:v>4.7861322465505127</c:v>
                </c:pt>
                <c:pt idx="166">
                  <c:v>4.7610462751226903</c:v>
                </c:pt>
                <c:pt idx="167">
                  <c:v>4.7368947271493163</c:v>
                </c:pt>
                <c:pt idx="168">
                  <c:v>4.7120668286165266</c:v>
                </c:pt>
                <c:pt idx="169">
                  <c:v>4.6873690627088136</c:v>
                </c:pt>
                <c:pt idx="170">
                  <c:v>4.6651726875276358</c:v>
                </c:pt>
                <c:pt idx="171">
                  <c:v>4.6407207119622882</c:v>
                </c:pt>
                <c:pt idx="172">
                  <c:v>4.6171795442379526</c:v>
                </c:pt>
                <c:pt idx="173">
                  <c:v>4.5929791193108409</c:v>
                </c:pt>
                <c:pt idx="174">
                  <c:v>4.5696801322540752</c:v>
                </c:pt>
                <c:pt idx="175">
                  <c:v>4.5457286701283417</c:v>
                </c:pt>
                <c:pt idx="176">
                  <c:v>4.5219027468852762</c:v>
                </c:pt>
                <c:pt idx="177">
                  <c:v>4.4989643117574811</c:v>
                </c:pt>
                <c:pt idx="178">
                  <c:v>4.4753834986153294</c:v>
                </c:pt>
                <c:pt idx="179">
                  <c:v>4.4526810435203563</c:v>
                </c:pt>
                <c:pt idx="180">
                  <c:v>4.429342818899535</c:v>
                </c:pt>
                <c:pt idx="181">
                  <c:v>4.4061269189462848</c:v>
                </c:pt>
                <c:pt idx="182">
                  <c:v>4.3845189923604835</c:v>
                </c:pt>
                <c:pt idx="183">
                  <c:v>4.3615380314297933</c:v>
                </c:pt>
                <c:pt idx="184">
                  <c:v>4.3394130847444004</c:v>
                </c:pt>
                <c:pt idx="185">
                  <c:v>4.3166685413323647</c:v>
                </c:pt>
                <c:pt idx="186">
                  <c:v>4.2947712058861853</c:v>
                </c:pt>
                <c:pt idx="187">
                  <c:v>4.2722606478384959</c:v>
                </c:pt>
                <c:pt idx="188">
                  <c:v>4.2498680763375463</c:v>
                </c:pt>
                <c:pt idx="189">
                  <c:v>4.2283096022553908</c:v>
                </c:pt>
                <c:pt idx="190">
                  <c:v>4.2061473951942272</c:v>
                </c:pt>
                <c:pt idx="191">
                  <c:v>4.1848107047426097</c:v>
                </c:pt>
                <c:pt idx="192">
                  <c:v>4.1628764922382073</c:v>
                </c:pt>
                <c:pt idx="193">
                  <c:v>4.1410572454304946</c:v>
                </c:pt>
                <c:pt idx="194">
                  <c:v>4.1214478528188536</c:v>
                </c:pt>
                <c:pt idx="195">
                  <c:v>4.0998457495440048</c:v>
                </c:pt>
                <c:pt idx="196">
                  <c:v>4.0790482996597364</c:v>
                </c:pt>
                <c:pt idx="197">
                  <c:v>4.0576684288524225</c:v>
                </c:pt>
                <c:pt idx="198">
                  <c:v>4.0370849335330137</c:v>
                </c:pt>
                <c:pt idx="199">
                  <c:v>4.0159250089681864</c:v>
                </c:pt>
                <c:pt idx="200">
                  <c:v>3.9948759917572936</c:v>
                </c:pt>
                <c:pt idx="201">
                  <c:v>3.9746110261200664</c:v>
                </c:pt>
                <c:pt idx="202">
                  <c:v>3.9537785514825732</c:v>
                </c:pt>
                <c:pt idx="203">
                  <c:v>3.9337220624580533</c:v>
                </c:pt>
                <c:pt idx="204">
                  <c:v>3.9131039027039147</c:v>
                </c:pt>
                <c:pt idx="205">
                  <c:v>3.8925938107046645</c:v>
                </c:pt>
                <c:pt idx="206">
                  <c:v>3.8741609816497231</c:v>
                </c:pt>
                <c:pt idx="207">
                  <c:v>3.8538550045713644</c:v>
                </c:pt>
                <c:pt idx="208">
                  <c:v>3.8343054016801519</c:v>
                </c:pt>
                <c:pt idx="209">
                  <c:v>3.8142083231212771</c:v>
                </c:pt>
                <c:pt idx="210">
                  <c:v>3.7948598375210332</c:v>
                </c:pt>
                <c:pt idx="211">
                  <c:v>3.7749695084300949</c:v>
                </c:pt>
                <c:pt idx="212">
                  <c:v>3.7551834322518558</c:v>
                </c:pt>
                <c:pt idx="213">
                  <c:v>3.7361343645528624</c:v>
                </c:pt>
                <c:pt idx="214">
                  <c:v>3.7165518383936185</c:v>
                </c:pt>
                <c:pt idx="215">
                  <c:v>3.6976987387105704</c:v>
                </c:pt>
                <c:pt idx="216">
                  <c:v>3.6783176685416792</c:v>
                </c:pt>
                <c:pt idx="217">
                  <c:v>3.6590381820623845</c:v>
                </c:pt>
                <c:pt idx="218">
                  <c:v>3.6417113227507394</c:v>
                </c:pt>
                <c:pt idx="219">
                  <c:v>3.6226237042970828</c:v>
                </c:pt>
                <c:pt idx="220">
                  <c:v>3.6042470775793429</c:v>
                </c:pt>
                <c:pt idx="221">
                  <c:v>3.5853558237340004</c:v>
                </c:pt>
                <c:pt idx="222">
                  <c:v>3.5671682472697706</c:v>
                </c:pt>
                <c:pt idx="223">
                  <c:v>3.5484713379242887</c:v>
                </c:pt>
                <c:pt idx="224">
                  <c:v>3.5298724263167442</c:v>
                </c:pt>
                <c:pt idx="225">
                  <c:v>3.5119663026796903</c:v>
                </c:pt>
                <c:pt idx="226">
                  <c:v>3.4935587280900018</c:v>
                </c:pt>
                <c:pt idx="227">
                  <c:v>3.4758368143879359</c:v>
                </c:pt>
                <c:pt idx="228">
                  <c:v>3.4576186084291778</c:v>
                </c:pt>
                <c:pt idx="229">
                  <c:v>3.4394958911386411</c:v>
                </c:pt>
                <c:pt idx="230">
                  <c:v>3.4226283845790109</c:v>
                </c:pt>
                <c:pt idx="231">
                  <c:v>3.4046890645935508</c:v>
                </c:pt>
                <c:pt idx="232">
                  <c:v>3.3874179635526693</c:v>
                </c:pt>
                <c:pt idx="233">
                  <c:v>3.3696631950109066</c:v>
                </c:pt>
                <c:pt idx="234">
                  <c:v>3.352569771085653</c:v>
                </c:pt>
                <c:pt idx="235">
                  <c:v>3.3349976554075194</c:v>
                </c:pt>
                <c:pt idx="236">
                  <c:v>3.3175176419883958</c:v>
                </c:pt>
                <c:pt idx="237">
                  <c:v>3.3006887388748809</c:v>
                </c:pt>
                <c:pt idx="238">
                  <c:v>3.283388551765503</c:v>
                </c:pt>
                <c:pt idx="239">
                  <c:v>3.2667327766394467</c:v>
                </c:pt>
                <c:pt idx="240">
                  <c:v>3.2496105658697449</c:v>
                </c:pt>
                <c:pt idx="241">
                  <c:v>3.2325780992333053</c:v>
                </c:pt>
                <c:pt idx="242">
                  <c:v>3.2172706815042704</c:v>
                </c:pt>
                <c:pt idx="243">
                  <c:v>3.2004077207179376</c:v>
                </c:pt>
                <c:pt idx="244">
                  <c:v>3.1841728857395091</c:v>
                </c:pt>
                <c:pt idx="245">
                  <c:v>3.1674834033102517</c:v>
                </c:pt>
                <c:pt idx="246">
                  <c:v>3.1514155848205139</c:v>
                </c:pt>
                <c:pt idx="247">
                  <c:v>3.1348977960830675</c:v>
                </c:pt>
                <c:pt idx="248">
                  <c:v>3.118466583469091</c:v>
                </c:pt>
                <c:pt idx="249">
                  <c:v>3.1026474145423872</c:v>
                </c:pt>
                <c:pt idx="250">
                  <c:v>3.0863852386595734</c:v>
                </c:pt>
                <c:pt idx="251">
                  <c:v>3.0707288100410808</c:v>
                </c:pt>
                <c:pt idx="252">
                  <c:v>3.0546339319175599</c:v>
                </c:pt>
                <c:pt idx="253">
                  <c:v>3.0386234132793075</c:v>
                </c:pt>
                <c:pt idx="254">
                  <c:v>3.0242344406140145</c:v>
                </c:pt>
                <c:pt idx="255">
                  <c:v>3.0083832574748608</c:v>
                </c:pt>
                <c:pt idx="256">
                  <c:v>2.993122512595138</c:v>
                </c:pt>
                <c:pt idx="257">
                  <c:v>2.9774343991116363</c:v>
                </c:pt>
                <c:pt idx="258">
                  <c:v>2.9623306497312822</c:v>
                </c:pt>
                <c:pt idx="259">
                  <c:v>2.9468039283180834</c:v>
                </c:pt>
                <c:pt idx="260">
                  <c:v>2.9313585884609452</c:v>
                </c:pt>
                <c:pt idx="261">
                  <c:v>2.9164885696698444</c:v>
                </c:pt>
                <c:pt idx="262">
                  <c:v>2.9012021243399984</c:v>
                </c:pt>
                <c:pt idx="263">
                  <c:v>2.8864850814386145</c:v>
                </c:pt>
                <c:pt idx="264">
                  <c:v>2.8713558960025067</c:v>
                </c:pt>
                <c:pt idx="265">
                  <c:v>2.8563060084825485</c:v>
                </c:pt>
                <c:pt idx="266">
                  <c:v>2.8427803741771727</c:v>
                </c:pt>
                <c:pt idx="267">
                  <c:v>2.827880262026369</c:v>
                </c:pt>
                <c:pt idx="268">
                  <c:v>2.8135351618394293</c:v>
                </c:pt>
                <c:pt idx="269">
                  <c:v>2.7987883351649381</c:v>
                </c:pt>
                <c:pt idx="270">
                  <c:v>2.7845908107474053</c:v>
                </c:pt>
                <c:pt idx="271">
                  <c:v>2.7699956926189979</c:v>
                </c:pt>
                <c:pt idx="272">
                  <c:v>2.7554770731532887</c:v>
                </c:pt>
                <c:pt idx="273">
                  <c:v>2.7414992554896536</c:v>
                </c:pt>
                <c:pt idx="274">
                  <c:v>2.7271299968795986</c:v>
                </c:pt>
                <c:pt idx="275">
                  <c:v>2.7132959765522977</c:v>
                </c:pt>
                <c:pt idx="276">
                  <c:v>2.6990745422423559</c:v>
                </c:pt>
                <c:pt idx="277">
                  <c:v>2.6849276479735953</c:v>
                </c:pt>
                <c:pt idx="278">
                  <c:v>2.6717605920596736</c:v>
                </c:pt>
                <c:pt idx="279">
                  <c:v>2.6577568607748363</c:v>
                </c:pt>
                <c:pt idx="280">
                  <c:v>2.6442747523021746</c:v>
                </c:pt>
                <c:pt idx="281">
                  <c:v>2.630415084941045</c:v>
                </c:pt>
                <c:pt idx="282">
                  <c:v>2.6170716741773674</c:v>
                </c:pt>
                <c:pt idx="283">
                  <c:v>2.6033545886767961</c:v>
                </c:pt>
                <c:pt idx="284">
                  <c:v>2.5897093997301051</c:v>
                </c:pt>
                <c:pt idx="285">
                  <c:v>2.5765724783077082</c:v>
                </c:pt>
                <c:pt idx="286">
                  <c:v>2.5630676647666437</c:v>
                </c:pt>
                <c:pt idx="287">
                  <c:v>2.5500658899281876</c:v>
                </c:pt>
                <c:pt idx="288">
                  <c:v>2.5367000076753707</c:v>
                </c:pt>
                <c:pt idx="289">
                  <c:v>2.5234041811842909</c:v>
                </c:pt>
                <c:pt idx="290">
                  <c:v>2.5114549565360931</c:v>
                </c:pt>
                <c:pt idx="291">
                  <c:v>2.4982914491283457</c:v>
                </c:pt>
                <c:pt idx="292">
                  <c:v>2.4856182671640434</c:v>
                </c:pt>
                <c:pt idx="293">
                  <c:v>2.4725901798445822</c:v>
                </c:pt>
                <c:pt idx="294">
                  <c:v>2.4600473737267246</c:v>
                </c:pt>
                <c:pt idx="295">
                  <c:v>2.4471533133561878</c:v>
                </c:pt>
                <c:pt idx="296">
                  <c:v>2.4343268357462979</c:v>
                </c:pt>
                <c:pt idx="297">
                  <c:v>2.4219781296092453</c:v>
                </c:pt>
                <c:pt idx="298">
                  <c:v>2.409283604880645</c:v>
                </c:pt>
                <c:pt idx="299">
                  <c:v>2.3970619365324963</c:v>
                </c:pt>
                <c:pt idx="300">
                  <c:v>2.3844980072148489</c:v>
                </c:pt>
                <c:pt idx="301">
                  <c:v>2.3719999303132338</c:v>
                </c:pt>
                <c:pt idx="302">
                  <c:v>2.3607676591439279</c:v>
                </c:pt>
                <c:pt idx="303">
                  <c:v>2.3483939621806451</c:v>
                </c:pt>
                <c:pt idx="304">
                  <c:v>2.3364811711342006</c:v>
                </c:pt>
                <c:pt idx="305">
                  <c:v>2.3242347690539078</c:v>
                </c:pt>
                <c:pt idx="306">
                  <c:v>2.3124445313031212</c:v>
                </c:pt>
                <c:pt idx="307">
                  <c:v>2.3003241145548166</c:v>
                </c:pt>
                <c:pt idx="308">
                  <c:v>2.2882672256015195</c:v>
                </c:pt>
                <c:pt idx="309">
                  <c:v>2.2766594418326909</c:v>
                </c:pt>
                <c:pt idx="310">
                  <c:v>2.2647265885878061</c:v>
                </c:pt>
                <c:pt idx="311">
                  <c:v>2.2532382203405463</c:v>
                </c:pt>
                <c:pt idx="312">
                  <c:v>2.2414281267819578</c:v>
                </c:pt>
                <c:pt idx="313">
                  <c:v>2.2296799344944396</c:v>
                </c:pt>
                <c:pt idx="314">
                  <c:v>2.2191215995952915</c:v>
                </c:pt>
                <c:pt idx="315">
                  <c:v>2.2074903244498065</c:v>
                </c:pt>
                <c:pt idx="316">
                  <c:v>2.1962923008661486</c:v>
                </c:pt>
                <c:pt idx="317">
                  <c:v>2.1847806829106724</c:v>
                </c:pt>
                <c:pt idx="318">
                  <c:v>2.1736978594249341</c:v>
                </c:pt>
                <c:pt idx="319">
                  <c:v>2.1623046676815272</c:v>
                </c:pt>
                <c:pt idx="320">
                  <c:v>2.1509711920654286</c:v>
                </c:pt>
                <c:pt idx="321">
                  <c:v>2.1400598753227289</c:v>
                </c:pt>
                <c:pt idx="322">
                  <c:v>2.1288429932725377</c:v>
                </c:pt>
                <c:pt idx="323">
                  <c:v>2.1180439271201137</c:v>
                </c:pt>
                <c:pt idx="324">
                  <c:v>2.1069424391750404</c:v>
                </c:pt>
                <c:pt idx="325">
                  <c:v>2.0958991384247727</c:v>
                </c:pt>
                <c:pt idx="326">
                  <c:v>2.0856207157766216</c:v>
                </c:pt>
                <c:pt idx="327">
                  <c:v>2.0746891704305952</c:v>
                </c:pt>
                <c:pt idx="328">
                  <c:v>2.0641648125197487</c:v>
                </c:pt>
                <c:pt idx="329">
                  <c:v>2.053345725866532</c:v>
                </c:pt>
                <c:pt idx="330">
                  <c:v>2.042929637692108</c:v>
                </c:pt>
                <c:pt idx="331">
                  <c:v>2.0322218528085774</c:v>
                </c:pt>
                <c:pt idx="332">
                  <c:v>2.0215701915697357</c:v>
                </c:pt>
                <c:pt idx="333">
                  <c:v>2.0113152924064246</c:v>
                </c:pt>
                <c:pt idx="334">
                  <c:v>2.0007732105418849</c:v>
                </c:pt>
                <c:pt idx="335">
                  <c:v>1.9906238090477777</c:v>
                </c:pt>
                <c:pt idx="336">
                  <c:v>1.9906238090477777</c:v>
                </c:pt>
                <c:pt idx="337">
                  <c:v>1.9906238090477777</c:v>
                </c:pt>
                <c:pt idx="338">
                  <c:v>1.9906238090477777</c:v>
                </c:pt>
                <c:pt idx="339">
                  <c:v>1.9906238090477777</c:v>
                </c:pt>
                <c:pt idx="340">
                  <c:v>1.9906238090477777</c:v>
                </c:pt>
                <c:pt idx="341">
                  <c:v>1.9906238090477777</c:v>
                </c:pt>
                <c:pt idx="342">
                  <c:v>1.9906238090477777</c:v>
                </c:pt>
                <c:pt idx="343">
                  <c:v>1.9906238090477777</c:v>
                </c:pt>
                <c:pt idx="344">
                  <c:v>1.9906238090477777</c:v>
                </c:pt>
                <c:pt idx="345">
                  <c:v>1.9906238090477777</c:v>
                </c:pt>
                <c:pt idx="346">
                  <c:v>1.9906238090477777</c:v>
                </c:pt>
                <c:pt idx="347">
                  <c:v>1.9906238090477777</c:v>
                </c:pt>
                <c:pt idx="348">
                  <c:v>1.9906238090477777</c:v>
                </c:pt>
                <c:pt idx="349">
                  <c:v>1.9906238090477777</c:v>
                </c:pt>
                <c:pt idx="350">
                  <c:v>1.9906238090477777</c:v>
                </c:pt>
                <c:pt idx="351">
                  <c:v>1.9906238090477777</c:v>
                </c:pt>
                <c:pt idx="352">
                  <c:v>1.9906238090477777</c:v>
                </c:pt>
                <c:pt idx="353">
                  <c:v>1.9906238090477777</c:v>
                </c:pt>
                <c:pt idx="354">
                  <c:v>1.9906238090477777</c:v>
                </c:pt>
                <c:pt idx="355">
                  <c:v>1.9906238090477777</c:v>
                </c:pt>
                <c:pt idx="356">
                  <c:v>1.9906238090477777</c:v>
                </c:pt>
                <c:pt idx="357">
                  <c:v>1.9906238090477777</c:v>
                </c:pt>
                <c:pt idx="358">
                  <c:v>1.9906238090477777</c:v>
                </c:pt>
                <c:pt idx="359">
                  <c:v>1.9906238090477777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4B7-4B9E-979A-20983D203061}"/>
            </c:ext>
          </c:extLst>
        </c:ser>
        <c:ser>
          <c:idx val="15"/>
          <c:order val="16"/>
          <c:tx>
            <c:v>Watercut forecast</c:v>
          </c:tx>
          <c:spPr>
            <a:ln w="95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'forecast production'!$Z$7:$Z$366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'forecast production'!$AJ$7:$AJ$366</c:f>
              <c:numCache>
                <c:formatCode>0%</c:formatCode>
                <c:ptCount val="360"/>
                <c:pt idx="0">
                  <c:v>0.39596965310097149</c:v>
                </c:pt>
                <c:pt idx="1">
                  <c:v>0.39403417645627875</c:v>
                </c:pt>
                <c:pt idx="2">
                  <c:v>0.39213003448100398</c:v>
                </c:pt>
                <c:pt idx="3">
                  <c:v>0.38985943065689788</c:v>
                </c:pt>
                <c:pt idx="4">
                  <c:v>0.38750900790377135</c:v>
                </c:pt>
                <c:pt idx="5">
                  <c:v>0.38493155959672531</c:v>
                </c:pt>
                <c:pt idx="6">
                  <c:v>0.38230190336917402</c:v>
                </c:pt>
                <c:pt idx="7">
                  <c:v>0.37945312083045291</c:v>
                </c:pt>
                <c:pt idx="8">
                  <c:v>0.37647875993757407</c:v>
                </c:pt>
                <c:pt idx="9">
                  <c:v>0.37348802952110849</c:v>
                </c:pt>
                <c:pt idx="10">
                  <c:v>0.37028864994258115</c:v>
                </c:pt>
                <c:pt idx="11">
                  <c:v>0.36709349424545357</c:v>
                </c:pt>
                <c:pt idx="12">
                  <c:v>0.36369598079095622</c:v>
                </c:pt>
                <c:pt idx="13">
                  <c:v>0.36020727605839098</c:v>
                </c:pt>
                <c:pt idx="14">
                  <c:v>0.35698282050055824</c:v>
                </c:pt>
                <c:pt idx="15">
                  <c:v>0.35333697630107003</c:v>
                </c:pt>
                <c:pt idx="16">
                  <c:v>0.34973783616231385</c:v>
                </c:pt>
                <c:pt idx="17">
                  <c:v>0.34595064089488109</c:v>
                </c:pt>
                <c:pt idx="18">
                  <c:v>0.34222449773504199</c:v>
                </c:pt>
                <c:pt idx="19">
                  <c:v>0.33831579785819837</c:v>
                </c:pt>
                <c:pt idx="20">
                  <c:v>0.33435249207220824</c:v>
                </c:pt>
                <c:pt idx="21">
                  <c:v>0.33046936370318419</c:v>
                </c:pt>
                <c:pt idx="22">
                  <c:v>0.3264118489720938</c:v>
                </c:pt>
                <c:pt idx="23">
                  <c:v>0.3224457123659828</c:v>
                </c:pt>
                <c:pt idx="24">
                  <c:v>0.31831057607224905</c:v>
                </c:pt>
                <c:pt idx="25">
                  <c:v>0.31414200593527791</c:v>
                </c:pt>
                <c:pt idx="26">
                  <c:v>0.31035133806876325</c:v>
                </c:pt>
                <c:pt idx="27">
                  <c:v>0.30612975044968882</c:v>
                </c:pt>
                <c:pt idx="28">
                  <c:v>0.30202287496980068</c:v>
                </c:pt>
                <c:pt idx="29">
                  <c:v>0.29776036026846031</c:v>
                </c:pt>
                <c:pt idx="30">
                  <c:v>0.29362039843461846</c:v>
                </c:pt>
                <c:pt idx="31">
                  <c:v>0.2893302223658884</c:v>
                </c:pt>
                <c:pt idx="32">
                  <c:v>0.28503081078310616</c:v>
                </c:pt>
                <c:pt idx="33">
                  <c:v>0.28086422955519513</c:v>
                </c:pt>
                <c:pt idx="34">
                  <c:v>0.27655564079964612</c:v>
                </c:pt>
                <c:pt idx="35">
                  <c:v>0.27238573675513528</c:v>
                </c:pt>
                <c:pt idx="36">
                  <c:v>0.26807927189145775</c:v>
                </c:pt>
                <c:pt idx="37">
                  <c:v>0.26377798317857254</c:v>
                </c:pt>
                <c:pt idx="38">
                  <c:v>0.25976122036005206</c:v>
                </c:pt>
                <c:pt idx="39">
                  <c:v>0.25547736014516192</c:v>
                </c:pt>
                <c:pt idx="40">
                  <c:v>0.25134371607143297</c:v>
                </c:pt>
                <c:pt idx="41">
                  <c:v>0.24708702072564009</c:v>
                </c:pt>
                <c:pt idx="42">
                  <c:v>0.24298402849380754</c:v>
                </c:pt>
                <c:pt idx="43">
                  <c:v>0.23876334667174376</c:v>
                </c:pt>
                <c:pt idx="44">
                  <c:v>0.23456414453627711</c:v>
                </c:pt>
                <c:pt idx="45">
                  <c:v>0.2305227626558472</c:v>
                </c:pt>
                <c:pt idx="46">
                  <c:v>0.2263716679117663</c:v>
                </c:pt>
                <c:pt idx="47">
                  <c:v>0.22238040727480057</c:v>
                </c:pt>
                <c:pt idx="48">
                  <c:v>0.21828462905252607</c:v>
                </c:pt>
                <c:pt idx="49">
                  <c:v>0.21421952299296343</c:v>
                </c:pt>
                <c:pt idx="50">
                  <c:v>0.2105755249661326</c:v>
                </c:pt>
                <c:pt idx="51">
                  <c:v>0.20657319773530194</c:v>
                </c:pt>
                <c:pt idx="52">
                  <c:v>0.20273342907404998</c:v>
                </c:pt>
                <c:pt idx="53">
                  <c:v>0.19880158615206572</c:v>
                </c:pt>
                <c:pt idx="54">
                  <c:v>0.1950325593642124</c:v>
                </c:pt>
                <c:pt idx="55">
                  <c:v>0.1911762851140508</c:v>
                </c:pt>
                <c:pt idx="56">
                  <c:v>0.18736017794752288</c:v>
                </c:pt>
                <c:pt idx="57">
                  <c:v>0.18370644298524649</c:v>
                </c:pt>
                <c:pt idx="58">
                  <c:v>0.17997248968263541</c:v>
                </c:pt>
                <c:pt idx="59">
                  <c:v>0.17640010231551825</c:v>
                </c:pt>
                <c:pt idx="60">
                  <c:v>0.17275197836399614</c:v>
                </c:pt>
                <c:pt idx="61">
                  <c:v>0.16914871140029883</c:v>
                </c:pt>
                <c:pt idx="62">
                  <c:v>0.165933324784723</c:v>
                </c:pt>
                <c:pt idx="63">
                  <c:v>0.16241743624973606</c:v>
                </c:pt>
                <c:pt idx="64">
                  <c:v>0.15905955723731499</c:v>
                </c:pt>
                <c:pt idx="65">
                  <c:v>0.15563637462807228</c:v>
                </c:pt>
                <c:pt idx="66">
                  <c:v>0.15236920504886373</c:v>
                </c:pt>
                <c:pt idx="67">
                  <c:v>0.1490406671833511</c:v>
                </c:pt>
                <c:pt idx="68">
                  <c:v>0.14576082623829378</c:v>
                </c:pt>
                <c:pt idx="69">
                  <c:v>0.14263346252812517</c:v>
                </c:pt>
                <c:pt idx="70">
                  <c:v>0.13945035278109533</c:v>
                </c:pt>
                <c:pt idx="71">
                  <c:v>0.13641706667673098</c:v>
                </c:pt>
                <c:pt idx="72">
                  <c:v>0.1333315532269041</c:v>
                </c:pt>
                <c:pt idx="73">
                  <c:v>0.130295845676213</c:v>
                </c:pt>
                <c:pt idx="74">
                  <c:v>0.12759678999717455</c:v>
                </c:pt>
                <c:pt idx="75">
                  <c:v>0.12465604718718319</c:v>
                </c:pt>
                <c:pt idx="76">
                  <c:v>0.12185768113481005</c:v>
                </c:pt>
                <c:pt idx="77">
                  <c:v>0.11901508408817082</c:v>
                </c:pt>
                <c:pt idx="78">
                  <c:v>0.11631156406440024</c:v>
                </c:pt>
                <c:pt idx="79">
                  <c:v>0.11356675974790535</c:v>
                </c:pt>
                <c:pt idx="80">
                  <c:v>0.1108714235474567</c:v>
                </c:pt>
                <c:pt idx="81">
                  <c:v>0.10830994323472561</c:v>
                </c:pt>
                <c:pt idx="82">
                  <c:v>0.10571132352778508</c:v>
                </c:pt>
                <c:pt idx="83">
                  <c:v>0.10324296750719969</c:v>
                </c:pt>
                <c:pt idx="84">
                  <c:v>0.10074002766597918</c:v>
                </c:pt>
                <c:pt idx="85">
                  <c:v>9.8285240600900173E-2</c:v>
                </c:pt>
                <c:pt idx="86">
                  <c:v>9.6032106124551098E-2</c:v>
                </c:pt>
                <c:pt idx="87">
                  <c:v>9.3669487353253783E-2</c:v>
                </c:pt>
                <c:pt idx="88">
                  <c:v>9.1427873920916072E-2</c:v>
                </c:pt>
                <c:pt idx="89">
                  <c:v>8.9157410047597419E-2</c:v>
                </c:pt>
                <c:pt idx="90">
                  <c:v>8.7004160354922117E-2</c:v>
                </c:pt>
                <c:pt idx="91">
                  <c:v>8.4824120019476812E-2</c:v>
                </c:pt>
                <c:pt idx="92">
                  <c:v>8.2689320779165174E-2</c:v>
                </c:pt>
                <c:pt idx="93">
                  <c:v>8.066598777295457E-2</c:v>
                </c:pt>
                <c:pt idx="94">
                  <c:v>7.8618727023103005E-2</c:v>
                </c:pt>
                <c:pt idx="95">
                  <c:v>7.6679122816452353E-2</c:v>
                </c:pt>
                <c:pt idx="96">
                  <c:v>7.4717335981860117E-2</c:v>
                </c:pt>
                <c:pt idx="97">
                  <c:v>7.2798163192499932E-2</c:v>
                </c:pt>
                <c:pt idx="98">
                  <c:v>7.1100870470891905E-2</c:v>
                </c:pt>
                <c:pt idx="99">
                  <c:v>6.9261218397057719E-2</c:v>
                </c:pt>
                <c:pt idx="100">
                  <c:v>6.7519888857532184E-2</c:v>
                </c:pt>
                <c:pt idx="101">
                  <c:v>6.5760213076661911E-2</c:v>
                </c:pt>
                <c:pt idx="102">
                  <c:v>6.409515682845543E-2</c:v>
                </c:pt>
                <c:pt idx="103">
                  <c:v>6.2413123839657303E-2</c:v>
                </c:pt>
                <c:pt idx="104">
                  <c:v>6.0769640355577761E-2</c:v>
                </c:pt>
                <c:pt idx="105">
                  <c:v>5.9215294757400158E-2</c:v>
                </c:pt>
                <c:pt idx="106">
                  <c:v>5.7645859449110194E-2</c:v>
                </c:pt>
                <c:pt idx="107">
                  <c:v>5.6162007353026303E-2</c:v>
                </c:pt>
                <c:pt idx="108">
                  <c:v>5.46642064362165E-2</c:v>
                </c:pt>
                <c:pt idx="109">
                  <c:v>5.3202365182195309E-2</c:v>
                </c:pt>
                <c:pt idx="110">
                  <c:v>5.1913901586649353E-2</c:v>
                </c:pt>
                <c:pt idx="111">
                  <c:v>5.0522105650208496E-2</c:v>
                </c:pt>
                <c:pt idx="112">
                  <c:v>4.9209183922289644E-2</c:v>
                </c:pt>
                <c:pt idx="113">
                  <c:v>4.7886810440368806E-2</c:v>
                </c:pt>
                <c:pt idx="114">
                  <c:v>4.6639548282459892E-2</c:v>
                </c:pt>
                <c:pt idx="115">
                  <c:v>4.5383474733926031E-2</c:v>
                </c:pt>
                <c:pt idx="116">
                  <c:v>4.4159931152849753E-2</c:v>
                </c:pt>
                <c:pt idx="117">
                  <c:v>4.300610802266714E-2</c:v>
                </c:pt>
                <c:pt idx="118">
                  <c:v>4.1844351433455523E-2</c:v>
                </c:pt>
                <c:pt idx="119">
                  <c:v>4.0748924960950561E-2</c:v>
                </c:pt>
                <c:pt idx="120">
                  <c:v>3.9646094071641685E-2</c:v>
                </c:pt>
                <c:pt idx="121">
                  <c:v>3.8572145936183806E-2</c:v>
                </c:pt>
                <c:pt idx="122">
                  <c:v>3.7626372421377001E-2</c:v>
                </c:pt>
                <c:pt idx="123">
                  <c:v>3.6605476518344705E-2</c:v>
                </c:pt>
                <c:pt idx="124">
                  <c:v>3.5643124887892563E-2</c:v>
                </c:pt>
                <c:pt idx="125">
                  <c:v>3.4674518965214056E-2</c:v>
                </c:pt>
                <c:pt idx="126">
                  <c:v>3.3761547340827709E-2</c:v>
                </c:pt>
                <c:pt idx="127">
                  <c:v>3.2842728885312235E-2</c:v>
                </c:pt>
                <c:pt idx="128">
                  <c:v>3.1948285437809622E-2</c:v>
                </c:pt>
                <c:pt idx="129">
                  <c:v>3.1105331078012877E-2</c:v>
                </c:pt>
                <c:pt idx="130">
                  <c:v>3.0257090010103845E-2</c:v>
                </c:pt>
                <c:pt idx="131">
                  <c:v>2.9457745047097781E-2</c:v>
                </c:pt>
                <c:pt idx="132">
                  <c:v>2.8653451909947371E-2</c:v>
                </c:pt>
                <c:pt idx="133">
                  <c:v>2.7870659598051899E-2</c:v>
                </c:pt>
                <c:pt idx="134">
                  <c:v>2.7157351603726475E-2</c:v>
                </c:pt>
                <c:pt idx="135">
                  <c:v>2.6414635309841721E-2</c:v>
                </c:pt>
                <c:pt idx="136">
                  <c:v>2.5714862886150366E-2</c:v>
                </c:pt>
                <c:pt idx="137">
                  <c:v>2.5010885986947302E-2</c:v>
                </c:pt>
                <c:pt idx="138">
                  <c:v>2.434765751486986E-2</c:v>
                </c:pt>
                <c:pt idx="139">
                  <c:v>2.368048743989953E-2</c:v>
                </c:pt>
                <c:pt idx="140">
                  <c:v>2.3031309636189202E-2</c:v>
                </c:pt>
                <c:pt idx="141">
                  <c:v>2.2419765372859671E-2</c:v>
                </c:pt>
                <c:pt idx="142">
                  <c:v>2.1804642199233674E-2</c:v>
                </c:pt>
                <c:pt idx="143">
                  <c:v>2.1225211400287696E-2</c:v>
                </c:pt>
                <c:pt idx="144">
                  <c:v>2.0642421740859382E-2</c:v>
                </c:pt>
                <c:pt idx="145">
                  <c:v>2.0075429842523758E-2</c:v>
                </c:pt>
                <c:pt idx="146">
                  <c:v>1.9576542243470465E-2</c:v>
                </c:pt>
                <c:pt idx="147">
                  <c:v>1.9038482116126378E-2</c:v>
                </c:pt>
                <c:pt idx="148">
                  <c:v>1.8531706508039255E-2</c:v>
                </c:pt>
                <c:pt idx="149">
                  <c:v>1.8022055114557442E-2</c:v>
                </c:pt>
                <c:pt idx="150">
                  <c:v>1.7542058092114617E-2</c:v>
                </c:pt>
                <c:pt idx="151">
                  <c:v>1.7059358236361215E-2</c:v>
                </c:pt>
                <c:pt idx="152">
                  <c:v>1.6589819052820552E-2</c:v>
                </c:pt>
                <c:pt idx="153">
                  <c:v>1.6147627810371334E-2</c:v>
                </c:pt>
                <c:pt idx="154">
                  <c:v>1.5702973312033942E-2</c:v>
                </c:pt>
                <c:pt idx="155">
                  <c:v>1.5284233158082203E-2</c:v>
                </c:pt>
                <c:pt idx="156">
                  <c:v>1.4863175688166204E-2</c:v>
                </c:pt>
                <c:pt idx="157">
                  <c:v>1.4453636919574598E-2</c:v>
                </c:pt>
                <c:pt idx="158">
                  <c:v>1.4093374904809894E-2</c:v>
                </c:pt>
                <c:pt idx="159">
                  <c:v>1.3704913573835131E-2</c:v>
                </c:pt>
                <c:pt idx="160">
                  <c:v>1.333912173348018E-2</c:v>
                </c:pt>
                <c:pt idx="161">
                  <c:v>1.2971334693384996E-2</c:v>
                </c:pt>
                <c:pt idx="162">
                  <c:v>1.262502071144031E-2</c:v>
                </c:pt>
                <c:pt idx="163">
                  <c:v>1.2276827491392295E-2</c:v>
                </c:pt>
                <c:pt idx="164">
                  <c:v>1.1938195100300435E-2</c:v>
                </c:pt>
                <c:pt idx="165">
                  <c:v>1.1619346239063496E-2</c:v>
                </c:pt>
                <c:pt idx="166">
                  <c:v>1.1298779384332351E-2</c:v>
                </c:pt>
                <c:pt idx="167">
                  <c:v>1.0996947801549441E-2</c:v>
                </c:pt>
                <c:pt idx="168">
                  <c:v>1.069349681929504E-2</c:v>
                </c:pt>
                <c:pt idx="169">
                  <c:v>1.0398395616235687E-2</c:v>
                </c:pt>
                <c:pt idx="170">
                  <c:v>1.0138840696714297E-2</c:v>
                </c:pt>
                <c:pt idx="171">
                  <c:v>9.8590095646650753E-3</c:v>
                </c:pt>
                <c:pt idx="172">
                  <c:v>9.595546294723898E-3</c:v>
                </c:pt>
                <c:pt idx="173">
                  <c:v>9.3306823197560479E-3</c:v>
                </c:pt>
                <c:pt idx="174">
                  <c:v>9.0813151079770886E-3</c:v>
                </c:pt>
                <c:pt idx="175">
                  <c:v>8.8306263107341947E-3</c:v>
                </c:pt>
                <c:pt idx="176">
                  <c:v>8.5868508998911339E-3</c:v>
                </c:pt>
                <c:pt idx="177">
                  <c:v>8.3573437613873244E-3</c:v>
                </c:pt>
                <c:pt idx="178">
                  <c:v>8.1266254216629426E-3</c:v>
                </c:pt>
                <c:pt idx="179">
                  <c:v>7.9094140843801314E-3</c:v>
                </c:pt>
                <c:pt idx="180">
                  <c:v>7.6910592622294561E-3</c:v>
                </c:pt>
                <c:pt idx="181">
                  <c:v>7.4787333407875028E-3</c:v>
                </c:pt>
                <c:pt idx="182">
                  <c:v>7.285417414489629E-3</c:v>
                </c:pt>
                <c:pt idx="183">
                  <c:v>7.0842947894185684E-3</c:v>
                </c:pt>
                <c:pt idx="184">
                  <c:v>6.894951869772065E-3</c:v>
                </c:pt>
                <c:pt idx="185">
                  <c:v>6.7046172304648915E-3</c:v>
                </c:pt>
                <c:pt idx="186">
                  <c:v>6.5254320841745782E-3</c:v>
                </c:pt>
                <c:pt idx="187">
                  <c:v>6.3453099623683954E-3</c:v>
                </c:pt>
                <c:pt idx="188">
                  <c:v>6.1701669895514863E-3</c:v>
                </c:pt>
                <c:pt idx="189">
                  <c:v>6.0052855269186285E-3</c:v>
                </c:pt>
                <c:pt idx="190">
                  <c:v>5.8395436783126439E-3</c:v>
                </c:pt>
                <c:pt idx="191">
                  <c:v>5.6835135321014829E-3</c:v>
                </c:pt>
                <c:pt idx="192">
                  <c:v>5.5266701114541602E-3</c:v>
                </c:pt>
                <c:pt idx="193">
                  <c:v>5.3741647342734926E-3</c:v>
                </c:pt>
                <c:pt idx="194">
                  <c:v>5.2400470138611191E-3</c:v>
                </c:pt>
                <c:pt idx="195">
                  <c:v>5.0954701290151765E-3</c:v>
                </c:pt>
                <c:pt idx="196">
                  <c:v>4.9593663678132146E-3</c:v>
                </c:pt>
                <c:pt idx="197">
                  <c:v>4.8225546365896522E-3</c:v>
                </c:pt>
                <c:pt idx="198">
                  <c:v>4.6937613508241591E-3</c:v>
                </c:pt>
                <c:pt idx="199">
                  <c:v>4.5642984792045637E-3</c:v>
                </c:pt>
                <c:pt idx="200">
                  <c:v>4.4384178572423353E-3</c:v>
                </c:pt>
                <c:pt idx="201">
                  <c:v>4.3199154022299912E-3</c:v>
                </c:pt>
                <c:pt idx="202">
                  <c:v>4.2007971814371908E-3</c:v>
                </c:pt>
                <c:pt idx="203">
                  <c:v>4.0886609030825593E-3</c:v>
                </c:pt>
                <c:pt idx="204">
                  <c:v>3.9759420351546176E-3</c:v>
                </c:pt>
                <c:pt idx="205">
                  <c:v>3.8663423995987218E-3</c:v>
                </c:pt>
                <c:pt idx="206">
                  <c:v>3.7699583803485876E-3</c:v>
                </c:pt>
                <c:pt idx="207">
                  <c:v>3.6660588471981756E-3</c:v>
                </c:pt>
                <c:pt idx="208">
                  <c:v>3.5682492389031346E-3</c:v>
                </c:pt>
                <c:pt idx="209">
                  <c:v>3.4699313974899219E-3</c:v>
                </c:pt>
                <c:pt idx="210">
                  <c:v>3.3773762174178551E-3</c:v>
                </c:pt>
                <c:pt idx="211">
                  <c:v>3.2843399783891031E-3</c:v>
                </c:pt>
                <c:pt idx="212">
                  <c:v>3.1938780036290591E-3</c:v>
                </c:pt>
                <c:pt idx="213">
                  <c:v>3.1087180052583509E-3</c:v>
                </c:pt>
                <c:pt idx="214">
                  <c:v>3.0231151153931519E-3</c:v>
                </c:pt>
                <c:pt idx="215">
                  <c:v>2.9425292105377658E-3</c:v>
                </c:pt>
                <c:pt idx="216">
                  <c:v>2.8615239804102399E-3</c:v>
                </c:pt>
                <c:pt idx="217">
                  <c:v>2.7827595987586968E-3</c:v>
                </c:pt>
                <c:pt idx="218">
                  <c:v>2.7134919266341676E-3</c:v>
                </c:pt>
                <c:pt idx="219">
                  <c:v>2.6388221887149784E-3</c:v>
                </c:pt>
                <c:pt idx="220">
                  <c:v>2.5685280879058706E-3</c:v>
                </c:pt>
                <c:pt idx="221">
                  <c:v>2.4978675896145468E-3</c:v>
                </c:pt>
                <c:pt idx="222">
                  <c:v>2.4313475129818627E-3</c:v>
                </c:pt>
                <c:pt idx="223">
                  <c:v>2.3644804203906194E-3</c:v>
                </c:pt>
                <c:pt idx="224">
                  <c:v>2.2994621506938449E-3</c:v>
                </c:pt>
                <c:pt idx="225">
                  <c:v>2.2382532621387061E-3</c:v>
                </c:pt>
                <c:pt idx="226">
                  <c:v>2.1767246156048385E-3</c:v>
                </c:pt>
                <c:pt idx="227">
                  <c:v>2.1188005984566693E-3</c:v>
                </c:pt>
                <c:pt idx="228">
                  <c:v>2.0605736746635056E-3</c:v>
                </c:pt>
                <c:pt idx="229">
                  <c:v>2.0039559276148291E-3</c:v>
                </c:pt>
                <c:pt idx="230">
                  <c:v>1.9524081801681199E-3</c:v>
                </c:pt>
                <c:pt idx="231">
                  <c:v>1.8987792670716644E-3</c:v>
                </c:pt>
                <c:pt idx="232">
                  <c:v>1.8482914593025142E-3</c:v>
                </c:pt>
                <c:pt idx="233">
                  <c:v>1.7975388855163644E-3</c:v>
                </c:pt>
                <c:pt idx="234">
                  <c:v>1.7497586458123575E-3</c:v>
                </c:pt>
                <c:pt idx="235">
                  <c:v>1.7017275294627123E-3</c:v>
                </c:pt>
                <c:pt idx="236">
                  <c:v>1.6550227854948976E-3</c:v>
                </c:pt>
                <c:pt idx="237">
                  <c:v>1.6110528718777154E-3</c:v>
                </c:pt>
                <c:pt idx="238">
                  <c:v>1.5668516349280734E-3</c:v>
                </c:pt>
                <c:pt idx="239">
                  <c:v>1.5252383421667241E-3</c:v>
                </c:pt>
                <c:pt idx="240">
                  <c:v>1.4834058257568554E-3</c:v>
                </c:pt>
                <c:pt idx="241">
                  <c:v>1.4427277755629125E-3</c:v>
                </c:pt>
                <c:pt idx="242">
                  <c:v>1.406951953557514E-3</c:v>
                </c:pt>
                <c:pt idx="243">
                  <c:v>1.3683834118096928E-3</c:v>
                </c:pt>
                <c:pt idx="244">
                  <c:v>1.3320723564600708E-3</c:v>
                </c:pt>
                <c:pt idx="245">
                  <c:v>1.2955693279334147E-3</c:v>
                </c:pt>
                <c:pt idx="246">
                  <c:v>1.2612026184449967E-3</c:v>
                </c:pt>
                <c:pt idx="247">
                  <c:v>1.226653941193598E-3</c:v>
                </c:pt>
                <c:pt idx="248">
                  <c:v>1.1930577929742468E-3</c:v>
                </c:pt>
                <c:pt idx="249">
                  <c:v>1.1614274543056979E-3</c:v>
                </c:pt>
                <c:pt idx="250">
                  <c:v>1.1296292439962191E-3</c:v>
                </c:pt>
                <c:pt idx="251">
                  <c:v>1.0996913911230264E-3</c:v>
                </c:pt>
                <c:pt idx="252">
                  <c:v>1.0695943956417022E-3</c:v>
                </c:pt>
                <c:pt idx="253">
                  <c:v>1.040326568553123E-3</c:v>
                </c:pt>
                <c:pt idx="254">
                  <c:v>1.0145846800389074E-3</c:v>
                </c:pt>
                <c:pt idx="255">
                  <c:v>9.868320174032095E-4</c:v>
                </c:pt>
                <c:pt idx="256">
                  <c:v>9.6070246832236745E-4</c:v>
                </c:pt>
                <c:pt idx="257">
                  <c:v>9.3443345374406525E-4</c:v>
                </c:pt>
                <c:pt idx="258">
                  <c:v>9.09700561056143E-4</c:v>
                </c:pt>
                <c:pt idx="259">
                  <c:v>8.8483543393485815E-4</c:v>
                </c:pt>
                <c:pt idx="260">
                  <c:v>8.6065457970470045E-4</c:v>
                </c:pt>
                <c:pt idx="261">
                  <c:v>8.3788742642190782E-4</c:v>
                </c:pt>
                <c:pt idx="262">
                  <c:v>8.1499823205622682E-4</c:v>
                </c:pt>
                <c:pt idx="263">
                  <c:v>7.9344702368252704E-4</c:v>
                </c:pt>
                <c:pt idx="264">
                  <c:v>7.7178008995405398E-4</c:v>
                </c:pt>
                <c:pt idx="265">
                  <c:v>7.5070891720414499E-4</c:v>
                </c:pt>
                <c:pt idx="266">
                  <c:v>7.3217524082927617E-4</c:v>
                </c:pt>
                <c:pt idx="267">
                  <c:v>7.1219278236126068E-4</c:v>
                </c:pt>
                <c:pt idx="268">
                  <c:v>6.9337795507600853E-4</c:v>
                </c:pt>
                <c:pt idx="269">
                  <c:v>6.7446164942528179E-4</c:v>
                </c:pt>
                <c:pt idx="270">
                  <c:v>6.5665050419867548E-4</c:v>
                </c:pt>
                <c:pt idx="271">
                  <c:v>6.3874311971902104E-4</c:v>
                </c:pt>
                <c:pt idx="272">
                  <c:v>6.2132752860746517E-4</c:v>
                </c:pt>
                <c:pt idx="273">
                  <c:v>6.0492917799755466E-4</c:v>
                </c:pt>
                <c:pt idx="274">
                  <c:v>5.884419768154318E-4</c:v>
                </c:pt>
                <c:pt idx="275">
                  <c:v>5.729176349394086E-4</c:v>
                </c:pt>
                <c:pt idx="276">
                  <c:v>5.5730902243960874E-4</c:v>
                </c:pt>
                <c:pt idx="277">
                  <c:v>5.4212868668828047E-4</c:v>
                </c:pt>
                <c:pt idx="278">
                  <c:v>5.2830496681642439E-4</c:v>
                </c:pt>
                <c:pt idx="279">
                  <c:v>5.1392024359343304E-4</c:v>
                </c:pt>
                <c:pt idx="280">
                  <c:v>5.0037525385511006E-4</c:v>
                </c:pt>
                <c:pt idx="281">
                  <c:v>4.8675639460425772E-4</c:v>
                </c:pt>
                <c:pt idx="282">
                  <c:v>4.7393242914061474E-4</c:v>
                </c:pt>
                <c:pt idx="283">
                  <c:v>4.6103839417993862E-4</c:v>
                </c:pt>
                <c:pt idx="284">
                  <c:v>4.4849769822490765E-4</c:v>
                </c:pt>
                <c:pt idx="285">
                  <c:v>4.3668878317278624E-4</c:v>
                </c:pt>
                <c:pt idx="286">
                  <c:v>4.2481515966683324E-4</c:v>
                </c:pt>
                <c:pt idx="287">
                  <c:v>4.1363427554456982E-4</c:v>
                </c:pt>
                <c:pt idx="288">
                  <c:v>4.0239200721097211E-4</c:v>
                </c:pt>
                <c:pt idx="289">
                  <c:v>3.914575240231755E-4</c:v>
                </c:pt>
                <c:pt idx="290">
                  <c:v>3.818387027825867E-4</c:v>
                </c:pt>
                <c:pt idx="291">
                  <c:v>3.7146676080697161E-4</c:v>
                </c:pt>
                <c:pt idx="292">
                  <c:v>3.6169969231810236E-4</c:v>
                </c:pt>
                <c:pt idx="293">
                  <c:v>3.5187874587844209E-4</c:v>
                </c:pt>
                <c:pt idx="294">
                  <c:v>3.4263044190331767E-4</c:v>
                </c:pt>
                <c:pt idx="295">
                  <c:v>3.3333102295727272E-4</c:v>
                </c:pt>
                <c:pt idx="296">
                  <c:v>3.242858609717074E-4</c:v>
                </c:pt>
                <c:pt idx="297">
                  <c:v>3.1576796997999064E-4</c:v>
                </c:pt>
                <c:pt idx="298">
                  <c:v>3.0720286314433911E-4</c:v>
                </c:pt>
                <c:pt idx="299">
                  <c:v>2.9913695701573508E-4</c:v>
                </c:pt>
                <c:pt idx="300">
                  <c:v>2.9102625347065262E-4</c:v>
                </c:pt>
                <c:pt idx="301">
                  <c:v>2.8313709051641E-4</c:v>
                </c:pt>
                <c:pt idx="302">
                  <c:v>2.7619674142692261E-4</c:v>
                </c:pt>
                <c:pt idx="303">
                  <c:v>2.6871252446615507E-4</c:v>
                </c:pt>
                <c:pt idx="304">
                  <c:v>2.6166432260140961E-4</c:v>
                </c:pt>
                <c:pt idx="305">
                  <c:v>2.5457678620968249E-4</c:v>
                </c:pt>
                <c:pt idx="306">
                  <c:v>2.4790208275716775E-4</c:v>
                </c:pt>
                <c:pt idx="307">
                  <c:v>2.4119005633418741E-4</c:v>
                </c:pt>
                <c:pt idx="308">
                  <c:v>2.3466111642372276E-4</c:v>
                </c:pt>
                <c:pt idx="309">
                  <c:v>2.2851237155416664E-4</c:v>
                </c:pt>
                <c:pt idx="310">
                  <c:v>2.2232914311923438E-4</c:v>
                </c:pt>
                <c:pt idx="311">
                  <c:v>2.1650591456586919E-4</c:v>
                </c:pt>
                <c:pt idx="312">
                  <c:v>2.10649964002215E-4</c:v>
                </c:pt>
                <c:pt idx="313">
                  <c:v>2.0495358978272782E-4</c:v>
                </c:pt>
                <c:pt idx="314">
                  <c:v>1.9994199123545144E-4</c:v>
                </c:pt>
                <c:pt idx="315">
                  <c:v>1.9453732704083224E-4</c:v>
                </c:pt>
                <c:pt idx="316">
                  <c:v>1.8944719497548254E-4</c:v>
                </c:pt>
                <c:pt idx="317">
                  <c:v>1.8432832124144993E-4</c:v>
                </c:pt>
                <c:pt idx="318">
                  <c:v>1.7950729457618127E-4</c:v>
                </c:pt>
                <c:pt idx="319">
                  <c:v>1.7465899234238189E-4</c:v>
                </c:pt>
                <c:pt idx="320">
                  <c:v>1.6994262445492629E-4</c:v>
                </c:pt>
                <c:pt idx="321">
                  <c:v>1.6550060947065083E-4</c:v>
                </c:pt>
                <c:pt idx="322">
                  <c:v>1.610333888204655E-4</c:v>
                </c:pt>
                <c:pt idx="323">
                  <c:v>1.5682598154570358E-4</c:v>
                </c:pt>
                <c:pt idx="324">
                  <c:v>1.5259465302920602E-4</c:v>
                </c:pt>
                <c:pt idx="325">
                  <c:v>1.4847835337173501E-4</c:v>
                </c:pt>
                <c:pt idx="326">
                  <c:v>1.4472896622069647E-4</c:v>
                </c:pt>
                <c:pt idx="327">
                  <c:v>1.4082643154466592E-4</c:v>
                </c:pt>
                <c:pt idx="328">
                  <c:v>1.3715076654590769E-4</c:v>
                </c:pt>
                <c:pt idx="329">
                  <c:v>1.3345410132146993E-4</c:v>
                </c:pt>
                <c:pt idx="330">
                  <c:v>1.299722990636195E-4</c:v>
                </c:pt>
                <c:pt idx="331">
                  <c:v>1.2647056523400045E-4</c:v>
                </c:pt>
                <c:pt idx="332">
                  <c:v>1.2306389184777114E-4</c:v>
                </c:pt>
                <c:pt idx="333">
                  <c:v>1.1985517221547729E-4</c:v>
                </c:pt>
                <c:pt idx="334">
                  <c:v>1.1662803006488031E-4</c:v>
                </c:pt>
                <c:pt idx="335">
                  <c:v>1.1358837564089262E-4</c:v>
                </c:pt>
                <c:pt idx="336">
                  <c:v>1.1439554002391208E-4</c:v>
                </c:pt>
                <c:pt idx="337">
                  <c:v>1.1520843949442681E-4</c:v>
                </c:pt>
                <c:pt idx="338">
                  <c:v>1.1594763458553434E-4</c:v>
                </c:pt>
                <c:pt idx="339">
                  <c:v>1.1677156201657879E-4</c:v>
                </c:pt>
                <c:pt idx="340">
                  <c:v>1.1757448466311476E-4</c:v>
                </c:pt>
                <c:pt idx="341">
                  <c:v>1.1840997117144457E-4</c:v>
                </c:pt>
                <c:pt idx="342">
                  <c:v>1.1922415819547484E-4</c:v>
                </c:pt>
                <c:pt idx="343">
                  <c:v>1.2007136590736304E-4</c:v>
                </c:pt>
                <c:pt idx="344">
                  <c:v>1.209245931551629E-4</c:v>
                </c:pt>
                <c:pt idx="345">
                  <c:v>1.2175606861579754E-4</c:v>
                </c:pt>
                <c:pt idx="346">
                  <c:v>1.2262126589461389E-4</c:v>
                </c:pt>
                <c:pt idx="347">
                  <c:v>1.234644062078093E-4</c:v>
                </c:pt>
                <c:pt idx="348">
                  <c:v>1.2434174140506487E-4</c:v>
                </c:pt>
                <c:pt idx="349">
                  <c:v>1.2522531014502329E-4</c:v>
                </c:pt>
                <c:pt idx="350">
                  <c:v>1.260287669201535E-4</c:v>
                </c:pt>
                <c:pt idx="351">
                  <c:v>1.2692432209181621E-4</c:v>
                </c:pt>
                <c:pt idx="352">
                  <c:v>1.2779704631452806E-4</c:v>
                </c:pt>
                <c:pt idx="353">
                  <c:v>1.2870516518853541E-4</c:v>
                </c:pt>
                <c:pt idx="354">
                  <c:v>1.2959013279729929E-4</c:v>
                </c:pt>
                <c:pt idx="355">
                  <c:v>1.3051099158339243E-4</c:v>
                </c:pt>
                <c:pt idx="356">
                  <c:v>1.3143839307002862E-4</c:v>
                </c:pt>
                <c:pt idx="357">
                  <c:v>1.3234215167281474E-4</c:v>
                </c:pt>
                <c:pt idx="358">
                  <c:v>1.3328256351356643E-4</c:v>
                </c:pt>
                <c:pt idx="359">
                  <c:v>1.3419900076501503E-4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4B7-4B9E-979A-20983D203061}"/>
            </c:ext>
          </c:extLst>
        </c:ser>
        <c:ser>
          <c:idx val="16"/>
          <c:order val="17"/>
          <c:tx>
            <c:v>GOR total forecast</c:v>
          </c:tx>
          <c:spPr>
            <a:ln w="95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'forecast production'!$Z$7:$Z$366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'forecast production'!$AI$7:$AI$366</c:f>
              <c:numCache>
                <c:formatCode>_(* #,##0_);_(* \(#,##0\);_(* "-"??_);_(@_)</c:formatCode>
                <c:ptCount val="360"/>
                <c:pt idx="0">
                  <c:v>4161.9754898859092</c:v>
                </c:pt>
                <c:pt idx="1">
                  <c:v>4199.0835109454893</c:v>
                </c:pt>
                <c:pt idx="2">
                  <c:v>4231.3926490098765</c:v>
                </c:pt>
                <c:pt idx="3">
                  <c:v>4265.8984285898068</c:v>
                </c:pt>
                <c:pt idx="4">
                  <c:v>4298.0917069360003</c:v>
                </c:pt>
                <c:pt idx="5">
                  <c:v>4330.1846393549204</c:v>
                </c:pt>
                <c:pt idx="6">
                  <c:v>4360.1654533985447</c:v>
                </c:pt>
                <c:pt idx="7">
                  <c:v>4390.0900526213145</c:v>
                </c:pt>
                <c:pt idx="8">
                  <c:v>4418.9959669794616</c:v>
                </c:pt>
                <c:pt idx="9">
                  <c:v>4446.0477091276389</c:v>
                </c:pt>
                <c:pt idx="10">
                  <c:v>4473.0952808576139</c:v>
                </c:pt>
                <c:pt idx="11">
                  <c:v>4498.4353956024252</c:v>
                </c:pt>
                <c:pt idx="12">
                  <c:v>4523.7982406280098</c:v>
                </c:pt>
                <c:pt idx="13">
                  <c:v>4548.3646004365901</c:v>
                </c:pt>
                <c:pt idx="14">
                  <c:v>4569.8997460704513</c:v>
                </c:pt>
                <c:pt idx="15">
                  <c:v>4593.0503926694419</c:v>
                </c:pt>
                <c:pt idx="16">
                  <c:v>4614.7918884855362</c:v>
                </c:pt>
                <c:pt idx="17">
                  <c:v>4636.6037329994278</c:v>
                </c:pt>
                <c:pt idx="18">
                  <c:v>4657.1058378357257</c:v>
                </c:pt>
                <c:pt idx="19">
                  <c:v>4677.6917455078556</c:v>
                </c:pt>
                <c:pt idx="20">
                  <c:v>4697.6938680268076</c:v>
                </c:pt>
                <c:pt idx="21">
                  <c:v>4716.5179929384021</c:v>
                </c:pt>
                <c:pt idx="22">
                  <c:v>4735.441599431646</c:v>
                </c:pt>
                <c:pt idx="23">
                  <c:v>4753.2642273689653</c:v>
                </c:pt>
                <c:pt idx="24">
                  <c:v>4771.1942547270282</c:v>
                </c:pt>
                <c:pt idx="25">
                  <c:v>4788.6490697117724</c:v>
                </c:pt>
                <c:pt idx="26">
                  <c:v>4804.0217825635373</c:v>
                </c:pt>
                <c:pt idx="27">
                  <c:v>4820.6228711030462</c:v>
                </c:pt>
                <c:pt idx="28">
                  <c:v>4836.284865333826</c:v>
                </c:pt>
                <c:pt idx="29">
                  <c:v>4852.0674988415221</c:v>
                </c:pt>
                <c:pt idx="30">
                  <c:v>4866.9667386162646</c:v>
                </c:pt>
                <c:pt idx="31">
                  <c:v>4881.98998519208</c:v>
                </c:pt>
                <c:pt idx="32">
                  <c:v>4896.6481460108862</c:v>
                </c:pt>
                <c:pt idx="33">
                  <c:v>4910.4982418528471</c:v>
                </c:pt>
                <c:pt idx="34">
                  <c:v>4924.475811812039</c:v>
                </c:pt>
                <c:pt idx="35">
                  <c:v>4937.6902155259086</c:v>
                </c:pt>
                <c:pt idx="36">
                  <c:v>4951.0335183122352</c:v>
                </c:pt>
                <c:pt idx="37">
                  <c:v>4964.0709059071678</c:v>
                </c:pt>
                <c:pt idx="38">
                  <c:v>4975.9994450110034</c:v>
                </c:pt>
                <c:pt idx="39">
                  <c:v>4988.4738726979094</c:v>
                </c:pt>
                <c:pt idx="40">
                  <c:v>5000.2823647670348</c:v>
                </c:pt>
                <c:pt idx="41">
                  <c:v>5012.2210215473178</c:v>
                </c:pt>
                <c:pt idx="42">
                  <c:v>5023.5277326350224</c:v>
                </c:pt>
                <c:pt idx="43">
                  <c:v>5034.9644086014086</c:v>
                </c:pt>
                <c:pt idx="44">
                  <c:v>5046.1580258339663</c:v>
                </c:pt>
                <c:pt idx="45">
                  <c:v>5056.7663582759751</c:v>
                </c:pt>
                <c:pt idx="46">
                  <c:v>5067.5037845286515</c:v>
                </c:pt>
                <c:pt idx="47">
                  <c:v>5077.6841399107907</c:v>
                </c:pt>
                <c:pt idx="48">
                  <c:v>5087.9927053776464</c:v>
                </c:pt>
                <c:pt idx="49">
                  <c:v>5098.0931048015464</c:v>
                </c:pt>
                <c:pt idx="50">
                  <c:v>5107.0423204647641</c:v>
                </c:pt>
                <c:pt idx="51">
                  <c:v>5116.7635732056806</c:v>
                </c:pt>
                <c:pt idx="52">
                  <c:v>5125.9895929559116</c:v>
                </c:pt>
                <c:pt idx="53">
                  <c:v>5135.3408604617489</c:v>
                </c:pt>
                <c:pt idx="54">
                  <c:v>5144.21905307418</c:v>
                </c:pt>
                <c:pt idx="55">
                  <c:v>5153.2210625912785</c:v>
                </c:pt>
                <c:pt idx="56">
                  <c:v>5162.0530311238499</c:v>
                </c:pt>
                <c:pt idx="57">
                  <c:v>5170.4426926485094</c:v>
                </c:pt>
                <c:pt idx="58">
                  <c:v>5178.9538337430831</c:v>
                </c:pt>
                <c:pt idx="59">
                  <c:v>5187.0414779287803</c:v>
                </c:pt>
                <c:pt idx="60">
                  <c:v>5195.2489608212536</c:v>
                </c:pt>
                <c:pt idx="61">
                  <c:v>5203.3083155291488</c:v>
                </c:pt>
                <c:pt idx="62">
                  <c:v>5210.463721974379</c:v>
                </c:pt>
                <c:pt idx="63">
                  <c:v>5218.2520178116829</c:v>
                </c:pt>
                <c:pt idx="64">
                  <c:v>5225.6586236258727</c:v>
                </c:pt>
                <c:pt idx="65">
                  <c:v>5233.1808014258422</c:v>
                </c:pt>
                <c:pt idx="66">
                  <c:v>5240.3364748660078</c:v>
                </c:pt>
                <c:pt idx="67">
                  <c:v>5247.6059447541593</c:v>
                </c:pt>
                <c:pt idx="68">
                  <c:v>5254.7518416399753</c:v>
                </c:pt>
                <c:pt idx="69">
                  <c:v>5261.552511378587</c:v>
                </c:pt>
                <c:pt idx="70">
                  <c:v>5268.4642727951332</c:v>
                </c:pt>
                <c:pt idx="71">
                  <c:v>5275.0439289708993</c:v>
                </c:pt>
                <c:pt idx="72">
                  <c:v>5281.7328764392532</c:v>
                </c:pt>
                <c:pt idx="73">
                  <c:v>5288.3126969065561</c:v>
                </c:pt>
                <c:pt idx="74">
                  <c:v>5294.1641686577723</c:v>
                </c:pt>
                <c:pt idx="75">
                  <c:v>5300.5435433015573</c:v>
                </c:pt>
                <c:pt idx="76">
                  <c:v>5306.6203046226201</c:v>
                </c:pt>
                <c:pt idx="77">
                  <c:v>5312.8019180864439</c:v>
                </c:pt>
                <c:pt idx="78">
                  <c:v>5318.6917481085429</c:v>
                </c:pt>
                <c:pt idx="79">
                  <c:v>5324.6846558216648</c:v>
                </c:pt>
                <c:pt idx="80">
                  <c:v>5330.5849580998556</c:v>
                </c:pt>
                <c:pt idx="81">
                  <c:v>5336.2087620915281</c:v>
                </c:pt>
                <c:pt idx="82">
                  <c:v>5341.9329990909864</c:v>
                </c:pt>
                <c:pt idx="83">
                  <c:v>5347.3902312532437</c:v>
                </c:pt>
                <c:pt idx="84">
                  <c:v>5352.9461677121344</c:v>
                </c:pt>
                <c:pt idx="85">
                  <c:v>5358.4194046021021</c:v>
                </c:pt>
                <c:pt idx="86">
                  <c:v>5363.4662852956935</c:v>
                </c:pt>
                <c:pt idx="87">
                  <c:v>5368.7846175140794</c:v>
                </c:pt>
                <c:pt idx="88">
                  <c:v>5373.8576112088595</c:v>
                </c:pt>
                <c:pt idx="89">
                  <c:v>5379.025102329635</c:v>
                </c:pt>
                <c:pt idx="90">
                  <c:v>5383.9552264499798</c:v>
                </c:pt>
                <c:pt idx="91">
                  <c:v>5388.9782040050559</c:v>
                </c:pt>
                <c:pt idx="92">
                  <c:v>5393.9300523549909</c:v>
                </c:pt>
                <c:pt idx="93">
                  <c:v>5398.6558525769005</c:v>
                </c:pt>
                <c:pt idx="94">
                  <c:v>5403.4720780584566</c:v>
                </c:pt>
                <c:pt idx="95">
                  <c:v>5408.069326764391</c:v>
                </c:pt>
                <c:pt idx="96">
                  <c:v>5412.7554257724869</c:v>
                </c:pt>
                <c:pt idx="97">
                  <c:v>5417.3774066488131</c:v>
                </c:pt>
                <c:pt idx="98">
                  <c:v>5421.4980760346989</c:v>
                </c:pt>
                <c:pt idx="99">
                  <c:v>5426.001607206199</c:v>
                </c:pt>
                <c:pt idx="100">
                  <c:v>5430.3023227742742</c:v>
                </c:pt>
                <c:pt idx="101">
                  <c:v>5434.6881131643286</c:v>
                </c:pt>
                <c:pt idx="102">
                  <c:v>5438.8771205655212</c:v>
                </c:pt>
                <c:pt idx="103">
                  <c:v>5443.1497278885718</c:v>
                </c:pt>
                <c:pt idx="104">
                  <c:v>5447.366487603289</c:v>
                </c:pt>
                <c:pt idx="105">
                  <c:v>5451.3950733266665</c:v>
                </c:pt>
                <c:pt idx="106">
                  <c:v>5455.5050893665175</c:v>
                </c:pt>
                <c:pt idx="107">
                  <c:v>5459.4323362531813</c:v>
                </c:pt>
                <c:pt idx="108">
                  <c:v>5463.4396111068463</c:v>
                </c:pt>
                <c:pt idx="109">
                  <c:v>5467.448682291636</c:v>
                </c:pt>
                <c:pt idx="110">
                  <c:v>5471.244826223633</c:v>
                </c:pt>
                <c:pt idx="111">
                  <c:v>5475.6571960050069</c:v>
                </c:pt>
                <c:pt idx="112">
                  <c:v>5480.1348551848996</c:v>
                </c:pt>
                <c:pt idx="113">
                  <c:v>5484.974255753029</c:v>
                </c:pt>
                <c:pt idx="114">
                  <c:v>5489.8612678798791</c:v>
                </c:pt>
                <c:pt idx="115">
                  <c:v>5495.1197575685519</c:v>
                </c:pt>
                <c:pt idx="116">
                  <c:v>5500.5883379257702</c:v>
                </c:pt>
                <c:pt idx="117">
                  <c:v>5506.0787879411491</c:v>
                </c:pt>
                <c:pt idx="118">
                  <c:v>5511.9553766078379</c:v>
                </c:pt>
                <c:pt idx="119">
                  <c:v>5517.8373355954373</c:v>
                </c:pt>
                <c:pt idx="120">
                  <c:v>5524.1151418500704</c:v>
                </c:pt>
                <c:pt idx="121">
                  <c:v>5530.5943771764423</c:v>
                </c:pt>
                <c:pt idx="122">
                  <c:v>5536.6183955385623</c:v>
                </c:pt>
                <c:pt idx="123">
                  <c:v>5543.4766348509593</c:v>
                </c:pt>
                <c:pt idx="124">
                  <c:v>5550.3011698737801</c:v>
                </c:pt>
                <c:pt idx="125">
                  <c:v>5557.5455576927634</c:v>
                </c:pt>
                <c:pt idx="126">
                  <c:v>5564.7411100531663</c:v>
                </c:pt>
                <c:pt idx="127">
                  <c:v>5572.3662074553995</c:v>
                </c:pt>
                <c:pt idx="128">
                  <c:v>5580.1828069998228</c:v>
                </c:pt>
                <c:pt idx="129">
                  <c:v>5587.9283954089751</c:v>
                </c:pt>
                <c:pt idx="130">
                  <c:v>5596.1181479100596</c:v>
                </c:pt>
                <c:pt idx="131">
                  <c:v>5604.2225851300564</c:v>
                </c:pt>
                <c:pt idx="132">
                  <c:v>5612.7808836883842</c:v>
                </c:pt>
                <c:pt idx="133">
                  <c:v>5621.5248083792812</c:v>
                </c:pt>
                <c:pt idx="134">
                  <c:v>5629.8717065446699</c:v>
                </c:pt>
                <c:pt idx="135">
                  <c:v>5638.971892756018</c:v>
                </c:pt>
                <c:pt idx="136">
                  <c:v>5647.9523768500339</c:v>
                </c:pt>
                <c:pt idx="137">
                  <c:v>5657.4109172160379</c:v>
                </c:pt>
                <c:pt idx="138">
                  <c:v>5666.7364170232077</c:v>
                </c:pt>
                <c:pt idx="139">
                  <c:v>5676.5497015678711</c:v>
                </c:pt>
                <c:pt idx="140">
                  <c:v>5686.5419649610894</c:v>
                </c:pt>
                <c:pt idx="141">
                  <c:v>5696.3815235549591</c:v>
                </c:pt>
                <c:pt idx="142">
                  <c:v>5706.7235668997782</c:v>
                </c:pt>
                <c:pt idx="143">
                  <c:v>5720.1739270147673</c:v>
                </c:pt>
                <c:pt idx="144">
                  <c:v>5730.6316838850789</c:v>
                </c:pt>
                <c:pt idx="145">
                  <c:v>5741.1085598731179</c:v>
                </c:pt>
                <c:pt idx="146">
                  <c:v>5750.5880069993391</c:v>
                </c:pt>
                <c:pt idx="147">
                  <c:v>5761.1013676079228</c:v>
                </c:pt>
                <c:pt idx="148">
                  <c:v>5771.2938879288777</c:v>
                </c:pt>
                <c:pt idx="149">
                  <c:v>5781.8451035172748</c:v>
                </c:pt>
                <c:pt idx="150">
                  <c:v>5792.0743235830014</c:v>
                </c:pt>
                <c:pt idx="151">
                  <c:v>5802.6635304539195</c:v>
                </c:pt>
                <c:pt idx="152">
                  <c:v>5813.272096762561</c:v>
                </c:pt>
                <c:pt idx="153">
                  <c:v>5823.5569173544436</c:v>
                </c:pt>
                <c:pt idx="154">
                  <c:v>5834.2036814457388</c:v>
                </c:pt>
                <c:pt idx="155">
                  <c:v>5844.5255341237835</c:v>
                </c:pt>
                <c:pt idx="156">
                  <c:v>5855.2106335347526</c:v>
                </c:pt>
                <c:pt idx="157">
                  <c:v>5865.9152676964468</c:v>
                </c:pt>
                <c:pt idx="158">
                  <c:v>5875.6007897601949</c:v>
                </c:pt>
                <c:pt idx="159">
                  <c:v>5886.3427016863543</c:v>
                </c:pt>
                <c:pt idx="160">
                  <c:v>5896.7567985360265</c:v>
                </c:pt>
                <c:pt idx="161">
                  <c:v>5907.5373883763459</c:v>
                </c:pt>
                <c:pt idx="162">
                  <c:v>5917.9889827913257</c:v>
                </c:pt>
                <c:pt idx="163">
                  <c:v>5928.8083898116129</c:v>
                </c:pt>
                <c:pt idx="164">
                  <c:v>5939.6475771269634</c:v>
                </c:pt>
                <c:pt idx="165">
                  <c:v>5950.155980775191</c:v>
                </c:pt>
                <c:pt idx="166">
                  <c:v>5961.0341962597749</c:v>
                </c:pt>
                <c:pt idx="167">
                  <c:v>5971.5804370395172</c:v>
                </c:pt>
                <c:pt idx="168">
                  <c:v>5982.4978212202886</c:v>
                </c:pt>
                <c:pt idx="169">
                  <c:v>5993.4351648202819</c:v>
                </c:pt>
                <c:pt idx="170">
                  <c:v>6003.3312417115012</c:v>
                </c:pt>
                <c:pt idx="171">
                  <c:v>6014.3066734621425</c:v>
                </c:pt>
                <c:pt idx="172">
                  <c:v>6024.9471637215902</c:v>
                </c:pt>
                <c:pt idx="173">
                  <c:v>6035.9621142106125</c:v>
                </c:pt>
                <c:pt idx="174">
                  <c:v>6046.640917199833</c:v>
                </c:pt>
                <c:pt idx="175">
                  <c:v>6057.6955287205583</c:v>
                </c:pt>
                <c:pt idx="176">
                  <c:v>6068.7703505427662</c:v>
                </c:pt>
                <c:pt idx="177">
                  <c:v>6079.5071977485659</c:v>
                </c:pt>
                <c:pt idx="178">
                  <c:v>6090.6218961784662</c:v>
                </c:pt>
                <c:pt idx="179">
                  <c:v>6101.3974030621139</c:v>
                </c:pt>
                <c:pt idx="180">
                  <c:v>6112.5521216815996</c:v>
                </c:pt>
                <c:pt idx="181">
                  <c:v>6123.7272336207216</c:v>
                </c:pt>
                <c:pt idx="182">
                  <c:v>6134.1998658366883</c:v>
                </c:pt>
                <c:pt idx="183">
                  <c:v>6145.4145546921873</c:v>
                </c:pt>
                <c:pt idx="184">
                  <c:v>6156.287000554983</c:v>
                </c:pt>
                <c:pt idx="185">
                  <c:v>6167.5420696310484</c:v>
                </c:pt>
                <c:pt idx="186">
                  <c:v>6178.4536634156157</c:v>
                </c:pt>
                <c:pt idx="187">
                  <c:v>6189.7492581074703</c:v>
                </c:pt>
                <c:pt idx="188">
                  <c:v>6201.0655036719218</c:v>
                </c:pt>
                <c:pt idx="189">
                  <c:v>6212.0364069983452</c:v>
                </c:pt>
                <c:pt idx="190">
                  <c:v>6223.3933984539899</c:v>
                </c:pt>
                <c:pt idx="191">
                  <c:v>6234.4038042135007</c:v>
                </c:pt>
                <c:pt idx="192">
                  <c:v>6245.8016882722168</c:v>
                </c:pt>
                <c:pt idx="193">
                  <c:v>6257.2204102113601</c:v>
                </c:pt>
                <c:pt idx="194">
                  <c:v>6267.5520368331381</c:v>
                </c:pt>
                <c:pt idx="195">
                  <c:v>6279.0105232724527</c:v>
                </c:pt>
                <c:pt idx="196">
                  <c:v>6290.1193266540031</c:v>
                </c:pt>
                <c:pt idx="197">
                  <c:v>6301.6190711447653</c:v>
                </c:pt>
                <c:pt idx="198">
                  <c:v>6312.7678734898691</c:v>
                </c:pt>
                <c:pt idx="199">
                  <c:v>6324.3090245880676</c:v>
                </c:pt>
                <c:pt idx="200">
                  <c:v>6335.8712754908756</c:v>
                </c:pt>
                <c:pt idx="201">
                  <c:v>6347.080676715701</c:v>
                </c:pt>
                <c:pt idx="202">
                  <c:v>6358.6845592899444</c:v>
                </c:pt>
                <c:pt idx="203">
                  <c:v>6369.9343216964025</c:v>
                </c:pt>
                <c:pt idx="204">
                  <c:v>6381.5799858433511</c:v>
                </c:pt>
                <c:pt idx="205">
                  <c:v>6393.2469408681291</c:v>
                </c:pt>
                <c:pt idx="206">
                  <c:v>6403.8031680686408</c:v>
                </c:pt>
                <c:pt idx="207">
                  <c:v>6415.5107520392439</c:v>
                </c:pt>
                <c:pt idx="208">
                  <c:v>6426.8610511464813</c:v>
                </c:pt>
                <c:pt idx="209">
                  <c:v>6438.6107900826937</c:v>
                </c:pt>
                <c:pt idx="210">
                  <c:v>6450.0019576961695</c:v>
                </c:pt>
                <c:pt idx="211">
                  <c:v>6461.7940033834611</c:v>
                </c:pt>
                <c:pt idx="212">
                  <c:v>6473.6076075667652</c:v>
                </c:pt>
                <c:pt idx="213">
                  <c:v>6485.0606914269092</c:v>
                </c:pt>
                <c:pt idx="214">
                  <c:v>6496.9168323179865</c:v>
                </c:pt>
                <c:pt idx="215">
                  <c:v>6508.4111547767598</c:v>
                </c:pt>
                <c:pt idx="216">
                  <c:v>6520.3099855355958</c:v>
                </c:pt>
                <c:pt idx="217">
                  <c:v>6532.2305700174338</c:v>
                </c:pt>
                <c:pt idx="218">
                  <c:v>6543.016280417959</c:v>
                </c:pt>
                <c:pt idx="219">
                  <c:v>6554.9783770835747</c:v>
                </c:pt>
                <c:pt idx="220">
                  <c:v>6566.5754218235788</c:v>
                </c:pt>
                <c:pt idx="221">
                  <c:v>6578.5805898670997</c:v>
                </c:pt>
                <c:pt idx="222">
                  <c:v>6590.2193915591297</c:v>
                </c:pt>
                <c:pt idx="223">
                  <c:v>6602.2677860657077</c:v>
                </c:pt>
                <c:pt idx="224">
                  <c:v>6614.3382077312581</c:v>
                </c:pt>
                <c:pt idx="225">
                  <c:v>6626.0402716753206</c:v>
                </c:pt>
                <c:pt idx="226">
                  <c:v>6638.1541547596826</c:v>
                </c:pt>
                <c:pt idx="227">
                  <c:v>6649.8983537936447</c:v>
                </c:pt>
                <c:pt idx="228">
                  <c:v>6662.0558547863702</c:v>
                </c:pt>
                <c:pt idx="229">
                  <c:v>6674.2355824091164</c:v>
                </c:pt>
                <c:pt idx="230">
                  <c:v>6685.6496790712854</c:v>
                </c:pt>
                <c:pt idx="231">
                  <c:v>6697.8725414799937</c:v>
                </c:pt>
                <c:pt idx="232">
                  <c:v>6709.7223940741605</c:v>
                </c:pt>
                <c:pt idx="233">
                  <c:v>6721.9892667881359</c:v>
                </c:pt>
                <c:pt idx="234">
                  <c:v>6733.8817866080808</c:v>
                </c:pt>
                <c:pt idx="235">
                  <c:v>6746.1928280932316</c:v>
                </c:pt>
                <c:pt idx="236">
                  <c:v>6758.5263769147532</c:v>
                </c:pt>
                <c:pt idx="237">
                  <c:v>6770.483538061706</c:v>
                </c:pt>
                <c:pt idx="238">
                  <c:v>6782.8614957320278</c:v>
                </c:pt>
                <c:pt idx="239">
                  <c:v>6794.8617104857904</c:v>
                </c:pt>
                <c:pt idx="240">
                  <c:v>6807.2842369058435</c:v>
                </c:pt>
                <c:pt idx="241">
                  <c:v>6819.7294744816518</c:v>
                </c:pt>
                <c:pt idx="242">
                  <c:v>6830.9898894858761</c:v>
                </c:pt>
                <c:pt idx="243">
                  <c:v>6843.478466294775</c:v>
                </c:pt>
                <c:pt idx="244">
                  <c:v>6855.5859243801187</c:v>
                </c:pt>
                <c:pt idx="245">
                  <c:v>6868.119468240051</c:v>
                </c:pt>
                <c:pt idx="246">
                  <c:v>6880.2705210995609</c:v>
                </c:pt>
                <c:pt idx="247">
                  <c:v>6892.8491939213418</c:v>
                </c:pt>
                <c:pt idx="248">
                  <c:v>6905.4508633694177</c:v>
                </c:pt>
                <c:pt idx="249">
                  <c:v>6917.6679628021748</c:v>
                </c:pt>
                <c:pt idx="250">
                  <c:v>6930.3150065088112</c:v>
                </c:pt>
                <c:pt idx="251">
                  <c:v>6942.5760954963498</c:v>
                </c:pt>
                <c:pt idx="252">
                  <c:v>6955.2686768385765</c:v>
                </c:pt>
                <c:pt idx="253">
                  <c:v>6967.9844630573389</c:v>
                </c:pt>
                <c:pt idx="254">
                  <c:v>6979.4896696920914</c:v>
                </c:pt>
                <c:pt idx="255">
                  <c:v>6992.2497373011838</c:v>
                </c:pt>
                <c:pt idx="256">
                  <c:v>7004.6204009970779</c:v>
                </c:pt>
                <c:pt idx="257">
                  <c:v>7017.4264132017888</c:v>
                </c:pt>
                <c:pt idx="258">
                  <c:v>7029.8416193843286</c:v>
                </c:pt>
                <c:pt idx="259">
                  <c:v>7042.6937416152841</c:v>
                </c:pt>
                <c:pt idx="260">
                  <c:v>7055.5693603991886</c:v>
                </c:pt>
                <c:pt idx="261">
                  <c:v>7068.0520489500486</c:v>
                </c:pt>
                <c:pt idx="262">
                  <c:v>7080.9740283894371</c:v>
                </c:pt>
                <c:pt idx="263">
                  <c:v>7093.5016627897458</c:v>
                </c:pt>
                <c:pt idx="264">
                  <c:v>7106.4701698133276</c:v>
                </c:pt>
                <c:pt idx="265">
                  <c:v>7119.4623861672799</c:v>
                </c:pt>
                <c:pt idx="266">
                  <c:v>7131.2177059897422</c:v>
                </c:pt>
                <c:pt idx="267">
                  <c:v>7144.2551663729446</c:v>
                </c:pt>
                <c:pt idx="268">
                  <c:v>7156.8947575404891</c:v>
                </c:pt>
                <c:pt idx="269">
                  <c:v>7169.9791613148736</c:v>
                </c:pt>
                <c:pt idx="270">
                  <c:v>7182.6642632839912</c:v>
                </c:pt>
                <c:pt idx="271">
                  <c:v>7195.7957794764843</c:v>
                </c:pt>
                <c:pt idx="272">
                  <c:v>7208.9513030165599</c:v>
                </c:pt>
                <c:pt idx="273">
                  <c:v>7221.7053543620041</c:v>
                </c:pt>
                <c:pt idx="274">
                  <c:v>7234.9082463979021</c:v>
                </c:pt>
                <c:pt idx="275">
                  <c:v>7247.7082206764799</c:v>
                </c:pt>
                <c:pt idx="276">
                  <c:v>7260.958651765789</c:v>
                </c:pt>
                <c:pt idx="277">
                  <c:v>7274.2333076056966</c:v>
                </c:pt>
                <c:pt idx="278">
                  <c:v>7286.673504103258</c:v>
                </c:pt>
                <c:pt idx="279">
                  <c:v>7299.9951724426319</c:v>
                </c:pt>
                <c:pt idx="280">
                  <c:v>7312.9102982823451</c:v>
                </c:pt>
                <c:pt idx="281">
                  <c:v>7326.2799333475732</c:v>
                </c:pt>
                <c:pt idx="282">
                  <c:v>7339.2415620940355</c:v>
                </c:pt>
                <c:pt idx="283">
                  <c:v>7352.6593365967237</c:v>
                </c:pt>
                <c:pt idx="284">
                  <c:v>7366.1016417911851</c:v>
                </c:pt>
                <c:pt idx="285">
                  <c:v>7379.1337229644687</c:v>
                </c:pt>
                <c:pt idx="286">
                  <c:v>7392.6244292564243</c:v>
                </c:pt>
                <c:pt idx="287">
                  <c:v>7405.7034344522126</c:v>
                </c:pt>
                <c:pt idx="288">
                  <c:v>7419.2427161172955</c:v>
                </c:pt>
                <c:pt idx="289">
                  <c:v>7432.8067506164098</c:v>
                </c:pt>
                <c:pt idx="290">
                  <c:v>7445.0794498446312</c:v>
                </c:pt>
                <c:pt idx="291">
                  <c:v>7458.6907196696457</c:v>
                </c:pt>
                <c:pt idx="292">
                  <c:v>7471.8866091145719</c:v>
                </c:pt>
                <c:pt idx="293">
                  <c:v>7485.5468884203474</c:v>
                </c:pt>
                <c:pt idx="294">
                  <c:v>7498.7902917047722</c:v>
                </c:pt>
                <c:pt idx="295">
                  <c:v>7512.4997569575189</c:v>
                </c:pt>
                <c:pt idx="296">
                  <c:v>7526.2342861779525</c:v>
                </c:pt>
                <c:pt idx="297">
                  <c:v>7539.5496734636972</c:v>
                </c:pt>
                <c:pt idx="298">
                  <c:v>7553.3336559793934</c:v>
                </c:pt>
                <c:pt idx="299">
                  <c:v>7566.6969873750859</c:v>
                </c:pt>
                <c:pt idx="300">
                  <c:v>7580.5306012502788</c:v>
                </c:pt>
                <c:pt idx="301">
                  <c:v>7594.3895060645955</c:v>
                </c:pt>
                <c:pt idx="302">
                  <c:v>7606.9290031021228</c:v>
                </c:pt>
                <c:pt idx="303">
                  <c:v>7620.8361700972464</c:v>
                </c:pt>
                <c:pt idx="304">
                  <c:v>7634.3189267040161</c:v>
                </c:pt>
                <c:pt idx="305">
                  <c:v>7648.2761686033973</c:v>
                </c:pt>
                <c:pt idx="306">
                  <c:v>7661.8074719592232</c:v>
                </c:pt>
                <c:pt idx="307">
                  <c:v>7675.8149690652917</c:v>
                </c:pt>
                <c:pt idx="308">
                  <c:v>7689.8480750079034</c:v>
                </c:pt>
                <c:pt idx="309">
                  <c:v>7703.4529272346463</c:v>
                </c:pt>
                <c:pt idx="310">
                  <c:v>7717.5365615441606</c:v>
                </c:pt>
                <c:pt idx="311">
                  <c:v>7731.1904001441098</c:v>
                </c:pt>
                <c:pt idx="312">
                  <c:v>7745.3247447557187</c:v>
                </c:pt>
                <c:pt idx="313">
                  <c:v>7759.4849301094728</c:v>
                </c:pt>
                <c:pt idx="314">
                  <c:v>7772.2970249086893</c:v>
                </c:pt>
                <c:pt idx="315">
                  <c:v>7786.5065216210996</c:v>
                </c:pt>
                <c:pt idx="316">
                  <c:v>7800.2823816323644</c:v>
                </c:pt>
                <c:pt idx="317">
                  <c:v>7814.5430418339038</c:v>
                </c:pt>
                <c:pt idx="318">
                  <c:v>7828.368503958337</c:v>
                </c:pt>
                <c:pt idx="319">
                  <c:v>7842.6805118710599</c:v>
                </c:pt>
                <c:pt idx="320">
                  <c:v>7857.0186853341629</c:v>
                </c:pt>
                <c:pt idx="321">
                  <c:v>7870.9192952180074</c:v>
                </c:pt>
                <c:pt idx="322">
                  <c:v>7885.3090954907711</c:v>
                </c:pt>
                <c:pt idx="323">
                  <c:v>7899.2597566689801</c:v>
                </c:pt>
                <c:pt idx="324">
                  <c:v>7913.7013696417107</c:v>
                </c:pt>
                <c:pt idx="325">
                  <c:v>7928.1693851118553</c:v>
                </c:pt>
                <c:pt idx="326">
                  <c:v>7941.7279253519091</c:v>
                </c:pt>
                <c:pt idx="327">
                  <c:v>7956.2471796321397</c:v>
                </c:pt>
                <c:pt idx="328">
                  <c:v>7970.3233442198534</c:v>
                </c:pt>
                <c:pt idx="329">
                  <c:v>7984.8948773192151</c:v>
                </c:pt>
                <c:pt idx="330">
                  <c:v>7999.0217253131377</c:v>
                </c:pt>
                <c:pt idx="331">
                  <c:v>8013.6457254695961</c:v>
                </c:pt>
                <c:pt idx="332">
                  <c:v>8028.2964615680185</c:v>
                </c:pt>
                <c:pt idx="333">
                  <c:v>8042.5000954924744</c:v>
                </c:pt>
                <c:pt idx="334">
                  <c:v>8057.2035838306329</c:v>
                </c:pt>
                <c:pt idx="335">
                  <c:v>8071.4583601343475</c:v>
                </c:pt>
                <c:pt idx="336">
                  <c:v>8128.8210879843791</c:v>
                </c:pt>
                <c:pt idx="337">
                  <c:v>8186.5914847338372</c:v>
                </c:pt>
                <c:pt idx="338">
                  <c:v>8239.1240075428304</c:v>
                </c:pt>
                <c:pt idx="339">
                  <c:v>8297.6783117441228</c:v>
                </c:pt>
                <c:pt idx="340">
                  <c:v>8354.7399553046926</c:v>
                </c:pt>
                <c:pt idx="341">
                  <c:v>8414.115925907603</c:v>
                </c:pt>
                <c:pt idx="342">
                  <c:v>8471.9782900296177</c:v>
                </c:pt>
                <c:pt idx="343">
                  <c:v>8532.1874571118169</c:v>
                </c:pt>
                <c:pt idx="344">
                  <c:v>8592.8245223397244</c:v>
                </c:pt>
                <c:pt idx="345">
                  <c:v>8651.9158333849227</c:v>
                </c:pt>
                <c:pt idx="346">
                  <c:v>8713.4037914698129</c:v>
                </c:pt>
                <c:pt idx="347">
                  <c:v>8773.3243044938554</c:v>
                </c:pt>
                <c:pt idx="348">
                  <c:v>8835.6750956351952</c:v>
                </c:pt>
                <c:pt idx="349">
                  <c:v>8898.4690051454745</c:v>
                </c:pt>
                <c:pt idx="350">
                  <c:v>8955.56957341612</c:v>
                </c:pt>
                <c:pt idx="351">
                  <c:v>9019.2155562436128</c:v>
                </c:pt>
                <c:pt idx="352">
                  <c:v>9081.2390818529257</c:v>
                </c:pt>
                <c:pt idx="353">
                  <c:v>9145.7781803343514</c:v>
                </c:pt>
                <c:pt idx="354">
                  <c:v>9208.6720543800147</c:v>
                </c:pt>
                <c:pt idx="355">
                  <c:v>9274.1168012084981</c:v>
                </c:pt>
                <c:pt idx="356">
                  <c:v>9340.0266547170886</c:v>
                </c:pt>
                <c:pt idx="357">
                  <c:v>9404.2563406357858</c:v>
                </c:pt>
                <c:pt idx="358">
                  <c:v>9471.0910776845776</c:v>
                </c:pt>
                <c:pt idx="359">
                  <c:v>9536.2220701020142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4B7-4B9E-979A-20983D203061}"/>
            </c:ext>
          </c:extLst>
        </c:ser>
        <c:ser>
          <c:idx val="17"/>
          <c:order val="18"/>
          <c:tx>
            <c:v>Cond yield total forecast</c:v>
          </c:tx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'forecast production'!$Z$7:$Z$366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'forecast production'!$AK$7:$AK$366</c:f>
              <c:numCache>
                <c:formatCode>_(* #,##0_);_(* \(#,##0\);_(* "-"??_);_(@_)</c:formatCode>
                <c:ptCount val="360"/>
                <c:pt idx="0">
                  <c:v>240.2705163521789</c:v>
                </c:pt>
                <c:pt idx="1">
                  <c:v>238.14720459675598</c:v>
                </c:pt>
                <c:pt idx="2">
                  <c:v>236.32881250904353</c:v>
                </c:pt>
                <c:pt idx="3">
                  <c:v>234.41720817777968</c:v>
                </c:pt>
                <c:pt idx="4">
                  <c:v>232.66139212112685</c:v>
                </c:pt>
                <c:pt idx="5">
                  <c:v>230.93703462699753</c:v>
                </c:pt>
                <c:pt idx="6">
                  <c:v>229.34909481945161</c:v>
                </c:pt>
                <c:pt idx="7">
                  <c:v>227.78576020391699</c:v>
                </c:pt>
                <c:pt idx="8">
                  <c:v>226.29574850767176</c:v>
                </c:pt>
                <c:pt idx="9">
                  <c:v>224.91886399397424</c:v>
                </c:pt>
                <c:pt idx="10">
                  <c:v>223.55884174420555</c:v>
                </c:pt>
                <c:pt idx="11">
                  <c:v>222.29951351031485</c:v>
                </c:pt>
                <c:pt idx="12">
                  <c:v>221.05318292470452</c:v>
                </c:pt>
                <c:pt idx="13">
                  <c:v>219.85924345291309</c:v>
                </c:pt>
                <c:pt idx="14">
                  <c:v>218.8231811561898</c:v>
                </c:pt>
                <c:pt idx="15">
                  <c:v>217.72023263581235</c:v>
                </c:pt>
                <c:pt idx="16">
                  <c:v>216.69449547554265</c:v>
                </c:pt>
                <c:pt idx="17">
                  <c:v>215.67510565607424</c:v>
                </c:pt>
                <c:pt idx="18">
                  <c:v>214.72563321960601</c:v>
                </c:pt>
                <c:pt idx="19">
                  <c:v>213.78065387919875</c:v>
                </c:pt>
                <c:pt idx="20">
                  <c:v>212.87040579765028</c:v>
                </c:pt>
                <c:pt idx="21">
                  <c:v>212.02081736934022</c:v>
                </c:pt>
                <c:pt idx="22">
                  <c:v>211.17354717668175</c:v>
                </c:pt>
                <c:pt idx="23">
                  <c:v>210.38174024538114</c:v>
                </c:pt>
                <c:pt idx="24">
                  <c:v>209.59113098555079</c:v>
                </c:pt>
                <c:pt idx="25">
                  <c:v>208.82716303539647</c:v>
                </c:pt>
                <c:pt idx="26">
                  <c:v>208.15892293193912</c:v>
                </c:pt>
                <c:pt idx="27">
                  <c:v>207.44207268202706</c:v>
                </c:pt>
                <c:pt idx="28">
                  <c:v>206.77028501111147</c:v>
                </c:pt>
                <c:pt idx="29">
                  <c:v>206.09770994297992</c:v>
                </c:pt>
                <c:pt idx="30">
                  <c:v>205.4667832565282</c:v>
                </c:pt>
                <c:pt idx="31">
                  <c:v>204.83450458382197</c:v>
                </c:pt>
                <c:pt idx="32">
                  <c:v>204.22133062892462</c:v>
                </c:pt>
                <c:pt idx="33">
                  <c:v>203.64532288737291</c:v>
                </c:pt>
                <c:pt idx="34">
                  <c:v>203.06729857447183</c:v>
                </c:pt>
                <c:pt idx="35">
                  <c:v>202.52384340670736</c:v>
                </c:pt>
                <c:pt idx="36">
                  <c:v>201.97803070840274</c:v>
                </c:pt>
                <c:pt idx="37">
                  <c:v>201.44756570862342</c:v>
                </c:pt>
                <c:pt idx="38">
                  <c:v>200.96465263930287</c:v>
                </c:pt>
                <c:pt idx="39">
                  <c:v>200.4621103606525</c:v>
                </c:pt>
                <c:pt idx="40">
                  <c:v>199.9887060471215</c:v>
                </c:pt>
                <c:pt idx="41">
                  <c:v>199.51235105176806</c:v>
                </c:pt>
                <c:pt idx="42">
                  <c:v>199.06329838761806</c:v>
                </c:pt>
                <c:pt idx="43">
                  <c:v>198.6111358188877</c:v>
                </c:pt>
                <c:pt idx="44">
                  <c:v>198.17056756456461</c:v>
                </c:pt>
                <c:pt idx="45">
                  <c:v>197.75483562996459</c:v>
                </c:pt>
                <c:pt idx="46">
                  <c:v>197.33581710447876</c:v>
                </c:pt>
                <c:pt idx="47">
                  <c:v>196.94017438776112</c:v>
                </c:pt>
                <c:pt idx="48">
                  <c:v>196.54116228253847</c:v>
                </c:pt>
                <c:pt idx="49">
                  <c:v>196.15177272030755</c:v>
                </c:pt>
                <c:pt idx="50">
                  <c:v>195.80805038423796</c:v>
                </c:pt>
                <c:pt idx="51">
                  <c:v>195.43603797458528</c:v>
                </c:pt>
                <c:pt idx="52">
                  <c:v>195.08428214021168</c:v>
                </c:pt>
                <c:pt idx="53">
                  <c:v>194.72904081192462</c:v>
                </c:pt>
                <c:pt idx="54">
                  <c:v>194.39296610092859</c:v>
                </c:pt>
                <c:pt idx="55">
                  <c:v>194.05338677575648</c:v>
                </c:pt>
                <c:pt idx="56">
                  <c:v>193.7213728666957</c:v>
                </c:pt>
                <c:pt idx="57">
                  <c:v>193.40703677498058</c:v>
                </c:pt>
                <c:pt idx="58">
                  <c:v>193.08918984459279</c:v>
                </c:pt>
                <c:pt idx="59">
                  <c:v>192.7881248405414</c:v>
                </c:pt>
                <c:pt idx="60">
                  <c:v>192.48355710020144</c:v>
                </c:pt>
                <c:pt idx="61">
                  <c:v>192.18542115129409</c:v>
                </c:pt>
                <c:pt idx="62">
                  <c:v>191.92149746339166</c:v>
                </c:pt>
                <c:pt idx="63">
                  <c:v>191.635052616596</c:v>
                </c:pt>
                <c:pt idx="64">
                  <c:v>191.36343799399211</c:v>
                </c:pt>
                <c:pt idx="65">
                  <c:v>191.08837205233542</c:v>
                </c:pt>
                <c:pt idx="66">
                  <c:v>190.82744109968044</c:v>
                </c:pt>
                <c:pt idx="67">
                  <c:v>190.56308925018726</c:v>
                </c:pt>
                <c:pt idx="68">
                  <c:v>190.30394396092095</c:v>
                </c:pt>
                <c:pt idx="69">
                  <c:v>190.05797202202373</c:v>
                </c:pt>
                <c:pt idx="70">
                  <c:v>189.80863269088084</c:v>
                </c:pt>
                <c:pt idx="71">
                  <c:v>189.57188100518596</c:v>
                </c:pt>
                <c:pt idx="72">
                  <c:v>189.33180139813555</c:v>
                </c:pt>
                <c:pt idx="73">
                  <c:v>189.09623112584825</c:v>
                </c:pt>
                <c:pt idx="74">
                  <c:v>188.88722905877125</c:v>
                </c:pt>
                <c:pt idx="75">
                  <c:v>188.65989720313257</c:v>
                </c:pt>
                <c:pt idx="76">
                  <c:v>188.44385740749073</c:v>
                </c:pt>
                <c:pt idx="77">
                  <c:v>188.22459700514838</c:v>
                </c:pt>
                <c:pt idx="78">
                  <c:v>188.01616024384654</c:v>
                </c:pt>
                <c:pt idx="79">
                  <c:v>187.80454893355326</c:v>
                </c:pt>
                <c:pt idx="80">
                  <c:v>187.59667238404936</c:v>
                </c:pt>
                <c:pt idx="81">
                  <c:v>187.39896517992483</c:v>
                </c:pt>
                <c:pt idx="82">
                  <c:v>187.19815470732519</c:v>
                </c:pt>
                <c:pt idx="83">
                  <c:v>187.00711127372398</c:v>
                </c:pt>
                <c:pt idx="84">
                  <c:v>186.81301262317817</c:v>
                </c:pt>
                <c:pt idx="85">
                  <c:v>186.62219667634557</c:v>
                </c:pt>
                <c:pt idx="86">
                  <c:v>186.44659009819225</c:v>
                </c:pt>
                <c:pt idx="87">
                  <c:v>186.26189561372871</c:v>
                </c:pt>
                <c:pt idx="88">
                  <c:v>186.08606188489017</c:v>
                </c:pt>
                <c:pt idx="89">
                  <c:v>185.90729378952028</c:v>
                </c:pt>
                <c:pt idx="90">
                  <c:v>185.73705722649004</c:v>
                </c:pt>
                <c:pt idx="91">
                  <c:v>185.56393478392732</c:v>
                </c:pt>
                <c:pt idx="92">
                  <c:v>185.39357950394628</c:v>
                </c:pt>
                <c:pt idx="93">
                  <c:v>185.23129225262198</c:v>
                </c:pt>
                <c:pt idx="94">
                  <c:v>185.06619180297756</c:v>
                </c:pt>
                <c:pt idx="95">
                  <c:v>184.90887220158712</c:v>
                </c:pt>
                <c:pt idx="96">
                  <c:v>184.74878714056877</c:v>
                </c:pt>
                <c:pt idx="97">
                  <c:v>184.59116375622781</c:v>
                </c:pt>
                <c:pt idx="98">
                  <c:v>184.45086320705718</c:v>
                </c:pt>
                <c:pt idx="99">
                  <c:v>184.29777069581283</c:v>
                </c:pt>
                <c:pt idx="100">
                  <c:v>184.15180970791926</c:v>
                </c:pt>
                <c:pt idx="101">
                  <c:v>184.0031992963352</c:v>
                </c:pt>
                <c:pt idx="102">
                  <c:v>183.8614805653161</c:v>
                </c:pt>
                <c:pt idx="103">
                  <c:v>183.71715826158351</c:v>
                </c:pt>
                <c:pt idx="104">
                  <c:v>183.57494438380922</c:v>
                </c:pt>
                <c:pt idx="105">
                  <c:v>183.43928233947625</c:v>
                </c:pt>
                <c:pt idx="106">
                  <c:v>183.30108461435199</c:v>
                </c:pt>
                <c:pt idx="107">
                  <c:v>183.16922683692454</c:v>
                </c:pt>
                <c:pt idx="108">
                  <c:v>183.034877509593</c:v>
                </c:pt>
                <c:pt idx="109">
                  <c:v>182.90066502843851</c:v>
                </c:pt>
                <c:pt idx="110">
                  <c:v>182.7737620526517</c:v>
                </c:pt>
                <c:pt idx="111">
                  <c:v>182.62648011084249</c:v>
                </c:pt>
                <c:pt idx="112">
                  <c:v>182.47726131299007</c:v>
                </c:pt>
                <c:pt idx="113">
                  <c:v>182.31626136642834</c:v>
                </c:pt>
                <c:pt idx="114">
                  <c:v>182.1539655019713</c:v>
                </c:pt>
                <c:pt idx="115">
                  <c:v>181.97965542473892</c:v>
                </c:pt>
                <c:pt idx="116">
                  <c:v>181.79873471082044</c:v>
                </c:pt>
                <c:pt idx="117">
                  <c:v>181.61745200415541</c:v>
                </c:pt>
                <c:pt idx="118">
                  <c:v>181.42381998299467</c:v>
                </c:pt>
                <c:pt idx="119">
                  <c:v>181.23042401939324</c:v>
                </c:pt>
                <c:pt idx="120">
                  <c:v>181.02446714481263</c:v>
                </c:pt>
                <c:pt idx="121">
                  <c:v>180.81239226777902</c:v>
                </c:pt>
                <c:pt idx="122">
                  <c:v>180.61566258671638</c:v>
                </c:pt>
                <c:pt idx="123">
                  <c:v>180.39220977556906</c:v>
                </c:pt>
                <c:pt idx="124">
                  <c:v>180.17040326169203</c:v>
                </c:pt>
                <c:pt idx="125">
                  <c:v>179.93554701783748</c:v>
                </c:pt>
                <c:pt idx="126">
                  <c:v>179.70287929359679</c:v>
                </c:pt>
                <c:pt idx="127">
                  <c:v>179.45697801807722</c:v>
                </c:pt>
                <c:pt idx="128">
                  <c:v>179.2055985595297</c:v>
                </c:pt>
                <c:pt idx="129">
                  <c:v>178.95719652055618</c:v>
                </c:pt>
                <c:pt idx="130">
                  <c:v>178.69529798499028</c:v>
                </c:pt>
                <c:pt idx="131">
                  <c:v>178.43688126402159</c:v>
                </c:pt>
                <c:pt idx="132">
                  <c:v>178.16480292436779</c:v>
                </c:pt>
                <c:pt idx="133">
                  <c:v>177.88767889264301</c:v>
                </c:pt>
                <c:pt idx="134">
                  <c:v>177.62394102826713</c:v>
                </c:pt>
                <c:pt idx="135">
                  <c:v>177.33729109106361</c:v>
                </c:pt>
                <c:pt idx="136">
                  <c:v>177.05531726840059</c:v>
                </c:pt>
                <c:pt idx="137">
                  <c:v>176.75930114195967</c:v>
                </c:pt>
                <c:pt idx="138">
                  <c:v>176.46841610559858</c:v>
                </c:pt>
                <c:pt idx="139">
                  <c:v>176.16334790899452</c:v>
                </c:pt>
                <c:pt idx="140">
                  <c:v>175.85379764393289</c:v>
                </c:pt>
                <c:pt idx="141">
                  <c:v>175.55003924244295</c:v>
                </c:pt>
                <c:pt idx="142">
                  <c:v>175.23189765143252</c:v>
                </c:pt>
                <c:pt idx="143">
                  <c:v>174.819859109053</c:v>
                </c:pt>
                <c:pt idx="144">
                  <c:v>174.50083257175075</c:v>
                </c:pt>
                <c:pt idx="145">
                  <c:v>174.18238822191867</c:v>
                </c:pt>
                <c:pt idx="146">
                  <c:v>173.89526058602146</c:v>
                </c:pt>
                <c:pt idx="147">
                  <c:v>173.57792133680368</c:v>
                </c:pt>
                <c:pt idx="148">
                  <c:v>173.27137023667774</c:v>
                </c:pt>
                <c:pt idx="149">
                  <c:v>172.95516951702305</c:v>
                </c:pt>
                <c:pt idx="150">
                  <c:v>172.64971824142543</c:v>
                </c:pt>
                <c:pt idx="151">
                  <c:v>172.33465196658989</c:v>
                </c:pt>
                <c:pt idx="152">
                  <c:v>172.02016065219186</c:v>
                </c:pt>
                <c:pt idx="153">
                  <c:v>171.71636066953482</c:v>
                </c:pt>
                <c:pt idx="154">
                  <c:v>171.40299766706056</c:v>
                </c:pt>
                <c:pt idx="155">
                  <c:v>171.10028763864764</c:v>
                </c:pt>
                <c:pt idx="156">
                  <c:v>170.78804890001138</c:v>
                </c:pt>
                <c:pt idx="157">
                  <c:v>170.47637996187788</c:v>
                </c:pt>
                <c:pt idx="158">
                  <c:v>170.19536142461678</c:v>
                </c:pt>
                <c:pt idx="159">
                  <c:v>169.88477407431853</c:v>
                </c:pt>
                <c:pt idx="160">
                  <c:v>169.58474533802504</c:v>
                </c:pt>
                <c:pt idx="161">
                  <c:v>169.27527229325662</c:v>
                </c:pt>
                <c:pt idx="162">
                  <c:v>168.97631998096963</c:v>
                </c:pt>
                <c:pt idx="163">
                  <c:v>168.6679572438965</c:v>
                </c:pt>
                <c:pt idx="164">
                  <c:v>168.36015723406015</c:v>
                </c:pt>
                <c:pt idx="165">
                  <c:v>168.06282108082135</c:v>
                </c:pt>
                <c:pt idx="166">
                  <c:v>167.75612537627205</c:v>
                </c:pt>
                <c:pt idx="167">
                  <c:v>167.45985598676154</c:v>
                </c:pt>
                <c:pt idx="168">
                  <c:v>167.15426062554312</c:v>
                </c:pt>
                <c:pt idx="169">
                  <c:v>166.84922294141239</c:v>
                </c:pt>
                <c:pt idx="170">
                  <c:v>166.57418352196538</c:v>
                </c:pt>
                <c:pt idx="171">
                  <c:v>166.27020441316284</c:v>
                </c:pt>
                <c:pt idx="172">
                  <c:v>165.97655926700332</c:v>
                </c:pt>
                <c:pt idx="173">
                  <c:v>165.67367075510228</c:v>
                </c:pt>
                <c:pt idx="174">
                  <c:v>165.3810791303107</c:v>
                </c:pt>
                <c:pt idx="175">
                  <c:v>165.07927730253706</c:v>
                </c:pt>
                <c:pt idx="176">
                  <c:v>164.77802622908015</c:v>
                </c:pt>
                <c:pt idx="177">
                  <c:v>164.48701637697405</c:v>
                </c:pt>
                <c:pt idx="178">
                  <c:v>164.18684611294711</c:v>
                </c:pt>
                <c:pt idx="179">
                  <c:v>163.89688032746878</c:v>
                </c:pt>
                <c:pt idx="180">
                  <c:v>163.5977869952124</c:v>
                </c:pt>
                <c:pt idx="181">
                  <c:v>163.29923947457388</c:v>
                </c:pt>
                <c:pt idx="182">
                  <c:v>163.02044632900183</c:v>
                </c:pt>
                <c:pt idx="183">
                  <c:v>162.72295239000167</c:v>
                </c:pt>
                <c:pt idx="184">
                  <c:v>162.43557194618299</c:v>
                </c:pt>
                <c:pt idx="185">
                  <c:v>162.13914533700481</c:v>
                </c:pt>
                <c:pt idx="186">
                  <c:v>161.8527959384538</c:v>
                </c:pt>
                <c:pt idx="187">
                  <c:v>161.55743282979967</c:v>
                </c:pt>
                <c:pt idx="188">
                  <c:v>161.26260872552569</c:v>
                </c:pt>
                <c:pt idx="189">
                  <c:v>160.97780735370799</c:v>
                </c:pt>
                <c:pt idx="190">
                  <c:v>160.68404100059291</c:v>
                </c:pt>
                <c:pt idx="191">
                  <c:v>160.40026142101246</c:v>
                </c:pt>
                <c:pt idx="192">
                  <c:v>160.10754902412395</c:v>
                </c:pt>
                <c:pt idx="193">
                  <c:v>159.81537079436544</c:v>
                </c:pt>
                <c:pt idx="194">
                  <c:v>159.55192619434223</c:v>
                </c:pt>
                <c:pt idx="195">
                  <c:v>159.26076191361864</c:v>
                </c:pt>
                <c:pt idx="196">
                  <c:v>158.97949594732805</c:v>
                </c:pt>
                <c:pt idx="197">
                  <c:v>158.68937628728136</c:v>
                </c:pt>
                <c:pt idx="198">
                  <c:v>158.40911942912498</c:v>
                </c:pt>
                <c:pt idx="199">
                  <c:v>158.12004064193161</c:v>
                </c:pt>
                <c:pt idx="200">
                  <c:v>157.83148939094008</c:v>
                </c:pt>
                <c:pt idx="201">
                  <c:v>157.55274762277801</c:v>
                </c:pt>
                <c:pt idx="202">
                  <c:v>157.26523161760161</c:v>
                </c:pt>
                <c:pt idx="203">
                  <c:v>156.98748990141644</c:v>
                </c:pt>
                <c:pt idx="204">
                  <c:v>156.70100542786599</c:v>
                </c:pt>
                <c:pt idx="205">
                  <c:v>156.41504375618749</c:v>
                </c:pt>
                <c:pt idx="206">
                  <c:v>156.15720436042005</c:v>
                </c:pt>
                <c:pt idx="207">
                  <c:v>155.87223506439275</c:v>
                </c:pt>
                <c:pt idx="208">
                  <c:v>155.59695348036362</c:v>
                </c:pt>
                <c:pt idx="209">
                  <c:v>155.31300657904134</c:v>
                </c:pt>
                <c:pt idx="210">
                  <c:v>155.03871263276062</c:v>
                </c:pt>
                <c:pt idx="211">
                  <c:v>154.7557844580607</c:v>
                </c:pt>
                <c:pt idx="212">
                  <c:v>154.4733725953881</c:v>
                </c:pt>
                <c:pt idx="213">
                  <c:v>154.20056150314451</c:v>
                </c:pt>
                <c:pt idx="214">
                  <c:v>153.91916285978027</c:v>
                </c:pt>
                <c:pt idx="215">
                  <c:v>153.64733054181181</c:v>
                </c:pt>
                <c:pt idx="216">
                  <c:v>153.36694148259232</c:v>
                </c:pt>
                <c:pt idx="217">
                  <c:v>153.08706410180056</c:v>
                </c:pt>
                <c:pt idx="218">
                  <c:v>152.83471065062389</c:v>
                </c:pt>
                <c:pt idx="219">
                  <c:v>152.55580453110778</c:v>
                </c:pt>
                <c:pt idx="220">
                  <c:v>152.28638000205802</c:v>
                </c:pt>
                <c:pt idx="221">
                  <c:v>152.00847452416815</c:v>
                </c:pt>
                <c:pt idx="222">
                  <c:v>151.74001661929765</c:v>
                </c:pt>
                <c:pt idx="223">
                  <c:v>151.46310819299561</c:v>
                </c:pt>
                <c:pt idx="224">
                  <c:v>151.18670509335863</c:v>
                </c:pt>
                <c:pt idx="225">
                  <c:v>150.91969849243932</c:v>
                </c:pt>
                <c:pt idx="226">
                  <c:v>150.64428705425306</c:v>
                </c:pt>
                <c:pt idx="227">
                  <c:v>150.37823840262436</c:v>
                </c:pt>
                <c:pt idx="228">
                  <c:v>150.10381506806905</c:v>
                </c:pt>
                <c:pt idx="229">
                  <c:v>149.82989252516649</c:v>
                </c:pt>
                <c:pt idx="230">
                  <c:v>149.57409496498053</c:v>
                </c:pt>
                <c:pt idx="231">
                  <c:v>149.30113910155646</c:v>
                </c:pt>
                <c:pt idx="232">
                  <c:v>149.0374625458681</c:v>
                </c:pt>
                <c:pt idx="233">
                  <c:v>148.76548597612006</c:v>
                </c:pt>
                <c:pt idx="234">
                  <c:v>148.50275542239797</c:v>
                </c:pt>
                <c:pt idx="235">
                  <c:v>148.23175463287842</c:v>
                </c:pt>
                <c:pt idx="236">
                  <c:v>147.96124838925272</c:v>
                </c:pt>
                <c:pt idx="237">
                  <c:v>147.69993817698375</c:v>
                </c:pt>
                <c:pt idx="238">
                  <c:v>147.43040243844416</c:v>
                </c:pt>
                <c:pt idx="239">
                  <c:v>147.17002973832507</c:v>
                </c:pt>
                <c:pt idx="240">
                  <c:v>146.90146102295503</c:v>
                </c:pt>
                <c:pt idx="241">
                  <c:v>146.63338241521774</c:v>
                </c:pt>
                <c:pt idx="242">
                  <c:v>146.39166741253419</c:v>
                </c:pt>
                <c:pt idx="243">
                  <c:v>146.12451912067229</c:v>
                </c:pt>
                <c:pt idx="244">
                  <c:v>145.86645270446667</c:v>
                </c:pt>
                <c:pt idx="245">
                  <c:v>145.60026287024519</c:v>
                </c:pt>
                <c:pt idx="246">
                  <c:v>145.34312232830436</c:v>
                </c:pt>
                <c:pt idx="247">
                  <c:v>145.07788751302999</c:v>
                </c:pt>
                <c:pt idx="248">
                  <c:v>144.81313672139638</c:v>
                </c:pt>
                <c:pt idx="249">
                  <c:v>144.55738630087777</c:v>
                </c:pt>
                <c:pt idx="250">
                  <c:v>144.29358536528574</c:v>
                </c:pt>
                <c:pt idx="251">
                  <c:v>144.03875250985007</c:v>
                </c:pt>
                <c:pt idx="252">
                  <c:v>143.77589802246666</c:v>
                </c:pt>
                <c:pt idx="253">
                  <c:v>143.51352321489398</c:v>
                </c:pt>
                <c:pt idx="254">
                  <c:v>143.27695108460793</c:v>
                </c:pt>
                <c:pt idx="255">
                  <c:v>143.01548679895586</c:v>
                </c:pt>
                <c:pt idx="256">
                  <c:v>142.76291115756311</c:v>
                </c:pt>
                <c:pt idx="257">
                  <c:v>142.50238493683577</c:v>
                </c:pt>
                <c:pt idx="258">
                  <c:v>142.25071547025544</c:v>
                </c:pt>
                <c:pt idx="259">
                  <c:v>141.99112394892299</c:v>
                </c:pt>
                <c:pt idx="260">
                  <c:v>141.73200615285597</c:v>
                </c:pt>
                <c:pt idx="261">
                  <c:v>141.48169723064629</c:v>
                </c:pt>
                <c:pt idx="262">
                  <c:v>141.22350908091798</c:v>
                </c:pt>
                <c:pt idx="263">
                  <c:v>140.97409820112992</c:v>
                </c:pt>
                <c:pt idx="264">
                  <c:v>140.71683636241423</c:v>
                </c:pt>
                <c:pt idx="265">
                  <c:v>140.46004399755583</c:v>
                </c:pt>
                <c:pt idx="266">
                  <c:v>140.22850531685035</c:v>
                </c:pt>
                <c:pt idx="267">
                  <c:v>139.97260410110582</c:v>
                </c:pt>
                <c:pt idx="268">
                  <c:v>139.72540240952992</c:v>
                </c:pt>
                <c:pt idx="269">
                  <c:v>139.47041929988174</c:v>
                </c:pt>
                <c:pt idx="270">
                  <c:v>139.22410450280316</c:v>
                </c:pt>
                <c:pt idx="271">
                  <c:v>138.97003620532891</c:v>
                </c:pt>
                <c:pt idx="272">
                  <c:v>138.71643155385911</c:v>
                </c:pt>
                <c:pt idx="273">
                  <c:v>138.47144835339856</c:v>
                </c:pt>
                <c:pt idx="274">
                  <c:v>138.21875356855804</c:v>
                </c:pt>
                <c:pt idx="275">
                  <c:v>137.97464930323352</c:v>
                </c:pt>
                <c:pt idx="276">
                  <c:v>137.72286112066075</c:v>
                </c:pt>
                <c:pt idx="277">
                  <c:v>137.47153242313979</c:v>
                </c:pt>
                <c:pt idx="278">
                  <c:v>137.23683371251394</c:v>
                </c:pt>
                <c:pt idx="279">
                  <c:v>136.98639196022822</c:v>
                </c:pt>
                <c:pt idx="280">
                  <c:v>136.74446413418741</c:v>
                </c:pt>
                <c:pt idx="281">
                  <c:v>136.49492090088253</c:v>
                </c:pt>
                <c:pt idx="282">
                  <c:v>136.25386104809985</c:v>
                </c:pt>
                <c:pt idx="283">
                  <c:v>136.00521311012668</c:v>
                </c:pt>
                <c:pt idx="284">
                  <c:v>135.75701892661286</c:v>
                </c:pt>
                <c:pt idx="285">
                  <c:v>135.51726226181782</c:v>
                </c:pt>
                <c:pt idx="286">
                  <c:v>135.26995853360069</c:v>
                </c:pt>
                <c:pt idx="287">
                  <c:v>135.03106205250958</c:v>
                </c:pt>
                <c:pt idx="288">
                  <c:v>134.78464558487025</c:v>
                </c:pt>
                <c:pt idx="289">
                  <c:v>134.53867879950855</c:v>
                </c:pt>
                <c:pt idx="290">
                  <c:v>134.3169010803328</c:v>
                </c:pt>
                <c:pt idx="291">
                  <c:v>134.07178787596803</c:v>
                </c:pt>
                <c:pt idx="292">
                  <c:v>133.83500745048127</c:v>
                </c:pt>
                <c:pt idx="293">
                  <c:v>133.59077364767228</c:v>
                </c:pt>
                <c:pt idx="294">
                  <c:v>133.35484272792758</c:v>
                </c:pt>
                <c:pt idx="295">
                  <c:v>133.1114851716134</c:v>
                </c:pt>
                <c:pt idx="296">
                  <c:v>132.86857171540831</c:v>
                </c:pt>
                <c:pt idx="297">
                  <c:v>132.6339162562472</c:v>
                </c:pt>
                <c:pt idx="298">
                  <c:v>132.39187430948147</c:v>
                </c:pt>
                <c:pt idx="299">
                  <c:v>132.15806073224343</c:v>
                </c:pt>
                <c:pt idx="300">
                  <c:v>131.91688716817092</c:v>
                </c:pt>
                <c:pt idx="301">
                  <c:v>131.6761537186679</c:v>
                </c:pt>
                <c:pt idx="302">
                  <c:v>131.45909467436829</c:v>
                </c:pt>
                <c:pt idx="303">
                  <c:v>131.21919664456445</c:v>
                </c:pt>
                <c:pt idx="304">
                  <c:v>130.9874541004711</c:v>
                </c:pt>
                <c:pt idx="305">
                  <c:v>130.7484167615516</c:v>
                </c:pt>
                <c:pt idx="306">
                  <c:v>130.51750564860998</c:v>
                </c:pt>
                <c:pt idx="307">
                  <c:v>130.27932591264289</c:v>
                </c:pt>
                <c:pt idx="308">
                  <c:v>130.04158082784647</c:v>
                </c:pt>
                <c:pt idx="309">
                  <c:v>129.81191803802921</c:v>
                </c:pt>
                <c:pt idx="310">
                  <c:v>129.57502591991806</c:v>
                </c:pt>
                <c:pt idx="311">
                  <c:v>129.34618709964249</c:v>
                </c:pt>
                <c:pt idx="312">
                  <c:v>129.11014488799708</c:v>
                </c:pt>
                <c:pt idx="313">
                  <c:v>128.87453342678143</c:v>
                </c:pt>
                <c:pt idx="314">
                  <c:v>128.66209266002005</c:v>
                </c:pt>
                <c:pt idx="315">
                  <c:v>128.42729884361628</c:v>
                </c:pt>
                <c:pt idx="316">
                  <c:v>128.20048699195041</c:v>
                </c:pt>
                <c:pt idx="317">
                  <c:v>127.96653555385903</c:v>
                </c:pt>
                <c:pt idx="318">
                  <c:v>127.74053744332039</c:v>
                </c:pt>
                <c:pt idx="319">
                  <c:v>127.50742536131004</c:v>
                </c:pt>
                <c:pt idx="320">
                  <c:v>127.27473868257313</c:v>
                </c:pt>
                <c:pt idx="321">
                  <c:v>127.04996233509243</c:v>
                </c:pt>
                <c:pt idx="322">
                  <c:v>126.81811047481345</c:v>
                </c:pt>
                <c:pt idx="323">
                  <c:v>126.59414056560759</c:v>
                </c:pt>
                <c:pt idx="324">
                  <c:v>126.36312052867804</c:v>
                </c:pt>
                <c:pt idx="325">
                  <c:v>126.13252207727541</c:v>
                </c:pt>
                <c:pt idx="326">
                  <c:v>125.91718192809891</c:v>
                </c:pt>
                <c:pt idx="327">
                  <c:v>125.68739726437651</c:v>
                </c:pt>
                <c:pt idx="328">
                  <c:v>125.46542427606887</c:v>
                </c:pt>
                <c:pt idx="329">
                  <c:v>125.2364640191396</c:v>
                </c:pt>
                <c:pt idx="330">
                  <c:v>125.01528741139319</c:v>
                </c:pt>
                <c:pt idx="331">
                  <c:v>124.78714860350287</c:v>
                </c:pt>
                <c:pt idx="332">
                  <c:v>124.55942612322123</c:v>
                </c:pt>
                <c:pt idx="333">
                  <c:v>124.33944521312014</c:v>
                </c:pt>
                <c:pt idx="334">
                  <c:v>124.1125397410612</c:v>
                </c:pt>
                <c:pt idx="335">
                  <c:v>123.8933480644699</c:v>
                </c:pt>
                <c:pt idx="336">
                  <c:v>123.01906871565308</c:v>
                </c:pt>
                <c:pt idx="337">
                  <c:v>122.15095890209942</c:v>
                </c:pt>
                <c:pt idx="338">
                  <c:v>121.37212634310524</c:v>
                </c:pt>
                <c:pt idx="339">
                  <c:v>120.51563852320589</c:v>
                </c:pt>
                <c:pt idx="340">
                  <c:v>119.69253445944395</c:v>
                </c:pt>
                <c:pt idx="341">
                  <c:v>118.84789903130948</c:v>
                </c:pt>
                <c:pt idx="342">
                  <c:v>118.03618538268282</c:v>
                </c:pt>
                <c:pt idx="343">
                  <c:v>117.20323832858033</c:v>
                </c:pt>
                <c:pt idx="344">
                  <c:v>116.3761691397501</c:v>
                </c:pt>
                <c:pt idx="345">
                  <c:v>115.58133704229138</c:v>
                </c:pt>
                <c:pt idx="346">
                  <c:v>114.76571313944764</c:v>
                </c:pt>
                <c:pt idx="347">
                  <c:v>113.98188021931232</c:v>
                </c:pt>
                <c:pt idx="348">
                  <c:v>113.1775432184008</c:v>
                </c:pt>
                <c:pt idx="349">
                  <c:v>112.37888218993149</c:v>
                </c:pt>
                <c:pt idx="350">
                  <c:v>111.66235623565682</c:v>
                </c:pt>
                <c:pt idx="351">
                  <c:v>110.87438744134943</c:v>
                </c:pt>
                <c:pt idx="352">
                  <c:v>110.11713170268843</c:v>
                </c:pt>
                <c:pt idx="353">
                  <c:v>109.34006710880473</c:v>
                </c:pt>
                <c:pt idx="354">
                  <c:v>108.59329055206823</c:v>
                </c:pt>
                <c:pt idx="355">
                  <c:v>107.82697926229389</c:v>
                </c:pt>
                <c:pt idx="356">
                  <c:v>107.0660756085701</c:v>
                </c:pt>
                <c:pt idx="357">
                  <c:v>106.33483007890806</c:v>
                </c:pt>
                <c:pt idx="358">
                  <c:v>105.58445608829184</c:v>
                </c:pt>
                <c:pt idx="359">
                  <c:v>104.86332980176736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4B7-4B9E-979A-20983D203061}"/>
            </c:ext>
          </c:extLst>
        </c:ser>
        <c:ser>
          <c:idx val="18"/>
          <c:order val="19"/>
          <c:tx>
            <c:v>NGL yield total forecast</c:v>
          </c:tx>
          <c:spPr>
            <a:ln w="952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'forecast production'!$Z$7:$Z$366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'forecast production'!$AL$7:$AL$366</c:f>
              <c:numCache>
                <c:formatCode>_(* #,##0_);_(* \(#,##0\);_(* "-"??_);_(@_)</c:formatCode>
                <c:ptCount val="360"/>
                <c:pt idx="0">
                  <c:v>150.00000000000003</c:v>
                </c:pt>
                <c:pt idx="1">
                  <c:v>150</c:v>
                </c:pt>
                <c:pt idx="2">
                  <c:v>149.99999999999997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150.00000000000003</c:v>
                </c:pt>
                <c:pt idx="9">
                  <c:v>149.99999999999997</c:v>
                </c:pt>
                <c:pt idx="10">
                  <c:v>150.00000000000003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150.00000000000003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149.99999999999997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149.99999999999997</c:v>
                </c:pt>
                <c:pt idx="25">
                  <c:v>149.99999999999997</c:v>
                </c:pt>
                <c:pt idx="26">
                  <c:v>149.99999999999997</c:v>
                </c:pt>
                <c:pt idx="27">
                  <c:v>150</c:v>
                </c:pt>
                <c:pt idx="28">
                  <c:v>149.99999999999997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149.99999999999997</c:v>
                </c:pt>
                <c:pt idx="33">
                  <c:v>149.99999999999997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150.00000000000003</c:v>
                </c:pt>
                <c:pt idx="40">
                  <c:v>149.99999999999997</c:v>
                </c:pt>
                <c:pt idx="41">
                  <c:v>150</c:v>
                </c:pt>
                <c:pt idx="42">
                  <c:v>150.00000000000003</c:v>
                </c:pt>
                <c:pt idx="43">
                  <c:v>150</c:v>
                </c:pt>
                <c:pt idx="44">
                  <c:v>150.00000000000003</c:v>
                </c:pt>
                <c:pt idx="45">
                  <c:v>150</c:v>
                </c:pt>
                <c:pt idx="46">
                  <c:v>150</c:v>
                </c:pt>
                <c:pt idx="47">
                  <c:v>149.99999999999997</c:v>
                </c:pt>
                <c:pt idx="48">
                  <c:v>149.99999999999997</c:v>
                </c:pt>
                <c:pt idx="49">
                  <c:v>149.99999999999997</c:v>
                </c:pt>
                <c:pt idx="50">
                  <c:v>149.99999999999997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150.00000000000003</c:v>
                </c:pt>
                <c:pt idx="56">
                  <c:v>150.00000000000003</c:v>
                </c:pt>
                <c:pt idx="57">
                  <c:v>149.99999999999997</c:v>
                </c:pt>
                <c:pt idx="58">
                  <c:v>149.99999999999997</c:v>
                </c:pt>
                <c:pt idx="59">
                  <c:v>150</c:v>
                </c:pt>
                <c:pt idx="60">
                  <c:v>150.00000000000003</c:v>
                </c:pt>
                <c:pt idx="61">
                  <c:v>149.99999999999997</c:v>
                </c:pt>
                <c:pt idx="62">
                  <c:v>150</c:v>
                </c:pt>
                <c:pt idx="63">
                  <c:v>150</c:v>
                </c:pt>
                <c:pt idx="64">
                  <c:v>150.00000000000003</c:v>
                </c:pt>
                <c:pt idx="65">
                  <c:v>150</c:v>
                </c:pt>
                <c:pt idx="66">
                  <c:v>150</c:v>
                </c:pt>
                <c:pt idx="67">
                  <c:v>150</c:v>
                </c:pt>
                <c:pt idx="68">
                  <c:v>150.00000000000003</c:v>
                </c:pt>
                <c:pt idx="69">
                  <c:v>150.00000000000003</c:v>
                </c:pt>
                <c:pt idx="70">
                  <c:v>150</c:v>
                </c:pt>
                <c:pt idx="71">
                  <c:v>150</c:v>
                </c:pt>
                <c:pt idx="72">
                  <c:v>150.00000000000003</c:v>
                </c:pt>
                <c:pt idx="73">
                  <c:v>150</c:v>
                </c:pt>
                <c:pt idx="74">
                  <c:v>150</c:v>
                </c:pt>
                <c:pt idx="75">
                  <c:v>150</c:v>
                </c:pt>
                <c:pt idx="76">
                  <c:v>150</c:v>
                </c:pt>
                <c:pt idx="77">
                  <c:v>150</c:v>
                </c:pt>
                <c:pt idx="78">
                  <c:v>150</c:v>
                </c:pt>
                <c:pt idx="79">
                  <c:v>149.99999999999997</c:v>
                </c:pt>
                <c:pt idx="80">
                  <c:v>150</c:v>
                </c:pt>
                <c:pt idx="81">
                  <c:v>150</c:v>
                </c:pt>
                <c:pt idx="82">
                  <c:v>150</c:v>
                </c:pt>
                <c:pt idx="83">
                  <c:v>150</c:v>
                </c:pt>
                <c:pt idx="84">
                  <c:v>150</c:v>
                </c:pt>
                <c:pt idx="85">
                  <c:v>150</c:v>
                </c:pt>
                <c:pt idx="86">
                  <c:v>150</c:v>
                </c:pt>
                <c:pt idx="87">
                  <c:v>149.99999999999997</c:v>
                </c:pt>
                <c:pt idx="88">
                  <c:v>150</c:v>
                </c:pt>
                <c:pt idx="89">
                  <c:v>150</c:v>
                </c:pt>
                <c:pt idx="90">
                  <c:v>150</c:v>
                </c:pt>
                <c:pt idx="91">
                  <c:v>150.00000000000003</c:v>
                </c:pt>
                <c:pt idx="92">
                  <c:v>150</c:v>
                </c:pt>
                <c:pt idx="93">
                  <c:v>150</c:v>
                </c:pt>
                <c:pt idx="94">
                  <c:v>150</c:v>
                </c:pt>
                <c:pt idx="95">
                  <c:v>150.00000000000003</c:v>
                </c:pt>
                <c:pt idx="96">
                  <c:v>150</c:v>
                </c:pt>
                <c:pt idx="97">
                  <c:v>150</c:v>
                </c:pt>
                <c:pt idx="98">
                  <c:v>149.99999999999997</c:v>
                </c:pt>
                <c:pt idx="99">
                  <c:v>150</c:v>
                </c:pt>
                <c:pt idx="100">
                  <c:v>149.99999999999997</c:v>
                </c:pt>
                <c:pt idx="101">
                  <c:v>149.99999999999997</c:v>
                </c:pt>
                <c:pt idx="102">
                  <c:v>150</c:v>
                </c:pt>
                <c:pt idx="103">
                  <c:v>150</c:v>
                </c:pt>
                <c:pt idx="104">
                  <c:v>150</c:v>
                </c:pt>
                <c:pt idx="105">
                  <c:v>150</c:v>
                </c:pt>
                <c:pt idx="106">
                  <c:v>150</c:v>
                </c:pt>
                <c:pt idx="107">
                  <c:v>149.99999999999997</c:v>
                </c:pt>
                <c:pt idx="108">
                  <c:v>150</c:v>
                </c:pt>
                <c:pt idx="109">
                  <c:v>150</c:v>
                </c:pt>
                <c:pt idx="110">
                  <c:v>150</c:v>
                </c:pt>
                <c:pt idx="111">
                  <c:v>150.00000000000003</c:v>
                </c:pt>
                <c:pt idx="112">
                  <c:v>150</c:v>
                </c:pt>
                <c:pt idx="113">
                  <c:v>150</c:v>
                </c:pt>
                <c:pt idx="114">
                  <c:v>150</c:v>
                </c:pt>
                <c:pt idx="115">
                  <c:v>150</c:v>
                </c:pt>
                <c:pt idx="116">
                  <c:v>150</c:v>
                </c:pt>
                <c:pt idx="117">
                  <c:v>150</c:v>
                </c:pt>
                <c:pt idx="118">
                  <c:v>150</c:v>
                </c:pt>
                <c:pt idx="119">
                  <c:v>150.00000000000003</c:v>
                </c:pt>
                <c:pt idx="120">
                  <c:v>150</c:v>
                </c:pt>
                <c:pt idx="121">
                  <c:v>150</c:v>
                </c:pt>
                <c:pt idx="122">
                  <c:v>150</c:v>
                </c:pt>
                <c:pt idx="123">
                  <c:v>150.00000000000003</c:v>
                </c:pt>
                <c:pt idx="124">
                  <c:v>150</c:v>
                </c:pt>
                <c:pt idx="125">
                  <c:v>150</c:v>
                </c:pt>
                <c:pt idx="126">
                  <c:v>149.99999999999997</c:v>
                </c:pt>
                <c:pt idx="127">
                  <c:v>150</c:v>
                </c:pt>
                <c:pt idx="128">
                  <c:v>150</c:v>
                </c:pt>
                <c:pt idx="129">
                  <c:v>150.00000000000003</c:v>
                </c:pt>
                <c:pt idx="130">
                  <c:v>149.99999999999997</c:v>
                </c:pt>
                <c:pt idx="131">
                  <c:v>150.00000000000003</c:v>
                </c:pt>
                <c:pt idx="132">
                  <c:v>149.99999999999997</c:v>
                </c:pt>
                <c:pt idx="133">
                  <c:v>150.00000000000003</c:v>
                </c:pt>
                <c:pt idx="134">
                  <c:v>150</c:v>
                </c:pt>
                <c:pt idx="135">
                  <c:v>149.99999999999997</c:v>
                </c:pt>
                <c:pt idx="136">
                  <c:v>149.99999999999997</c:v>
                </c:pt>
                <c:pt idx="137">
                  <c:v>149.99999999999997</c:v>
                </c:pt>
                <c:pt idx="138">
                  <c:v>150</c:v>
                </c:pt>
                <c:pt idx="139">
                  <c:v>150</c:v>
                </c:pt>
                <c:pt idx="140">
                  <c:v>149.99999999999997</c:v>
                </c:pt>
                <c:pt idx="141">
                  <c:v>150.00000000000003</c:v>
                </c:pt>
                <c:pt idx="142">
                  <c:v>150</c:v>
                </c:pt>
                <c:pt idx="143">
                  <c:v>150.00000000000003</c:v>
                </c:pt>
                <c:pt idx="144">
                  <c:v>150.00000000000003</c:v>
                </c:pt>
                <c:pt idx="145">
                  <c:v>150</c:v>
                </c:pt>
                <c:pt idx="146">
                  <c:v>149.99999999999997</c:v>
                </c:pt>
                <c:pt idx="147">
                  <c:v>150</c:v>
                </c:pt>
                <c:pt idx="148">
                  <c:v>149.99999999999997</c:v>
                </c:pt>
                <c:pt idx="149">
                  <c:v>150</c:v>
                </c:pt>
                <c:pt idx="150">
                  <c:v>150.00000000000003</c:v>
                </c:pt>
                <c:pt idx="151">
                  <c:v>149.99999999999997</c:v>
                </c:pt>
                <c:pt idx="152">
                  <c:v>150.00000000000003</c:v>
                </c:pt>
                <c:pt idx="153">
                  <c:v>150</c:v>
                </c:pt>
                <c:pt idx="154">
                  <c:v>150</c:v>
                </c:pt>
                <c:pt idx="155">
                  <c:v>150</c:v>
                </c:pt>
                <c:pt idx="156">
                  <c:v>150.00000000000003</c:v>
                </c:pt>
                <c:pt idx="157">
                  <c:v>149.99999999999997</c:v>
                </c:pt>
                <c:pt idx="158">
                  <c:v>149.99999999999997</c:v>
                </c:pt>
                <c:pt idx="159">
                  <c:v>150</c:v>
                </c:pt>
                <c:pt idx="160">
                  <c:v>149.99999999999997</c:v>
                </c:pt>
                <c:pt idx="161">
                  <c:v>149.99999999999997</c:v>
                </c:pt>
                <c:pt idx="162">
                  <c:v>150</c:v>
                </c:pt>
                <c:pt idx="163">
                  <c:v>150</c:v>
                </c:pt>
                <c:pt idx="164">
                  <c:v>149.99999999999997</c:v>
                </c:pt>
                <c:pt idx="165">
                  <c:v>150</c:v>
                </c:pt>
                <c:pt idx="166">
                  <c:v>150</c:v>
                </c:pt>
                <c:pt idx="167">
                  <c:v>150</c:v>
                </c:pt>
                <c:pt idx="168">
                  <c:v>150.00000000000003</c:v>
                </c:pt>
                <c:pt idx="169">
                  <c:v>150</c:v>
                </c:pt>
                <c:pt idx="170">
                  <c:v>150</c:v>
                </c:pt>
                <c:pt idx="171">
                  <c:v>149.99999999999997</c:v>
                </c:pt>
                <c:pt idx="172">
                  <c:v>150</c:v>
                </c:pt>
                <c:pt idx="173">
                  <c:v>150.00000000000003</c:v>
                </c:pt>
                <c:pt idx="174">
                  <c:v>150</c:v>
                </c:pt>
                <c:pt idx="175">
                  <c:v>150.00000000000003</c:v>
                </c:pt>
                <c:pt idx="176">
                  <c:v>150</c:v>
                </c:pt>
                <c:pt idx="177">
                  <c:v>150.00000000000003</c:v>
                </c:pt>
                <c:pt idx="178">
                  <c:v>150</c:v>
                </c:pt>
                <c:pt idx="179">
                  <c:v>150</c:v>
                </c:pt>
                <c:pt idx="180">
                  <c:v>150</c:v>
                </c:pt>
                <c:pt idx="181">
                  <c:v>150</c:v>
                </c:pt>
                <c:pt idx="182">
                  <c:v>150</c:v>
                </c:pt>
                <c:pt idx="183">
                  <c:v>150.00000000000006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150</c:v>
                </c:pt>
                <c:pt idx="188">
                  <c:v>149.99999999999997</c:v>
                </c:pt>
                <c:pt idx="189">
                  <c:v>150.00000000000003</c:v>
                </c:pt>
                <c:pt idx="190">
                  <c:v>150</c:v>
                </c:pt>
                <c:pt idx="191">
                  <c:v>150.00000000000003</c:v>
                </c:pt>
                <c:pt idx="192">
                  <c:v>150</c:v>
                </c:pt>
                <c:pt idx="193">
                  <c:v>150</c:v>
                </c:pt>
                <c:pt idx="194">
                  <c:v>150</c:v>
                </c:pt>
                <c:pt idx="195">
                  <c:v>150</c:v>
                </c:pt>
                <c:pt idx="196">
                  <c:v>149.99999999999997</c:v>
                </c:pt>
                <c:pt idx="197">
                  <c:v>150</c:v>
                </c:pt>
                <c:pt idx="198">
                  <c:v>149.99999999999997</c:v>
                </c:pt>
                <c:pt idx="199">
                  <c:v>150</c:v>
                </c:pt>
                <c:pt idx="200">
                  <c:v>150.00000000000003</c:v>
                </c:pt>
                <c:pt idx="201">
                  <c:v>149.99999999999997</c:v>
                </c:pt>
                <c:pt idx="202">
                  <c:v>150</c:v>
                </c:pt>
                <c:pt idx="203">
                  <c:v>150</c:v>
                </c:pt>
                <c:pt idx="204">
                  <c:v>150</c:v>
                </c:pt>
                <c:pt idx="205">
                  <c:v>150.00000000000003</c:v>
                </c:pt>
                <c:pt idx="206">
                  <c:v>150</c:v>
                </c:pt>
                <c:pt idx="207">
                  <c:v>150</c:v>
                </c:pt>
                <c:pt idx="208">
                  <c:v>150</c:v>
                </c:pt>
                <c:pt idx="209">
                  <c:v>150</c:v>
                </c:pt>
                <c:pt idx="210">
                  <c:v>150</c:v>
                </c:pt>
                <c:pt idx="211">
                  <c:v>150</c:v>
                </c:pt>
                <c:pt idx="212">
                  <c:v>150</c:v>
                </c:pt>
                <c:pt idx="213">
                  <c:v>150</c:v>
                </c:pt>
                <c:pt idx="214">
                  <c:v>150</c:v>
                </c:pt>
                <c:pt idx="215">
                  <c:v>150</c:v>
                </c:pt>
                <c:pt idx="216">
                  <c:v>150.00000000000003</c:v>
                </c:pt>
                <c:pt idx="217">
                  <c:v>150.00000000000003</c:v>
                </c:pt>
                <c:pt idx="218">
                  <c:v>150</c:v>
                </c:pt>
                <c:pt idx="219">
                  <c:v>150</c:v>
                </c:pt>
                <c:pt idx="220">
                  <c:v>150</c:v>
                </c:pt>
                <c:pt idx="221">
                  <c:v>150.00000000000003</c:v>
                </c:pt>
                <c:pt idx="222">
                  <c:v>149.99999999999997</c:v>
                </c:pt>
                <c:pt idx="223">
                  <c:v>150</c:v>
                </c:pt>
                <c:pt idx="224">
                  <c:v>150</c:v>
                </c:pt>
                <c:pt idx="225">
                  <c:v>149.99999999999997</c:v>
                </c:pt>
                <c:pt idx="226">
                  <c:v>150</c:v>
                </c:pt>
                <c:pt idx="227">
                  <c:v>150.00000000000003</c:v>
                </c:pt>
                <c:pt idx="228">
                  <c:v>149.99999999999997</c:v>
                </c:pt>
                <c:pt idx="229">
                  <c:v>150</c:v>
                </c:pt>
                <c:pt idx="230">
                  <c:v>150</c:v>
                </c:pt>
                <c:pt idx="231">
                  <c:v>150</c:v>
                </c:pt>
                <c:pt idx="232">
                  <c:v>149.99999999999997</c:v>
                </c:pt>
                <c:pt idx="233">
                  <c:v>150</c:v>
                </c:pt>
                <c:pt idx="234">
                  <c:v>150</c:v>
                </c:pt>
                <c:pt idx="235">
                  <c:v>150</c:v>
                </c:pt>
                <c:pt idx="236">
                  <c:v>150</c:v>
                </c:pt>
                <c:pt idx="237">
                  <c:v>150</c:v>
                </c:pt>
                <c:pt idx="238">
                  <c:v>150.00000000000003</c:v>
                </c:pt>
                <c:pt idx="239">
                  <c:v>150</c:v>
                </c:pt>
                <c:pt idx="240">
                  <c:v>149.99999999999997</c:v>
                </c:pt>
                <c:pt idx="241">
                  <c:v>149.99999999999997</c:v>
                </c:pt>
                <c:pt idx="242">
                  <c:v>150</c:v>
                </c:pt>
                <c:pt idx="243">
                  <c:v>149.99999999999997</c:v>
                </c:pt>
                <c:pt idx="244">
                  <c:v>149.99999999999997</c:v>
                </c:pt>
                <c:pt idx="245">
                  <c:v>150</c:v>
                </c:pt>
                <c:pt idx="246">
                  <c:v>149.99999999999997</c:v>
                </c:pt>
                <c:pt idx="247">
                  <c:v>150</c:v>
                </c:pt>
                <c:pt idx="248">
                  <c:v>150</c:v>
                </c:pt>
                <c:pt idx="249">
                  <c:v>150</c:v>
                </c:pt>
                <c:pt idx="250">
                  <c:v>150.00000000000003</c:v>
                </c:pt>
                <c:pt idx="251">
                  <c:v>150.00000000000006</c:v>
                </c:pt>
                <c:pt idx="252">
                  <c:v>149.99999999999997</c:v>
                </c:pt>
                <c:pt idx="253">
                  <c:v>150</c:v>
                </c:pt>
                <c:pt idx="254">
                  <c:v>150.00000000000003</c:v>
                </c:pt>
                <c:pt idx="255">
                  <c:v>149.99999999999997</c:v>
                </c:pt>
                <c:pt idx="256">
                  <c:v>149.99999999999997</c:v>
                </c:pt>
                <c:pt idx="257">
                  <c:v>150.00000000000003</c:v>
                </c:pt>
                <c:pt idx="258">
                  <c:v>150</c:v>
                </c:pt>
                <c:pt idx="259">
                  <c:v>149.99999999999997</c:v>
                </c:pt>
                <c:pt idx="260">
                  <c:v>149.99999999999997</c:v>
                </c:pt>
                <c:pt idx="261">
                  <c:v>150</c:v>
                </c:pt>
                <c:pt idx="262">
                  <c:v>150</c:v>
                </c:pt>
                <c:pt idx="263">
                  <c:v>150</c:v>
                </c:pt>
                <c:pt idx="264">
                  <c:v>150</c:v>
                </c:pt>
                <c:pt idx="265">
                  <c:v>149.99999999999997</c:v>
                </c:pt>
                <c:pt idx="266">
                  <c:v>150</c:v>
                </c:pt>
                <c:pt idx="267">
                  <c:v>150</c:v>
                </c:pt>
                <c:pt idx="268">
                  <c:v>150</c:v>
                </c:pt>
                <c:pt idx="269">
                  <c:v>150</c:v>
                </c:pt>
                <c:pt idx="270">
                  <c:v>150</c:v>
                </c:pt>
                <c:pt idx="271">
                  <c:v>150.00000000000003</c:v>
                </c:pt>
                <c:pt idx="272">
                  <c:v>150.00000000000003</c:v>
                </c:pt>
                <c:pt idx="273">
                  <c:v>150</c:v>
                </c:pt>
                <c:pt idx="274">
                  <c:v>150.00000000000003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150</c:v>
                </c:pt>
                <c:pt idx="279">
                  <c:v>150.00000000000003</c:v>
                </c:pt>
                <c:pt idx="280">
                  <c:v>150</c:v>
                </c:pt>
                <c:pt idx="281">
                  <c:v>150</c:v>
                </c:pt>
                <c:pt idx="282">
                  <c:v>150</c:v>
                </c:pt>
                <c:pt idx="283">
                  <c:v>150.00000000000003</c:v>
                </c:pt>
                <c:pt idx="284">
                  <c:v>150.00000000000003</c:v>
                </c:pt>
                <c:pt idx="285">
                  <c:v>150.00000000000003</c:v>
                </c:pt>
                <c:pt idx="286">
                  <c:v>150</c:v>
                </c:pt>
                <c:pt idx="287">
                  <c:v>149.99999999999997</c:v>
                </c:pt>
                <c:pt idx="288">
                  <c:v>149.99999999999997</c:v>
                </c:pt>
                <c:pt idx="289">
                  <c:v>149.99999999999997</c:v>
                </c:pt>
                <c:pt idx="290">
                  <c:v>149.99999999999997</c:v>
                </c:pt>
                <c:pt idx="291">
                  <c:v>150</c:v>
                </c:pt>
                <c:pt idx="292">
                  <c:v>150</c:v>
                </c:pt>
                <c:pt idx="293">
                  <c:v>150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150</c:v>
                </c:pt>
                <c:pt idx="307">
                  <c:v>150.00000000000003</c:v>
                </c:pt>
                <c:pt idx="308">
                  <c:v>149.99999999999997</c:v>
                </c:pt>
                <c:pt idx="309">
                  <c:v>150</c:v>
                </c:pt>
                <c:pt idx="310">
                  <c:v>150</c:v>
                </c:pt>
                <c:pt idx="311">
                  <c:v>150</c:v>
                </c:pt>
                <c:pt idx="312">
                  <c:v>150</c:v>
                </c:pt>
                <c:pt idx="313">
                  <c:v>150</c:v>
                </c:pt>
                <c:pt idx="314">
                  <c:v>149.99999999999997</c:v>
                </c:pt>
                <c:pt idx="315">
                  <c:v>150</c:v>
                </c:pt>
                <c:pt idx="316">
                  <c:v>150</c:v>
                </c:pt>
                <c:pt idx="317">
                  <c:v>149.99999999999997</c:v>
                </c:pt>
                <c:pt idx="318">
                  <c:v>150</c:v>
                </c:pt>
                <c:pt idx="319">
                  <c:v>150</c:v>
                </c:pt>
                <c:pt idx="320">
                  <c:v>150</c:v>
                </c:pt>
                <c:pt idx="321">
                  <c:v>150</c:v>
                </c:pt>
                <c:pt idx="322">
                  <c:v>150</c:v>
                </c:pt>
                <c:pt idx="323">
                  <c:v>150</c:v>
                </c:pt>
                <c:pt idx="324">
                  <c:v>150</c:v>
                </c:pt>
                <c:pt idx="325">
                  <c:v>150</c:v>
                </c:pt>
                <c:pt idx="326">
                  <c:v>149.99999999999997</c:v>
                </c:pt>
                <c:pt idx="327">
                  <c:v>150</c:v>
                </c:pt>
                <c:pt idx="328">
                  <c:v>150</c:v>
                </c:pt>
                <c:pt idx="329">
                  <c:v>150</c:v>
                </c:pt>
                <c:pt idx="330">
                  <c:v>149.99999999999997</c:v>
                </c:pt>
                <c:pt idx="331">
                  <c:v>150.00000000000003</c:v>
                </c:pt>
                <c:pt idx="332">
                  <c:v>149.99999999999997</c:v>
                </c:pt>
                <c:pt idx="333">
                  <c:v>150</c:v>
                </c:pt>
                <c:pt idx="334">
                  <c:v>150</c:v>
                </c:pt>
                <c:pt idx="335">
                  <c:v>150.00000000000003</c:v>
                </c:pt>
                <c:pt idx="336">
                  <c:v>150.00000000000003</c:v>
                </c:pt>
                <c:pt idx="337">
                  <c:v>150</c:v>
                </c:pt>
                <c:pt idx="338">
                  <c:v>150.00000000000003</c:v>
                </c:pt>
                <c:pt idx="339">
                  <c:v>150</c:v>
                </c:pt>
                <c:pt idx="340">
                  <c:v>150.00000000000003</c:v>
                </c:pt>
                <c:pt idx="341">
                  <c:v>150</c:v>
                </c:pt>
                <c:pt idx="342">
                  <c:v>150.00000000000003</c:v>
                </c:pt>
                <c:pt idx="343">
                  <c:v>150.00000000000003</c:v>
                </c:pt>
                <c:pt idx="344">
                  <c:v>150</c:v>
                </c:pt>
                <c:pt idx="345">
                  <c:v>150.00000000000003</c:v>
                </c:pt>
                <c:pt idx="346">
                  <c:v>150</c:v>
                </c:pt>
                <c:pt idx="347">
                  <c:v>150.00000000000003</c:v>
                </c:pt>
                <c:pt idx="348">
                  <c:v>150.00000000000003</c:v>
                </c:pt>
                <c:pt idx="349">
                  <c:v>150</c:v>
                </c:pt>
                <c:pt idx="350">
                  <c:v>150.00000000000003</c:v>
                </c:pt>
                <c:pt idx="351">
                  <c:v>150</c:v>
                </c:pt>
                <c:pt idx="352">
                  <c:v>150.00000000000003</c:v>
                </c:pt>
                <c:pt idx="353">
                  <c:v>150</c:v>
                </c:pt>
                <c:pt idx="354">
                  <c:v>150.00000000000003</c:v>
                </c:pt>
                <c:pt idx="355">
                  <c:v>150.00000000000003</c:v>
                </c:pt>
                <c:pt idx="356">
                  <c:v>150</c:v>
                </c:pt>
                <c:pt idx="357">
                  <c:v>150.00000000000003</c:v>
                </c:pt>
                <c:pt idx="358">
                  <c:v>150</c:v>
                </c:pt>
                <c:pt idx="359">
                  <c:v>150.00000000000003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4B7-4B9E-979A-20983D203061}"/>
            </c:ext>
          </c:extLst>
        </c:ser>
        <c:ser>
          <c:idx val="20"/>
          <c:order val="20"/>
          <c:tx>
            <c:v>Wellcount forecast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'monthly calculations (1)'!$B$6:$B$365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'monthly calculations (1)'!$D$6:$D$365</c:f>
              <c:numCache>
                <c:formatCode>#,##0_);\(#,##0\);\-_)</c:formatCode>
                <c:ptCount val="3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C2-4834-877B-7B9B3F332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5728"/>
        <c:axId val="634163104"/>
      </c:scatterChart>
      <c:valAx>
        <c:axId val="634165728"/>
        <c:scaling>
          <c:orientation val="minMax"/>
          <c:max val="50557"/>
          <c:min val="4237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m\ yyyy;@" sourceLinked="0"/>
        <c:majorTickMark val="none"/>
        <c:minorTickMark val="in"/>
        <c:tickLblPos val="nextTo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163104"/>
        <c:crosses val="autoZero"/>
        <c:crossBetween val="midCat"/>
        <c:majorUnit val="365.25"/>
        <c:minorUnit val="182.62"/>
      </c:valAx>
      <c:valAx>
        <c:axId val="634163104"/>
        <c:scaling>
          <c:logBase val="10"/>
          <c:orientation val="minMax"/>
          <c:max val="1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Oil, Gas, Water, NGL, Cond yield,</a:t>
                </a:r>
                <a:r>
                  <a:rPr lang="en-US" baseline="0"/>
                  <a:t> NGL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165728"/>
        <c:crosses val="autoZero"/>
        <c:crossBetween val="midCat"/>
      </c:valAx>
      <c:spPr>
        <a:noFill/>
        <a:ln>
          <a:solidFill>
            <a:srgbClr val="BFBFBF"/>
          </a:solidFill>
        </a:ln>
        <a:effectLst/>
      </c:spPr>
    </c:plotArea>
    <c:legend>
      <c:legendPos val="b"/>
      <c:layout>
        <c:manualLayout>
          <c:xMode val="edge"/>
          <c:yMode val="edge"/>
          <c:x val="0.75688465079197376"/>
          <c:y val="0.12486181476239126"/>
          <c:w val="0.22173170087980243"/>
          <c:h val="0.2011580089638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assumptions!$B$2</c:f>
          <c:strCache>
            <c:ptCount val="1"/>
            <c:pt idx="0">
              <c:v>[Project Name]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304730458691879E-2"/>
          <c:y val="0.12325027557653533"/>
          <c:w val="0.82770904094758191"/>
          <c:h val="0.77569499116027329"/>
        </c:manualLayout>
      </c:layout>
      <c:scatterChart>
        <c:scatterStyle val="lineMarker"/>
        <c:varyColors val="0"/>
        <c:ser>
          <c:idx val="5"/>
          <c:order val="0"/>
          <c:tx>
            <c:v>Undiscounted Cash Flow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'monthly calculations (1)'!$B$6:$B$365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'monthly calculations (1)'!$AN$6:$AN$365</c:f>
              <c:numCache>
                <c:formatCode>_("$"* #,##0_);_("$"* \(#,##0\);_("$"* "-"??_);_(@_)</c:formatCode>
                <c:ptCount val="360"/>
                <c:pt idx="0">
                  <c:v>43425.884901228674</c:v>
                </c:pt>
                <c:pt idx="1">
                  <c:v>37516.068528206582</c:v>
                </c:pt>
                <c:pt idx="2">
                  <c:v>41107.101578031616</c:v>
                </c:pt>
                <c:pt idx="3">
                  <c:v>38494.39194870834</c:v>
                </c:pt>
                <c:pt idx="4">
                  <c:v>38937.011794169644</c:v>
                </c:pt>
                <c:pt idx="5">
                  <c:v>36495.700946002631</c:v>
                </c:pt>
                <c:pt idx="6">
                  <c:v>36965.884790376454</c:v>
                </c:pt>
                <c:pt idx="7">
                  <c:v>36031.672824893009</c:v>
                </c:pt>
                <c:pt idx="8">
                  <c:v>33811.802489983609</c:v>
                </c:pt>
                <c:pt idx="9">
                  <c:v>34311.679095881453</c:v>
                </c:pt>
                <c:pt idx="10">
                  <c:v>32218.57657082715</c:v>
                </c:pt>
                <c:pt idx="11">
                  <c:v>32732.115191896359</c:v>
                </c:pt>
                <c:pt idx="12">
                  <c:v>31977.685914178532</c:v>
                </c:pt>
                <c:pt idx="13">
                  <c:v>27648.03462901531</c:v>
                </c:pt>
                <c:pt idx="14">
                  <c:v>30623.021250993217</c:v>
                </c:pt>
                <c:pt idx="15">
                  <c:v>28790.951324545458</c:v>
                </c:pt>
                <c:pt idx="16">
                  <c:v>29323.893639356684</c:v>
                </c:pt>
                <c:pt idx="17">
                  <c:v>27580.248697580326</c:v>
                </c:pt>
                <c:pt idx="18">
                  <c:v>28116.794087106646</c:v>
                </c:pt>
                <c:pt idx="19">
                  <c:v>27535.465804166728</c:v>
                </c:pt>
                <c:pt idx="20">
                  <c:v>25910.569229791152</c:v>
                </c:pt>
                <c:pt idx="21">
                  <c:v>26449.30981020577</c:v>
                </c:pt>
                <c:pt idx="22">
                  <c:v>24894.851204488983</c:v>
                </c:pt>
                <c:pt idx="23">
                  <c:v>25433.358682342598</c:v>
                </c:pt>
                <c:pt idx="24">
                  <c:v>24941.76039111174</c:v>
                </c:pt>
                <c:pt idx="25">
                  <c:v>21517.438611991969</c:v>
                </c:pt>
                <c:pt idx="26">
                  <c:v>24048.540636541729</c:v>
                </c:pt>
                <c:pt idx="27">
                  <c:v>22645.28702211448</c:v>
                </c:pt>
                <c:pt idx="28">
                  <c:v>23179.074274928178</c:v>
                </c:pt>
                <c:pt idx="29">
                  <c:v>21829.064420285431</c:v>
                </c:pt>
                <c:pt idx="30">
                  <c:v>22359.713790434431</c:v>
                </c:pt>
                <c:pt idx="31">
                  <c:v>21961.116460807774</c:v>
                </c:pt>
                <c:pt idx="32">
                  <c:v>20684.34253444149</c:v>
                </c:pt>
                <c:pt idx="33">
                  <c:v>21209.320348467612</c:v>
                </c:pt>
                <c:pt idx="34">
                  <c:v>19976.969962982519</c:v>
                </c:pt>
                <c:pt idx="35">
                  <c:v>20497.704735127449</c:v>
                </c:pt>
                <c:pt idx="36">
                  <c:v>20150.418086502403</c:v>
                </c:pt>
                <c:pt idx="37">
                  <c:v>18146.976528199186</c:v>
                </c:pt>
                <c:pt idx="38">
                  <c:v>19503.929619233124</c:v>
                </c:pt>
                <c:pt idx="39">
                  <c:v>18370.15202571957</c:v>
                </c:pt>
                <c:pt idx="40">
                  <c:v>18879.167042575784</c:v>
                </c:pt>
                <c:pt idx="41">
                  <c:v>17780.742157662575</c:v>
                </c:pt>
                <c:pt idx="42">
                  <c:v>18284.738156990927</c:v>
                </c:pt>
                <c:pt idx="43">
                  <c:v>17993.559975860819</c:v>
                </c:pt>
                <c:pt idx="44">
                  <c:v>16944.555624091543</c:v>
                </c:pt>
                <c:pt idx="45">
                  <c:v>17440.773126488974</c:v>
                </c:pt>
                <c:pt idx="46">
                  <c:v>16422.207189868361</c:v>
                </c:pt>
                <c:pt idx="47">
                  <c:v>16913.17593483875</c:v>
                </c:pt>
                <c:pt idx="48">
                  <c:v>16654.148450404118</c:v>
                </c:pt>
                <c:pt idx="49">
                  <c:v>14233.133848218909</c:v>
                </c:pt>
                <c:pt idx="50">
                  <c:v>16177.15228116652</c:v>
                </c:pt>
                <c:pt idx="51">
                  <c:v>15226.992862626241</c:v>
                </c:pt>
                <c:pt idx="52">
                  <c:v>15704.832757777338</c:v>
                </c:pt>
                <c:pt idx="53">
                  <c:v>14779.826341124921</c:v>
                </c:pt>
                <c:pt idx="54">
                  <c:v>15252.356773617721</c:v>
                </c:pt>
                <c:pt idx="55">
                  <c:v>15029.610198127637</c:v>
                </c:pt>
                <c:pt idx="56">
                  <c:v>14140.171925740218</c:v>
                </c:pt>
                <c:pt idx="57">
                  <c:v>14604.733924841814</c:v>
                </c:pt>
                <c:pt idx="58">
                  <c:v>13737.442307024092</c:v>
                </c:pt>
                <c:pt idx="59">
                  <c:v>14196.763007075999</c:v>
                </c:pt>
                <c:pt idx="60">
                  <c:v>13995.586400253</c:v>
                </c:pt>
                <c:pt idx="61">
                  <c:v>11882.417295956668</c:v>
                </c:pt>
                <c:pt idx="62">
                  <c:v>13623.600735521515</c:v>
                </c:pt>
                <c:pt idx="63">
                  <c:v>12806.764403389345</c:v>
                </c:pt>
                <c:pt idx="64">
                  <c:v>13253.314468215121</c:v>
                </c:pt>
                <c:pt idx="65">
                  <c:v>12455.272952570685</c:v>
                </c:pt>
                <c:pt idx="66">
                  <c:v>12896.762313755949</c:v>
                </c:pt>
                <c:pt idx="67">
                  <c:v>12720.580917237312</c:v>
                </c:pt>
                <c:pt idx="68">
                  <c:v>11949.343500075694</c:v>
                </c:pt>
                <c:pt idx="69">
                  <c:v>12383.321470854877</c:v>
                </c:pt>
                <c:pt idx="70">
                  <c:v>11628.90965624513</c:v>
                </c:pt>
                <c:pt idx="71">
                  <c:v>12057.992235552858</c:v>
                </c:pt>
                <c:pt idx="72">
                  <c:v>11897.029520498672</c:v>
                </c:pt>
                <c:pt idx="73">
                  <c:v>10022.238160500026</c:v>
                </c:pt>
                <c:pt idx="74">
                  <c:v>11598.463877892413</c:v>
                </c:pt>
                <c:pt idx="75">
                  <c:v>10882.780348516117</c:v>
                </c:pt>
                <c:pt idx="76">
                  <c:v>11300.051828675041</c:v>
                </c:pt>
                <c:pt idx="77">
                  <c:v>10598.93712378178</c:v>
                </c:pt>
                <c:pt idx="78">
                  <c:v>11011.564782535079</c:v>
                </c:pt>
                <c:pt idx="79">
                  <c:v>10868.601431598923</c:v>
                </c:pt>
                <c:pt idx="80">
                  <c:v>10188.39941140896</c:v>
                </c:pt>
                <c:pt idx="81">
                  <c:v>10594.164395529126</c:v>
                </c:pt>
                <c:pt idx="82">
                  <c:v>9927.1718286904688</c:v>
                </c:pt>
                <c:pt idx="83">
                  <c:v>10328.48046106523</c:v>
                </c:pt>
                <c:pt idx="84">
                  <c:v>10196.681201146728</c:v>
                </c:pt>
                <c:pt idx="85">
                  <c:v>9030.4035955495256</c:v>
                </c:pt>
                <c:pt idx="86">
                  <c:v>9947.5105272464425</c:v>
                </c:pt>
                <c:pt idx="87">
                  <c:v>9311.3596787821298</c:v>
                </c:pt>
                <c:pt idx="88">
                  <c:v>9701.8885711533167</c:v>
                </c:pt>
                <c:pt idx="89">
                  <c:v>9077.3485596487317</c:v>
                </c:pt>
                <c:pt idx="90">
                  <c:v>9463.6804547882311</c:v>
                </c:pt>
                <c:pt idx="91">
                  <c:v>9345.3579132898667</c:v>
                </c:pt>
                <c:pt idx="92">
                  <c:v>8737.5701313455102</c:v>
                </c:pt>
                <c:pt idx="93">
                  <c:v>9117.7098119887141</c:v>
                </c:pt>
                <c:pt idx="94">
                  <c:v>8520.5558399577512</c:v>
                </c:pt>
                <c:pt idx="95">
                  <c:v>8896.6798383390087</c:v>
                </c:pt>
                <c:pt idx="96">
                  <c:v>8786.7973967689886</c:v>
                </c:pt>
                <c:pt idx="97">
                  <c:v>7258.0131145485411</c:v>
                </c:pt>
                <c:pt idx="98">
                  <c:v>8582.0565874570311</c:v>
                </c:pt>
                <c:pt idx="99">
                  <c:v>8009.7318887453803</c:v>
                </c:pt>
                <c:pt idx="100">
                  <c:v>8376.2171443906245</c:v>
                </c:pt>
                <c:pt idx="101">
                  <c:v>7813.3623116025137</c:v>
                </c:pt>
                <c:pt idx="102">
                  <c:v>8176.0728476877957</c:v>
                </c:pt>
                <c:pt idx="103">
                  <c:v>8076.4675135181351</c:v>
                </c:pt>
                <c:pt idx="104">
                  <c:v>7527.332216230905</c:v>
                </c:pt>
                <c:pt idx="105">
                  <c:v>7884.4757325980809</c:v>
                </c:pt>
                <c:pt idx="106">
                  <c:v>7344.0838799392877</c:v>
                </c:pt>
                <c:pt idx="107">
                  <c:v>7697.6180126243198</c:v>
                </c:pt>
                <c:pt idx="108">
                  <c:v>7604.55960079949</c:v>
                </c:pt>
                <c:pt idx="109">
                  <c:v>6204.9857118404343</c:v>
                </c:pt>
                <c:pt idx="110">
                  <c:v>7430.3570542646394</c:v>
                </c:pt>
                <c:pt idx="111">
                  <c:v>6909.6465375504104</c:v>
                </c:pt>
                <c:pt idx="112">
                  <c:v>7253.2226138290825</c:v>
                </c:pt>
                <c:pt idx="113">
                  <c:v>6739.6735276165928</c:v>
                </c:pt>
                <c:pt idx="114">
                  <c:v>7079.0154328905646</c:v>
                </c:pt>
                <c:pt idx="115">
                  <c:v>6991.5853665340601</c:v>
                </c:pt>
                <c:pt idx="116">
                  <c:v>6488.6001472502649</c:v>
                </c:pt>
                <c:pt idx="117">
                  <c:v>6821.6739890269946</c:v>
                </c:pt>
                <c:pt idx="118">
                  <c:v>6325.5403699915787</c:v>
                </c:pt>
                <c:pt idx="119">
                  <c:v>6654.5348826575755</c:v>
                </c:pt>
                <c:pt idx="120">
                  <c:v>6570.6389646951066</c:v>
                </c:pt>
                <c:pt idx="121">
                  <c:v>5278.9748292496279</c:v>
                </c:pt>
                <c:pt idx="122">
                  <c:v>6412.875563336569</c:v>
                </c:pt>
                <c:pt idx="123">
                  <c:v>5933.1990815135705</c:v>
                </c:pt>
                <c:pt idx="124">
                  <c:v>6252.3514137409547</c:v>
                </c:pt>
                <c:pt idx="125">
                  <c:v>5779.1268291714568</c:v>
                </c:pt>
                <c:pt idx="126">
                  <c:v>6094.4040035461294</c:v>
                </c:pt>
                <c:pt idx="127">
                  <c:v>6015.1062323449714</c:v>
                </c:pt>
                <c:pt idx="128">
                  <c:v>5551.4067068588611</c:v>
                </c:pt>
                <c:pt idx="129">
                  <c:v>5860.9461383714297</c:v>
                </c:pt>
                <c:pt idx="130">
                  <c:v>5403.4293388991264</c:v>
                </c:pt>
                <c:pt idx="131">
                  <c:v>5709.2338259743447</c:v>
                </c:pt>
                <c:pt idx="132">
                  <c:v>5633.0564822587276</c:v>
                </c:pt>
                <c:pt idx="133">
                  <c:v>4811.847726494987</c:v>
                </c:pt>
                <c:pt idx="134">
                  <c:v>5487.3531207199103</c:v>
                </c:pt>
                <c:pt idx="135">
                  <c:v>5044.7985403873608</c:v>
                </c:pt>
                <c:pt idx="136">
                  <c:v>5341.5305988642122</c:v>
                </c:pt>
                <c:pt idx="137">
                  <c:v>4904.8081982944823</c:v>
                </c:pt>
                <c:pt idx="138">
                  <c:v>5197.9910930150872</c:v>
                </c:pt>
                <c:pt idx="139">
                  <c:v>5125.9054606245827</c:v>
                </c:pt>
                <c:pt idx="140">
                  <c:v>4697.798986244472</c:v>
                </c:pt>
                <c:pt idx="141">
                  <c:v>4985.725748499126</c:v>
                </c:pt>
                <c:pt idx="142">
                  <c:v>4563.2154982331158</c:v>
                </c:pt>
                <c:pt idx="143">
                  <c:v>4849.879689980924</c:v>
                </c:pt>
                <c:pt idx="144">
                  <c:v>4780.398942951535</c:v>
                </c:pt>
                <c:pt idx="145">
                  <c:v>3674.7807384786629</c:v>
                </c:pt>
                <c:pt idx="146">
                  <c:v>4649.3918891027242</c:v>
                </c:pt>
                <c:pt idx="147">
                  <c:v>4239.8701632992561</c:v>
                </c:pt>
                <c:pt idx="148">
                  <c:v>4515.6237131700691</c:v>
                </c:pt>
                <c:pt idx="149">
                  <c:v>4111.249594810588</c:v>
                </c:pt>
                <c:pt idx="150">
                  <c:v>4383.5433437974243</c:v>
                </c:pt>
                <c:pt idx="151">
                  <c:v>4317.0609128080214</c:v>
                </c:pt>
                <c:pt idx="152">
                  <c:v>3920.3289396081946</c:v>
                </c:pt>
                <c:pt idx="153">
                  <c:v>4187.4881508071358</c:v>
                </c:pt>
                <c:pt idx="154">
                  <c:v>3795.7437647329207</c:v>
                </c:pt>
                <c:pt idx="155">
                  <c:v>4059.5530879965754</c:v>
                </c:pt>
                <c:pt idx="156">
                  <c:v>3995.1581974213259</c:v>
                </c:pt>
                <c:pt idx="157">
                  <c:v>2970.0967939228776</c:v>
                </c:pt>
                <c:pt idx="158">
                  <c:v>3873.7453781249733</c:v>
                </c:pt>
                <c:pt idx="159">
                  <c:v>3494.0797569352908</c:v>
                </c:pt>
                <c:pt idx="160">
                  <c:v>3749.779749798905</c:v>
                </c:pt>
                <c:pt idx="161">
                  <c:v>3374.8873802872677</c:v>
                </c:pt>
                <c:pt idx="162">
                  <c:v>3627.3839176157908</c:v>
                </c:pt>
                <c:pt idx="163">
                  <c:v>3565.778198341086</c:v>
                </c:pt>
                <c:pt idx="164">
                  <c:v>3197.9713969563745</c:v>
                </c:pt>
                <c:pt idx="165">
                  <c:v>3445.7137025634383</c:v>
                </c:pt>
                <c:pt idx="166">
                  <c:v>3082.5307554229603</c:v>
                </c:pt>
                <c:pt idx="167">
                  <c:v>3327.1712129548414</c:v>
                </c:pt>
                <c:pt idx="168">
                  <c:v>3267.5055718564636</c:v>
                </c:pt>
                <c:pt idx="169">
                  <c:v>2317.1071019893952</c:v>
                </c:pt>
                <c:pt idx="170">
                  <c:v>3155.0121989903</c:v>
                </c:pt>
                <c:pt idx="171">
                  <c:v>2803.0256922037206</c:v>
                </c:pt>
                <c:pt idx="172">
                  <c:v>3040.1570051071612</c:v>
                </c:pt>
                <c:pt idx="173">
                  <c:v>2692.5945579446252</c:v>
                </c:pt>
                <c:pt idx="174">
                  <c:v>2926.7594056442085</c:v>
                </c:pt>
                <c:pt idx="175">
                  <c:v>2869.6838952401285</c:v>
                </c:pt>
                <c:pt idx="176">
                  <c:v>2528.6881758718137</c:v>
                </c:pt>
                <c:pt idx="177">
                  <c:v>2758.4503998435321</c:v>
                </c:pt>
                <c:pt idx="178">
                  <c:v>2421.7396606472212</c:v>
                </c:pt>
                <c:pt idx="179">
                  <c:v>2648.6293694791711</c:v>
                </c:pt>
                <c:pt idx="180">
                  <c:v>2593.3543127617213</c:v>
                </c:pt>
                <c:pt idx="181">
                  <c:v>1987.5702632078737</c:v>
                </c:pt>
                <c:pt idx="182">
                  <c:v>2487.3850860399234</c:v>
                </c:pt>
                <c:pt idx="183">
                  <c:v>2161.1169812605995</c:v>
                </c:pt>
                <c:pt idx="184">
                  <c:v>2381.0071755539575</c:v>
                </c:pt>
                <c:pt idx="185">
                  <c:v>2058.837396730858</c:v>
                </c:pt>
                <c:pt idx="186">
                  <c:v>2275.9808446859242</c:v>
                </c:pt>
                <c:pt idx="187">
                  <c:v>2223.1193144092886</c:v>
                </c:pt>
                <c:pt idx="188">
                  <c:v>1907.0324862720436</c:v>
                </c:pt>
                <c:pt idx="189">
                  <c:v>2120.0993062266225</c:v>
                </c:pt>
                <c:pt idx="190">
                  <c:v>1807.9816117837272</c:v>
                </c:pt>
                <c:pt idx="191">
                  <c:v>2018.3885519572204</c:v>
                </c:pt>
                <c:pt idx="192">
                  <c:v>1967.1959171215949</c:v>
                </c:pt>
                <c:pt idx="193">
                  <c:v>1150.2380519003145</c:v>
                </c:pt>
                <c:pt idx="194">
                  <c:v>1870.6794061826331</c:v>
                </c:pt>
                <c:pt idx="195">
                  <c:v>1568.1714954567169</c:v>
                </c:pt>
                <c:pt idx="196">
                  <c:v>1772.138815295697</c:v>
                </c:pt>
                <c:pt idx="197">
                  <c:v>1473.4275775539772</c:v>
                </c:pt>
                <c:pt idx="198">
                  <c:v>1674.8507792038326</c:v>
                </c:pt>
                <c:pt idx="199">
                  <c:v>1625.8842343747529</c:v>
                </c:pt>
                <c:pt idx="200">
                  <c:v>1332.8080669471747</c:v>
                </c:pt>
                <c:pt idx="201">
                  <c:v>1530.4552884844352</c:v>
                </c:pt>
                <c:pt idx="202">
                  <c:v>1241.0559247594956</c:v>
                </c:pt>
                <c:pt idx="203">
                  <c:v>1436.2393744562405</c:v>
                </c:pt>
                <c:pt idx="204">
                  <c:v>1388.8190740539258</c:v>
                </c:pt>
                <c:pt idx="205">
                  <c:v>631.21837627805326</c:v>
                </c:pt>
                <c:pt idx="206">
                  <c:v>1299.4148275330181</c:v>
                </c:pt>
                <c:pt idx="207">
                  <c:v>1018.9172366116491</c:v>
                </c:pt>
                <c:pt idx="208">
                  <c:v>1208.1356612059926</c:v>
                </c:pt>
                <c:pt idx="209">
                  <c:v>931.15493933685502</c:v>
                </c:pt>
                <c:pt idx="210">
                  <c:v>1118.0166717876109</c:v>
                </c:pt>
                <c:pt idx="211">
                  <c:v>1072.6583617768174</c:v>
                </c:pt>
                <c:pt idx="212">
                  <c:v>800.89735405137799</c:v>
                </c:pt>
                <c:pt idx="213">
                  <c:v>984.26120598136185</c:v>
                </c:pt>
                <c:pt idx="214">
                  <c:v>715.90595121283968</c:v>
                </c:pt>
                <c:pt idx="215">
                  <c:v>896.98743626265878</c:v>
                </c:pt>
                <c:pt idx="216">
                  <c:v>853.06110131245441</c:v>
                </c:pt>
                <c:pt idx="217">
                  <c:v>150.44325577673681</c:v>
                </c:pt>
                <c:pt idx="218">
                  <c:v>770.24397032946308</c:v>
                </c:pt>
                <c:pt idx="219">
                  <c:v>510.13416746133953</c:v>
                </c:pt>
                <c:pt idx="220">
                  <c:v>685.68965632874824</c:v>
                </c:pt>
                <c:pt idx="221">
                  <c:v>428.83740136752931</c:v>
                </c:pt>
                <c:pt idx="222">
                  <c:v>602.20958455481832</c:v>
                </c:pt>
                <c:pt idx="223">
                  <c:v>560.19255465248443</c:v>
                </c:pt>
                <c:pt idx="224">
                  <c:v>308.17511602098057</c:v>
                </c:pt>
                <c:pt idx="225">
                  <c:v>478.30669301010676</c:v>
                </c:pt>
                <c:pt idx="226">
                  <c:v>229.44386474912062</c:v>
                </c:pt>
                <c:pt idx="227">
                  <c:v>397.46089958122684</c:v>
                </c:pt>
                <c:pt idx="228">
                  <c:v>356.76964084745032</c:v>
                </c:pt>
                <c:pt idx="229">
                  <c:v>0</c:v>
                </c:pt>
                <c:pt idx="230">
                  <c:v>278.75920166295509</c:v>
                </c:pt>
                <c:pt idx="231">
                  <c:v>37.583581738994326</c:v>
                </c:pt>
                <c:pt idx="232">
                  <c:v>200.44742606055752</c:v>
                </c:pt>
                <c:pt idx="233">
                  <c:v>0</c:v>
                </c:pt>
                <c:pt idx="234">
                  <c:v>123.12989658472179</c:v>
                </c:pt>
                <c:pt idx="235">
                  <c:v>84.214313640920409</c:v>
                </c:pt>
                <c:pt idx="236">
                  <c:v>0</c:v>
                </c:pt>
                <c:pt idx="237">
                  <c:v>8.3722286838110449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5E-4135-BEF5-2DA56F60B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5728"/>
        <c:axId val="634163104"/>
      </c:scatterChart>
      <c:scatterChart>
        <c:scatterStyle val="lineMarker"/>
        <c:varyColors val="0"/>
        <c:ser>
          <c:idx val="6"/>
          <c:order val="1"/>
          <c:tx>
            <c:v>Cumulative Cash Flow</c:v>
          </c:tx>
          <c:spPr>
            <a:ln w="19050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'monthly calculations (1)'!$B$6:$B$365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'monthly calculations (1)'!$AO$6:$AO$365</c:f>
              <c:numCache>
                <c:formatCode>_("$"* #,##0_);_("$"* \(#,##0\);_("$"* "-"??_);_(@_)</c:formatCode>
                <c:ptCount val="360"/>
                <c:pt idx="0">
                  <c:v>43425.884901228674</c:v>
                </c:pt>
                <c:pt idx="1">
                  <c:v>80941.953429435263</c:v>
                </c:pt>
                <c:pt idx="2">
                  <c:v>122049.05500746687</c:v>
                </c:pt>
                <c:pt idx="3">
                  <c:v>160543.4469561752</c:v>
                </c:pt>
                <c:pt idx="4">
                  <c:v>199480.45875034484</c:v>
                </c:pt>
                <c:pt idx="5">
                  <c:v>235976.15969634749</c:v>
                </c:pt>
                <c:pt idx="6">
                  <c:v>272942.04448672396</c:v>
                </c:pt>
                <c:pt idx="7">
                  <c:v>308973.71731161699</c:v>
                </c:pt>
                <c:pt idx="8">
                  <c:v>342785.5198016006</c:v>
                </c:pt>
                <c:pt idx="9">
                  <c:v>377097.19889748207</c:v>
                </c:pt>
                <c:pt idx="10">
                  <c:v>409315.77546830924</c:v>
                </c:pt>
                <c:pt idx="11">
                  <c:v>442047.89066020562</c:v>
                </c:pt>
                <c:pt idx="12">
                  <c:v>474025.57657438418</c:v>
                </c:pt>
                <c:pt idx="13">
                  <c:v>501673.61120339949</c:v>
                </c:pt>
                <c:pt idx="14">
                  <c:v>532296.63245439273</c:v>
                </c:pt>
                <c:pt idx="15">
                  <c:v>561087.58377893816</c:v>
                </c:pt>
                <c:pt idx="16">
                  <c:v>590411.47741829487</c:v>
                </c:pt>
                <c:pt idx="17">
                  <c:v>617991.72611587518</c:v>
                </c:pt>
                <c:pt idx="18">
                  <c:v>646108.52020298177</c:v>
                </c:pt>
                <c:pt idx="19">
                  <c:v>673643.98600714852</c:v>
                </c:pt>
                <c:pt idx="20">
                  <c:v>699554.55523693969</c:v>
                </c:pt>
                <c:pt idx="21">
                  <c:v>726003.8650471454</c:v>
                </c:pt>
                <c:pt idx="22">
                  <c:v>750898.71625163441</c:v>
                </c:pt>
                <c:pt idx="23">
                  <c:v>776332.07493397698</c:v>
                </c:pt>
                <c:pt idx="24">
                  <c:v>801273.8353250887</c:v>
                </c:pt>
                <c:pt idx="25">
                  <c:v>822791.27393708064</c:v>
                </c:pt>
                <c:pt idx="26">
                  <c:v>846839.81457362231</c:v>
                </c:pt>
                <c:pt idx="27">
                  <c:v>869485.10159573681</c:v>
                </c:pt>
                <c:pt idx="28">
                  <c:v>892664.175870665</c:v>
                </c:pt>
                <c:pt idx="29">
                  <c:v>914493.2402909504</c:v>
                </c:pt>
                <c:pt idx="30">
                  <c:v>936852.95408138481</c:v>
                </c:pt>
                <c:pt idx="31">
                  <c:v>958814.07054219255</c:v>
                </c:pt>
                <c:pt idx="32">
                  <c:v>979498.41307663405</c:v>
                </c:pt>
                <c:pt idx="33">
                  <c:v>1000707.7334251016</c:v>
                </c:pt>
                <c:pt idx="34">
                  <c:v>1020684.7033880842</c:v>
                </c:pt>
                <c:pt idx="35">
                  <c:v>1041182.4081232116</c:v>
                </c:pt>
                <c:pt idx="36">
                  <c:v>1061332.8262097139</c:v>
                </c:pt>
                <c:pt idx="37">
                  <c:v>1079479.8027379131</c:v>
                </c:pt>
                <c:pt idx="38">
                  <c:v>1098983.7323571462</c:v>
                </c:pt>
                <c:pt idx="39">
                  <c:v>1117353.8843828659</c:v>
                </c:pt>
                <c:pt idx="40">
                  <c:v>1136233.0514254416</c:v>
                </c:pt>
                <c:pt idx="41">
                  <c:v>1154013.7935831042</c:v>
                </c:pt>
                <c:pt idx="42">
                  <c:v>1172298.531740095</c:v>
                </c:pt>
                <c:pt idx="43">
                  <c:v>1190292.0917159559</c:v>
                </c:pt>
                <c:pt idx="44">
                  <c:v>1207236.6473400474</c:v>
                </c:pt>
                <c:pt idx="45">
                  <c:v>1224677.4204665364</c:v>
                </c:pt>
                <c:pt idx="46">
                  <c:v>1241099.6276564049</c:v>
                </c:pt>
                <c:pt idx="47">
                  <c:v>1258012.8035912437</c:v>
                </c:pt>
                <c:pt idx="48">
                  <c:v>1274666.9520416479</c:v>
                </c:pt>
                <c:pt idx="49">
                  <c:v>1288900.0858898668</c:v>
                </c:pt>
                <c:pt idx="50">
                  <c:v>1305077.2381710333</c:v>
                </c:pt>
                <c:pt idx="51">
                  <c:v>1320304.2310336595</c:v>
                </c:pt>
                <c:pt idx="52">
                  <c:v>1336009.0637914368</c:v>
                </c:pt>
                <c:pt idx="53">
                  <c:v>1350788.8901325618</c:v>
                </c:pt>
                <c:pt idx="54">
                  <c:v>1366041.2469061795</c:v>
                </c:pt>
                <c:pt idx="55">
                  <c:v>1381070.857104307</c:v>
                </c:pt>
                <c:pt idx="56">
                  <c:v>1395211.0290300474</c:v>
                </c:pt>
                <c:pt idx="57">
                  <c:v>1409815.7629548891</c:v>
                </c:pt>
                <c:pt idx="58">
                  <c:v>1423553.2052619131</c:v>
                </c:pt>
                <c:pt idx="59">
                  <c:v>1437749.9682689891</c:v>
                </c:pt>
                <c:pt idx="60">
                  <c:v>1451745.5546692421</c:v>
                </c:pt>
                <c:pt idx="61">
                  <c:v>1463627.9719651989</c:v>
                </c:pt>
                <c:pt idx="62">
                  <c:v>1477251.5727007203</c:v>
                </c:pt>
                <c:pt idx="63">
                  <c:v>1490058.3371041096</c:v>
                </c:pt>
                <c:pt idx="64">
                  <c:v>1503311.6515723248</c:v>
                </c:pt>
                <c:pt idx="65">
                  <c:v>1515766.9245248954</c:v>
                </c:pt>
                <c:pt idx="66">
                  <c:v>1528663.6868386513</c:v>
                </c:pt>
                <c:pt idx="67">
                  <c:v>1541384.2677558886</c:v>
                </c:pt>
                <c:pt idx="68">
                  <c:v>1553333.6112559643</c:v>
                </c:pt>
                <c:pt idx="69">
                  <c:v>1565716.9327268191</c:v>
                </c:pt>
                <c:pt idx="70">
                  <c:v>1577345.8423830641</c:v>
                </c:pt>
                <c:pt idx="71">
                  <c:v>1589403.8346186168</c:v>
                </c:pt>
                <c:pt idx="72">
                  <c:v>1601300.8641391154</c:v>
                </c:pt>
                <c:pt idx="73">
                  <c:v>1611323.1022996155</c:v>
                </c:pt>
                <c:pt idx="74">
                  <c:v>1622921.5661775079</c:v>
                </c:pt>
                <c:pt idx="75">
                  <c:v>1633804.3465260239</c:v>
                </c:pt>
                <c:pt idx="76">
                  <c:v>1645104.3983546989</c:v>
                </c:pt>
                <c:pt idx="77">
                  <c:v>1655703.3354784807</c:v>
                </c:pt>
                <c:pt idx="78">
                  <c:v>1666714.9002610159</c:v>
                </c:pt>
                <c:pt idx="79">
                  <c:v>1677583.5016926148</c:v>
                </c:pt>
                <c:pt idx="80">
                  <c:v>1687771.9011040237</c:v>
                </c:pt>
                <c:pt idx="81">
                  <c:v>1698366.0654995528</c:v>
                </c:pt>
                <c:pt idx="82">
                  <c:v>1708293.2373282432</c:v>
                </c:pt>
                <c:pt idx="83">
                  <c:v>1718621.7177893084</c:v>
                </c:pt>
                <c:pt idx="84">
                  <c:v>1728818.3989904551</c:v>
                </c:pt>
                <c:pt idx="85">
                  <c:v>1737848.8025860046</c:v>
                </c:pt>
                <c:pt idx="86">
                  <c:v>1747796.313113251</c:v>
                </c:pt>
                <c:pt idx="87">
                  <c:v>1757107.6727920331</c:v>
                </c:pt>
                <c:pt idx="88">
                  <c:v>1766809.5613631865</c:v>
                </c:pt>
                <c:pt idx="89">
                  <c:v>1775886.9099228352</c:v>
                </c:pt>
                <c:pt idx="90">
                  <c:v>1785350.5903776234</c:v>
                </c:pt>
                <c:pt idx="91">
                  <c:v>1794695.9482909134</c:v>
                </c:pt>
                <c:pt idx="92">
                  <c:v>1803433.5184222588</c:v>
                </c:pt>
                <c:pt idx="93">
                  <c:v>1812551.2282342475</c:v>
                </c:pt>
                <c:pt idx="94">
                  <c:v>1821071.7840742052</c:v>
                </c:pt>
                <c:pt idx="95">
                  <c:v>1829968.4639125443</c:v>
                </c:pt>
                <c:pt idx="96">
                  <c:v>1838755.2613093134</c:v>
                </c:pt>
                <c:pt idx="97">
                  <c:v>1846013.2744238619</c:v>
                </c:pt>
                <c:pt idx="98">
                  <c:v>1854595.3310113188</c:v>
                </c:pt>
                <c:pt idx="99">
                  <c:v>1862605.0629000643</c:v>
                </c:pt>
                <c:pt idx="100">
                  <c:v>1870981.2800444548</c:v>
                </c:pt>
                <c:pt idx="101">
                  <c:v>1878794.6423560574</c:v>
                </c:pt>
                <c:pt idx="102">
                  <c:v>1886970.7152037453</c:v>
                </c:pt>
                <c:pt idx="103">
                  <c:v>1895047.1827172635</c:v>
                </c:pt>
                <c:pt idx="104">
                  <c:v>1902574.5149334944</c:v>
                </c:pt>
                <c:pt idx="105">
                  <c:v>1910458.9906660924</c:v>
                </c:pt>
                <c:pt idx="106">
                  <c:v>1917803.0745460317</c:v>
                </c:pt>
                <c:pt idx="107">
                  <c:v>1925500.692558656</c:v>
                </c:pt>
                <c:pt idx="108">
                  <c:v>1933105.2521594556</c:v>
                </c:pt>
                <c:pt idx="109">
                  <c:v>1939310.237871296</c:v>
                </c:pt>
                <c:pt idx="110">
                  <c:v>1946740.5949255608</c:v>
                </c:pt>
                <c:pt idx="111">
                  <c:v>1953650.2414631112</c:v>
                </c:pt>
                <c:pt idx="112">
                  <c:v>1960903.4640769404</c:v>
                </c:pt>
                <c:pt idx="113">
                  <c:v>1967643.137604557</c:v>
                </c:pt>
                <c:pt idx="114">
                  <c:v>1974722.1530374475</c:v>
                </c:pt>
                <c:pt idx="115">
                  <c:v>1981713.7384039816</c:v>
                </c:pt>
                <c:pt idx="116">
                  <c:v>1988202.3385512319</c:v>
                </c:pt>
                <c:pt idx="117">
                  <c:v>1995024.0125402589</c:v>
                </c:pt>
                <c:pt idx="118">
                  <c:v>2001349.5529102506</c:v>
                </c:pt>
                <c:pt idx="119">
                  <c:v>2008004.0877929081</c:v>
                </c:pt>
                <c:pt idx="120">
                  <c:v>2014574.7267576032</c:v>
                </c:pt>
                <c:pt idx="121">
                  <c:v>2019853.7015868528</c:v>
                </c:pt>
                <c:pt idx="122">
                  <c:v>2026266.5771501893</c:v>
                </c:pt>
                <c:pt idx="123">
                  <c:v>2032199.7762317029</c:v>
                </c:pt>
                <c:pt idx="124">
                  <c:v>2038452.1276454439</c:v>
                </c:pt>
                <c:pt idx="125">
                  <c:v>2044231.2544746154</c:v>
                </c:pt>
                <c:pt idx="126">
                  <c:v>2050325.6584781616</c:v>
                </c:pt>
                <c:pt idx="127">
                  <c:v>2056340.7647105064</c:v>
                </c:pt>
                <c:pt idx="128">
                  <c:v>2061892.1714173653</c:v>
                </c:pt>
                <c:pt idx="129">
                  <c:v>2067753.1175557368</c:v>
                </c:pt>
                <c:pt idx="130">
                  <c:v>2073156.546894636</c:v>
                </c:pt>
                <c:pt idx="131">
                  <c:v>2078865.7807206104</c:v>
                </c:pt>
                <c:pt idx="132">
                  <c:v>2084498.8372028691</c:v>
                </c:pt>
                <c:pt idx="133">
                  <c:v>2089310.6849293641</c:v>
                </c:pt>
                <c:pt idx="134">
                  <c:v>2094798.0380500841</c:v>
                </c:pt>
                <c:pt idx="135">
                  <c:v>2099842.8365904717</c:v>
                </c:pt>
                <c:pt idx="136">
                  <c:v>2105184.3671893361</c:v>
                </c:pt>
                <c:pt idx="137">
                  <c:v>2110089.1753876307</c:v>
                </c:pt>
                <c:pt idx="138">
                  <c:v>2115287.166480646</c:v>
                </c:pt>
                <c:pt idx="139">
                  <c:v>2120413.0719412705</c:v>
                </c:pt>
                <c:pt idx="140">
                  <c:v>2125110.870927515</c:v>
                </c:pt>
                <c:pt idx="141">
                  <c:v>2130096.5966760139</c:v>
                </c:pt>
                <c:pt idx="142">
                  <c:v>2134659.8121742471</c:v>
                </c:pt>
                <c:pt idx="143">
                  <c:v>2139509.6918642279</c:v>
                </c:pt>
                <c:pt idx="144">
                  <c:v>2144290.0908071795</c:v>
                </c:pt>
                <c:pt idx="145">
                  <c:v>2147964.871545658</c:v>
                </c:pt>
                <c:pt idx="146">
                  <c:v>2152614.2634347607</c:v>
                </c:pt>
                <c:pt idx="147">
                  <c:v>2156854.1335980599</c:v>
                </c:pt>
                <c:pt idx="148">
                  <c:v>2161369.7573112301</c:v>
                </c:pt>
                <c:pt idx="149">
                  <c:v>2165481.0069060405</c:v>
                </c:pt>
                <c:pt idx="150">
                  <c:v>2169864.5502498378</c:v>
                </c:pt>
                <c:pt idx="151">
                  <c:v>2174181.6111626457</c:v>
                </c:pt>
                <c:pt idx="152">
                  <c:v>2178101.940102254</c:v>
                </c:pt>
                <c:pt idx="153">
                  <c:v>2182289.4282530611</c:v>
                </c:pt>
                <c:pt idx="154">
                  <c:v>2186085.1720177941</c:v>
                </c:pt>
                <c:pt idx="155">
                  <c:v>2190144.7251057909</c:v>
                </c:pt>
                <c:pt idx="156">
                  <c:v>2194139.883303212</c:v>
                </c:pt>
                <c:pt idx="157">
                  <c:v>2197109.9800971351</c:v>
                </c:pt>
                <c:pt idx="158">
                  <c:v>2200983.7254752601</c:v>
                </c:pt>
                <c:pt idx="159">
                  <c:v>2204477.8052321952</c:v>
                </c:pt>
                <c:pt idx="160">
                  <c:v>2208227.5849819942</c:v>
                </c:pt>
                <c:pt idx="161">
                  <c:v>2211602.4723622813</c:v>
                </c:pt>
                <c:pt idx="162">
                  <c:v>2215229.856279897</c:v>
                </c:pt>
                <c:pt idx="163">
                  <c:v>2218795.6344782379</c:v>
                </c:pt>
                <c:pt idx="164">
                  <c:v>2221993.6058751945</c:v>
                </c:pt>
                <c:pt idx="165">
                  <c:v>2225439.3195777582</c:v>
                </c:pt>
                <c:pt idx="166">
                  <c:v>2228521.8503331812</c:v>
                </c:pt>
                <c:pt idx="167">
                  <c:v>2231849.0215461361</c:v>
                </c:pt>
                <c:pt idx="168">
                  <c:v>2235116.5271179928</c:v>
                </c:pt>
                <c:pt idx="169">
                  <c:v>2237433.6342199822</c:v>
                </c:pt>
                <c:pt idx="170">
                  <c:v>2240588.6464189724</c:v>
                </c:pt>
                <c:pt idx="171">
                  <c:v>2243391.672111176</c:v>
                </c:pt>
                <c:pt idx="172">
                  <c:v>2246431.829116283</c:v>
                </c:pt>
                <c:pt idx="173">
                  <c:v>2249124.4236742277</c:v>
                </c:pt>
                <c:pt idx="174">
                  <c:v>2252051.1830798718</c:v>
                </c:pt>
                <c:pt idx="175">
                  <c:v>2254920.8669751119</c:v>
                </c:pt>
                <c:pt idx="176">
                  <c:v>2257449.5551509839</c:v>
                </c:pt>
                <c:pt idx="177">
                  <c:v>2260208.0055508274</c:v>
                </c:pt>
                <c:pt idx="178">
                  <c:v>2262629.7452114746</c:v>
                </c:pt>
                <c:pt idx="179">
                  <c:v>2265278.3745809537</c:v>
                </c:pt>
                <c:pt idx="180">
                  <c:v>2267871.7288937154</c:v>
                </c:pt>
                <c:pt idx="181">
                  <c:v>2269859.2991569233</c:v>
                </c:pt>
                <c:pt idx="182">
                  <c:v>2272346.6842429633</c:v>
                </c:pt>
                <c:pt idx="183">
                  <c:v>2274507.8012242238</c:v>
                </c:pt>
                <c:pt idx="184">
                  <c:v>2276888.8083997779</c:v>
                </c:pt>
                <c:pt idx="185">
                  <c:v>2278947.6457965085</c:v>
                </c:pt>
                <c:pt idx="186">
                  <c:v>2281223.6266411943</c:v>
                </c:pt>
                <c:pt idx="187">
                  <c:v>2283446.7459556037</c:v>
                </c:pt>
                <c:pt idx="188">
                  <c:v>2285353.7784418757</c:v>
                </c:pt>
                <c:pt idx="189">
                  <c:v>2287473.8777481024</c:v>
                </c:pt>
                <c:pt idx="190">
                  <c:v>2289281.859359886</c:v>
                </c:pt>
                <c:pt idx="191">
                  <c:v>2291300.2479118435</c:v>
                </c:pt>
                <c:pt idx="192">
                  <c:v>2293267.4438289651</c:v>
                </c:pt>
                <c:pt idx="193">
                  <c:v>2294417.6818808652</c:v>
                </c:pt>
                <c:pt idx="194">
                  <c:v>2296288.3612870481</c:v>
                </c:pt>
                <c:pt idx="195">
                  <c:v>2297856.5327825048</c:v>
                </c:pt>
                <c:pt idx="196">
                  <c:v>2299628.6715978007</c:v>
                </c:pt>
                <c:pt idx="197">
                  <c:v>2301102.0991753545</c:v>
                </c:pt>
                <c:pt idx="198">
                  <c:v>2302776.9499545582</c:v>
                </c:pt>
                <c:pt idx="199">
                  <c:v>2304402.834188933</c:v>
                </c:pt>
                <c:pt idx="200">
                  <c:v>2305735.6422558804</c:v>
                </c:pt>
                <c:pt idx="201">
                  <c:v>2307266.0975443646</c:v>
                </c:pt>
                <c:pt idx="202">
                  <c:v>2308507.1534691243</c:v>
                </c:pt>
                <c:pt idx="203">
                  <c:v>2309943.3928435808</c:v>
                </c:pt>
                <c:pt idx="204">
                  <c:v>2311332.2119176346</c:v>
                </c:pt>
                <c:pt idx="205">
                  <c:v>2311963.4302939125</c:v>
                </c:pt>
                <c:pt idx="206">
                  <c:v>2313262.8451214456</c:v>
                </c:pt>
                <c:pt idx="207">
                  <c:v>2314281.7623580573</c:v>
                </c:pt>
                <c:pt idx="208">
                  <c:v>2315489.8980192635</c:v>
                </c:pt>
                <c:pt idx="209">
                  <c:v>2316421.0529586002</c:v>
                </c:pt>
                <c:pt idx="210">
                  <c:v>2317539.0696303877</c:v>
                </c:pt>
                <c:pt idx="211">
                  <c:v>2318611.7279921644</c:v>
                </c:pt>
                <c:pt idx="212">
                  <c:v>2319412.6253462159</c:v>
                </c:pt>
                <c:pt idx="213">
                  <c:v>2320396.8865521974</c:v>
                </c:pt>
                <c:pt idx="214">
                  <c:v>2321112.79250341</c:v>
                </c:pt>
                <c:pt idx="215">
                  <c:v>2322009.7799396729</c:v>
                </c:pt>
                <c:pt idx="216">
                  <c:v>2322862.8410409852</c:v>
                </c:pt>
                <c:pt idx="217">
                  <c:v>2323013.2842967617</c:v>
                </c:pt>
                <c:pt idx="218">
                  <c:v>2323783.5282670911</c:v>
                </c:pt>
                <c:pt idx="219">
                  <c:v>2324293.6624345523</c:v>
                </c:pt>
                <c:pt idx="220">
                  <c:v>2324979.3520908812</c:v>
                </c:pt>
                <c:pt idx="221">
                  <c:v>2325408.1894922489</c:v>
                </c:pt>
                <c:pt idx="222">
                  <c:v>2326010.3990768036</c:v>
                </c:pt>
                <c:pt idx="223">
                  <c:v>2326570.5916314563</c:v>
                </c:pt>
                <c:pt idx="224">
                  <c:v>2326878.7667474775</c:v>
                </c:pt>
                <c:pt idx="225">
                  <c:v>2327357.0734404875</c:v>
                </c:pt>
                <c:pt idx="226">
                  <c:v>2327586.5173052368</c:v>
                </c:pt>
                <c:pt idx="227">
                  <c:v>2327983.978204818</c:v>
                </c:pt>
                <c:pt idx="228">
                  <c:v>2328340.7478456656</c:v>
                </c:pt>
                <c:pt idx="229">
                  <c:v>2328340.7478456656</c:v>
                </c:pt>
                <c:pt idx="230">
                  <c:v>2328619.5070473286</c:v>
                </c:pt>
                <c:pt idx="231">
                  <c:v>2328657.0906290677</c:v>
                </c:pt>
                <c:pt idx="232">
                  <c:v>2328857.5380551284</c:v>
                </c:pt>
                <c:pt idx="233">
                  <c:v>2328857.5380551284</c:v>
                </c:pt>
                <c:pt idx="234">
                  <c:v>2328980.6679517133</c:v>
                </c:pt>
                <c:pt idx="235">
                  <c:v>2329064.882265354</c:v>
                </c:pt>
                <c:pt idx="236">
                  <c:v>2329064.882265354</c:v>
                </c:pt>
                <c:pt idx="237">
                  <c:v>2329073.2544940379</c:v>
                </c:pt>
                <c:pt idx="238">
                  <c:v>2329073.2544940379</c:v>
                </c:pt>
                <c:pt idx="239">
                  <c:v>2329073.2544940379</c:v>
                </c:pt>
                <c:pt idx="240">
                  <c:v>2329073.2544940379</c:v>
                </c:pt>
                <c:pt idx="241">
                  <c:v>2329073.2544940379</c:v>
                </c:pt>
                <c:pt idx="242">
                  <c:v>2329073.2544940379</c:v>
                </c:pt>
                <c:pt idx="243">
                  <c:v>2329073.2544940379</c:v>
                </c:pt>
                <c:pt idx="244">
                  <c:v>2329073.2544940379</c:v>
                </c:pt>
                <c:pt idx="245">
                  <c:v>2329073.2544940379</c:v>
                </c:pt>
                <c:pt idx="246">
                  <c:v>2329073.2544940379</c:v>
                </c:pt>
                <c:pt idx="247">
                  <c:v>2329073.2544940379</c:v>
                </c:pt>
                <c:pt idx="248">
                  <c:v>2329073.2544940379</c:v>
                </c:pt>
                <c:pt idx="249">
                  <c:v>2329073.2544940379</c:v>
                </c:pt>
                <c:pt idx="250">
                  <c:v>2329073.2544940379</c:v>
                </c:pt>
                <c:pt idx="251">
                  <c:v>2329073.2544940379</c:v>
                </c:pt>
                <c:pt idx="252">
                  <c:v>2329073.2544940379</c:v>
                </c:pt>
                <c:pt idx="253">
                  <c:v>2329073.2544940379</c:v>
                </c:pt>
                <c:pt idx="254">
                  <c:v>2329073.2544940379</c:v>
                </c:pt>
                <c:pt idx="255">
                  <c:v>2329073.2544940379</c:v>
                </c:pt>
                <c:pt idx="256">
                  <c:v>2329073.2544940379</c:v>
                </c:pt>
                <c:pt idx="257">
                  <c:v>2329073.2544940379</c:v>
                </c:pt>
                <c:pt idx="258">
                  <c:v>2329073.2544940379</c:v>
                </c:pt>
                <c:pt idx="259">
                  <c:v>2329073.2544940379</c:v>
                </c:pt>
                <c:pt idx="260">
                  <c:v>2329073.2544940379</c:v>
                </c:pt>
                <c:pt idx="261">
                  <c:v>2329073.2544940379</c:v>
                </c:pt>
                <c:pt idx="262">
                  <c:v>2329073.2544940379</c:v>
                </c:pt>
                <c:pt idx="263">
                  <c:v>2329073.2544940379</c:v>
                </c:pt>
                <c:pt idx="264">
                  <c:v>2329073.2544940379</c:v>
                </c:pt>
                <c:pt idx="265">
                  <c:v>2329073.2544940379</c:v>
                </c:pt>
                <c:pt idx="266">
                  <c:v>2329073.2544940379</c:v>
                </c:pt>
                <c:pt idx="267">
                  <c:v>2329073.2544940379</c:v>
                </c:pt>
                <c:pt idx="268">
                  <c:v>2329073.2544940379</c:v>
                </c:pt>
                <c:pt idx="269">
                  <c:v>2329073.2544940379</c:v>
                </c:pt>
                <c:pt idx="270">
                  <c:v>2329073.2544940379</c:v>
                </c:pt>
                <c:pt idx="271">
                  <c:v>2329073.2544940379</c:v>
                </c:pt>
                <c:pt idx="272">
                  <c:v>2329073.2544940379</c:v>
                </c:pt>
                <c:pt idx="273">
                  <c:v>2329073.2544940379</c:v>
                </c:pt>
                <c:pt idx="274">
                  <c:v>2329073.2544940379</c:v>
                </c:pt>
                <c:pt idx="275">
                  <c:v>2329073.2544940379</c:v>
                </c:pt>
                <c:pt idx="276">
                  <c:v>2329073.2544940379</c:v>
                </c:pt>
                <c:pt idx="277">
                  <c:v>2329073.2544940379</c:v>
                </c:pt>
                <c:pt idx="278">
                  <c:v>2329073.2544940379</c:v>
                </c:pt>
                <c:pt idx="279">
                  <c:v>2329073.2544940379</c:v>
                </c:pt>
                <c:pt idx="280">
                  <c:v>2329073.2544940379</c:v>
                </c:pt>
                <c:pt idx="281">
                  <c:v>2329073.2544940379</c:v>
                </c:pt>
                <c:pt idx="282">
                  <c:v>2329073.2544940379</c:v>
                </c:pt>
                <c:pt idx="283">
                  <c:v>2329073.2544940379</c:v>
                </c:pt>
                <c:pt idx="284">
                  <c:v>2329073.2544940379</c:v>
                </c:pt>
                <c:pt idx="285">
                  <c:v>2329073.2544940379</c:v>
                </c:pt>
                <c:pt idx="286">
                  <c:v>2329073.2544940379</c:v>
                </c:pt>
                <c:pt idx="287">
                  <c:v>2329073.2544940379</c:v>
                </c:pt>
                <c:pt idx="288">
                  <c:v>2329073.2544940379</c:v>
                </c:pt>
                <c:pt idx="289">
                  <c:v>2329073.2544940379</c:v>
                </c:pt>
                <c:pt idx="290">
                  <c:v>2329073.2544940379</c:v>
                </c:pt>
                <c:pt idx="291">
                  <c:v>2329073.2544940379</c:v>
                </c:pt>
                <c:pt idx="292">
                  <c:v>2329073.2544940379</c:v>
                </c:pt>
                <c:pt idx="293">
                  <c:v>2329073.2544940379</c:v>
                </c:pt>
                <c:pt idx="294">
                  <c:v>2329073.2544940379</c:v>
                </c:pt>
                <c:pt idx="295">
                  <c:v>2329073.2544940379</c:v>
                </c:pt>
                <c:pt idx="296">
                  <c:v>2329073.2544940379</c:v>
                </c:pt>
                <c:pt idx="297">
                  <c:v>2329073.2544940379</c:v>
                </c:pt>
                <c:pt idx="298">
                  <c:v>2329073.2544940379</c:v>
                </c:pt>
                <c:pt idx="299">
                  <c:v>2329073.2544940379</c:v>
                </c:pt>
                <c:pt idx="300">
                  <c:v>2329073.2544940379</c:v>
                </c:pt>
                <c:pt idx="301">
                  <c:v>2329073.2544940379</c:v>
                </c:pt>
                <c:pt idx="302">
                  <c:v>2329073.2544940379</c:v>
                </c:pt>
                <c:pt idx="303">
                  <c:v>2329073.2544940379</c:v>
                </c:pt>
                <c:pt idx="304">
                  <c:v>2329073.2544940379</c:v>
                </c:pt>
                <c:pt idx="305">
                  <c:v>2329073.2544940379</c:v>
                </c:pt>
                <c:pt idx="306">
                  <c:v>2329073.2544940379</c:v>
                </c:pt>
                <c:pt idx="307">
                  <c:v>2329073.2544940379</c:v>
                </c:pt>
                <c:pt idx="308">
                  <c:v>2329073.2544940379</c:v>
                </c:pt>
                <c:pt idx="309">
                  <c:v>2329073.2544940379</c:v>
                </c:pt>
                <c:pt idx="310">
                  <c:v>2329073.2544940379</c:v>
                </c:pt>
                <c:pt idx="311">
                  <c:v>2329073.2544940379</c:v>
                </c:pt>
                <c:pt idx="312">
                  <c:v>2329073.2544940379</c:v>
                </c:pt>
                <c:pt idx="313">
                  <c:v>2329073.2544940379</c:v>
                </c:pt>
                <c:pt idx="314">
                  <c:v>2329073.2544940379</c:v>
                </c:pt>
                <c:pt idx="315">
                  <c:v>2329073.2544940379</c:v>
                </c:pt>
                <c:pt idx="316">
                  <c:v>2329073.2544940379</c:v>
                </c:pt>
                <c:pt idx="317">
                  <c:v>2329073.2544940379</c:v>
                </c:pt>
                <c:pt idx="318">
                  <c:v>2329073.2544940379</c:v>
                </c:pt>
                <c:pt idx="319">
                  <c:v>2329073.2544940379</c:v>
                </c:pt>
                <c:pt idx="320">
                  <c:v>2329073.2544940379</c:v>
                </c:pt>
                <c:pt idx="321">
                  <c:v>2329073.2544940379</c:v>
                </c:pt>
                <c:pt idx="322">
                  <c:v>2329073.2544940379</c:v>
                </c:pt>
                <c:pt idx="323">
                  <c:v>2329073.2544940379</c:v>
                </c:pt>
                <c:pt idx="324">
                  <c:v>2329073.2544940379</c:v>
                </c:pt>
                <c:pt idx="325">
                  <c:v>2329073.2544940379</c:v>
                </c:pt>
                <c:pt idx="326">
                  <c:v>2329073.2544940379</c:v>
                </c:pt>
                <c:pt idx="327">
                  <c:v>2329073.2544940379</c:v>
                </c:pt>
                <c:pt idx="328">
                  <c:v>2329073.2544940379</c:v>
                </c:pt>
                <c:pt idx="329">
                  <c:v>2329073.2544940379</c:v>
                </c:pt>
                <c:pt idx="330">
                  <c:v>2329073.2544940379</c:v>
                </c:pt>
                <c:pt idx="331">
                  <c:v>2329073.2544940379</c:v>
                </c:pt>
                <c:pt idx="332">
                  <c:v>2329073.2544940379</c:v>
                </c:pt>
                <c:pt idx="333">
                  <c:v>2329073.2544940379</c:v>
                </c:pt>
                <c:pt idx="334">
                  <c:v>2329073.2544940379</c:v>
                </c:pt>
                <c:pt idx="335">
                  <c:v>2329073.2544940379</c:v>
                </c:pt>
                <c:pt idx="336">
                  <c:v>2329073.2544940379</c:v>
                </c:pt>
                <c:pt idx="337">
                  <c:v>2329073.2544940379</c:v>
                </c:pt>
                <c:pt idx="338">
                  <c:v>2329073.2544940379</c:v>
                </c:pt>
                <c:pt idx="339">
                  <c:v>2329073.2544940379</c:v>
                </c:pt>
                <c:pt idx="340">
                  <c:v>2329073.2544940379</c:v>
                </c:pt>
                <c:pt idx="341">
                  <c:v>2329073.2544940379</c:v>
                </c:pt>
                <c:pt idx="342">
                  <c:v>2329073.2544940379</c:v>
                </c:pt>
                <c:pt idx="343">
                  <c:v>2329073.2544940379</c:v>
                </c:pt>
                <c:pt idx="344">
                  <c:v>2329073.2544940379</c:v>
                </c:pt>
                <c:pt idx="345">
                  <c:v>2329073.2544940379</c:v>
                </c:pt>
                <c:pt idx="346">
                  <c:v>2329073.2544940379</c:v>
                </c:pt>
                <c:pt idx="347">
                  <c:v>2329073.2544940379</c:v>
                </c:pt>
                <c:pt idx="348">
                  <c:v>2329073.2544940379</c:v>
                </c:pt>
                <c:pt idx="349">
                  <c:v>2329073.2544940379</c:v>
                </c:pt>
                <c:pt idx="350">
                  <c:v>2329073.2544940379</c:v>
                </c:pt>
                <c:pt idx="351">
                  <c:v>2329073.2544940379</c:v>
                </c:pt>
                <c:pt idx="352">
                  <c:v>2329073.2544940379</c:v>
                </c:pt>
                <c:pt idx="353">
                  <c:v>2329073.2544940379</c:v>
                </c:pt>
                <c:pt idx="354">
                  <c:v>2329073.2544940379</c:v>
                </c:pt>
                <c:pt idx="355">
                  <c:v>2329073.2544940379</c:v>
                </c:pt>
                <c:pt idx="356">
                  <c:v>2329073.2544940379</c:v>
                </c:pt>
                <c:pt idx="357">
                  <c:v>2329073.2544940379</c:v>
                </c:pt>
                <c:pt idx="358">
                  <c:v>2329073.2544940379</c:v>
                </c:pt>
                <c:pt idx="359">
                  <c:v>2329073.2544940379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5E-4135-BEF5-2DA56F60BB10}"/>
            </c:ext>
          </c:extLst>
        </c:ser>
        <c:ser>
          <c:idx val="7"/>
          <c:order val="2"/>
          <c:tx>
            <c:v>Cum Discounted Cash Flow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'monthly calculations (1)'!$B$6:$B$365</c:f>
              <c:numCache>
                <c:formatCode>[$-409]mmmm\ yyyy;@</c:formatCode>
                <c:ptCount val="36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  <c:pt idx="72">
                  <c:v>46388</c:v>
                </c:pt>
                <c:pt idx="73">
                  <c:v>46419</c:v>
                </c:pt>
                <c:pt idx="74">
                  <c:v>46447</c:v>
                </c:pt>
                <c:pt idx="75">
                  <c:v>46478</c:v>
                </c:pt>
                <c:pt idx="76">
                  <c:v>46508</c:v>
                </c:pt>
                <c:pt idx="77">
                  <c:v>46539</c:v>
                </c:pt>
                <c:pt idx="78">
                  <c:v>46569</c:v>
                </c:pt>
                <c:pt idx="79">
                  <c:v>46600</c:v>
                </c:pt>
                <c:pt idx="80">
                  <c:v>46631</c:v>
                </c:pt>
                <c:pt idx="81">
                  <c:v>46661</c:v>
                </c:pt>
                <c:pt idx="82">
                  <c:v>46692</c:v>
                </c:pt>
                <c:pt idx="83">
                  <c:v>46722</c:v>
                </c:pt>
                <c:pt idx="84">
                  <c:v>46753</c:v>
                </c:pt>
                <c:pt idx="85">
                  <c:v>46784</c:v>
                </c:pt>
                <c:pt idx="86">
                  <c:v>46813</c:v>
                </c:pt>
                <c:pt idx="87">
                  <c:v>46844</c:v>
                </c:pt>
                <c:pt idx="88">
                  <c:v>46874</c:v>
                </c:pt>
                <c:pt idx="89">
                  <c:v>46905</c:v>
                </c:pt>
                <c:pt idx="90">
                  <c:v>46935</c:v>
                </c:pt>
                <c:pt idx="91">
                  <c:v>46966</c:v>
                </c:pt>
                <c:pt idx="92">
                  <c:v>46997</c:v>
                </c:pt>
                <c:pt idx="93">
                  <c:v>47027</c:v>
                </c:pt>
                <c:pt idx="94">
                  <c:v>47058</c:v>
                </c:pt>
                <c:pt idx="95">
                  <c:v>47088</c:v>
                </c:pt>
                <c:pt idx="96">
                  <c:v>47119</c:v>
                </c:pt>
                <c:pt idx="97">
                  <c:v>47150</c:v>
                </c:pt>
                <c:pt idx="98">
                  <c:v>47178</c:v>
                </c:pt>
                <c:pt idx="99">
                  <c:v>47209</c:v>
                </c:pt>
                <c:pt idx="100">
                  <c:v>47239</c:v>
                </c:pt>
                <c:pt idx="101">
                  <c:v>47270</c:v>
                </c:pt>
                <c:pt idx="102">
                  <c:v>47300</c:v>
                </c:pt>
                <c:pt idx="103">
                  <c:v>47331</c:v>
                </c:pt>
                <c:pt idx="104">
                  <c:v>47362</c:v>
                </c:pt>
                <c:pt idx="105">
                  <c:v>47392</c:v>
                </c:pt>
                <c:pt idx="106">
                  <c:v>47423</c:v>
                </c:pt>
                <c:pt idx="107">
                  <c:v>47453</c:v>
                </c:pt>
                <c:pt idx="108">
                  <c:v>47484</c:v>
                </c:pt>
                <c:pt idx="109">
                  <c:v>47515</c:v>
                </c:pt>
                <c:pt idx="110">
                  <c:v>47543</c:v>
                </c:pt>
                <c:pt idx="111">
                  <c:v>47574</c:v>
                </c:pt>
                <c:pt idx="112">
                  <c:v>47604</c:v>
                </c:pt>
                <c:pt idx="113">
                  <c:v>47635</c:v>
                </c:pt>
                <c:pt idx="114">
                  <c:v>47665</c:v>
                </c:pt>
                <c:pt idx="115">
                  <c:v>47696</c:v>
                </c:pt>
                <c:pt idx="116">
                  <c:v>47727</c:v>
                </c:pt>
                <c:pt idx="117">
                  <c:v>47757</c:v>
                </c:pt>
                <c:pt idx="118">
                  <c:v>47788</c:v>
                </c:pt>
                <c:pt idx="119">
                  <c:v>47818</c:v>
                </c:pt>
                <c:pt idx="120">
                  <c:v>47849</c:v>
                </c:pt>
                <c:pt idx="121">
                  <c:v>47880</c:v>
                </c:pt>
                <c:pt idx="122">
                  <c:v>47908</c:v>
                </c:pt>
                <c:pt idx="123">
                  <c:v>47939</c:v>
                </c:pt>
                <c:pt idx="124">
                  <c:v>47969</c:v>
                </c:pt>
                <c:pt idx="125">
                  <c:v>48000</c:v>
                </c:pt>
                <c:pt idx="126">
                  <c:v>48030</c:v>
                </c:pt>
                <c:pt idx="127">
                  <c:v>48061</c:v>
                </c:pt>
                <c:pt idx="128">
                  <c:v>48092</c:v>
                </c:pt>
                <c:pt idx="129">
                  <c:v>48122</c:v>
                </c:pt>
                <c:pt idx="130">
                  <c:v>48153</c:v>
                </c:pt>
                <c:pt idx="131">
                  <c:v>48183</c:v>
                </c:pt>
                <c:pt idx="132">
                  <c:v>48214</c:v>
                </c:pt>
                <c:pt idx="133">
                  <c:v>48245</c:v>
                </c:pt>
                <c:pt idx="134">
                  <c:v>48274</c:v>
                </c:pt>
                <c:pt idx="135">
                  <c:v>48305</c:v>
                </c:pt>
                <c:pt idx="136">
                  <c:v>48335</c:v>
                </c:pt>
                <c:pt idx="137">
                  <c:v>48366</c:v>
                </c:pt>
                <c:pt idx="138">
                  <c:v>48396</c:v>
                </c:pt>
                <c:pt idx="139">
                  <c:v>48427</c:v>
                </c:pt>
                <c:pt idx="140">
                  <c:v>48458</c:v>
                </c:pt>
                <c:pt idx="141">
                  <c:v>48488</c:v>
                </c:pt>
                <c:pt idx="142">
                  <c:v>48519</c:v>
                </c:pt>
                <c:pt idx="143">
                  <c:v>48549</c:v>
                </c:pt>
                <c:pt idx="144">
                  <c:v>48580</c:v>
                </c:pt>
                <c:pt idx="145">
                  <c:v>48611</c:v>
                </c:pt>
                <c:pt idx="146">
                  <c:v>48639</c:v>
                </c:pt>
                <c:pt idx="147">
                  <c:v>48670</c:v>
                </c:pt>
                <c:pt idx="148">
                  <c:v>48700</c:v>
                </c:pt>
                <c:pt idx="149">
                  <c:v>48731</c:v>
                </c:pt>
                <c:pt idx="150">
                  <c:v>48761</c:v>
                </c:pt>
                <c:pt idx="151">
                  <c:v>48792</c:v>
                </c:pt>
                <c:pt idx="152">
                  <c:v>48823</c:v>
                </c:pt>
                <c:pt idx="153">
                  <c:v>48853</c:v>
                </c:pt>
                <c:pt idx="154">
                  <c:v>48884</c:v>
                </c:pt>
                <c:pt idx="155">
                  <c:v>48914</c:v>
                </c:pt>
                <c:pt idx="156">
                  <c:v>48945</c:v>
                </c:pt>
                <c:pt idx="157">
                  <c:v>48976</c:v>
                </c:pt>
                <c:pt idx="158">
                  <c:v>49004</c:v>
                </c:pt>
                <c:pt idx="159">
                  <c:v>49035</c:v>
                </c:pt>
                <c:pt idx="160">
                  <c:v>49065</c:v>
                </c:pt>
                <c:pt idx="161">
                  <c:v>49096</c:v>
                </c:pt>
                <c:pt idx="162">
                  <c:v>49126</c:v>
                </c:pt>
                <c:pt idx="163">
                  <c:v>49157</c:v>
                </c:pt>
                <c:pt idx="164">
                  <c:v>49188</c:v>
                </c:pt>
                <c:pt idx="165">
                  <c:v>49218</c:v>
                </c:pt>
                <c:pt idx="166">
                  <c:v>49249</c:v>
                </c:pt>
                <c:pt idx="167">
                  <c:v>49279</c:v>
                </c:pt>
                <c:pt idx="168">
                  <c:v>49310</c:v>
                </c:pt>
                <c:pt idx="169">
                  <c:v>49341</c:v>
                </c:pt>
                <c:pt idx="170">
                  <c:v>49369</c:v>
                </c:pt>
                <c:pt idx="171">
                  <c:v>49400</c:v>
                </c:pt>
                <c:pt idx="172">
                  <c:v>49430</c:v>
                </c:pt>
                <c:pt idx="173">
                  <c:v>49461</c:v>
                </c:pt>
                <c:pt idx="174">
                  <c:v>49491</c:v>
                </c:pt>
                <c:pt idx="175">
                  <c:v>49522</c:v>
                </c:pt>
                <c:pt idx="176">
                  <c:v>49553</c:v>
                </c:pt>
                <c:pt idx="177">
                  <c:v>49583</c:v>
                </c:pt>
                <c:pt idx="178">
                  <c:v>49614</c:v>
                </c:pt>
                <c:pt idx="179">
                  <c:v>49644</c:v>
                </c:pt>
                <c:pt idx="180">
                  <c:v>49675</c:v>
                </c:pt>
                <c:pt idx="181">
                  <c:v>49706</c:v>
                </c:pt>
                <c:pt idx="182">
                  <c:v>49735</c:v>
                </c:pt>
                <c:pt idx="183">
                  <c:v>49766</c:v>
                </c:pt>
                <c:pt idx="184">
                  <c:v>49796</c:v>
                </c:pt>
                <c:pt idx="185">
                  <c:v>49827</c:v>
                </c:pt>
                <c:pt idx="186">
                  <c:v>49857</c:v>
                </c:pt>
                <c:pt idx="187">
                  <c:v>49888</c:v>
                </c:pt>
                <c:pt idx="188">
                  <c:v>49919</c:v>
                </c:pt>
                <c:pt idx="189">
                  <c:v>49949</c:v>
                </c:pt>
                <c:pt idx="190">
                  <c:v>49980</c:v>
                </c:pt>
                <c:pt idx="191">
                  <c:v>50010</c:v>
                </c:pt>
                <c:pt idx="192">
                  <c:v>50041</c:v>
                </c:pt>
                <c:pt idx="193">
                  <c:v>50072</c:v>
                </c:pt>
                <c:pt idx="194">
                  <c:v>50100</c:v>
                </c:pt>
                <c:pt idx="195">
                  <c:v>50131</c:v>
                </c:pt>
                <c:pt idx="196">
                  <c:v>50161</c:v>
                </c:pt>
                <c:pt idx="197">
                  <c:v>50192</c:v>
                </c:pt>
                <c:pt idx="198">
                  <c:v>50222</c:v>
                </c:pt>
                <c:pt idx="199">
                  <c:v>50253</c:v>
                </c:pt>
                <c:pt idx="200">
                  <c:v>50284</c:v>
                </c:pt>
                <c:pt idx="201">
                  <c:v>50314</c:v>
                </c:pt>
                <c:pt idx="202">
                  <c:v>50345</c:v>
                </c:pt>
                <c:pt idx="203">
                  <c:v>50375</c:v>
                </c:pt>
                <c:pt idx="204">
                  <c:v>50406</c:v>
                </c:pt>
                <c:pt idx="205">
                  <c:v>50437</c:v>
                </c:pt>
                <c:pt idx="206">
                  <c:v>50465</c:v>
                </c:pt>
                <c:pt idx="207">
                  <c:v>50496</c:v>
                </c:pt>
                <c:pt idx="208">
                  <c:v>50526</c:v>
                </c:pt>
                <c:pt idx="209">
                  <c:v>50557</c:v>
                </c:pt>
                <c:pt idx="210">
                  <c:v>50587</c:v>
                </c:pt>
                <c:pt idx="211">
                  <c:v>50618</c:v>
                </c:pt>
                <c:pt idx="212">
                  <c:v>50649</c:v>
                </c:pt>
                <c:pt idx="213">
                  <c:v>50679</c:v>
                </c:pt>
                <c:pt idx="214">
                  <c:v>50710</c:v>
                </c:pt>
                <c:pt idx="215">
                  <c:v>50740</c:v>
                </c:pt>
                <c:pt idx="216">
                  <c:v>50771</c:v>
                </c:pt>
                <c:pt idx="217">
                  <c:v>50802</c:v>
                </c:pt>
                <c:pt idx="218">
                  <c:v>50830</c:v>
                </c:pt>
                <c:pt idx="219">
                  <c:v>50861</c:v>
                </c:pt>
                <c:pt idx="220">
                  <c:v>50891</c:v>
                </c:pt>
                <c:pt idx="221">
                  <c:v>50922</c:v>
                </c:pt>
                <c:pt idx="222">
                  <c:v>50952</c:v>
                </c:pt>
                <c:pt idx="223">
                  <c:v>50983</c:v>
                </c:pt>
                <c:pt idx="224">
                  <c:v>51014</c:v>
                </c:pt>
                <c:pt idx="225">
                  <c:v>51044</c:v>
                </c:pt>
                <c:pt idx="226">
                  <c:v>51075</c:v>
                </c:pt>
                <c:pt idx="227">
                  <c:v>51105</c:v>
                </c:pt>
                <c:pt idx="228">
                  <c:v>51136</c:v>
                </c:pt>
                <c:pt idx="229">
                  <c:v>51167</c:v>
                </c:pt>
                <c:pt idx="230">
                  <c:v>51196</c:v>
                </c:pt>
                <c:pt idx="231">
                  <c:v>51227</c:v>
                </c:pt>
                <c:pt idx="232">
                  <c:v>51257</c:v>
                </c:pt>
                <c:pt idx="233">
                  <c:v>51288</c:v>
                </c:pt>
                <c:pt idx="234">
                  <c:v>51318</c:v>
                </c:pt>
                <c:pt idx="235">
                  <c:v>51349</c:v>
                </c:pt>
                <c:pt idx="236">
                  <c:v>51380</c:v>
                </c:pt>
                <c:pt idx="237">
                  <c:v>51410</c:v>
                </c:pt>
                <c:pt idx="238">
                  <c:v>51441</c:v>
                </c:pt>
                <c:pt idx="239">
                  <c:v>51471</c:v>
                </c:pt>
                <c:pt idx="240">
                  <c:v>51502</c:v>
                </c:pt>
                <c:pt idx="241">
                  <c:v>51533</c:v>
                </c:pt>
                <c:pt idx="242">
                  <c:v>51561</c:v>
                </c:pt>
                <c:pt idx="243">
                  <c:v>51592</c:v>
                </c:pt>
                <c:pt idx="244">
                  <c:v>51622</c:v>
                </c:pt>
                <c:pt idx="245">
                  <c:v>51653</c:v>
                </c:pt>
                <c:pt idx="246">
                  <c:v>51683</c:v>
                </c:pt>
                <c:pt idx="247">
                  <c:v>51714</c:v>
                </c:pt>
                <c:pt idx="248">
                  <c:v>51745</c:v>
                </c:pt>
                <c:pt idx="249">
                  <c:v>51775</c:v>
                </c:pt>
                <c:pt idx="250">
                  <c:v>51806</c:v>
                </c:pt>
                <c:pt idx="251">
                  <c:v>51836</c:v>
                </c:pt>
                <c:pt idx="252">
                  <c:v>51867</c:v>
                </c:pt>
                <c:pt idx="253">
                  <c:v>51898</c:v>
                </c:pt>
                <c:pt idx="254">
                  <c:v>51926</c:v>
                </c:pt>
                <c:pt idx="255">
                  <c:v>51957</c:v>
                </c:pt>
                <c:pt idx="256">
                  <c:v>51987</c:v>
                </c:pt>
                <c:pt idx="257">
                  <c:v>52018</c:v>
                </c:pt>
                <c:pt idx="258">
                  <c:v>52048</c:v>
                </c:pt>
                <c:pt idx="259">
                  <c:v>52079</c:v>
                </c:pt>
                <c:pt idx="260">
                  <c:v>52110</c:v>
                </c:pt>
                <c:pt idx="261">
                  <c:v>52140</c:v>
                </c:pt>
                <c:pt idx="262">
                  <c:v>52171</c:v>
                </c:pt>
                <c:pt idx="263">
                  <c:v>52201</c:v>
                </c:pt>
                <c:pt idx="264">
                  <c:v>52232</c:v>
                </c:pt>
                <c:pt idx="265">
                  <c:v>52263</c:v>
                </c:pt>
                <c:pt idx="266">
                  <c:v>52291</c:v>
                </c:pt>
                <c:pt idx="267">
                  <c:v>52322</c:v>
                </c:pt>
                <c:pt idx="268">
                  <c:v>52352</c:v>
                </c:pt>
                <c:pt idx="269">
                  <c:v>52383</c:v>
                </c:pt>
                <c:pt idx="270">
                  <c:v>52413</c:v>
                </c:pt>
                <c:pt idx="271">
                  <c:v>52444</c:v>
                </c:pt>
                <c:pt idx="272">
                  <c:v>52475</c:v>
                </c:pt>
                <c:pt idx="273">
                  <c:v>52505</c:v>
                </c:pt>
                <c:pt idx="274">
                  <c:v>52536</c:v>
                </c:pt>
                <c:pt idx="275">
                  <c:v>52566</c:v>
                </c:pt>
                <c:pt idx="276">
                  <c:v>52597</c:v>
                </c:pt>
                <c:pt idx="277">
                  <c:v>52628</c:v>
                </c:pt>
                <c:pt idx="278">
                  <c:v>52657</c:v>
                </c:pt>
                <c:pt idx="279">
                  <c:v>52688</c:v>
                </c:pt>
                <c:pt idx="280">
                  <c:v>52718</c:v>
                </c:pt>
                <c:pt idx="281">
                  <c:v>52749</c:v>
                </c:pt>
                <c:pt idx="282">
                  <c:v>52779</c:v>
                </c:pt>
                <c:pt idx="283">
                  <c:v>52810</c:v>
                </c:pt>
                <c:pt idx="284">
                  <c:v>52841</c:v>
                </c:pt>
                <c:pt idx="285">
                  <c:v>52871</c:v>
                </c:pt>
                <c:pt idx="286">
                  <c:v>52902</c:v>
                </c:pt>
                <c:pt idx="287">
                  <c:v>52932</c:v>
                </c:pt>
                <c:pt idx="288">
                  <c:v>52963</c:v>
                </c:pt>
                <c:pt idx="289">
                  <c:v>52994</c:v>
                </c:pt>
                <c:pt idx="290">
                  <c:v>53022</c:v>
                </c:pt>
                <c:pt idx="291">
                  <c:v>53053</c:v>
                </c:pt>
                <c:pt idx="292">
                  <c:v>53083</c:v>
                </c:pt>
                <c:pt idx="293">
                  <c:v>53114</c:v>
                </c:pt>
                <c:pt idx="294">
                  <c:v>53144</c:v>
                </c:pt>
                <c:pt idx="295">
                  <c:v>53175</c:v>
                </c:pt>
                <c:pt idx="296">
                  <c:v>53206</c:v>
                </c:pt>
                <c:pt idx="297">
                  <c:v>53236</c:v>
                </c:pt>
                <c:pt idx="298">
                  <c:v>53267</c:v>
                </c:pt>
                <c:pt idx="299">
                  <c:v>53297</c:v>
                </c:pt>
                <c:pt idx="300">
                  <c:v>53328</c:v>
                </c:pt>
                <c:pt idx="301">
                  <c:v>53359</c:v>
                </c:pt>
                <c:pt idx="302">
                  <c:v>53387</c:v>
                </c:pt>
                <c:pt idx="303">
                  <c:v>53418</c:v>
                </c:pt>
                <c:pt idx="304">
                  <c:v>53448</c:v>
                </c:pt>
                <c:pt idx="305">
                  <c:v>53479</c:v>
                </c:pt>
                <c:pt idx="306">
                  <c:v>53509</c:v>
                </c:pt>
                <c:pt idx="307">
                  <c:v>53540</c:v>
                </c:pt>
                <c:pt idx="308">
                  <c:v>53571</c:v>
                </c:pt>
                <c:pt idx="309">
                  <c:v>53601</c:v>
                </c:pt>
                <c:pt idx="310">
                  <c:v>53632</c:v>
                </c:pt>
                <c:pt idx="311">
                  <c:v>53662</c:v>
                </c:pt>
                <c:pt idx="312">
                  <c:v>53693</c:v>
                </c:pt>
                <c:pt idx="313">
                  <c:v>53724</c:v>
                </c:pt>
                <c:pt idx="314">
                  <c:v>53752</c:v>
                </c:pt>
                <c:pt idx="315">
                  <c:v>53783</c:v>
                </c:pt>
                <c:pt idx="316">
                  <c:v>53813</c:v>
                </c:pt>
                <c:pt idx="317">
                  <c:v>53844</c:v>
                </c:pt>
                <c:pt idx="318">
                  <c:v>53874</c:v>
                </c:pt>
                <c:pt idx="319">
                  <c:v>53905</c:v>
                </c:pt>
                <c:pt idx="320">
                  <c:v>53936</c:v>
                </c:pt>
                <c:pt idx="321">
                  <c:v>53966</c:v>
                </c:pt>
                <c:pt idx="322">
                  <c:v>53997</c:v>
                </c:pt>
                <c:pt idx="323">
                  <c:v>54027</c:v>
                </c:pt>
                <c:pt idx="324">
                  <c:v>54058</c:v>
                </c:pt>
                <c:pt idx="325">
                  <c:v>54089</c:v>
                </c:pt>
                <c:pt idx="326">
                  <c:v>54118</c:v>
                </c:pt>
                <c:pt idx="327">
                  <c:v>54149</c:v>
                </c:pt>
                <c:pt idx="328">
                  <c:v>54179</c:v>
                </c:pt>
                <c:pt idx="329">
                  <c:v>54210</c:v>
                </c:pt>
                <c:pt idx="330">
                  <c:v>54240</c:v>
                </c:pt>
                <c:pt idx="331">
                  <c:v>54271</c:v>
                </c:pt>
                <c:pt idx="332">
                  <c:v>54302</c:v>
                </c:pt>
                <c:pt idx="333">
                  <c:v>54332</c:v>
                </c:pt>
                <c:pt idx="334">
                  <c:v>54363</c:v>
                </c:pt>
                <c:pt idx="335">
                  <c:v>54393</c:v>
                </c:pt>
                <c:pt idx="336">
                  <c:v>54424</c:v>
                </c:pt>
                <c:pt idx="337">
                  <c:v>54455</c:v>
                </c:pt>
                <c:pt idx="338">
                  <c:v>54483</c:v>
                </c:pt>
                <c:pt idx="339">
                  <c:v>54514</c:v>
                </c:pt>
                <c:pt idx="340">
                  <c:v>54544</c:v>
                </c:pt>
                <c:pt idx="341">
                  <c:v>54575</c:v>
                </c:pt>
                <c:pt idx="342">
                  <c:v>54605</c:v>
                </c:pt>
                <c:pt idx="343">
                  <c:v>54636</c:v>
                </c:pt>
                <c:pt idx="344">
                  <c:v>54667</c:v>
                </c:pt>
                <c:pt idx="345">
                  <c:v>54697</c:v>
                </c:pt>
                <c:pt idx="346">
                  <c:v>54728</c:v>
                </c:pt>
                <c:pt idx="347">
                  <c:v>54758</c:v>
                </c:pt>
                <c:pt idx="348">
                  <c:v>54789</c:v>
                </c:pt>
                <c:pt idx="349">
                  <c:v>54820</c:v>
                </c:pt>
                <c:pt idx="350">
                  <c:v>54848</c:v>
                </c:pt>
                <c:pt idx="351">
                  <c:v>54879</c:v>
                </c:pt>
                <c:pt idx="352">
                  <c:v>54909</c:v>
                </c:pt>
                <c:pt idx="353">
                  <c:v>54940</c:v>
                </c:pt>
                <c:pt idx="354">
                  <c:v>54970</c:v>
                </c:pt>
                <c:pt idx="355">
                  <c:v>55001</c:v>
                </c:pt>
                <c:pt idx="356">
                  <c:v>55032</c:v>
                </c:pt>
                <c:pt idx="357">
                  <c:v>55062</c:v>
                </c:pt>
                <c:pt idx="358">
                  <c:v>55093</c:v>
                </c:pt>
                <c:pt idx="359">
                  <c:v>55123</c:v>
                </c:pt>
              </c:numCache>
            </c:numRef>
          </c:xVal>
          <c:yVal>
            <c:numRef>
              <c:f>'monthly calculations (1)'!$AQ$6:$AQ$365</c:f>
              <c:numCache>
                <c:formatCode>_("$"* #,##0_);_("$"* \(#,##0\);_("$"* "-"??_);_(@_)</c:formatCode>
                <c:ptCount val="360"/>
                <c:pt idx="0">
                  <c:v>43425.884901228674</c:v>
                </c:pt>
                <c:pt idx="1">
                  <c:v>80631.903276309575</c:v>
                </c:pt>
                <c:pt idx="2">
                  <c:v>121062.35630025979</c:v>
                </c:pt>
                <c:pt idx="3">
                  <c:v>158610.20776423311</c:v>
                </c:pt>
                <c:pt idx="4">
                  <c:v>196275.91458250588</c:v>
                </c:pt>
                <c:pt idx="5">
                  <c:v>231288.25060851828</c:v>
                </c:pt>
                <c:pt idx="6">
                  <c:v>266458.57386605616</c:v>
                </c:pt>
                <c:pt idx="7">
                  <c:v>300456.74498829263</c:v>
                </c:pt>
                <c:pt idx="8">
                  <c:v>332096.66152888129</c:v>
                </c:pt>
                <c:pt idx="9">
                  <c:v>363938.99256740848</c:v>
                </c:pt>
                <c:pt idx="10">
                  <c:v>393591.75147251581</c:v>
                </c:pt>
                <c:pt idx="11">
                  <c:v>423468.18164360127</c:v>
                </c:pt>
                <c:pt idx="12">
                  <c:v>452414.78040905652</c:v>
                </c:pt>
                <c:pt idx="13">
                  <c:v>477235.28745580016</c:v>
                </c:pt>
                <c:pt idx="14">
                  <c:v>504499.33283710212</c:v>
                </c:pt>
                <c:pt idx="15">
                  <c:v>529920.42184489465</c:v>
                </c:pt>
                <c:pt idx="16">
                  <c:v>555598.09386358119</c:v>
                </c:pt>
                <c:pt idx="17">
                  <c:v>579549.33733037801</c:v>
                </c:pt>
                <c:pt idx="18">
                  <c:v>603764.73265900661</c:v>
                </c:pt>
                <c:pt idx="19">
                  <c:v>627283.47349928785</c:v>
                </c:pt>
                <c:pt idx="20">
                  <c:v>649231.44910067215</c:v>
                </c:pt>
                <c:pt idx="21">
                  <c:v>671450.61410013086</c:v>
                </c:pt>
                <c:pt idx="22">
                  <c:v>692191.09399668151</c:v>
                </c:pt>
                <c:pt idx="23">
                  <c:v>713205.10028620926</c:v>
                </c:pt>
                <c:pt idx="24">
                  <c:v>733642.61677108938</c:v>
                </c:pt>
                <c:pt idx="25">
                  <c:v>751128.49565433315</c:v>
                </c:pt>
                <c:pt idx="26">
                  <c:v>770509.73280977586</c:v>
                </c:pt>
                <c:pt idx="27">
                  <c:v>788609.22850582877</c:v>
                </c:pt>
                <c:pt idx="28">
                  <c:v>806982.2510365498</c:v>
                </c:pt>
                <c:pt idx="29">
                  <c:v>824142.18130591686</c:v>
                </c:pt>
                <c:pt idx="30">
                  <c:v>841573.99244955473</c:v>
                </c:pt>
                <c:pt idx="31">
                  <c:v>858553.55756109429</c:v>
                </c:pt>
                <c:pt idx="32">
                  <c:v>874413.79718336149</c:v>
                </c:pt>
                <c:pt idx="33">
                  <c:v>890542.17360511015</c:v>
                </c:pt>
                <c:pt idx="34">
                  <c:v>905607.8762520951</c:v>
                </c:pt>
                <c:pt idx="35">
                  <c:v>920938.53736244747</c:v>
                </c:pt>
                <c:pt idx="36">
                  <c:v>935884.90249843663</c:v>
                </c:pt>
                <c:pt idx="37">
                  <c:v>949233.9930656855</c:v>
                </c:pt>
                <c:pt idx="38">
                  <c:v>963462.6988369202</c:v>
                </c:pt>
                <c:pt idx="39">
                  <c:v>976753.52274218469</c:v>
                </c:pt>
                <c:pt idx="40">
                  <c:v>990299.73443877557</c:v>
                </c:pt>
                <c:pt idx="41">
                  <c:v>1002952.3638853547</c:v>
                </c:pt>
                <c:pt idx="42">
                  <c:v>1015856.1015801512</c:v>
                </c:pt>
                <c:pt idx="43">
                  <c:v>1028449.4074641024</c:v>
                </c:pt>
                <c:pt idx="44">
                  <c:v>1040210.5284077449</c:v>
                </c:pt>
                <c:pt idx="45">
                  <c:v>1052216.0253267209</c:v>
                </c:pt>
                <c:pt idx="46">
                  <c:v>1063426.9597107621</c:v>
                </c:pt>
                <c:pt idx="47">
                  <c:v>1074877.6409715705</c:v>
                </c:pt>
                <c:pt idx="48">
                  <c:v>1086059.7691612192</c:v>
                </c:pt>
                <c:pt idx="49">
                  <c:v>1095537.3706638187</c:v>
                </c:pt>
                <c:pt idx="50">
                  <c:v>1106220.4354034383</c:v>
                </c:pt>
                <c:pt idx="51">
                  <c:v>1116192.9299263449</c:v>
                </c:pt>
                <c:pt idx="52">
                  <c:v>1126393.3687122432</c:v>
                </c:pt>
                <c:pt idx="53">
                  <c:v>1135913.6711472962</c:v>
                </c:pt>
                <c:pt idx="54">
                  <c:v>1145657.1544433434</c:v>
                </c:pt>
                <c:pt idx="55">
                  <c:v>1155178.9945029516</c:v>
                </c:pt>
                <c:pt idx="56">
                  <c:v>1164063.305053585</c:v>
                </c:pt>
                <c:pt idx="57">
                  <c:v>1173163.6649077011</c:v>
                </c:pt>
                <c:pt idx="58">
                  <c:v>1181652.8631200334</c:v>
                </c:pt>
                <c:pt idx="59">
                  <c:v>1190353.3989664486</c:v>
                </c:pt>
                <c:pt idx="60">
                  <c:v>1198859.7567114374</c:v>
                </c:pt>
                <c:pt idx="61">
                  <c:v>1206022.0684518206</c:v>
                </c:pt>
                <c:pt idx="62">
                  <c:v>1214166.0391550213</c:v>
                </c:pt>
                <c:pt idx="63">
                  <c:v>1221758.4480841847</c:v>
                </c:pt>
                <c:pt idx="64">
                  <c:v>1229550.6563142515</c:v>
                </c:pt>
                <c:pt idx="65">
                  <c:v>1236813.1400349461</c:v>
                </c:pt>
                <c:pt idx="66">
                  <c:v>1244270.9015983664</c:v>
                </c:pt>
                <c:pt idx="67">
                  <c:v>1251565.9910057338</c:v>
                </c:pt>
                <c:pt idx="68">
                  <c:v>1258362.1510155455</c:v>
                </c:pt>
                <c:pt idx="69">
                  <c:v>1265346.9284604595</c:v>
                </c:pt>
                <c:pt idx="70">
                  <c:v>1271851.9733480739</c:v>
                </c:pt>
                <c:pt idx="71">
                  <c:v>1278541.2965025562</c:v>
                </c:pt>
                <c:pt idx="72">
                  <c:v>1285086.7778841369</c:v>
                </c:pt>
                <c:pt idx="73">
                  <c:v>1290555.2203490331</c:v>
                </c:pt>
                <c:pt idx="74">
                  <c:v>1296831.3987271965</c:v>
                </c:pt>
                <c:pt idx="75">
                  <c:v>1302671.6366978982</c:v>
                </c:pt>
                <c:pt idx="76">
                  <c:v>1308685.6860960929</c:v>
                </c:pt>
                <c:pt idx="77">
                  <c:v>1314279.9731497103</c:v>
                </c:pt>
                <c:pt idx="78">
                  <c:v>1320044.0179171821</c:v>
                </c:pt>
                <c:pt idx="79">
                  <c:v>1325686.2097189245</c:v>
                </c:pt>
                <c:pt idx="80">
                  <c:v>1330931.5784209161</c:v>
                </c:pt>
                <c:pt idx="81">
                  <c:v>1336340.7734725303</c:v>
                </c:pt>
                <c:pt idx="82">
                  <c:v>1341367.5241956564</c:v>
                </c:pt>
                <c:pt idx="83">
                  <c:v>1346554.2598921449</c:v>
                </c:pt>
                <c:pt idx="84">
                  <c:v>1351632.4903125959</c:v>
                </c:pt>
                <c:pt idx="85">
                  <c:v>1356092.7135684597</c:v>
                </c:pt>
                <c:pt idx="86">
                  <c:v>1360965.3018937288</c:v>
                </c:pt>
                <c:pt idx="87">
                  <c:v>1365488.5904261563</c:v>
                </c:pt>
                <c:pt idx="88">
                  <c:v>1370162.6403485071</c:v>
                </c:pt>
                <c:pt idx="89">
                  <c:v>1374499.6656149016</c:v>
                </c:pt>
                <c:pt idx="90">
                  <c:v>1378983.9059784808</c:v>
                </c:pt>
                <c:pt idx="91">
                  <c:v>1383375.48427804</c:v>
                </c:pt>
                <c:pt idx="92">
                  <c:v>1387447.5168370875</c:v>
                </c:pt>
                <c:pt idx="93">
                  <c:v>1391661.591334085</c:v>
                </c:pt>
                <c:pt idx="94">
                  <c:v>1395567.1237400875</c:v>
                </c:pt>
                <c:pt idx="95">
                  <c:v>1399611.356627451</c:v>
                </c:pt>
                <c:pt idx="96">
                  <c:v>1403572.6287980669</c:v>
                </c:pt>
                <c:pt idx="97">
                  <c:v>1406817.6511643622</c:v>
                </c:pt>
                <c:pt idx="98">
                  <c:v>1410622.9362195048</c:v>
                </c:pt>
                <c:pt idx="99">
                  <c:v>1414145.1010519916</c:v>
                </c:pt>
                <c:pt idx="100">
                  <c:v>1417797.9818512222</c:v>
                </c:pt>
                <c:pt idx="101">
                  <c:v>1421177.2403304155</c:v>
                </c:pt>
                <c:pt idx="102">
                  <c:v>1424684.145941156</c:v>
                </c:pt>
                <c:pt idx="103">
                  <c:v>1428119.6989259566</c:v>
                </c:pt>
                <c:pt idx="104">
                  <c:v>1431295.1992393623</c:v>
                </c:pt>
                <c:pt idx="105">
                  <c:v>1434593.8760891338</c:v>
                </c:pt>
                <c:pt idx="106">
                  <c:v>1437641.072555217</c:v>
                </c:pt>
                <c:pt idx="107">
                  <c:v>1440808.5611446546</c:v>
                </c:pt>
                <c:pt idx="108">
                  <c:v>1443911.896055293</c:v>
                </c:pt>
                <c:pt idx="109">
                  <c:v>1446423.1535187901</c:v>
                </c:pt>
                <c:pt idx="110">
                  <c:v>1449405.4856944324</c:v>
                </c:pt>
                <c:pt idx="111">
                  <c:v>1452155.8994907085</c:v>
                </c:pt>
                <c:pt idx="112">
                  <c:v>1455019.2142295917</c:v>
                </c:pt>
                <c:pt idx="113">
                  <c:v>1457657.8097286292</c:v>
                </c:pt>
                <c:pt idx="114">
                  <c:v>1460406.3537206219</c:v>
                </c:pt>
                <c:pt idx="115">
                  <c:v>1463098.5168607582</c:v>
                </c:pt>
                <c:pt idx="116">
                  <c:v>1465576.3530801367</c:v>
                </c:pt>
                <c:pt idx="117">
                  <c:v>1468159.8528130255</c:v>
                </c:pt>
                <c:pt idx="118">
                  <c:v>1470535.6587761668</c:v>
                </c:pt>
                <c:pt idx="119">
                  <c:v>1473014.3756198734</c:v>
                </c:pt>
                <c:pt idx="120">
                  <c:v>1475441.6154633979</c:v>
                </c:pt>
                <c:pt idx="121">
                  <c:v>1477375.5891227494</c:v>
                </c:pt>
                <c:pt idx="122">
                  <c:v>1479705.5554898928</c:v>
                </c:pt>
                <c:pt idx="123">
                  <c:v>1481843.4271770818</c:v>
                </c:pt>
                <c:pt idx="124">
                  <c:v>1484077.6782246996</c:v>
                </c:pt>
                <c:pt idx="125">
                  <c:v>1486125.7571656455</c:v>
                </c:pt>
                <c:pt idx="126">
                  <c:v>1488267.7182822444</c:v>
                </c:pt>
                <c:pt idx="127">
                  <c:v>1490364.3372943115</c:v>
                </c:pt>
                <c:pt idx="128">
                  <c:v>1492283.3380216728</c:v>
                </c:pt>
                <c:pt idx="129">
                  <c:v>1494292.5959911975</c:v>
                </c:pt>
                <c:pt idx="130">
                  <c:v>1496129.6982095323</c:v>
                </c:pt>
                <c:pt idx="131">
                  <c:v>1498054.7284267056</c:v>
                </c:pt>
                <c:pt idx="132">
                  <c:v>1499938.3762254799</c:v>
                </c:pt>
                <c:pt idx="133">
                  <c:v>1501534.1206939302</c:v>
                </c:pt>
                <c:pt idx="134">
                  <c:v>1503338.842461871</c:v>
                </c:pt>
                <c:pt idx="135">
                  <c:v>1504984.3014089572</c:v>
                </c:pt>
                <c:pt idx="136">
                  <c:v>1506712.1465658792</c:v>
                </c:pt>
                <c:pt idx="137">
                  <c:v>1508285.6112660824</c:v>
                </c:pt>
                <c:pt idx="138">
                  <c:v>1509939.3480325006</c:v>
                </c:pt>
                <c:pt idx="139">
                  <c:v>1511556.6731029099</c:v>
                </c:pt>
                <c:pt idx="140">
                  <c:v>1513026.6720788816</c:v>
                </c:pt>
                <c:pt idx="141">
                  <c:v>1514573.8735281252</c:v>
                </c:pt>
                <c:pt idx="142">
                  <c:v>1515978.2557810384</c:v>
                </c:pt>
                <c:pt idx="143">
                  <c:v>1517458.5266579227</c:v>
                </c:pt>
                <c:pt idx="144">
                  <c:v>1518905.5323749208</c:v>
                </c:pt>
                <c:pt idx="145">
                  <c:v>1520008.6794361142</c:v>
                </c:pt>
                <c:pt idx="146">
                  <c:v>1521392.864027478</c:v>
                </c:pt>
                <c:pt idx="147">
                  <c:v>1522644.6967219706</c:v>
                </c:pt>
                <c:pt idx="148">
                  <c:v>1523966.9277772272</c:v>
                </c:pt>
                <c:pt idx="149">
                  <c:v>1525160.8040680487</c:v>
                </c:pt>
                <c:pt idx="150">
                  <c:v>1526423.2322029998</c:v>
                </c:pt>
                <c:pt idx="151">
                  <c:v>1527656.2388331771</c:v>
                </c:pt>
                <c:pt idx="152">
                  <c:v>1528766.6801684124</c:v>
                </c:pt>
                <c:pt idx="153">
                  <c:v>1529942.9923053698</c:v>
                </c:pt>
                <c:pt idx="154">
                  <c:v>1531000.4469519446</c:v>
                </c:pt>
                <c:pt idx="155">
                  <c:v>1532122.0494386812</c:v>
                </c:pt>
                <c:pt idx="156">
                  <c:v>1533216.7380375138</c:v>
                </c:pt>
                <c:pt idx="157">
                  <c:v>1534023.8301308576</c:v>
                </c:pt>
                <c:pt idx="158">
                  <c:v>1535067.779501019</c:v>
                </c:pt>
                <c:pt idx="159">
                  <c:v>1536001.6293553056</c:v>
                </c:pt>
                <c:pt idx="160">
                  <c:v>1536995.536646113</c:v>
                </c:pt>
                <c:pt idx="161">
                  <c:v>1537882.6830118313</c:v>
                </c:pt>
                <c:pt idx="162">
                  <c:v>1538828.3220479095</c:v>
                </c:pt>
                <c:pt idx="163">
                  <c:v>1539750.2183426919</c:v>
                </c:pt>
                <c:pt idx="164">
                  <c:v>1540570.1887801292</c:v>
                </c:pt>
                <c:pt idx="165">
                  <c:v>1541446.3795737179</c:v>
                </c:pt>
                <c:pt idx="166">
                  <c:v>1542223.7406477553</c:v>
                </c:pt>
                <c:pt idx="167">
                  <c:v>1543055.8614841311</c:v>
                </c:pt>
                <c:pt idx="168">
                  <c:v>1543866.3063206938</c:v>
                </c:pt>
                <c:pt idx="169">
                  <c:v>1544436.2725271226</c:v>
                </c:pt>
                <c:pt idx="170">
                  <c:v>1545205.9343005267</c:v>
                </c:pt>
                <c:pt idx="171">
                  <c:v>1545884.0781520179</c:v>
                </c:pt>
                <c:pt idx="172">
                  <c:v>1546613.513220211</c:v>
                </c:pt>
                <c:pt idx="173">
                  <c:v>1547254.2172642199</c:v>
                </c:pt>
                <c:pt idx="174">
                  <c:v>1547944.8853678673</c:v>
                </c:pt>
                <c:pt idx="175">
                  <c:v>1548616.4878822628</c:v>
                </c:pt>
                <c:pt idx="176">
                  <c:v>1549203.3950405724</c:v>
                </c:pt>
                <c:pt idx="177">
                  <c:v>1549838.3386897526</c:v>
                </c:pt>
                <c:pt idx="178">
                  <c:v>1550391.1708943066</c:v>
                </c:pt>
                <c:pt idx="179">
                  <c:v>1550990.8003330226</c:v>
                </c:pt>
                <c:pt idx="180">
                  <c:v>1551573.0637265663</c:v>
                </c:pt>
                <c:pt idx="181">
                  <c:v>1552015.6276390462</c:v>
                </c:pt>
                <c:pt idx="182">
                  <c:v>1552564.90589751</c:v>
                </c:pt>
                <c:pt idx="183">
                  <c:v>1553038.1917630755</c:v>
                </c:pt>
                <c:pt idx="184">
                  <c:v>1553555.3242704764</c:v>
                </c:pt>
                <c:pt idx="185">
                  <c:v>1553998.7889734851</c:v>
                </c:pt>
                <c:pt idx="186">
                  <c:v>1554484.9738983959</c:v>
                </c:pt>
                <c:pt idx="187">
                  <c:v>1554955.9420433214</c:v>
                </c:pt>
                <c:pt idx="188">
                  <c:v>1555356.6082633019</c:v>
                </c:pt>
                <c:pt idx="189">
                  <c:v>1555798.3584249611</c:v>
                </c:pt>
                <c:pt idx="190">
                  <c:v>1556171.9614620726</c:v>
                </c:pt>
                <c:pt idx="191">
                  <c:v>1556585.5962326813</c:v>
                </c:pt>
                <c:pt idx="192">
                  <c:v>1556985.4081680628</c:v>
                </c:pt>
                <c:pt idx="193">
                  <c:v>1557217.2499717339</c:v>
                </c:pt>
                <c:pt idx="194">
                  <c:v>1557591.1876757084</c:v>
                </c:pt>
                <c:pt idx="195">
                  <c:v>1557902.0651987935</c:v>
                </c:pt>
                <c:pt idx="196">
                  <c:v>1558250.474211893</c:v>
                </c:pt>
                <c:pt idx="197">
                  <c:v>1558537.7614361022</c:v>
                </c:pt>
                <c:pt idx="198">
                  <c:v>1558861.6230788194</c:v>
                </c:pt>
                <c:pt idx="199">
                  <c:v>1559173.4178949548</c:v>
                </c:pt>
                <c:pt idx="200">
                  <c:v>1559426.8973465846</c:v>
                </c:pt>
                <c:pt idx="201">
                  <c:v>1559715.5607105324</c:v>
                </c:pt>
                <c:pt idx="202">
                  <c:v>1559947.7051309729</c:v>
                </c:pt>
                <c:pt idx="203">
                  <c:v>1560214.1391047256</c:v>
                </c:pt>
                <c:pt idx="204">
                  <c:v>1560469.6469983074</c:v>
                </c:pt>
                <c:pt idx="205">
                  <c:v>1560584.8156171574</c:v>
                </c:pt>
                <c:pt idx="206">
                  <c:v>1560819.9402978565</c:v>
                </c:pt>
                <c:pt idx="207">
                  <c:v>1561002.7861805747</c:v>
                </c:pt>
                <c:pt idx="208">
                  <c:v>1561217.7957828885</c:v>
                </c:pt>
                <c:pt idx="209">
                  <c:v>1561382.142101085</c:v>
                </c:pt>
                <c:pt idx="210">
                  <c:v>1561577.8382067466</c:v>
                </c:pt>
                <c:pt idx="211">
                  <c:v>1561764.0431481556</c:v>
                </c:pt>
                <c:pt idx="212">
                  <c:v>1561901.923541561</c:v>
                </c:pt>
                <c:pt idx="213">
                  <c:v>1562069.9709807266</c:v>
                </c:pt>
                <c:pt idx="214">
                  <c:v>1562191.1907293664</c:v>
                </c:pt>
                <c:pt idx="215">
                  <c:v>1562341.8166250095</c:v>
                </c:pt>
                <c:pt idx="216">
                  <c:v>1562483.8823450943</c:v>
                </c:pt>
                <c:pt idx="217">
                  <c:v>1562508.7295623417</c:v>
                </c:pt>
                <c:pt idx="218">
                  <c:v>1562634.8917516137</c:v>
                </c:pt>
                <c:pt idx="219">
                  <c:v>1562717.758671666</c:v>
                </c:pt>
                <c:pt idx="220">
                  <c:v>1562828.2225428747</c:v>
                </c:pt>
                <c:pt idx="221">
                  <c:v>1562896.7368377114</c:v>
                </c:pt>
                <c:pt idx="222">
                  <c:v>1562992.1552257827</c:v>
                </c:pt>
                <c:pt idx="223">
                  <c:v>1563080.1825742773</c:v>
                </c:pt>
                <c:pt idx="224">
                  <c:v>1563128.2082774052</c:v>
                </c:pt>
                <c:pt idx="225">
                  <c:v>1563202.1310925749</c:v>
                </c:pt>
                <c:pt idx="226">
                  <c:v>1563237.2988248488</c:v>
                </c:pt>
                <c:pt idx="227">
                  <c:v>1563297.7156920643</c:v>
                </c:pt>
                <c:pt idx="228">
                  <c:v>1563351.4990059384</c:v>
                </c:pt>
                <c:pt idx="229">
                  <c:v>1563351.4990059384</c:v>
                </c:pt>
                <c:pt idx="230">
                  <c:v>1563392.8304548603</c:v>
                </c:pt>
                <c:pt idx="231">
                  <c:v>1563398.3568948717</c:v>
                </c:pt>
                <c:pt idx="232">
                  <c:v>1563427.5878935629</c:v>
                </c:pt>
                <c:pt idx="233">
                  <c:v>1563427.5878935629</c:v>
                </c:pt>
                <c:pt idx="234">
                  <c:v>1563445.2482081626</c:v>
                </c:pt>
                <c:pt idx="235">
                  <c:v>1563457.2271018415</c:v>
                </c:pt>
                <c:pt idx="236">
                  <c:v>1563457.2271018415</c:v>
                </c:pt>
                <c:pt idx="237">
                  <c:v>1563458.398389671</c:v>
                </c:pt>
                <c:pt idx="238">
                  <c:v>1563458.398389671</c:v>
                </c:pt>
                <c:pt idx="239">
                  <c:v>1563458.398389671</c:v>
                </c:pt>
                <c:pt idx="240">
                  <c:v>1563458.398389671</c:v>
                </c:pt>
                <c:pt idx="241">
                  <c:v>1563458.398389671</c:v>
                </c:pt>
                <c:pt idx="242">
                  <c:v>1563458.398389671</c:v>
                </c:pt>
                <c:pt idx="243">
                  <c:v>1563458.398389671</c:v>
                </c:pt>
                <c:pt idx="244">
                  <c:v>1563458.398389671</c:v>
                </c:pt>
                <c:pt idx="245">
                  <c:v>1563458.398389671</c:v>
                </c:pt>
                <c:pt idx="246">
                  <c:v>1563458.398389671</c:v>
                </c:pt>
                <c:pt idx="247">
                  <c:v>1563458.398389671</c:v>
                </c:pt>
                <c:pt idx="248">
                  <c:v>1563458.398389671</c:v>
                </c:pt>
                <c:pt idx="249">
                  <c:v>1563458.398389671</c:v>
                </c:pt>
                <c:pt idx="250">
                  <c:v>1563458.398389671</c:v>
                </c:pt>
                <c:pt idx="251">
                  <c:v>1563458.398389671</c:v>
                </c:pt>
                <c:pt idx="252">
                  <c:v>1563458.398389671</c:v>
                </c:pt>
                <c:pt idx="253">
                  <c:v>1563458.398389671</c:v>
                </c:pt>
                <c:pt idx="254">
                  <c:v>1563458.398389671</c:v>
                </c:pt>
                <c:pt idx="255">
                  <c:v>1563458.398389671</c:v>
                </c:pt>
                <c:pt idx="256">
                  <c:v>1563458.398389671</c:v>
                </c:pt>
                <c:pt idx="257">
                  <c:v>1563458.398389671</c:v>
                </c:pt>
                <c:pt idx="258">
                  <c:v>1563458.398389671</c:v>
                </c:pt>
                <c:pt idx="259">
                  <c:v>1563458.398389671</c:v>
                </c:pt>
                <c:pt idx="260">
                  <c:v>1563458.398389671</c:v>
                </c:pt>
                <c:pt idx="261">
                  <c:v>1563458.398389671</c:v>
                </c:pt>
                <c:pt idx="262">
                  <c:v>1563458.398389671</c:v>
                </c:pt>
                <c:pt idx="263">
                  <c:v>1563458.398389671</c:v>
                </c:pt>
                <c:pt idx="264">
                  <c:v>1563458.398389671</c:v>
                </c:pt>
                <c:pt idx="265">
                  <c:v>1563458.398389671</c:v>
                </c:pt>
                <c:pt idx="266">
                  <c:v>1563458.398389671</c:v>
                </c:pt>
                <c:pt idx="267">
                  <c:v>1563458.398389671</c:v>
                </c:pt>
                <c:pt idx="268">
                  <c:v>1563458.398389671</c:v>
                </c:pt>
                <c:pt idx="269">
                  <c:v>1563458.398389671</c:v>
                </c:pt>
                <c:pt idx="270">
                  <c:v>1563458.398389671</c:v>
                </c:pt>
                <c:pt idx="271">
                  <c:v>1563458.398389671</c:v>
                </c:pt>
                <c:pt idx="272">
                  <c:v>1563458.398389671</c:v>
                </c:pt>
                <c:pt idx="273">
                  <c:v>1563458.398389671</c:v>
                </c:pt>
                <c:pt idx="274">
                  <c:v>1563458.398389671</c:v>
                </c:pt>
                <c:pt idx="275">
                  <c:v>1563458.398389671</c:v>
                </c:pt>
                <c:pt idx="276">
                  <c:v>1563458.398389671</c:v>
                </c:pt>
                <c:pt idx="277">
                  <c:v>1563458.398389671</c:v>
                </c:pt>
                <c:pt idx="278">
                  <c:v>1563458.398389671</c:v>
                </c:pt>
                <c:pt idx="279">
                  <c:v>1563458.398389671</c:v>
                </c:pt>
                <c:pt idx="280">
                  <c:v>1563458.398389671</c:v>
                </c:pt>
                <c:pt idx="281">
                  <c:v>1563458.398389671</c:v>
                </c:pt>
                <c:pt idx="282">
                  <c:v>1563458.398389671</c:v>
                </c:pt>
                <c:pt idx="283">
                  <c:v>1563458.398389671</c:v>
                </c:pt>
                <c:pt idx="284">
                  <c:v>1563458.398389671</c:v>
                </c:pt>
                <c:pt idx="285">
                  <c:v>1563458.398389671</c:v>
                </c:pt>
                <c:pt idx="286">
                  <c:v>1563458.398389671</c:v>
                </c:pt>
                <c:pt idx="287">
                  <c:v>1563458.398389671</c:v>
                </c:pt>
                <c:pt idx="288">
                  <c:v>1563458.398389671</c:v>
                </c:pt>
                <c:pt idx="289">
                  <c:v>1563458.398389671</c:v>
                </c:pt>
                <c:pt idx="290">
                  <c:v>1563458.398389671</c:v>
                </c:pt>
                <c:pt idx="291">
                  <c:v>1563458.398389671</c:v>
                </c:pt>
                <c:pt idx="292">
                  <c:v>1563458.398389671</c:v>
                </c:pt>
                <c:pt idx="293">
                  <c:v>1563458.398389671</c:v>
                </c:pt>
                <c:pt idx="294">
                  <c:v>1563458.398389671</c:v>
                </c:pt>
                <c:pt idx="295">
                  <c:v>1563458.398389671</c:v>
                </c:pt>
                <c:pt idx="296">
                  <c:v>1563458.398389671</c:v>
                </c:pt>
                <c:pt idx="297">
                  <c:v>1563458.398389671</c:v>
                </c:pt>
                <c:pt idx="298">
                  <c:v>1563458.398389671</c:v>
                </c:pt>
                <c:pt idx="299">
                  <c:v>1563458.398389671</c:v>
                </c:pt>
                <c:pt idx="300">
                  <c:v>1563458.398389671</c:v>
                </c:pt>
                <c:pt idx="301">
                  <c:v>1563458.398389671</c:v>
                </c:pt>
                <c:pt idx="302">
                  <c:v>1563458.398389671</c:v>
                </c:pt>
                <c:pt idx="303">
                  <c:v>1563458.398389671</c:v>
                </c:pt>
                <c:pt idx="304">
                  <c:v>1563458.398389671</c:v>
                </c:pt>
                <c:pt idx="305">
                  <c:v>1563458.398389671</c:v>
                </c:pt>
                <c:pt idx="306">
                  <c:v>1563458.398389671</c:v>
                </c:pt>
                <c:pt idx="307">
                  <c:v>1563458.398389671</c:v>
                </c:pt>
                <c:pt idx="308">
                  <c:v>1563458.398389671</c:v>
                </c:pt>
                <c:pt idx="309">
                  <c:v>1563458.398389671</c:v>
                </c:pt>
                <c:pt idx="310">
                  <c:v>1563458.398389671</c:v>
                </c:pt>
                <c:pt idx="311">
                  <c:v>1563458.398389671</c:v>
                </c:pt>
                <c:pt idx="312">
                  <c:v>1563458.398389671</c:v>
                </c:pt>
                <c:pt idx="313">
                  <c:v>1563458.398389671</c:v>
                </c:pt>
                <c:pt idx="314">
                  <c:v>1563458.398389671</c:v>
                </c:pt>
                <c:pt idx="315">
                  <c:v>1563458.398389671</c:v>
                </c:pt>
                <c:pt idx="316">
                  <c:v>1563458.398389671</c:v>
                </c:pt>
                <c:pt idx="317">
                  <c:v>1563458.398389671</c:v>
                </c:pt>
                <c:pt idx="318">
                  <c:v>1563458.398389671</c:v>
                </c:pt>
                <c:pt idx="319">
                  <c:v>1563458.398389671</c:v>
                </c:pt>
                <c:pt idx="320">
                  <c:v>1563458.398389671</c:v>
                </c:pt>
                <c:pt idx="321">
                  <c:v>1563458.398389671</c:v>
                </c:pt>
                <c:pt idx="322">
                  <c:v>1563458.398389671</c:v>
                </c:pt>
                <c:pt idx="323">
                  <c:v>1563458.398389671</c:v>
                </c:pt>
                <c:pt idx="324">
                  <c:v>1563458.398389671</c:v>
                </c:pt>
                <c:pt idx="325">
                  <c:v>1563458.398389671</c:v>
                </c:pt>
                <c:pt idx="326">
                  <c:v>1563458.398389671</c:v>
                </c:pt>
                <c:pt idx="327">
                  <c:v>1563458.398389671</c:v>
                </c:pt>
                <c:pt idx="328">
                  <c:v>1563458.398389671</c:v>
                </c:pt>
                <c:pt idx="329">
                  <c:v>1563458.398389671</c:v>
                </c:pt>
                <c:pt idx="330">
                  <c:v>1563458.398389671</c:v>
                </c:pt>
                <c:pt idx="331">
                  <c:v>1563458.398389671</c:v>
                </c:pt>
                <c:pt idx="332">
                  <c:v>1563458.398389671</c:v>
                </c:pt>
                <c:pt idx="333">
                  <c:v>1563458.398389671</c:v>
                </c:pt>
                <c:pt idx="334">
                  <c:v>1563458.398389671</c:v>
                </c:pt>
                <c:pt idx="335">
                  <c:v>1563458.398389671</c:v>
                </c:pt>
                <c:pt idx="336">
                  <c:v>1563458.398389671</c:v>
                </c:pt>
                <c:pt idx="337">
                  <c:v>1563458.398389671</c:v>
                </c:pt>
                <c:pt idx="338">
                  <c:v>1563458.398389671</c:v>
                </c:pt>
                <c:pt idx="339">
                  <c:v>1563458.398389671</c:v>
                </c:pt>
                <c:pt idx="340">
                  <c:v>1563458.398389671</c:v>
                </c:pt>
                <c:pt idx="341">
                  <c:v>1563458.398389671</c:v>
                </c:pt>
                <c:pt idx="342">
                  <c:v>1563458.398389671</c:v>
                </c:pt>
                <c:pt idx="343">
                  <c:v>1563458.398389671</c:v>
                </c:pt>
                <c:pt idx="344">
                  <c:v>1563458.398389671</c:v>
                </c:pt>
                <c:pt idx="345">
                  <c:v>1563458.398389671</c:v>
                </c:pt>
                <c:pt idx="346">
                  <c:v>1563458.398389671</c:v>
                </c:pt>
                <c:pt idx="347">
                  <c:v>1563458.398389671</c:v>
                </c:pt>
                <c:pt idx="348">
                  <c:v>1563458.398389671</c:v>
                </c:pt>
                <c:pt idx="349">
                  <c:v>1563458.398389671</c:v>
                </c:pt>
                <c:pt idx="350">
                  <c:v>1563458.398389671</c:v>
                </c:pt>
                <c:pt idx="351">
                  <c:v>1563458.398389671</c:v>
                </c:pt>
                <c:pt idx="352">
                  <c:v>1563458.398389671</c:v>
                </c:pt>
                <c:pt idx="353">
                  <c:v>1563458.398389671</c:v>
                </c:pt>
                <c:pt idx="354">
                  <c:v>1563458.398389671</c:v>
                </c:pt>
                <c:pt idx="355">
                  <c:v>1563458.398389671</c:v>
                </c:pt>
                <c:pt idx="356">
                  <c:v>1563458.398389671</c:v>
                </c:pt>
                <c:pt idx="357">
                  <c:v>1563458.398389671</c:v>
                </c:pt>
                <c:pt idx="358">
                  <c:v>1563458.398389671</c:v>
                </c:pt>
                <c:pt idx="359">
                  <c:v>1563458.398389671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5E-4135-BEF5-2DA56F60B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978872"/>
        <c:axId val="827231480"/>
      </c:scatterChart>
      <c:valAx>
        <c:axId val="634165728"/>
        <c:scaling>
          <c:orientation val="minMax"/>
          <c:max val="50557"/>
          <c:min val="4237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m\ yyyy;@" sourceLinked="0"/>
        <c:majorTickMark val="none"/>
        <c:minorTickMark val="in"/>
        <c:tickLblPos val="nextTo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163104"/>
        <c:crosses val="autoZero"/>
        <c:crossBetween val="midCat"/>
        <c:majorUnit val="365.25"/>
        <c:minorUnit val="182.62"/>
      </c:valAx>
      <c:valAx>
        <c:axId val="6341631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Cash</a:t>
                </a:r>
                <a:r>
                  <a:rPr lang="en-US" baseline="0"/>
                  <a:t> Flow (per month)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165728"/>
        <c:crosses val="autoZero"/>
        <c:crossBetween val="midCat"/>
      </c:valAx>
      <c:valAx>
        <c:axId val="82723148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</a:t>
                </a:r>
                <a:r>
                  <a:rPr lang="en-US" baseline="0"/>
                  <a:t> Cash Flow (000s)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0978872"/>
        <c:crosses val="max"/>
        <c:crossBetween val="midCat"/>
        <c:dispUnits>
          <c:builtInUnit val="thousands"/>
        </c:dispUnits>
      </c:valAx>
      <c:valAx>
        <c:axId val="770978872"/>
        <c:scaling>
          <c:orientation val="minMax"/>
        </c:scaling>
        <c:delete val="1"/>
        <c:axPos val="b"/>
        <c:numFmt formatCode="[$-409]mmmm\ yyyy;@" sourceLinked="1"/>
        <c:majorTickMark val="out"/>
        <c:minorTickMark val="none"/>
        <c:tickLblPos val="nextTo"/>
        <c:crossAx val="827231480"/>
        <c:crosses val="autoZero"/>
        <c:crossBetween val="midCat"/>
      </c:valAx>
      <c:spPr>
        <a:noFill/>
        <a:ln>
          <a:solidFill>
            <a:srgbClr val="BFBFBF"/>
          </a:solidFill>
        </a:ln>
        <a:effectLst/>
      </c:spPr>
    </c:plotArea>
    <c:legend>
      <c:legendPos val="b"/>
      <c:layout>
        <c:manualLayout>
          <c:xMode val="edge"/>
          <c:yMode val="edge"/>
          <c:x val="0.72074775840013261"/>
          <c:y val="0.70174917660494152"/>
          <c:w val="0.19229774106456976"/>
          <c:h val="9.8758817893372597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A58AED6-E7AF-42AD-92A8-48B5BEDBE2C6}">
  <sheetPr/>
  <sheetViews>
    <sheetView workbookViewId="0"/>
  </sheetViews>
  <customSheetViews>
    <customSheetView guid="{67117C0F-1B5D-4D89-8B0C-855EE265FFB6}">
      <pageMargins left="0.25" right="0.25" top="0.75" bottom="0.75" header="0.3" footer="0.3"/>
      <pageSetup orientation="landscape" verticalDpi="0" r:id="rId1"/>
      <headerFooter>
        <oddFooter>&amp;L&amp;K01+047&amp;D,  &amp;T&amp;R&amp;K01+049 © AAPL 2018</oddFooter>
      </headerFooter>
    </customSheetView>
  </customSheetViews>
  <pageMargins left="0.25" right="0.25" top="0.75" bottom="0.75" header="0.3" footer="0.3"/>
  <pageSetup orientation="landscape" verticalDpi="0" r:id="rId2"/>
  <headerFooter>
    <oddFooter>&amp;L&amp;K01+047&amp;D,  &amp;T&amp;R&amp;K01+049 © AAPL 2018</oddFooter>
  </headerFooter>
  <drawing r:id="rId3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A452D64-B8D2-4D4E-8750-1560BDDB4800}">
  <sheetPr/>
  <sheetViews>
    <sheetView zoomScale="95" workbookViewId="0"/>
  </sheetViews>
  <pageMargins left="0.25" right="0.25" top="0.75" bottom="0.75" header="0.3" footer="0.3"/>
  <pageSetup orientation="landscape" verticalDpi="0" r:id="rId1"/>
  <headerFooter>
    <oddFooter>&amp;L&amp;K01+047&amp;D,  &amp;T&amp;R&amp;K01+049 © AAPL 2018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496425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751C66-0C1F-4400-BE1E-796EA6B464B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0.79186</cdr:x>
      <cdr:y>0.07109</cdr:y>
    </cdr:from>
    <cdr:to>
      <cdr:x>0.90371</cdr:x>
      <cdr:y>0.11041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1F4CA40-90BB-4843-8F35-C2F77754626C}"/>
            </a:ext>
          </a:extLst>
        </cdr:cNvPr>
        <cdr:cNvSpPr txBox="1"/>
      </cdr:nvSpPr>
      <cdr:spPr>
        <a:xfrm xmlns:a="http://schemas.openxmlformats.org/drawingml/2006/main">
          <a:off x="7524750" y="447675"/>
          <a:ext cx="1062789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US" sz="1050" b="1"/>
            <a:t>PV @ primary</a:t>
          </a:r>
        </a:p>
      </cdr:txBody>
    </cdr:sp>
  </cdr:relSizeAnchor>
  <cdr:relSizeAnchor xmlns:cdr="http://schemas.openxmlformats.org/drawingml/2006/chartDrawing">
    <cdr:from>
      <cdr:x>0.07017</cdr:x>
      <cdr:y>0.06957</cdr:y>
    </cdr:from>
    <cdr:to>
      <cdr:x>0.15035</cdr:x>
      <cdr:y>0.11948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EFC01E5A-2160-40E0-9A98-B72A2A28BD24}"/>
            </a:ext>
          </a:extLst>
        </cdr:cNvPr>
        <cdr:cNvSpPr txBox="1"/>
      </cdr:nvSpPr>
      <cdr:spPr>
        <a:xfrm xmlns:a="http://schemas.openxmlformats.org/drawingml/2006/main">
          <a:off x="666751" y="438150"/>
          <a:ext cx="762000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50" b="1"/>
            <a:t>Hist</a:t>
          </a:r>
          <a:r>
            <a:rPr lang="en-US" sz="1050" b="1" baseline="0"/>
            <a:t> Cum</a:t>
          </a:r>
          <a:endParaRPr lang="en-US" sz="1050" b="1"/>
        </a:p>
      </cdr:txBody>
    </cdr:sp>
  </cdr:relSizeAnchor>
  <cdr:relSizeAnchor xmlns:cdr="http://schemas.openxmlformats.org/drawingml/2006/chartDrawing">
    <cdr:from>
      <cdr:x>0.32188</cdr:x>
      <cdr:y>0.07079</cdr:y>
    </cdr:from>
    <cdr:to>
      <cdr:x>0.40253</cdr:x>
      <cdr:y>0.1207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74FF10EE-CE06-48A8-A909-AE9A543C15CA}"/>
            </a:ext>
          </a:extLst>
        </cdr:cNvPr>
        <cdr:cNvSpPr txBox="1"/>
      </cdr:nvSpPr>
      <cdr:spPr>
        <a:xfrm xmlns:a="http://schemas.openxmlformats.org/drawingml/2006/main">
          <a:off x="3058694" y="445837"/>
          <a:ext cx="766345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/>
            <a:t>Reserves</a:t>
          </a:r>
        </a:p>
      </cdr:txBody>
    </cdr:sp>
  </cdr:relSizeAnchor>
  <cdr:relSizeAnchor xmlns:cdr="http://schemas.openxmlformats.org/drawingml/2006/chartDrawing">
    <cdr:from>
      <cdr:x>0.57653</cdr:x>
      <cdr:y>0.07143</cdr:y>
    </cdr:from>
    <cdr:to>
      <cdr:x>0.62938</cdr:x>
      <cdr:y>0.12134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4E4F2D57-6EFF-4F97-86EB-66FE13867221}"/>
            </a:ext>
          </a:extLst>
        </cdr:cNvPr>
        <cdr:cNvSpPr txBox="1"/>
      </cdr:nvSpPr>
      <cdr:spPr>
        <a:xfrm xmlns:a="http://schemas.openxmlformats.org/drawingml/2006/main">
          <a:off x="5478546" y="449848"/>
          <a:ext cx="502151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/>
            <a:t>EUR</a:t>
          </a:r>
        </a:p>
      </cdr:txBody>
    </cdr:sp>
  </cdr:relSizeAnchor>
  <cdr:relSizeAnchor xmlns:cdr="http://schemas.openxmlformats.org/drawingml/2006/chartDrawing">
    <cdr:from>
      <cdr:x>0.90778</cdr:x>
      <cdr:y>0.07109</cdr:y>
    </cdr:from>
    <cdr:to>
      <cdr:x>1</cdr:x>
      <cdr:y>0.11041</cdr:y>
    </cdr:to>
    <cdr:sp macro="" textlink="'output table (1)'!$Y$38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738F0247-73A9-4BDB-A8D6-11C6181F6DFC}"/>
            </a:ext>
          </a:extLst>
        </cdr:cNvPr>
        <cdr:cNvSpPr txBox="1"/>
      </cdr:nvSpPr>
      <cdr:spPr>
        <a:xfrm xmlns:a="http://schemas.openxmlformats.org/drawingml/2006/main">
          <a:off x="8626288" y="447675"/>
          <a:ext cx="8763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110DF82-4D7A-4447-AECE-53022A847F38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$1,563,458 </a:t>
          </a:fld>
          <a:endParaRPr lang="en-US" sz="1050"/>
        </a:p>
      </cdr:txBody>
    </cdr:sp>
  </cdr:relSizeAnchor>
  <cdr:relSizeAnchor xmlns:cdr="http://schemas.openxmlformats.org/drawingml/2006/chartDrawing">
    <cdr:from>
      <cdr:x>0.47375</cdr:x>
      <cdr:y>0.07159</cdr:y>
    </cdr:from>
    <cdr:to>
      <cdr:x>0.56609</cdr:x>
      <cdr:y>0.1215</cdr:y>
    </cdr:to>
    <cdr:sp macro="" textlink="'output table (1)'!$E$38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7E3BCEB4-ED8D-4240-BAB3-739F9966420D}"/>
            </a:ext>
          </a:extLst>
        </cdr:cNvPr>
        <cdr:cNvSpPr txBox="1"/>
      </cdr:nvSpPr>
      <cdr:spPr>
        <a:xfrm xmlns:a="http://schemas.openxmlformats.org/drawingml/2006/main">
          <a:off x="4501816" y="450850"/>
          <a:ext cx="877470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6E4E93B4-9A5B-4AE1-8AE6-AE2FFEF2C542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361,812 </a:t>
          </a:fld>
          <a:endParaRPr lang="en-US" sz="1050" b="1"/>
        </a:p>
      </cdr:txBody>
    </cdr:sp>
  </cdr:relSizeAnchor>
  <cdr:relSizeAnchor xmlns:cdr="http://schemas.openxmlformats.org/drawingml/2006/chartDrawing">
    <cdr:from>
      <cdr:x>0.38535</cdr:x>
      <cdr:y>0.07087</cdr:y>
    </cdr:from>
    <cdr:to>
      <cdr:x>0.47533</cdr:x>
      <cdr:y>0.12078</cdr:y>
    </cdr:to>
    <cdr:sp macro="" textlink="'output table (1)'!$D$38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7E3BCEB4-ED8D-4240-BAB3-739F9966420D}"/>
            </a:ext>
          </a:extLst>
        </cdr:cNvPr>
        <cdr:cNvSpPr txBox="1"/>
      </cdr:nvSpPr>
      <cdr:spPr>
        <a:xfrm xmlns:a="http://schemas.openxmlformats.org/drawingml/2006/main">
          <a:off x="3661777" y="446337"/>
          <a:ext cx="855077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1AC45346-67ED-42BD-BA5D-C5A48665012A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69,537 </a:t>
          </a:fld>
          <a:endParaRPr lang="en-US" sz="1050" b="1"/>
        </a:p>
      </cdr:txBody>
    </cdr:sp>
  </cdr:relSizeAnchor>
  <cdr:relSizeAnchor xmlns:cdr="http://schemas.openxmlformats.org/drawingml/2006/chartDrawing">
    <cdr:from>
      <cdr:x>0.22539</cdr:x>
      <cdr:y>0.07095</cdr:y>
    </cdr:from>
    <cdr:to>
      <cdr:x>0.31442</cdr:x>
      <cdr:y>0.12086</cdr:y>
    </cdr:to>
    <cdr:sp macro="" textlink="'output table (1)'!$E$5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7E3BCEB4-ED8D-4240-BAB3-739F9966420D}"/>
            </a:ext>
          </a:extLst>
        </cdr:cNvPr>
        <cdr:cNvSpPr txBox="1"/>
      </cdr:nvSpPr>
      <cdr:spPr>
        <a:xfrm xmlns:a="http://schemas.openxmlformats.org/drawingml/2006/main">
          <a:off x="2141788" y="446839"/>
          <a:ext cx="846054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C14535C6-1DFC-4A82-8235-915100DAFF1A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135,923 </a:t>
          </a:fld>
          <a:endParaRPr lang="en-US" sz="1050" b="1"/>
        </a:p>
      </cdr:txBody>
    </cdr:sp>
  </cdr:relSizeAnchor>
  <cdr:relSizeAnchor xmlns:cdr="http://schemas.openxmlformats.org/drawingml/2006/chartDrawing">
    <cdr:from>
      <cdr:x>0.14209</cdr:x>
      <cdr:y>0.07151</cdr:y>
    </cdr:from>
    <cdr:to>
      <cdr:x>0.22228</cdr:x>
      <cdr:y>0.12142</cdr:y>
    </cdr:to>
    <cdr:sp macro="" textlink="'output table (1)'!$D$5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7E3BCEB4-ED8D-4240-BAB3-739F9966420D}"/>
            </a:ext>
          </a:extLst>
        </cdr:cNvPr>
        <cdr:cNvSpPr txBox="1"/>
      </cdr:nvSpPr>
      <cdr:spPr>
        <a:xfrm xmlns:a="http://schemas.openxmlformats.org/drawingml/2006/main">
          <a:off x="1350210" y="450349"/>
          <a:ext cx="762000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C4103B51-65CA-4A19-9598-F14685725504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40,400 </a:t>
          </a:fld>
          <a:endParaRPr lang="en-US" sz="1050" b="1"/>
        </a:p>
      </cdr:txBody>
    </cdr:sp>
  </cdr:relSizeAnchor>
  <cdr:relSizeAnchor xmlns:cdr="http://schemas.openxmlformats.org/drawingml/2006/chartDrawing">
    <cdr:from>
      <cdr:x>0.70942</cdr:x>
      <cdr:y>0.07103</cdr:y>
    </cdr:from>
    <cdr:to>
      <cdr:x>0.79661</cdr:x>
      <cdr:y>0.12094</cdr:y>
    </cdr:to>
    <cdr:sp macro="" textlink="'output table (1)'!$E$39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7E3BCEB4-ED8D-4240-BAB3-739F9966420D}"/>
            </a:ext>
          </a:extLst>
        </cdr:cNvPr>
        <cdr:cNvSpPr txBox="1"/>
      </cdr:nvSpPr>
      <cdr:spPr>
        <a:xfrm xmlns:a="http://schemas.openxmlformats.org/drawingml/2006/main">
          <a:off x="6741360" y="447341"/>
          <a:ext cx="828508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20CE0C43-6D13-4D95-93E3-95B292664B1D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497,735 </a:t>
          </a:fld>
          <a:endParaRPr lang="en-US" sz="1050" b="1"/>
        </a:p>
      </cdr:txBody>
    </cdr:sp>
  </cdr:relSizeAnchor>
  <cdr:relSizeAnchor xmlns:cdr="http://schemas.openxmlformats.org/drawingml/2006/chartDrawing">
    <cdr:from>
      <cdr:x>0.59983</cdr:x>
      <cdr:y>0.07151</cdr:y>
    </cdr:from>
    <cdr:to>
      <cdr:x>0.70399</cdr:x>
      <cdr:y>0.12142</cdr:y>
    </cdr:to>
    <cdr:sp macro="" textlink="'output table (1)'!$D$39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7E3BCEB4-ED8D-4240-BAB3-739F9966420D}"/>
            </a:ext>
          </a:extLst>
        </cdr:cNvPr>
        <cdr:cNvSpPr txBox="1"/>
      </cdr:nvSpPr>
      <cdr:spPr>
        <a:xfrm xmlns:a="http://schemas.openxmlformats.org/drawingml/2006/main">
          <a:off x="5699961" y="450349"/>
          <a:ext cx="989764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C651900F-4C2B-4046-B4EB-2B91D56C4A5C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109,937 </a:t>
          </a:fld>
          <a:endParaRPr lang="en-US" sz="1050" b="1"/>
        </a:p>
      </cdr:txBody>
    </cdr:sp>
  </cdr:relSizeAnchor>
  <cdr:relSizeAnchor xmlns:cdr="http://schemas.openxmlformats.org/drawingml/2006/chartDrawing">
    <cdr:from>
      <cdr:x>0.1826</cdr:x>
      <cdr:y>0.04548</cdr:y>
    </cdr:from>
    <cdr:to>
      <cdr:x>0.32128</cdr:x>
      <cdr:y>0.09539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4AE85AD2-502F-4672-993D-1E65BED97FA4}"/>
            </a:ext>
          </a:extLst>
        </cdr:cNvPr>
        <cdr:cNvSpPr txBox="1"/>
      </cdr:nvSpPr>
      <cdr:spPr>
        <a:xfrm xmlns:a="http://schemas.openxmlformats.org/drawingml/2006/main">
          <a:off x="1735219" y="286419"/>
          <a:ext cx="1317794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0" u="none"/>
            <a:t>stb                      mcf</a:t>
          </a:r>
        </a:p>
      </cdr:txBody>
    </cdr:sp>
  </cdr:relSizeAnchor>
  <cdr:relSizeAnchor xmlns:cdr="http://schemas.openxmlformats.org/drawingml/2006/chartDrawing">
    <cdr:from>
      <cdr:x>0.43583</cdr:x>
      <cdr:y>0.04628</cdr:y>
    </cdr:from>
    <cdr:to>
      <cdr:x>0.57451</cdr:x>
      <cdr:y>0.09619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BEA22274-1A1A-4AD6-AD9B-A33CD955D0D2}"/>
            </a:ext>
          </a:extLst>
        </cdr:cNvPr>
        <cdr:cNvSpPr txBox="1"/>
      </cdr:nvSpPr>
      <cdr:spPr>
        <a:xfrm xmlns:a="http://schemas.openxmlformats.org/drawingml/2006/main">
          <a:off x="4141537" y="291432"/>
          <a:ext cx="1317794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0"/>
            <a:t>stb                      mcf</a:t>
          </a:r>
        </a:p>
      </cdr:txBody>
    </cdr:sp>
  </cdr:relSizeAnchor>
  <cdr:relSizeAnchor xmlns:cdr="http://schemas.openxmlformats.org/drawingml/2006/chartDrawing">
    <cdr:from>
      <cdr:x>0.66479</cdr:x>
      <cdr:y>0.04787</cdr:y>
    </cdr:from>
    <cdr:to>
      <cdr:x>0.80347</cdr:x>
      <cdr:y>0.09778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BA63C336-9462-456F-A424-2D218F6E43E1}"/>
            </a:ext>
          </a:extLst>
        </cdr:cNvPr>
        <cdr:cNvSpPr txBox="1"/>
      </cdr:nvSpPr>
      <cdr:spPr>
        <a:xfrm xmlns:a="http://schemas.openxmlformats.org/drawingml/2006/main">
          <a:off x="6303982" y="300935"/>
          <a:ext cx="1315056" cy="313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0"/>
            <a:t>stb                      mcf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484895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92C7D0-A50C-433F-BD22-05087075F9B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0.30896</cdr:x>
      <cdr:y>0.11744</cdr:y>
    </cdr:from>
    <cdr:to>
      <cdr:x>0.4375</cdr:x>
      <cdr:y>0.23843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F3319F7-A831-4DA1-A806-956D1F3A7022}"/>
            </a:ext>
          </a:extLst>
        </cdr:cNvPr>
        <cdr:cNvSpPr txBox="1"/>
      </cdr:nvSpPr>
      <cdr:spPr>
        <a:xfrm xmlns:a="http://schemas.openxmlformats.org/drawingml/2006/main">
          <a:off x="2935941" y="739588"/>
          <a:ext cx="1221441" cy="76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0.61163</cdr:x>
      <cdr:y>0.07635</cdr:y>
    </cdr:from>
    <cdr:to>
      <cdr:x>0.65633</cdr:x>
      <cdr:y>0.11489</cdr:y>
    </cdr:to>
    <cdr:sp macro="" textlink="'output table (1)'!$W$44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D9C48B22-B410-473F-BE86-E2ED0CE638B8}"/>
            </a:ext>
          </a:extLst>
        </cdr:cNvPr>
        <cdr:cNvSpPr txBox="1"/>
      </cdr:nvSpPr>
      <cdr:spPr>
        <a:xfrm xmlns:a="http://schemas.openxmlformats.org/drawingml/2006/main">
          <a:off x="5812077" y="480834"/>
          <a:ext cx="424743" cy="2426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3A94B61-DDEC-47E2-92C3-5222587C0E3D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n/a</a:t>
          </a:fld>
          <a:endParaRPr lang="en-US" sz="1000"/>
        </a:p>
      </cdr:txBody>
    </cdr:sp>
  </cdr:relSizeAnchor>
  <cdr:relSizeAnchor xmlns:cdr="http://schemas.openxmlformats.org/drawingml/2006/chartDrawing">
    <cdr:from>
      <cdr:x>0.40059</cdr:x>
      <cdr:y>0.07513</cdr:y>
    </cdr:from>
    <cdr:to>
      <cdr:x>0.52173</cdr:x>
      <cdr:y>0.1125</cdr:y>
    </cdr:to>
    <cdr:sp macro="" textlink="'output table (1)'!$Y$38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BFCC47F-6732-4DA6-BBAC-B99ADA504095}"/>
            </a:ext>
          </a:extLst>
        </cdr:cNvPr>
        <cdr:cNvSpPr txBox="1"/>
      </cdr:nvSpPr>
      <cdr:spPr>
        <a:xfrm xmlns:a="http://schemas.openxmlformats.org/drawingml/2006/main">
          <a:off x="3806662" y="473173"/>
          <a:ext cx="1151107" cy="235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2E8E65B0-095E-40AC-8EF8-B60664141048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$1,563,458 </a:t>
          </a:fld>
          <a:endParaRPr lang="en-US" sz="1000"/>
        </a:p>
      </cdr:txBody>
    </cdr:sp>
  </cdr:relSizeAnchor>
  <cdr:relSizeAnchor xmlns:cdr="http://schemas.openxmlformats.org/drawingml/2006/chartDrawing">
    <cdr:from>
      <cdr:x>0.86557</cdr:x>
      <cdr:y>0.07473</cdr:y>
    </cdr:from>
    <cdr:to>
      <cdr:x>0.92373</cdr:x>
      <cdr:y>0.1115</cdr:y>
    </cdr:to>
    <cdr:sp macro="" textlink="'output table (1)'!$W$43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BFCC47F-6732-4DA6-BBAC-B99ADA504095}"/>
            </a:ext>
          </a:extLst>
        </cdr:cNvPr>
        <cdr:cNvSpPr txBox="1"/>
      </cdr:nvSpPr>
      <cdr:spPr>
        <a:xfrm xmlns:a="http://schemas.openxmlformats.org/drawingml/2006/main">
          <a:off x="8225117" y="470646"/>
          <a:ext cx="552665" cy="231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BA107DAF-57D5-43B0-99EB-3F960B05A91F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37.00 </a:t>
          </a:fld>
          <a:endParaRPr lang="en-US" sz="1000"/>
        </a:p>
      </cdr:txBody>
    </cdr:sp>
  </cdr:relSizeAnchor>
  <cdr:relSizeAnchor xmlns:cdr="http://schemas.openxmlformats.org/drawingml/2006/chartDrawing">
    <cdr:from>
      <cdr:x>0.19635</cdr:x>
      <cdr:y>0.07574</cdr:y>
    </cdr:from>
    <cdr:to>
      <cdr:x>0.31399</cdr:x>
      <cdr:y>0.11845</cdr:y>
    </cdr:to>
    <cdr:sp macro="" textlink="'output table (1)'!$W$40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CBFCC47F-6732-4DA6-BBAC-B99ADA504095}"/>
            </a:ext>
          </a:extLst>
        </cdr:cNvPr>
        <cdr:cNvSpPr txBox="1"/>
      </cdr:nvSpPr>
      <cdr:spPr>
        <a:xfrm xmlns:a="http://schemas.openxmlformats.org/drawingml/2006/main">
          <a:off x="1865787" y="476996"/>
          <a:ext cx="1117965" cy="268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0756726E-B5E1-4844-81AE-752490AC9ECE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$43,426 </a:t>
          </a:fld>
          <a:endParaRPr lang="en-US" sz="1000"/>
        </a:p>
      </cdr:txBody>
    </cdr:sp>
  </cdr:relSizeAnchor>
  <cdr:relSizeAnchor xmlns:cdr="http://schemas.openxmlformats.org/drawingml/2006/chartDrawing">
    <cdr:from>
      <cdr:x>0.3192</cdr:x>
      <cdr:y>0.07582</cdr:y>
    </cdr:from>
    <cdr:to>
      <cdr:x>0.4365</cdr:x>
      <cdr:y>0.12291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CBFCC47F-6732-4DA6-BBAC-B99ADA504095}"/>
            </a:ext>
          </a:extLst>
        </cdr:cNvPr>
        <cdr:cNvSpPr txBox="1"/>
      </cdr:nvSpPr>
      <cdr:spPr>
        <a:xfrm xmlns:a="http://schemas.openxmlformats.org/drawingml/2006/main">
          <a:off x="3033203" y="477486"/>
          <a:ext cx="1114654" cy="296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t>PV @</a:t>
          </a:r>
          <a:r>
            <a:rPr lang="en-US" sz="1050" b="1" i="0" u="none" strike="noStrike" baseline="0">
              <a:solidFill>
                <a:srgbClr val="000000"/>
              </a:solidFill>
              <a:latin typeface="Calibri"/>
              <a:cs typeface="Calibri"/>
            </a:rPr>
            <a:t> primary</a:t>
          </a:r>
          <a:endParaRPr lang="en-US" sz="1000"/>
        </a:p>
      </cdr:txBody>
    </cdr:sp>
  </cdr:relSizeAnchor>
  <cdr:relSizeAnchor xmlns:cdr="http://schemas.openxmlformats.org/drawingml/2006/chartDrawing">
    <cdr:from>
      <cdr:x>0.55531</cdr:x>
      <cdr:y>0.07501</cdr:y>
    </cdr:from>
    <cdr:to>
      <cdr:x>0.63416</cdr:x>
      <cdr:y>0.1221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FB3AD6D3-F140-42A2-BD3C-0CF536424336}"/>
            </a:ext>
          </a:extLst>
        </cdr:cNvPr>
        <cdr:cNvSpPr txBox="1"/>
      </cdr:nvSpPr>
      <cdr:spPr>
        <a:xfrm xmlns:a="http://schemas.openxmlformats.org/drawingml/2006/main">
          <a:off x="5276925" y="472416"/>
          <a:ext cx="749225" cy="296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t>ROR (%)</a:t>
          </a:r>
          <a:endParaRPr lang="en-US" sz="1000"/>
        </a:p>
      </cdr:txBody>
    </cdr:sp>
  </cdr:relSizeAnchor>
  <cdr:relSizeAnchor xmlns:cdr="http://schemas.openxmlformats.org/drawingml/2006/chartDrawing">
    <cdr:from>
      <cdr:x>0.82697</cdr:x>
      <cdr:y>0.07628</cdr:y>
    </cdr:from>
    <cdr:to>
      <cdr:x>0.88475</cdr:x>
      <cdr:y>0.12337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CC9D16E3-D8A0-4E7D-9761-CA139E5927B3}"/>
            </a:ext>
          </a:extLst>
        </cdr:cNvPr>
        <cdr:cNvSpPr txBox="1"/>
      </cdr:nvSpPr>
      <cdr:spPr>
        <a:xfrm xmlns:a="http://schemas.openxmlformats.org/drawingml/2006/main">
          <a:off x="7858382" y="480374"/>
          <a:ext cx="549018" cy="296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t>DROI</a:t>
          </a:r>
          <a:endParaRPr lang="en-US" sz="1000"/>
        </a:p>
      </cdr:txBody>
    </cdr:sp>
  </cdr:relSizeAnchor>
  <cdr:relSizeAnchor xmlns:cdr="http://schemas.openxmlformats.org/drawingml/2006/chartDrawing">
    <cdr:from>
      <cdr:x>0.67107</cdr:x>
      <cdr:y>0.07526</cdr:y>
    </cdr:from>
    <cdr:to>
      <cdr:x>0.73774</cdr:x>
      <cdr:y>0.12235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F1B694BD-07CC-4391-AB01-081EE211CC4C}"/>
            </a:ext>
          </a:extLst>
        </cdr:cNvPr>
        <cdr:cNvSpPr txBox="1"/>
      </cdr:nvSpPr>
      <cdr:spPr>
        <a:xfrm xmlns:a="http://schemas.openxmlformats.org/drawingml/2006/main">
          <a:off x="6376912" y="473943"/>
          <a:ext cx="633488" cy="296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t>Payout</a:t>
          </a:r>
          <a:endParaRPr lang="en-US" sz="1000"/>
        </a:p>
      </cdr:txBody>
    </cdr:sp>
  </cdr:relSizeAnchor>
  <cdr:relSizeAnchor xmlns:cdr="http://schemas.openxmlformats.org/drawingml/2006/chartDrawing">
    <cdr:from>
      <cdr:x>0.08582</cdr:x>
      <cdr:y>0.07582</cdr:y>
    </cdr:from>
    <cdr:to>
      <cdr:x>0.23496</cdr:x>
      <cdr:y>0.12292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84C6E7FA-8E6B-4055-8CA1-35E5F7F534B9}"/>
            </a:ext>
          </a:extLst>
        </cdr:cNvPr>
        <cdr:cNvSpPr txBox="1"/>
      </cdr:nvSpPr>
      <cdr:spPr>
        <a:xfrm xmlns:a="http://schemas.openxmlformats.org/drawingml/2006/main">
          <a:off x="815483" y="477505"/>
          <a:ext cx="1417216" cy="296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t>Initial Investment</a:t>
          </a:r>
          <a:endParaRPr lang="en-US" sz="1000"/>
        </a:p>
      </cdr:txBody>
    </cdr:sp>
  </cdr:relSizeAnchor>
  <cdr:relSizeAnchor xmlns:cdr="http://schemas.openxmlformats.org/drawingml/2006/chartDrawing">
    <cdr:from>
      <cdr:x>0.73306</cdr:x>
      <cdr:y>0.08382</cdr:y>
    </cdr:from>
    <cdr:to>
      <cdr:x>0.80793</cdr:x>
      <cdr:y>0.10812</cdr:y>
    </cdr:to>
    <cdr:sp macro="" textlink="'output table (1)'!$W$41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D71AEC16-57BF-4D96-9E21-75D07DD4D3BF}"/>
            </a:ext>
          </a:extLst>
        </cdr:cNvPr>
        <cdr:cNvSpPr txBox="1"/>
      </cdr:nvSpPr>
      <cdr:spPr>
        <a:xfrm xmlns:a="http://schemas.openxmlformats.org/drawingml/2006/main">
          <a:off x="6965950" y="527869"/>
          <a:ext cx="711469" cy="1530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8788A85A-1D6C-4845-AF1A-22CD3C726894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N/A yrs</a:t>
          </a:fld>
          <a:endParaRPr lang="en-US" sz="1000"/>
        </a:p>
      </cdr:txBody>
    </cdr:sp>
  </cdr:relSizeAnchor>
  <cdr:relSizeAnchor xmlns:cdr="http://schemas.openxmlformats.org/drawingml/2006/chartDrawing">
    <cdr:from>
      <cdr:x>0.42706</cdr:x>
      <cdr:y>0.05423</cdr:y>
    </cdr:from>
    <cdr:to>
      <cdr:x>0.57082</cdr:x>
      <cdr:y>0.07815</cdr:y>
    </cdr:to>
    <cdr:sp macro="" textlink="assumptions!$C$9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ABFB200-3D86-4038-8BC4-E116481A4654}"/>
            </a:ext>
          </a:extLst>
        </cdr:cNvPr>
        <cdr:cNvSpPr txBox="1"/>
      </cdr:nvSpPr>
      <cdr:spPr>
        <a:xfrm xmlns:a="http://schemas.openxmlformats.org/drawingml/2006/main">
          <a:off x="4050632" y="340894"/>
          <a:ext cx="1363579" cy="1503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38CB4F6-55CD-4518-9468-67B7A1254AA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[Partner 1]</a:t>
          </a:fld>
          <a:endParaRPr lang="en-US" sz="105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fekete.com/SAN/WebHelp/FeketeHarmony/Harmony_WebHelp/Content/HTML_Files/Reference_Material/Analysis_Method_Theory/Traditional_Decline_Theory.htm" TargetMode="Externa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3FA2F-B270-452C-BF56-81E801D9699D}">
  <sheetPr>
    <tabColor theme="1" tint="0.499984740745262"/>
    <pageSetUpPr fitToPage="1"/>
  </sheetPr>
  <dimension ref="B2:D47"/>
  <sheetViews>
    <sheetView showGridLines="0" tabSelected="1" zoomScale="85" zoomScaleNormal="85" workbookViewId="0">
      <selection activeCell="B6" sqref="B6"/>
    </sheetView>
  </sheetViews>
  <sheetFormatPr defaultRowHeight="15.75" x14ac:dyDescent="0.25"/>
  <cols>
    <col min="1" max="1" width="6.125" customWidth="1"/>
    <col min="2" max="2" width="18.125" customWidth="1"/>
    <col min="4" max="4" width="76.75" customWidth="1"/>
  </cols>
  <sheetData>
    <row r="2" spans="2:4" ht="21" x14ac:dyDescent="0.35">
      <c r="B2" s="166" t="s">
        <v>164</v>
      </c>
    </row>
    <row r="3" spans="2:4" ht="21.75" thickBot="1" x14ac:dyDescent="0.4">
      <c r="B3" s="206" t="s">
        <v>165</v>
      </c>
      <c r="C3" s="207"/>
      <c r="D3" s="207"/>
    </row>
    <row r="6" spans="2:4" x14ac:dyDescent="0.25">
      <c r="B6" t="s">
        <v>180</v>
      </c>
    </row>
    <row r="7" spans="2:4" x14ac:dyDescent="0.25">
      <c r="B7" t="s">
        <v>239</v>
      </c>
    </row>
    <row r="8" spans="2:4" x14ac:dyDescent="0.25">
      <c r="B8" t="s">
        <v>181</v>
      </c>
    </row>
    <row r="10" spans="2:4" x14ac:dyDescent="0.25">
      <c r="B10" t="s">
        <v>168</v>
      </c>
    </row>
    <row r="11" spans="2:4" x14ac:dyDescent="0.25">
      <c r="B11" t="s">
        <v>196</v>
      </c>
    </row>
    <row r="12" spans="2:4" x14ac:dyDescent="0.25">
      <c r="B12" t="s">
        <v>167</v>
      </c>
    </row>
    <row r="14" spans="2:4" x14ac:dyDescent="0.25">
      <c r="B14" t="s">
        <v>179</v>
      </c>
    </row>
    <row r="17" spans="2:4" x14ac:dyDescent="0.25">
      <c r="B17" s="167" t="s">
        <v>182</v>
      </c>
      <c r="C17" s="167" t="s">
        <v>183</v>
      </c>
      <c r="D17" s="167"/>
    </row>
    <row r="18" spans="2:4" x14ac:dyDescent="0.25">
      <c r="B18" t="s">
        <v>166</v>
      </c>
      <c r="C18" s="208" t="s">
        <v>184</v>
      </c>
    </row>
    <row r="19" spans="2:4" x14ac:dyDescent="0.25">
      <c r="C19" s="209"/>
    </row>
    <row r="20" spans="2:4" x14ac:dyDescent="0.25">
      <c r="B20" t="s">
        <v>169</v>
      </c>
      <c r="C20" s="209" t="s">
        <v>185</v>
      </c>
    </row>
    <row r="21" spans="2:4" x14ac:dyDescent="0.25">
      <c r="C21" s="209" t="s">
        <v>186</v>
      </c>
    </row>
    <row r="22" spans="2:4" x14ac:dyDescent="0.25">
      <c r="C22" s="209" t="s">
        <v>170</v>
      </c>
    </row>
    <row r="23" spans="2:4" x14ac:dyDescent="0.25">
      <c r="C23" s="209" t="s">
        <v>187</v>
      </c>
    </row>
    <row r="24" spans="2:4" x14ac:dyDescent="0.25">
      <c r="C24" s="209" t="s">
        <v>188</v>
      </c>
    </row>
    <row r="25" spans="2:4" x14ac:dyDescent="0.25">
      <c r="C25" s="209" t="s">
        <v>173</v>
      </c>
    </row>
    <row r="26" spans="2:4" x14ac:dyDescent="0.25">
      <c r="C26" s="209" t="s">
        <v>189</v>
      </c>
    </row>
    <row r="27" spans="2:4" x14ac:dyDescent="0.25">
      <c r="C27" s="209"/>
    </row>
    <row r="28" spans="2:4" x14ac:dyDescent="0.25">
      <c r="B28" t="s">
        <v>171</v>
      </c>
      <c r="C28" s="209" t="s">
        <v>190</v>
      </c>
    </row>
    <row r="29" spans="2:4" x14ac:dyDescent="0.25">
      <c r="C29" s="209" t="s">
        <v>174</v>
      </c>
    </row>
    <row r="30" spans="2:4" x14ac:dyDescent="0.25">
      <c r="C30" s="209" t="s">
        <v>240</v>
      </c>
    </row>
    <row r="31" spans="2:4" x14ac:dyDescent="0.25">
      <c r="C31" s="209"/>
    </row>
    <row r="32" spans="2:4" x14ac:dyDescent="0.25">
      <c r="B32" t="s">
        <v>172</v>
      </c>
      <c r="C32" s="209" t="s">
        <v>191</v>
      </c>
    </row>
    <row r="33" spans="2:3" x14ac:dyDescent="0.25">
      <c r="C33" s="209" t="s">
        <v>192</v>
      </c>
    </row>
    <row r="34" spans="2:3" x14ac:dyDescent="0.25">
      <c r="C34" s="209" t="s">
        <v>175</v>
      </c>
    </row>
    <row r="35" spans="2:3" x14ac:dyDescent="0.25">
      <c r="C35" s="209"/>
    </row>
    <row r="36" spans="2:3" x14ac:dyDescent="0.25">
      <c r="B36" t="s">
        <v>176</v>
      </c>
      <c r="C36" s="209" t="s">
        <v>193</v>
      </c>
    </row>
    <row r="37" spans="2:3" x14ac:dyDescent="0.25">
      <c r="C37" s="209"/>
    </row>
    <row r="38" spans="2:3" x14ac:dyDescent="0.25">
      <c r="B38" t="s">
        <v>177</v>
      </c>
      <c r="C38" s="209" t="s">
        <v>194</v>
      </c>
    </row>
    <row r="39" spans="2:3" x14ac:dyDescent="0.25">
      <c r="C39" s="209"/>
    </row>
    <row r="40" spans="2:3" x14ac:dyDescent="0.25">
      <c r="B40" t="s">
        <v>178</v>
      </c>
      <c r="C40" s="209" t="s">
        <v>195</v>
      </c>
    </row>
    <row r="41" spans="2:3" x14ac:dyDescent="0.25">
      <c r="C41" s="209" t="s">
        <v>240</v>
      </c>
    </row>
    <row r="45" spans="2:3" x14ac:dyDescent="0.25">
      <c r="B45" s="168" t="s">
        <v>197</v>
      </c>
    </row>
    <row r="46" spans="2:3" x14ac:dyDescent="0.25">
      <c r="B46" s="168" t="s">
        <v>254</v>
      </c>
    </row>
    <row r="47" spans="2:3" x14ac:dyDescent="0.25">
      <c r="B47" s="168" t="s">
        <v>202</v>
      </c>
    </row>
  </sheetData>
  <customSheetViews>
    <customSheetView guid="{67117C0F-1B5D-4D89-8B0C-855EE265FFB6}" showPageBreaks="1" showGridLines="0" fitToPage="1" printArea="1">
      <pageMargins left="0.7" right="0.7" top="0.75" bottom="0.75" header="0.3" footer="0.3"/>
      <printOptions horizontalCentered="1"/>
      <pageSetup scale="83" orientation="landscape" verticalDpi="0" r:id="rId1"/>
      <headerFooter>
        <oddFooter>&amp;L&amp;K01+047&amp;D,  &amp;T&amp;R&amp;K01+045 © AAPL 2018</oddFooter>
      </headerFooter>
    </customSheetView>
  </customSheetViews>
  <printOptions horizontalCentered="1"/>
  <pageMargins left="0.7" right="0.7" top="0.75" bottom="0.75" header="0.3" footer="0.3"/>
  <pageSetup scale="81" orientation="landscape" verticalDpi="0" r:id="rId2"/>
  <headerFooter>
    <oddFooter>&amp;L&amp;K01+047&amp;D,  &amp;T&amp;R&amp;K01+045 © AAPL 2018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C429"/>
  <sheetViews>
    <sheetView showGridLines="0" zoomScale="70" zoomScaleNormal="70" workbookViewId="0">
      <selection activeCell="C12" sqref="C12"/>
    </sheetView>
  </sheetViews>
  <sheetFormatPr defaultColWidth="11.125" defaultRowHeight="15.75" x14ac:dyDescent="0.25"/>
  <cols>
    <col min="1" max="1" width="3" style="6" customWidth="1"/>
    <col min="2" max="2" width="22.375" style="2" customWidth="1"/>
    <col min="3" max="3" width="12.125" style="2" customWidth="1"/>
    <col min="4" max="9" width="12.125" style="6" customWidth="1"/>
    <col min="10" max="11" width="8.125" style="6" customWidth="1"/>
    <col min="12" max="12" width="11.125" style="6"/>
    <col min="13" max="15" width="13.5" style="6" customWidth="1"/>
    <col min="16" max="16" width="11.125" style="6"/>
    <col min="17" max="25" width="13.5" style="6" customWidth="1"/>
    <col min="26" max="16384" width="11.125" style="6"/>
  </cols>
  <sheetData>
    <row r="2" spans="2:29" ht="24" thickBot="1" x14ac:dyDescent="0.4">
      <c r="B2" s="247" t="s">
        <v>204</v>
      </c>
      <c r="C2" s="201"/>
      <c r="D2" s="202"/>
      <c r="E2" s="202"/>
      <c r="F2" s="202"/>
      <c r="G2" s="202"/>
      <c r="H2" s="202"/>
      <c r="I2" s="202"/>
      <c r="J2" s="203"/>
      <c r="K2" s="203"/>
      <c r="L2" s="203"/>
      <c r="M2" s="203"/>
      <c r="N2" s="203"/>
      <c r="O2" s="203"/>
    </row>
    <row r="3" spans="2:29" ht="21" x14ac:dyDescent="0.35">
      <c r="B3" s="248" t="s">
        <v>205</v>
      </c>
      <c r="C3" s="199"/>
      <c r="D3" s="200"/>
      <c r="E3" s="200"/>
      <c r="F3" s="200"/>
      <c r="G3" s="200"/>
      <c r="H3" s="200"/>
      <c r="I3" s="200"/>
    </row>
    <row r="4" spans="2:29" ht="21" x14ac:dyDescent="0.35">
      <c r="B4" s="248" t="s">
        <v>206</v>
      </c>
      <c r="C4" s="199"/>
      <c r="D4" s="200"/>
      <c r="E4" s="200"/>
      <c r="F4" s="200"/>
      <c r="G4" s="200"/>
      <c r="H4" s="200"/>
      <c r="I4" s="200"/>
    </row>
    <row r="5" spans="2:29" ht="21" x14ac:dyDescent="0.35">
      <c r="B5" s="248" t="s">
        <v>207</v>
      </c>
      <c r="C5" s="199"/>
      <c r="D5" s="200"/>
      <c r="E5" s="200"/>
      <c r="I5" s="200"/>
    </row>
    <row r="6" spans="2:29" s="7" customFormat="1" ht="18.75" x14ac:dyDescent="0.3">
      <c r="B6" s="5"/>
      <c r="C6" s="3"/>
      <c r="L6" s="6"/>
      <c r="M6" s="6"/>
      <c r="N6" s="6"/>
      <c r="O6" s="6"/>
      <c r="P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2:29" s="7" customFormat="1" ht="21" x14ac:dyDescent="0.35">
      <c r="B7" s="286" t="s">
        <v>220</v>
      </c>
      <c r="C7" s="214">
        <v>44197</v>
      </c>
      <c r="L7" s="6"/>
      <c r="M7" s="6"/>
      <c r="N7" s="6"/>
      <c r="O7" s="6"/>
      <c r="P7" s="6"/>
      <c r="Q7" s="161" t="s">
        <v>120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2:29" s="7" customFormat="1" ht="15.75" customHeight="1" x14ac:dyDescent="0.35">
      <c r="B8" s="5"/>
      <c r="C8" s="3"/>
      <c r="H8" s="287" t="s">
        <v>212</v>
      </c>
      <c r="I8" s="288"/>
      <c r="L8" s="6"/>
      <c r="M8" s="6"/>
      <c r="N8" s="6"/>
      <c r="O8" s="6"/>
      <c r="P8" s="6"/>
      <c r="Q8" s="161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2:29" ht="21" x14ac:dyDescent="0.35">
      <c r="B9" s="282"/>
      <c r="C9" s="316" t="s">
        <v>233</v>
      </c>
      <c r="D9" s="316" t="s">
        <v>234</v>
      </c>
      <c r="E9" s="285"/>
      <c r="F9" s="289" t="s">
        <v>210</v>
      </c>
      <c r="G9" s="285"/>
      <c r="H9" s="289" t="str">
        <f t="shared" ref="H9:I9" si="0">C9</f>
        <v>[Partner 1]</v>
      </c>
      <c r="I9" s="289" t="str">
        <f t="shared" si="0"/>
        <v>[Partner 2]</v>
      </c>
      <c r="L9" s="159" t="s">
        <v>6</v>
      </c>
      <c r="M9" s="160" t="s">
        <v>64</v>
      </c>
      <c r="N9" s="160" t="s">
        <v>65</v>
      </c>
      <c r="O9" s="160" t="s">
        <v>102</v>
      </c>
      <c r="Q9" s="160" t="s">
        <v>64</v>
      </c>
      <c r="R9" s="160" t="s">
        <v>65</v>
      </c>
      <c r="S9" s="160" t="s">
        <v>102</v>
      </c>
      <c r="T9" s="160" t="s">
        <v>64</v>
      </c>
      <c r="U9" s="160" t="s">
        <v>65</v>
      </c>
      <c r="V9" s="160" t="s">
        <v>102</v>
      </c>
      <c r="W9" s="160" t="s">
        <v>64</v>
      </c>
      <c r="X9" s="160" t="s">
        <v>65</v>
      </c>
      <c r="Y9" s="160" t="s">
        <v>102</v>
      </c>
    </row>
    <row r="10" spans="2:29" x14ac:dyDescent="0.25">
      <c r="B10" s="124" t="s">
        <v>161</v>
      </c>
      <c r="C10" s="283">
        <v>1</v>
      </c>
      <c r="D10" s="290">
        <v>0</v>
      </c>
      <c r="E10" s="124" t="s">
        <v>148</v>
      </c>
      <c r="F10" s="293">
        <v>1</v>
      </c>
      <c r="G10" s="124" t="s">
        <v>161</v>
      </c>
      <c r="H10" s="283">
        <f>WI</f>
        <v>1</v>
      </c>
      <c r="I10" s="317">
        <f>WI_2+(WI-WI_APO)</f>
        <v>0</v>
      </c>
      <c r="L10" s="38">
        <f>EOMONTH(as_of,0)</f>
        <v>44227</v>
      </c>
      <c r="M10" s="243">
        <v>55</v>
      </c>
      <c r="N10" s="244">
        <v>3</v>
      </c>
      <c r="O10" s="204">
        <f>(1+pdiff_ngl)*M10</f>
        <v>22</v>
      </c>
      <c r="Q10" s="243">
        <v>55</v>
      </c>
      <c r="R10" s="244">
        <v>3</v>
      </c>
      <c r="S10" s="204">
        <f t="shared" ref="S10:S73" si="1">(1+pdiff_ngl)*Q10</f>
        <v>22</v>
      </c>
      <c r="T10" s="243">
        <v>55</v>
      </c>
      <c r="U10" s="244">
        <v>3</v>
      </c>
      <c r="V10" s="204">
        <f t="shared" ref="V10:V73" si="2">(1+pdiff_ngl)*T10</f>
        <v>22</v>
      </c>
      <c r="W10" s="243">
        <v>55</v>
      </c>
      <c r="X10" s="244">
        <v>3</v>
      </c>
      <c r="Y10" s="204">
        <f t="shared" ref="Y10:Y73" si="3">(1+pdiff_ngl)*W10</f>
        <v>22</v>
      </c>
    </row>
    <row r="11" spans="2:29" x14ac:dyDescent="0.25">
      <c r="B11" s="124" t="s">
        <v>162</v>
      </c>
      <c r="C11" s="284">
        <v>0.75</v>
      </c>
      <c r="D11" s="290">
        <v>0.25</v>
      </c>
      <c r="E11" s="124" t="s">
        <v>211</v>
      </c>
      <c r="F11" s="294">
        <v>0.1</v>
      </c>
      <c r="G11" s="124" t="s">
        <v>162</v>
      </c>
      <c r="H11" s="284">
        <f>WI_APO/WI*NRI</f>
        <v>0.75</v>
      </c>
      <c r="I11" s="317">
        <f>NRI_2+(NRI-NRI_APO)</f>
        <v>0.25</v>
      </c>
      <c r="L11" s="38">
        <f>EOMONTH(L10,1)</f>
        <v>44255</v>
      </c>
      <c r="M11" s="245">
        <f t="shared" ref="M11:N11" si="4">M10</f>
        <v>55</v>
      </c>
      <c r="N11" s="246">
        <f t="shared" si="4"/>
        <v>3</v>
      </c>
      <c r="O11" s="204">
        <f t="shared" ref="O11:O74" si="5">(1+pdiff_ngl)*mult_oilprice*M11</f>
        <v>22</v>
      </c>
      <c r="Q11" s="245">
        <f t="shared" ref="Q11:X26" si="6">Q10</f>
        <v>55</v>
      </c>
      <c r="R11" s="246">
        <f t="shared" si="6"/>
        <v>3</v>
      </c>
      <c r="S11" s="204">
        <f t="shared" si="1"/>
        <v>22</v>
      </c>
      <c r="T11" s="245">
        <f t="shared" si="6"/>
        <v>55</v>
      </c>
      <c r="U11" s="246">
        <f t="shared" si="6"/>
        <v>3</v>
      </c>
      <c r="V11" s="204">
        <f t="shared" si="2"/>
        <v>22</v>
      </c>
      <c r="W11" s="245">
        <f t="shared" si="6"/>
        <v>55</v>
      </c>
      <c r="X11" s="246">
        <f t="shared" si="6"/>
        <v>3</v>
      </c>
      <c r="Y11" s="204">
        <f t="shared" si="3"/>
        <v>22</v>
      </c>
    </row>
    <row r="12" spans="2:29" ht="15.75" customHeight="1" x14ac:dyDescent="0.25">
      <c r="B12" s="124" t="s">
        <v>255</v>
      </c>
      <c r="C12" s="284">
        <v>0.75</v>
      </c>
      <c r="D12" s="343"/>
      <c r="E12" s="344"/>
      <c r="F12" s="345"/>
      <c r="G12" s="344"/>
      <c r="H12" s="346"/>
      <c r="I12" s="317"/>
      <c r="L12" s="38">
        <f t="shared" ref="L12:L75" si="7">EOMONTH(L11,1)</f>
        <v>44286</v>
      </c>
      <c r="M12" s="245">
        <f t="shared" ref="M12:M75" si="8">M11</f>
        <v>55</v>
      </c>
      <c r="N12" s="246">
        <f t="shared" ref="N12:N75" si="9">N11</f>
        <v>3</v>
      </c>
      <c r="O12" s="204">
        <f t="shared" si="5"/>
        <v>22</v>
      </c>
      <c r="Q12" s="245">
        <f t="shared" si="6"/>
        <v>55</v>
      </c>
      <c r="R12" s="246">
        <f t="shared" si="6"/>
        <v>3</v>
      </c>
      <c r="S12" s="204">
        <f t="shared" si="1"/>
        <v>22</v>
      </c>
      <c r="T12" s="245">
        <f t="shared" si="6"/>
        <v>55</v>
      </c>
      <c r="U12" s="246">
        <f t="shared" si="6"/>
        <v>3</v>
      </c>
      <c r="V12" s="204">
        <f t="shared" si="2"/>
        <v>22</v>
      </c>
      <c r="W12" s="245">
        <f t="shared" si="6"/>
        <v>55</v>
      </c>
      <c r="X12" s="246">
        <f t="shared" si="6"/>
        <v>3</v>
      </c>
      <c r="Y12" s="204">
        <f t="shared" si="3"/>
        <v>22</v>
      </c>
    </row>
    <row r="13" spans="2:29" x14ac:dyDescent="0.25">
      <c r="L13" s="38">
        <f t="shared" si="7"/>
        <v>44316</v>
      </c>
      <c r="M13" s="245">
        <f t="shared" si="8"/>
        <v>55</v>
      </c>
      <c r="N13" s="246">
        <f t="shared" si="9"/>
        <v>3</v>
      </c>
      <c r="O13" s="204">
        <f t="shared" si="5"/>
        <v>22</v>
      </c>
      <c r="Q13" s="245">
        <f t="shared" si="6"/>
        <v>55</v>
      </c>
      <c r="R13" s="246">
        <f t="shared" si="6"/>
        <v>3</v>
      </c>
      <c r="S13" s="204">
        <f t="shared" si="1"/>
        <v>22</v>
      </c>
      <c r="T13" s="245">
        <f t="shared" si="6"/>
        <v>55</v>
      </c>
      <c r="U13" s="246">
        <f t="shared" si="6"/>
        <v>3</v>
      </c>
      <c r="V13" s="204">
        <f t="shared" si="2"/>
        <v>22</v>
      </c>
      <c r="W13" s="245">
        <f t="shared" si="6"/>
        <v>55</v>
      </c>
      <c r="X13" s="246">
        <f t="shared" si="6"/>
        <v>3</v>
      </c>
      <c r="Y13" s="204">
        <f t="shared" si="3"/>
        <v>22</v>
      </c>
    </row>
    <row r="14" spans="2:29" ht="21" x14ac:dyDescent="0.35">
      <c r="B14" s="159" t="s">
        <v>5</v>
      </c>
      <c r="C14" s="117" t="s">
        <v>7</v>
      </c>
      <c r="D14" s="117" t="s">
        <v>8</v>
      </c>
      <c r="E14" s="117" t="s">
        <v>13</v>
      </c>
      <c r="F14" s="160" t="s">
        <v>14</v>
      </c>
      <c r="G14" s="118"/>
      <c r="H14" s="282" t="s">
        <v>213</v>
      </c>
      <c r="I14" s="289"/>
      <c r="L14" s="38">
        <f t="shared" si="7"/>
        <v>44347</v>
      </c>
      <c r="M14" s="245">
        <f t="shared" si="8"/>
        <v>55</v>
      </c>
      <c r="N14" s="246">
        <f t="shared" si="9"/>
        <v>3</v>
      </c>
      <c r="O14" s="204">
        <f t="shared" si="5"/>
        <v>22</v>
      </c>
      <c r="Q14" s="245">
        <f t="shared" si="6"/>
        <v>55</v>
      </c>
      <c r="R14" s="246">
        <f t="shared" si="6"/>
        <v>3</v>
      </c>
      <c r="S14" s="204">
        <f t="shared" si="1"/>
        <v>22</v>
      </c>
      <c r="T14" s="245">
        <f t="shared" si="6"/>
        <v>55</v>
      </c>
      <c r="U14" s="246">
        <f t="shared" si="6"/>
        <v>3</v>
      </c>
      <c r="V14" s="204">
        <f t="shared" si="2"/>
        <v>22</v>
      </c>
      <c r="W14" s="245">
        <f t="shared" si="6"/>
        <v>55</v>
      </c>
      <c r="X14" s="246">
        <f t="shared" si="6"/>
        <v>3</v>
      </c>
      <c r="Y14" s="204">
        <f t="shared" si="3"/>
        <v>22</v>
      </c>
    </row>
    <row r="15" spans="2:29" x14ac:dyDescent="0.25">
      <c r="B15" s="17" t="s">
        <v>11</v>
      </c>
      <c r="C15" s="215">
        <v>43466</v>
      </c>
      <c r="D15" s="150" t="s">
        <v>54</v>
      </c>
      <c r="E15" s="150" t="s">
        <v>54</v>
      </c>
      <c r="F15" s="119"/>
      <c r="H15" s="295" t="str">
        <f>IFERROR( IF(OR(NRI/WI&gt;0.88,NRI/WI&lt;0.75),"Lease NRI seems suspect",""), "No costs associated with interests")</f>
        <v/>
      </c>
      <c r="I15" s="291"/>
      <c r="L15" s="38">
        <f t="shared" si="7"/>
        <v>44377</v>
      </c>
      <c r="M15" s="245">
        <f t="shared" si="8"/>
        <v>55</v>
      </c>
      <c r="N15" s="246">
        <f t="shared" si="9"/>
        <v>3</v>
      </c>
      <c r="O15" s="204">
        <f t="shared" si="5"/>
        <v>22</v>
      </c>
      <c r="Q15" s="245">
        <f t="shared" si="6"/>
        <v>55</v>
      </c>
      <c r="R15" s="246">
        <f t="shared" si="6"/>
        <v>3</v>
      </c>
      <c r="S15" s="204">
        <f t="shared" si="1"/>
        <v>22</v>
      </c>
      <c r="T15" s="245">
        <f t="shared" si="6"/>
        <v>55</v>
      </c>
      <c r="U15" s="246">
        <f t="shared" si="6"/>
        <v>3</v>
      </c>
      <c r="V15" s="204">
        <f t="shared" si="2"/>
        <v>22</v>
      </c>
      <c r="W15" s="245">
        <f t="shared" si="6"/>
        <v>55</v>
      </c>
      <c r="X15" s="246">
        <f t="shared" si="6"/>
        <v>3</v>
      </c>
      <c r="Y15" s="204">
        <f t="shared" si="3"/>
        <v>22</v>
      </c>
    </row>
    <row r="16" spans="2:29" x14ac:dyDescent="0.25">
      <c r="B16" s="17" t="s">
        <v>12</v>
      </c>
      <c r="C16" s="216">
        <v>100</v>
      </c>
      <c r="D16" s="222">
        <v>250</v>
      </c>
      <c r="E16" s="222">
        <v>50</v>
      </c>
      <c r="F16" s="119" t="str">
        <f>"GOR initial is "&amp;TEXT(qi_gas*1000/qi_oil,"#,###")</f>
        <v>GOR initial is 2,500</v>
      </c>
      <c r="H16" s="295" t="str">
        <f>IF(AND(WI_2&gt;0,NRI_2&gt;0),   IF(NRI/WI&lt;&gt;NRI_2/WI_2,"Partner 2 has a different Lease NRI",""), "")</f>
        <v/>
      </c>
      <c r="I16" s="292"/>
      <c r="L16" s="38">
        <f t="shared" si="7"/>
        <v>44408</v>
      </c>
      <c r="M16" s="245">
        <f t="shared" si="8"/>
        <v>55</v>
      </c>
      <c r="N16" s="246">
        <f t="shared" si="9"/>
        <v>3</v>
      </c>
      <c r="O16" s="204">
        <f t="shared" si="5"/>
        <v>22</v>
      </c>
      <c r="Q16" s="245">
        <f t="shared" si="6"/>
        <v>55</v>
      </c>
      <c r="R16" s="246">
        <f t="shared" si="6"/>
        <v>3</v>
      </c>
      <c r="S16" s="204">
        <f t="shared" si="1"/>
        <v>22</v>
      </c>
      <c r="T16" s="245">
        <f t="shared" si="6"/>
        <v>55</v>
      </c>
      <c r="U16" s="246">
        <f t="shared" si="6"/>
        <v>3</v>
      </c>
      <c r="V16" s="204">
        <f t="shared" si="2"/>
        <v>22</v>
      </c>
      <c r="W16" s="245">
        <f t="shared" si="6"/>
        <v>55</v>
      </c>
      <c r="X16" s="246">
        <f t="shared" si="6"/>
        <v>3</v>
      </c>
      <c r="Y16" s="204">
        <f t="shared" si="3"/>
        <v>22</v>
      </c>
    </row>
    <row r="17" spans="2:29" x14ac:dyDescent="0.25">
      <c r="B17" s="77" t="s">
        <v>59</v>
      </c>
      <c r="C17" s="217">
        <v>0.65</v>
      </c>
      <c r="D17" s="223">
        <v>0.35</v>
      </c>
      <c r="E17" s="224">
        <v>0.35</v>
      </c>
      <c r="H17" s="295" t="str">
        <f>IF(WI+WI_2&lt;&gt;WI_2_APO+WI_APO,"Combined WI changes after reversion","")</f>
        <v/>
      </c>
      <c r="I17" s="292"/>
      <c r="L17" s="38">
        <f t="shared" si="7"/>
        <v>44439</v>
      </c>
      <c r="M17" s="245">
        <f t="shared" si="8"/>
        <v>55</v>
      </c>
      <c r="N17" s="246">
        <f t="shared" si="9"/>
        <v>3</v>
      </c>
      <c r="O17" s="204">
        <f t="shared" si="5"/>
        <v>22</v>
      </c>
      <c r="Q17" s="245">
        <f t="shared" si="6"/>
        <v>55</v>
      </c>
      <c r="R17" s="246">
        <f t="shared" si="6"/>
        <v>3</v>
      </c>
      <c r="S17" s="204">
        <f t="shared" si="1"/>
        <v>22</v>
      </c>
      <c r="T17" s="245">
        <f t="shared" si="6"/>
        <v>55</v>
      </c>
      <c r="U17" s="246">
        <f t="shared" si="6"/>
        <v>3</v>
      </c>
      <c r="V17" s="204">
        <f t="shared" si="2"/>
        <v>22</v>
      </c>
      <c r="W17" s="245">
        <f t="shared" si="6"/>
        <v>55</v>
      </c>
      <c r="X17" s="246">
        <f t="shared" si="6"/>
        <v>3</v>
      </c>
      <c r="Y17" s="204">
        <f t="shared" si="3"/>
        <v>22</v>
      </c>
    </row>
    <row r="18" spans="2:29" x14ac:dyDescent="0.25">
      <c r="B18" s="77" t="s">
        <v>9</v>
      </c>
      <c r="C18" s="218">
        <v>1</v>
      </c>
      <c r="D18" s="225">
        <v>1</v>
      </c>
      <c r="E18" s="226">
        <v>0</v>
      </c>
      <c r="F18" s="30"/>
      <c r="H18" s="295" t="str">
        <f>IFERROR( IF(NRI+NRI_2&lt;&gt;NRI_2_APO+NRI_APO,"Combined NRI changes after reversion",""), "No costs associated with interests")</f>
        <v/>
      </c>
      <c r="I18" s="292"/>
      <c r="L18" s="38">
        <f t="shared" si="7"/>
        <v>44469</v>
      </c>
      <c r="M18" s="245">
        <f t="shared" si="8"/>
        <v>55</v>
      </c>
      <c r="N18" s="246">
        <f t="shared" si="9"/>
        <v>3</v>
      </c>
      <c r="O18" s="204">
        <f t="shared" si="5"/>
        <v>22</v>
      </c>
      <c r="Q18" s="245">
        <f t="shared" si="6"/>
        <v>55</v>
      </c>
      <c r="R18" s="246">
        <f t="shared" si="6"/>
        <v>3</v>
      </c>
      <c r="S18" s="204">
        <f t="shared" si="1"/>
        <v>22</v>
      </c>
      <c r="T18" s="245">
        <f t="shared" si="6"/>
        <v>55</v>
      </c>
      <c r="U18" s="246">
        <f t="shared" si="6"/>
        <v>3</v>
      </c>
      <c r="V18" s="204">
        <f t="shared" si="2"/>
        <v>22</v>
      </c>
      <c r="W18" s="245">
        <f t="shared" si="6"/>
        <v>55</v>
      </c>
      <c r="X18" s="246">
        <f t="shared" si="6"/>
        <v>3</v>
      </c>
      <c r="Y18" s="204">
        <f t="shared" si="3"/>
        <v>22</v>
      </c>
      <c r="AC18" s="31"/>
    </row>
    <row r="19" spans="2:29" x14ac:dyDescent="0.25">
      <c r="B19" s="77" t="s">
        <v>10</v>
      </c>
      <c r="C19" s="219">
        <v>0.08</v>
      </c>
      <c r="D19" s="223">
        <v>0.06</v>
      </c>
      <c r="E19" s="224">
        <v>0.08</v>
      </c>
      <c r="H19" s="295" t="str">
        <f>IFERROR( IF(C12&lt;&gt;NRI/WI, "Lease NRI diff than Partner 1 NRI",""), "No costs associated with interests")</f>
        <v/>
      </c>
      <c r="I19" s="292"/>
      <c r="L19" s="38">
        <f t="shared" si="7"/>
        <v>44500</v>
      </c>
      <c r="M19" s="245">
        <f t="shared" si="8"/>
        <v>55</v>
      </c>
      <c r="N19" s="246">
        <f t="shared" si="9"/>
        <v>3</v>
      </c>
      <c r="O19" s="204">
        <f t="shared" si="5"/>
        <v>22</v>
      </c>
      <c r="Q19" s="245">
        <f t="shared" si="6"/>
        <v>55</v>
      </c>
      <c r="R19" s="246">
        <f t="shared" si="6"/>
        <v>3</v>
      </c>
      <c r="S19" s="204">
        <f t="shared" si="1"/>
        <v>22</v>
      </c>
      <c r="T19" s="245">
        <f t="shared" si="6"/>
        <v>55</v>
      </c>
      <c r="U19" s="246">
        <f t="shared" si="6"/>
        <v>3</v>
      </c>
      <c r="V19" s="204">
        <f t="shared" si="2"/>
        <v>22</v>
      </c>
      <c r="W19" s="245">
        <f t="shared" si="6"/>
        <v>55</v>
      </c>
      <c r="X19" s="246">
        <f t="shared" si="6"/>
        <v>3</v>
      </c>
      <c r="Y19" s="204">
        <f t="shared" si="3"/>
        <v>22</v>
      </c>
      <c r="AC19" s="2"/>
    </row>
    <row r="20" spans="2:29" x14ac:dyDescent="0.25">
      <c r="B20" s="77" t="s">
        <v>31</v>
      </c>
      <c r="C20" s="220">
        <v>150</v>
      </c>
      <c r="D20" s="151" t="s">
        <v>100</v>
      </c>
      <c r="E20" s="54"/>
      <c r="L20" s="38">
        <f t="shared" si="7"/>
        <v>44530</v>
      </c>
      <c r="M20" s="245">
        <f t="shared" si="8"/>
        <v>55</v>
      </c>
      <c r="N20" s="246">
        <f t="shared" si="9"/>
        <v>3</v>
      </c>
      <c r="O20" s="204">
        <f t="shared" si="5"/>
        <v>22</v>
      </c>
      <c r="Q20" s="245">
        <f t="shared" si="6"/>
        <v>55</v>
      </c>
      <c r="R20" s="246">
        <f t="shared" si="6"/>
        <v>3</v>
      </c>
      <c r="S20" s="204">
        <f t="shared" si="1"/>
        <v>22</v>
      </c>
      <c r="T20" s="245">
        <f t="shared" si="6"/>
        <v>55</v>
      </c>
      <c r="U20" s="246">
        <f t="shared" si="6"/>
        <v>3</v>
      </c>
      <c r="V20" s="204">
        <f t="shared" si="2"/>
        <v>22</v>
      </c>
      <c r="W20" s="245">
        <f t="shared" si="6"/>
        <v>55</v>
      </c>
      <c r="X20" s="246">
        <f t="shared" si="6"/>
        <v>3</v>
      </c>
      <c r="Y20" s="204">
        <f t="shared" si="3"/>
        <v>22</v>
      </c>
    </row>
    <row r="21" spans="2:29" x14ac:dyDescent="0.25">
      <c r="B21" s="17" t="s">
        <v>83</v>
      </c>
      <c r="C21" s="221">
        <f ca="1">OFFSET(  'historical production'!C6, MATCH(0,'historical production'!C6:C365,-1)-1,0)</f>
        <v>1</v>
      </c>
      <c r="D21" s="151" t="s">
        <v>241</v>
      </c>
      <c r="E21" s="54"/>
      <c r="L21" s="38">
        <f t="shared" si="7"/>
        <v>44561</v>
      </c>
      <c r="M21" s="245">
        <f t="shared" si="8"/>
        <v>55</v>
      </c>
      <c r="N21" s="246">
        <f t="shared" si="9"/>
        <v>3</v>
      </c>
      <c r="O21" s="204">
        <f t="shared" si="5"/>
        <v>22</v>
      </c>
      <c r="Q21" s="245">
        <f t="shared" si="6"/>
        <v>55</v>
      </c>
      <c r="R21" s="246">
        <f t="shared" si="6"/>
        <v>3</v>
      </c>
      <c r="S21" s="204">
        <f t="shared" si="1"/>
        <v>22</v>
      </c>
      <c r="T21" s="245">
        <f t="shared" si="6"/>
        <v>55</v>
      </c>
      <c r="U21" s="246">
        <f t="shared" si="6"/>
        <v>3</v>
      </c>
      <c r="V21" s="204">
        <f t="shared" si="2"/>
        <v>22</v>
      </c>
      <c r="W21" s="245">
        <f t="shared" si="6"/>
        <v>55</v>
      </c>
      <c r="X21" s="246">
        <f t="shared" si="6"/>
        <v>3</v>
      </c>
      <c r="Y21" s="204">
        <f t="shared" si="3"/>
        <v>22</v>
      </c>
    </row>
    <row r="22" spans="2:29" x14ac:dyDescent="0.25">
      <c r="B22" s="2" t="s">
        <v>79</v>
      </c>
      <c r="C22" s="11"/>
      <c r="D22" s="12"/>
      <c r="L22" s="38">
        <f t="shared" si="7"/>
        <v>44592</v>
      </c>
      <c r="M22" s="245">
        <f t="shared" si="8"/>
        <v>55</v>
      </c>
      <c r="N22" s="246">
        <f t="shared" si="9"/>
        <v>3</v>
      </c>
      <c r="O22" s="204">
        <f t="shared" si="5"/>
        <v>22</v>
      </c>
      <c r="Q22" s="245">
        <f t="shared" si="6"/>
        <v>55</v>
      </c>
      <c r="R22" s="246">
        <f t="shared" si="6"/>
        <v>3</v>
      </c>
      <c r="S22" s="204">
        <f t="shared" si="1"/>
        <v>22</v>
      </c>
      <c r="T22" s="245">
        <f t="shared" si="6"/>
        <v>55</v>
      </c>
      <c r="U22" s="246">
        <f t="shared" si="6"/>
        <v>3</v>
      </c>
      <c r="V22" s="204">
        <f t="shared" si="2"/>
        <v>22</v>
      </c>
      <c r="W22" s="245">
        <f t="shared" si="6"/>
        <v>55</v>
      </c>
      <c r="X22" s="246">
        <f t="shared" si="6"/>
        <v>3</v>
      </c>
      <c r="Y22" s="204">
        <f t="shared" si="3"/>
        <v>22</v>
      </c>
    </row>
    <row r="23" spans="2:29" x14ac:dyDescent="0.25">
      <c r="L23" s="38">
        <f t="shared" si="7"/>
        <v>44620</v>
      </c>
      <c r="M23" s="245">
        <f t="shared" si="8"/>
        <v>55</v>
      </c>
      <c r="N23" s="246">
        <f t="shared" si="9"/>
        <v>3</v>
      </c>
      <c r="O23" s="204">
        <f t="shared" si="5"/>
        <v>22</v>
      </c>
      <c r="Q23" s="245">
        <f t="shared" si="6"/>
        <v>55</v>
      </c>
      <c r="R23" s="246">
        <f t="shared" si="6"/>
        <v>3</v>
      </c>
      <c r="S23" s="204">
        <f t="shared" si="1"/>
        <v>22</v>
      </c>
      <c r="T23" s="245">
        <f t="shared" si="6"/>
        <v>55</v>
      </c>
      <c r="U23" s="246">
        <f t="shared" si="6"/>
        <v>3</v>
      </c>
      <c r="V23" s="204">
        <f t="shared" si="2"/>
        <v>22</v>
      </c>
      <c r="W23" s="245">
        <f t="shared" si="6"/>
        <v>55</v>
      </c>
      <c r="X23" s="246">
        <f t="shared" si="6"/>
        <v>3</v>
      </c>
      <c r="Y23" s="204">
        <f t="shared" si="3"/>
        <v>22</v>
      </c>
    </row>
    <row r="24" spans="2:29" x14ac:dyDescent="0.25">
      <c r="L24" s="38">
        <f t="shared" si="7"/>
        <v>44651</v>
      </c>
      <c r="M24" s="245">
        <f t="shared" si="8"/>
        <v>55</v>
      </c>
      <c r="N24" s="246">
        <f t="shared" si="9"/>
        <v>3</v>
      </c>
      <c r="O24" s="204">
        <f t="shared" si="5"/>
        <v>22</v>
      </c>
      <c r="Q24" s="245">
        <f t="shared" si="6"/>
        <v>55</v>
      </c>
      <c r="R24" s="246">
        <f t="shared" si="6"/>
        <v>3</v>
      </c>
      <c r="S24" s="204">
        <f t="shared" si="1"/>
        <v>22</v>
      </c>
      <c r="T24" s="245">
        <f t="shared" si="6"/>
        <v>55</v>
      </c>
      <c r="U24" s="246">
        <f t="shared" si="6"/>
        <v>3</v>
      </c>
      <c r="V24" s="204">
        <f t="shared" si="2"/>
        <v>22</v>
      </c>
      <c r="W24" s="245">
        <f t="shared" si="6"/>
        <v>55</v>
      </c>
      <c r="X24" s="246">
        <f t="shared" si="6"/>
        <v>3</v>
      </c>
      <c r="Y24" s="204">
        <f t="shared" si="3"/>
        <v>22</v>
      </c>
    </row>
    <row r="25" spans="2:29" ht="21" x14ac:dyDescent="0.35">
      <c r="B25" s="159"/>
      <c r="C25" s="162" t="s">
        <v>163</v>
      </c>
      <c r="E25" s="107"/>
      <c r="F25" s="107"/>
      <c r="G25" s="107"/>
      <c r="H25" s="107"/>
      <c r="L25" s="38">
        <f t="shared" si="7"/>
        <v>44681</v>
      </c>
      <c r="M25" s="245">
        <f t="shared" si="8"/>
        <v>55</v>
      </c>
      <c r="N25" s="246">
        <f t="shared" si="9"/>
        <v>3</v>
      </c>
      <c r="O25" s="204">
        <f t="shared" si="5"/>
        <v>22</v>
      </c>
      <c r="Q25" s="245">
        <f t="shared" si="6"/>
        <v>55</v>
      </c>
      <c r="R25" s="246">
        <f t="shared" si="6"/>
        <v>3</v>
      </c>
      <c r="S25" s="204">
        <f t="shared" si="1"/>
        <v>22</v>
      </c>
      <c r="T25" s="245">
        <f t="shared" si="6"/>
        <v>55</v>
      </c>
      <c r="U25" s="246">
        <f t="shared" si="6"/>
        <v>3</v>
      </c>
      <c r="V25" s="204">
        <f t="shared" si="2"/>
        <v>22</v>
      </c>
      <c r="W25" s="245">
        <f t="shared" si="6"/>
        <v>55</v>
      </c>
      <c r="X25" s="246">
        <f t="shared" si="6"/>
        <v>3</v>
      </c>
      <c r="Y25" s="204">
        <f t="shared" si="3"/>
        <v>22</v>
      </c>
    </row>
    <row r="26" spans="2:29" x14ac:dyDescent="0.25">
      <c r="B26" s="77" t="s">
        <v>55</v>
      </c>
      <c r="C26" s="227">
        <v>0.25</v>
      </c>
      <c r="D26" s="152"/>
      <c r="L26" s="38">
        <f t="shared" si="7"/>
        <v>44712</v>
      </c>
      <c r="M26" s="245">
        <f t="shared" si="8"/>
        <v>55</v>
      </c>
      <c r="N26" s="246">
        <f t="shared" si="9"/>
        <v>3</v>
      </c>
      <c r="O26" s="204">
        <f t="shared" si="5"/>
        <v>22</v>
      </c>
      <c r="Q26" s="245">
        <f t="shared" si="6"/>
        <v>55</v>
      </c>
      <c r="R26" s="246">
        <f t="shared" si="6"/>
        <v>3</v>
      </c>
      <c r="S26" s="204">
        <f t="shared" si="1"/>
        <v>22</v>
      </c>
      <c r="T26" s="245">
        <f t="shared" si="6"/>
        <v>55</v>
      </c>
      <c r="U26" s="246">
        <f t="shared" si="6"/>
        <v>3</v>
      </c>
      <c r="V26" s="204">
        <f t="shared" si="2"/>
        <v>22</v>
      </c>
      <c r="W26" s="245">
        <f t="shared" si="6"/>
        <v>55</v>
      </c>
      <c r="X26" s="246">
        <f t="shared" si="6"/>
        <v>3</v>
      </c>
      <c r="Y26" s="204">
        <f t="shared" si="3"/>
        <v>22</v>
      </c>
    </row>
    <row r="27" spans="2:29" x14ac:dyDescent="0.25">
      <c r="B27" s="77" t="s">
        <v>109</v>
      </c>
      <c r="C27" s="220">
        <v>0</v>
      </c>
      <c r="D27" s="228">
        <v>0</v>
      </c>
      <c r="E27" s="6" t="s">
        <v>69</v>
      </c>
      <c r="G27" s="39"/>
      <c r="L27" s="38">
        <f t="shared" si="7"/>
        <v>44742</v>
      </c>
      <c r="M27" s="245">
        <f t="shared" si="8"/>
        <v>55</v>
      </c>
      <c r="N27" s="246">
        <f t="shared" si="9"/>
        <v>3</v>
      </c>
      <c r="O27" s="204">
        <f t="shared" si="5"/>
        <v>22</v>
      </c>
      <c r="Q27" s="245">
        <f t="shared" ref="Q27:X42" si="10">Q26</f>
        <v>55</v>
      </c>
      <c r="R27" s="246">
        <f t="shared" si="10"/>
        <v>3</v>
      </c>
      <c r="S27" s="204">
        <f t="shared" si="1"/>
        <v>22</v>
      </c>
      <c r="T27" s="245">
        <f t="shared" si="10"/>
        <v>55</v>
      </c>
      <c r="U27" s="246">
        <f t="shared" si="10"/>
        <v>3</v>
      </c>
      <c r="V27" s="204">
        <f t="shared" si="2"/>
        <v>22</v>
      </c>
      <c r="W27" s="245">
        <f t="shared" si="10"/>
        <v>55</v>
      </c>
      <c r="X27" s="246">
        <f t="shared" si="10"/>
        <v>3</v>
      </c>
      <c r="Y27" s="204">
        <f t="shared" si="3"/>
        <v>22</v>
      </c>
    </row>
    <row r="28" spans="2:29" x14ac:dyDescent="0.25">
      <c r="B28" s="77" t="s">
        <v>110</v>
      </c>
      <c r="C28" s="220">
        <v>950</v>
      </c>
      <c r="D28" s="151" t="s">
        <v>70</v>
      </c>
      <c r="E28" s="6" t="s">
        <v>111</v>
      </c>
      <c r="L28" s="38">
        <f t="shared" si="7"/>
        <v>44773</v>
      </c>
      <c r="M28" s="245">
        <f t="shared" si="8"/>
        <v>55</v>
      </c>
      <c r="N28" s="246">
        <f t="shared" si="9"/>
        <v>3</v>
      </c>
      <c r="O28" s="204">
        <f t="shared" si="5"/>
        <v>22</v>
      </c>
      <c r="Q28" s="245">
        <f t="shared" si="10"/>
        <v>55</v>
      </c>
      <c r="R28" s="246">
        <f t="shared" si="10"/>
        <v>3</v>
      </c>
      <c r="S28" s="204">
        <f t="shared" si="1"/>
        <v>22</v>
      </c>
      <c r="T28" s="245">
        <f t="shared" si="10"/>
        <v>55</v>
      </c>
      <c r="U28" s="246">
        <f t="shared" si="10"/>
        <v>3</v>
      </c>
      <c r="V28" s="204">
        <f t="shared" si="2"/>
        <v>22</v>
      </c>
      <c r="W28" s="245">
        <f t="shared" si="10"/>
        <v>55</v>
      </c>
      <c r="X28" s="246">
        <f t="shared" si="10"/>
        <v>3</v>
      </c>
      <c r="Y28" s="204">
        <f t="shared" si="3"/>
        <v>22</v>
      </c>
    </row>
    <row r="29" spans="2:29" x14ac:dyDescent="0.25">
      <c r="B29" s="77"/>
      <c r="C29" s="77"/>
      <c r="D29" s="12"/>
      <c r="L29" s="38">
        <f t="shared" si="7"/>
        <v>44804</v>
      </c>
      <c r="M29" s="245">
        <f t="shared" si="8"/>
        <v>55</v>
      </c>
      <c r="N29" s="246">
        <f t="shared" si="9"/>
        <v>3</v>
      </c>
      <c r="O29" s="204">
        <f t="shared" si="5"/>
        <v>22</v>
      </c>
      <c r="Q29" s="245">
        <f t="shared" si="10"/>
        <v>55</v>
      </c>
      <c r="R29" s="246">
        <f t="shared" si="10"/>
        <v>3</v>
      </c>
      <c r="S29" s="204">
        <f t="shared" si="1"/>
        <v>22</v>
      </c>
      <c r="T29" s="245">
        <f t="shared" si="10"/>
        <v>55</v>
      </c>
      <c r="U29" s="246">
        <f t="shared" si="10"/>
        <v>3</v>
      </c>
      <c r="V29" s="204">
        <f t="shared" si="2"/>
        <v>22</v>
      </c>
      <c r="W29" s="245">
        <f t="shared" si="10"/>
        <v>55</v>
      </c>
      <c r="X29" s="246">
        <f t="shared" si="10"/>
        <v>3</v>
      </c>
      <c r="Y29" s="204">
        <f t="shared" si="3"/>
        <v>22</v>
      </c>
    </row>
    <row r="30" spans="2:29" x14ac:dyDescent="0.25">
      <c r="B30" s="77"/>
      <c r="C30" s="120" t="s">
        <v>67</v>
      </c>
      <c r="D30" s="121" t="s">
        <v>68</v>
      </c>
      <c r="E30" s="6" t="s">
        <v>73</v>
      </c>
      <c r="L30" s="38">
        <f t="shared" si="7"/>
        <v>44834</v>
      </c>
      <c r="M30" s="245">
        <f t="shared" si="8"/>
        <v>55</v>
      </c>
      <c r="N30" s="246">
        <f t="shared" si="9"/>
        <v>3</v>
      </c>
      <c r="O30" s="204">
        <f t="shared" si="5"/>
        <v>22</v>
      </c>
      <c r="Q30" s="245">
        <f t="shared" si="10"/>
        <v>55</v>
      </c>
      <c r="R30" s="246">
        <f t="shared" si="10"/>
        <v>3</v>
      </c>
      <c r="S30" s="204">
        <f t="shared" si="1"/>
        <v>22</v>
      </c>
      <c r="T30" s="245">
        <f t="shared" si="10"/>
        <v>55</v>
      </c>
      <c r="U30" s="246">
        <f t="shared" si="10"/>
        <v>3</v>
      </c>
      <c r="V30" s="204">
        <f t="shared" si="2"/>
        <v>22</v>
      </c>
      <c r="W30" s="245">
        <f t="shared" si="10"/>
        <v>55</v>
      </c>
      <c r="X30" s="246">
        <f t="shared" si="10"/>
        <v>3</v>
      </c>
      <c r="Y30" s="204">
        <f t="shared" si="3"/>
        <v>22</v>
      </c>
    </row>
    <row r="31" spans="2:29" x14ac:dyDescent="0.25">
      <c r="B31" s="77" t="s">
        <v>221</v>
      </c>
      <c r="C31" s="324">
        <v>0</v>
      </c>
      <c r="D31" s="232">
        <v>-2.5</v>
      </c>
      <c r="E31" s="230">
        <v>4.5999999999999999E-2</v>
      </c>
      <c r="F31" s="6" t="s">
        <v>113</v>
      </c>
      <c r="L31" s="38">
        <f t="shared" si="7"/>
        <v>44865</v>
      </c>
      <c r="M31" s="245">
        <f t="shared" si="8"/>
        <v>55</v>
      </c>
      <c r="N31" s="246">
        <f t="shared" si="9"/>
        <v>3</v>
      </c>
      <c r="O31" s="204">
        <f t="shared" si="5"/>
        <v>22</v>
      </c>
      <c r="Q31" s="245">
        <f t="shared" si="10"/>
        <v>55</v>
      </c>
      <c r="R31" s="246">
        <f t="shared" si="10"/>
        <v>3</v>
      </c>
      <c r="S31" s="204">
        <f t="shared" si="1"/>
        <v>22</v>
      </c>
      <c r="T31" s="245">
        <f t="shared" si="10"/>
        <v>55</v>
      </c>
      <c r="U31" s="246">
        <f t="shared" si="10"/>
        <v>3</v>
      </c>
      <c r="V31" s="204">
        <f t="shared" si="2"/>
        <v>22</v>
      </c>
      <c r="W31" s="245">
        <f t="shared" si="10"/>
        <v>55</v>
      </c>
      <c r="X31" s="246">
        <f t="shared" si="10"/>
        <v>3</v>
      </c>
      <c r="Y31" s="204">
        <f t="shared" si="3"/>
        <v>22</v>
      </c>
    </row>
    <row r="32" spans="2:29" x14ac:dyDescent="0.25">
      <c r="B32" s="77" t="s">
        <v>222</v>
      </c>
      <c r="C32" s="229">
        <v>-0.1</v>
      </c>
      <c r="D32" s="233">
        <v>-0.25</v>
      </c>
      <c r="E32" s="231">
        <v>7.4999999999999997E-2</v>
      </c>
      <c r="F32" s="6" t="s">
        <v>113</v>
      </c>
      <c r="L32" s="38">
        <f t="shared" si="7"/>
        <v>44895</v>
      </c>
      <c r="M32" s="245">
        <f t="shared" si="8"/>
        <v>55</v>
      </c>
      <c r="N32" s="246">
        <f t="shared" si="9"/>
        <v>3</v>
      </c>
      <c r="O32" s="204">
        <f t="shared" si="5"/>
        <v>22</v>
      </c>
      <c r="Q32" s="245">
        <f t="shared" si="10"/>
        <v>55</v>
      </c>
      <c r="R32" s="246">
        <f t="shared" si="10"/>
        <v>3</v>
      </c>
      <c r="S32" s="204">
        <f t="shared" si="1"/>
        <v>22</v>
      </c>
      <c r="T32" s="245">
        <f t="shared" si="10"/>
        <v>55</v>
      </c>
      <c r="U32" s="246">
        <f t="shared" si="10"/>
        <v>3</v>
      </c>
      <c r="V32" s="204">
        <f t="shared" si="2"/>
        <v>22</v>
      </c>
      <c r="W32" s="245">
        <f t="shared" si="10"/>
        <v>55</v>
      </c>
      <c r="X32" s="246">
        <f t="shared" si="10"/>
        <v>3</v>
      </c>
      <c r="Y32" s="204">
        <f t="shared" si="3"/>
        <v>22</v>
      </c>
    </row>
    <row r="33" spans="2:25" x14ac:dyDescent="0.25">
      <c r="B33" s="77" t="s">
        <v>16</v>
      </c>
      <c r="C33" s="229">
        <v>-0.6</v>
      </c>
      <c r="D33" s="153"/>
      <c r="E33" s="231">
        <v>7.4999999999999997E-2</v>
      </c>
      <c r="F33" s="6" t="s">
        <v>112</v>
      </c>
      <c r="L33" s="38">
        <f t="shared" si="7"/>
        <v>44926</v>
      </c>
      <c r="M33" s="245">
        <f t="shared" si="8"/>
        <v>55</v>
      </c>
      <c r="N33" s="246">
        <f t="shared" si="9"/>
        <v>3</v>
      </c>
      <c r="O33" s="204">
        <f t="shared" si="5"/>
        <v>22</v>
      </c>
      <c r="Q33" s="245">
        <f t="shared" si="10"/>
        <v>55</v>
      </c>
      <c r="R33" s="246">
        <f t="shared" si="10"/>
        <v>3</v>
      </c>
      <c r="S33" s="204">
        <f t="shared" si="1"/>
        <v>22</v>
      </c>
      <c r="T33" s="245">
        <f t="shared" si="10"/>
        <v>55</v>
      </c>
      <c r="U33" s="246">
        <f t="shared" si="10"/>
        <v>3</v>
      </c>
      <c r="V33" s="204">
        <f t="shared" si="2"/>
        <v>22</v>
      </c>
      <c r="W33" s="245">
        <f t="shared" si="10"/>
        <v>55</v>
      </c>
      <c r="X33" s="246">
        <f t="shared" si="10"/>
        <v>3</v>
      </c>
      <c r="Y33" s="204">
        <f t="shared" si="3"/>
        <v>22</v>
      </c>
    </row>
    <row r="34" spans="2:25" x14ac:dyDescent="0.25">
      <c r="B34" s="77" t="s">
        <v>74</v>
      </c>
      <c r="C34" s="128"/>
      <c r="D34" s="153"/>
      <c r="E34" s="231">
        <v>2.5000000000000001E-2</v>
      </c>
      <c r="G34" s="40"/>
      <c r="L34" s="38">
        <f t="shared" si="7"/>
        <v>44957</v>
      </c>
      <c r="M34" s="245">
        <f t="shared" si="8"/>
        <v>55</v>
      </c>
      <c r="N34" s="246">
        <f t="shared" si="9"/>
        <v>3</v>
      </c>
      <c r="O34" s="204">
        <f t="shared" si="5"/>
        <v>22</v>
      </c>
      <c r="Q34" s="245">
        <f t="shared" si="10"/>
        <v>55</v>
      </c>
      <c r="R34" s="246">
        <f t="shared" si="10"/>
        <v>3</v>
      </c>
      <c r="S34" s="204">
        <f t="shared" si="1"/>
        <v>22</v>
      </c>
      <c r="T34" s="245">
        <f t="shared" si="10"/>
        <v>55</v>
      </c>
      <c r="U34" s="246">
        <f t="shared" si="10"/>
        <v>3</v>
      </c>
      <c r="V34" s="204">
        <f t="shared" si="2"/>
        <v>22</v>
      </c>
      <c r="W34" s="245">
        <f t="shared" si="10"/>
        <v>55</v>
      </c>
      <c r="X34" s="246">
        <f t="shared" si="10"/>
        <v>3</v>
      </c>
      <c r="Y34" s="204">
        <f t="shared" si="3"/>
        <v>22</v>
      </c>
    </row>
    <row r="35" spans="2:25" x14ac:dyDescent="0.25">
      <c r="C35" s="11"/>
      <c r="D35" s="12"/>
      <c r="L35" s="38">
        <f t="shared" si="7"/>
        <v>44985</v>
      </c>
      <c r="M35" s="245">
        <f t="shared" si="8"/>
        <v>55</v>
      </c>
      <c r="N35" s="246">
        <f t="shared" si="9"/>
        <v>3</v>
      </c>
      <c r="O35" s="204">
        <f t="shared" si="5"/>
        <v>22</v>
      </c>
      <c r="Q35" s="245">
        <f t="shared" si="10"/>
        <v>55</v>
      </c>
      <c r="R35" s="246">
        <f t="shared" si="10"/>
        <v>3</v>
      </c>
      <c r="S35" s="204">
        <f t="shared" si="1"/>
        <v>22</v>
      </c>
      <c r="T35" s="245">
        <f t="shared" si="10"/>
        <v>55</v>
      </c>
      <c r="U35" s="246">
        <f t="shared" si="10"/>
        <v>3</v>
      </c>
      <c r="V35" s="204">
        <f t="shared" si="2"/>
        <v>22</v>
      </c>
      <c r="W35" s="245">
        <f t="shared" si="10"/>
        <v>55</v>
      </c>
      <c r="X35" s="246">
        <f t="shared" si="10"/>
        <v>3</v>
      </c>
      <c r="Y35" s="204">
        <f t="shared" si="3"/>
        <v>22</v>
      </c>
    </row>
    <row r="36" spans="2:25" x14ac:dyDescent="0.25">
      <c r="B36" s="10"/>
      <c r="C36" s="11"/>
      <c r="D36" s="12"/>
      <c r="L36" s="38">
        <f t="shared" si="7"/>
        <v>45016</v>
      </c>
      <c r="M36" s="245">
        <f t="shared" si="8"/>
        <v>55</v>
      </c>
      <c r="N36" s="246">
        <f t="shared" si="9"/>
        <v>3</v>
      </c>
      <c r="O36" s="204">
        <f t="shared" si="5"/>
        <v>22</v>
      </c>
      <c r="Q36" s="245">
        <f t="shared" si="10"/>
        <v>55</v>
      </c>
      <c r="R36" s="246">
        <f t="shared" si="10"/>
        <v>3</v>
      </c>
      <c r="S36" s="204">
        <f t="shared" si="1"/>
        <v>22</v>
      </c>
      <c r="T36" s="245">
        <f t="shared" si="10"/>
        <v>55</v>
      </c>
      <c r="U36" s="246">
        <f t="shared" si="10"/>
        <v>3</v>
      </c>
      <c r="V36" s="204">
        <f t="shared" si="2"/>
        <v>22</v>
      </c>
      <c r="W36" s="245">
        <f t="shared" si="10"/>
        <v>55</v>
      </c>
      <c r="X36" s="246">
        <f t="shared" si="10"/>
        <v>3</v>
      </c>
      <c r="Y36" s="204">
        <f t="shared" si="3"/>
        <v>22</v>
      </c>
    </row>
    <row r="37" spans="2:25" ht="21" x14ac:dyDescent="0.25">
      <c r="B37" s="163" t="s">
        <v>32</v>
      </c>
      <c r="C37" s="107"/>
      <c r="D37" s="12"/>
      <c r="E37" s="164" t="s">
        <v>219</v>
      </c>
      <c r="F37" s="107"/>
      <c r="G37" s="107"/>
      <c r="H37" s="107"/>
      <c r="I37" s="107"/>
      <c r="J37" s="107"/>
      <c r="L37" s="38">
        <f t="shared" si="7"/>
        <v>45046</v>
      </c>
      <c r="M37" s="245">
        <f t="shared" si="8"/>
        <v>55</v>
      </c>
      <c r="N37" s="246">
        <f t="shared" si="9"/>
        <v>3</v>
      </c>
      <c r="O37" s="204">
        <f t="shared" si="5"/>
        <v>22</v>
      </c>
      <c r="Q37" s="245">
        <f t="shared" si="10"/>
        <v>55</v>
      </c>
      <c r="R37" s="246">
        <f t="shared" si="10"/>
        <v>3</v>
      </c>
      <c r="S37" s="204">
        <f t="shared" si="1"/>
        <v>22</v>
      </c>
      <c r="T37" s="245">
        <f t="shared" si="10"/>
        <v>55</v>
      </c>
      <c r="U37" s="246">
        <f t="shared" si="10"/>
        <v>3</v>
      </c>
      <c r="V37" s="204">
        <f t="shared" si="2"/>
        <v>22</v>
      </c>
      <c r="W37" s="245">
        <f t="shared" si="10"/>
        <v>55</v>
      </c>
      <c r="X37" s="246">
        <f t="shared" si="10"/>
        <v>3</v>
      </c>
      <c r="Y37" s="204">
        <f t="shared" si="3"/>
        <v>22</v>
      </c>
    </row>
    <row r="38" spans="2:25" ht="21" x14ac:dyDescent="0.25">
      <c r="B38" s="165"/>
      <c r="C38" s="11"/>
      <c r="D38" s="12"/>
      <c r="E38" s="127"/>
      <c r="F38" s="127" t="s">
        <v>252</v>
      </c>
      <c r="G38" s="123" t="s">
        <v>4</v>
      </c>
      <c r="H38" s="123"/>
      <c r="I38" s="123"/>
      <c r="J38" s="123"/>
      <c r="L38" s="38">
        <f t="shared" si="7"/>
        <v>45077</v>
      </c>
      <c r="M38" s="245">
        <f t="shared" si="8"/>
        <v>55</v>
      </c>
      <c r="N38" s="246">
        <f t="shared" si="9"/>
        <v>3</v>
      </c>
      <c r="O38" s="204">
        <f t="shared" si="5"/>
        <v>22</v>
      </c>
      <c r="Q38" s="245">
        <f t="shared" si="10"/>
        <v>55</v>
      </c>
      <c r="R38" s="246">
        <f t="shared" si="10"/>
        <v>3</v>
      </c>
      <c r="S38" s="204">
        <f t="shared" si="1"/>
        <v>22</v>
      </c>
      <c r="T38" s="245">
        <f t="shared" si="10"/>
        <v>55</v>
      </c>
      <c r="U38" s="246">
        <f t="shared" si="10"/>
        <v>3</v>
      </c>
      <c r="V38" s="204">
        <f t="shared" si="2"/>
        <v>22</v>
      </c>
      <c r="W38" s="245">
        <f t="shared" si="10"/>
        <v>55</v>
      </c>
      <c r="X38" s="246">
        <f t="shared" si="10"/>
        <v>3</v>
      </c>
      <c r="Y38" s="204">
        <f t="shared" si="3"/>
        <v>22</v>
      </c>
    </row>
    <row r="39" spans="2:25" x14ac:dyDescent="0.25">
      <c r="B39" s="77" t="s">
        <v>223</v>
      </c>
      <c r="C39" s="234">
        <v>1000</v>
      </c>
      <c r="D39" s="12"/>
      <c r="E39" s="314" t="s">
        <v>228</v>
      </c>
      <c r="F39" s="242">
        <v>0</v>
      </c>
      <c r="G39" s="299" t="s">
        <v>248</v>
      </c>
      <c r="H39" s="299"/>
      <c r="I39" s="299"/>
      <c r="J39" s="299"/>
      <c r="L39" s="38">
        <f t="shared" si="7"/>
        <v>45107</v>
      </c>
      <c r="M39" s="245">
        <f t="shared" si="8"/>
        <v>55</v>
      </c>
      <c r="N39" s="246">
        <f t="shared" si="9"/>
        <v>3</v>
      </c>
      <c r="O39" s="204">
        <f t="shared" si="5"/>
        <v>22</v>
      </c>
      <c r="Q39" s="245">
        <f t="shared" si="10"/>
        <v>55</v>
      </c>
      <c r="R39" s="246">
        <f t="shared" si="10"/>
        <v>3</v>
      </c>
      <c r="S39" s="204">
        <f t="shared" si="1"/>
        <v>22</v>
      </c>
      <c r="T39" s="245">
        <f t="shared" si="10"/>
        <v>55</v>
      </c>
      <c r="U39" s="246">
        <f t="shared" si="10"/>
        <v>3</v>
      </c>
      <c r="V39" s="204">
        <f t="shared" si="2"/>
        <v>22</v>
      </c>
      <c r="W39" s="245">
        <f t="shared" si="10"/>
        <v>55</v>
      </c>
      <c r="X39" s="246">
        <f t="shared" si="10"/>
        <v>3</v>
      </c>
      <c r="Y39" s="204">
        <f t="shared" si="3"/>
        <v>22</v>
      </c>
    </row>
    <row r="40" spans="2:25" x14ac:dyDescent="0.25">
      <c r="B40" s="77" t="s">
        <v>224</v>
      </c>
      <c r="C40" s="235">
        <v>5000</v>
      </c>
      <c r="D40" s="12"/>
      <c r="E40" s="315" t="s">
        <v>229</v>
      </c>
      <c r="F40" s="313">
        <v>0</v>
      </c>
      <c r="G40" s="285" t="s">
        <v>249</v>
      </c>
      <c r="H40" s="285"/>
      <c r="I40" s="285"/>
      <c r="J40" s="285"/>
      <c r="K40" s="310" t="str">
        <f>IF(DAY(E42)&lt;&gt;1,"ERROR Date must be the first day of the month","")</f>
        <v/>
      </c>
      <c r="L40" s="38">
        <f t="shared" si="7"/>
        <v>45138</v>
      </c>
      <c r="M40" s="245">
        <f t="shared" si="8"/>
        <v>55</v>
      </c>
      <c r="N40" s="246">
        <f t="shared" si="9"/>
        <v>3</v>
      </c>
      <c r="O40" s="204">
        <f t="shared" si="5"/>
        <v>22</v>
      </c>
      <c r="Q40" s="245">
        <f t="shared" si="10"/>
        <v>55</v>
      </c>
      <c r="R40" s="246">
        <f t="shared" si="10"/>
        <v>3</v>
      </c>
      <c r="S40" s="204">
        <f t="shared" si="1"/>
        <v>22</v>
      </c>
      <c r="T40" s="245">
        <f t="shared" si="10"/>
        <v>55</v>
      </c>
      <c r="U40" s="246">
        <f t="shared" si="10"/>
        <v>3</v>
      </c>
      <c r="V40" s="204">
        <f t="shared" si="2"/>
        <v>22</v>
      </c>
      <c r="W40" s="245">
        <f t="shared" si="10"/>
        <v>55</v>
      </c>
      <c r="X40" s="246">
        <f t="shared" si="10"/>
        <v>3</v>
      </c>
      <c r="Y40" s="204">
        <f t="shared" si="3"/>
        <v>22</v>
      </c>
    </row>
    <row r="41" spans="2:25" x14ac:dyDescent="0.25">
      <c r="B41" s="77" t="s">
        <v>225</v>
      </c>
      <c r="C41" s="236">
        <v>0</v>
      </c>
      <c r="D41" s="12"/>
      <c r="L41" s="38">
        <f t="shared" si="7"/>
        <v>45169</v>
      </c>
      <c r="M41" s="245">
        <f t="shared" si="8"/>
        <v>55</v>
      </c>
      <c r="N41" s="246">
        <f t="shared" si="9"/>
        <v>3</v>
      </c>
      <c r="O41" s="204">
        <f t="shared" si="5"/>
        <v>22</v>
      </c>
      <c r="Q41" s="245">
        <f t="shared" si="10"/>
        <v>55</v>
      </c>
      <c r="R41" s="246">
        <f t="shared" si="10"/>
        <v>3</v>
      </c>
      <c r="S41" s="204">
        <f t="shared" si="1"/>
        <v>22</v>
      </c>
      <c r="T41" s="245">
        <f t="shared" si="10"/>
        <v>55</v>
      </c>
      <c r="U41" s="246">
        <f t="shared" si="10"/>
        <v>3</v>
      </c>
      <c r="V41" s="204">
        <f t="shared" si="2"/>
        <v>22</v>
      </c>
      <c r="W41" s="245">
        <f t="shared" si="10"/>
        <v>55</v>
      </c>
      <c r="X41" s="246">
        <f t="shared" si="10"/>
        <v>3</v>
      </c>
      <c r="Y41" s="204">
        <f t="shared" si="3"/>
        <v>22</v>
      </c>
    </row>
    <row r="42" spans="2:25" x14ac:dyDescent="0.25">
      <c r="B42" s="77" t="s">
        <v>226</v>
      </c>
      <c r="C42" s="236">
        <v>0</v>
      </c>
      <c r="D42" s="12" t="s">
        <v>114</v>
      </c>
      <c r="E42" s="340">
        <v>367</v>
      </c>
      <c r="F42" s="237">
        <v>0</v>
      </c>
      <c r="G42" s="311" t="s">
        <v>72</v>
      </c>
      <c r="H42" s="238"/>
      <c r="I42" s="238"/>
      <c r="J42" s="238"/>
      <c r="L42" s="38">
        <f t="shared" si="7"/>
        <v>45199</v>
      </c>
      <c r="M42" s="245">
        <f t="shared" si="8"/>
        <v>55</v>
      </c>
      <c r="N42" s="246">
        <f t="shared" si="9"/>
        <v>3</v>
      </c>
      <c r="O42" s="204">
        <f t="shared" si="5"/>
        <v>22</v>
      </c>
      <c r="Q42" s="245">
        <f t="shared" si="10"/>
        <v>55</v>
      </c>
      <c r="R42" s="246">
        <f t="shared" si="10"/>
        <v>3</v>
      </c>
      <c r="S42" s="204">
        <f t="shared" si="1"/>
        <v>22</v>
      </c>
      <c r="T42" s="245">
        <f t="shared" si="10"/>
        <v>55</v>
      </c>
      <c r="U42" s="246">
        <f t="shared" si="10"/>
        <v>3</v>
      </c>
      <c r="V42" s="204">
        <f t="shared" si="2"/>
        <v>22</v>
      </c>
      <c r="W42" s="245">
        <f t="shared" si="10"/>
        <v>55</v>
      </c>
      <c r="X42" s="246">
        <f t="shared" si="10"/>
        <v>3</v>
      </c>
      <c r="Y42" s="204">
        <f t="shared" si="3"/>
        <v>22</v>
      </c>
    </row>
    <row r="43" spans="2:25" x14ac:dyDescent="0.25">
      <c r="B43" s="77" t="s">
        <v>227</v>
      </c>
      <c r="C43" s="236">
        <v>2</v>
      </c>
      <c r="D43" s="12"/>
      <c r="E43" s="239">
        <v>367</v>
      </c>
      <c r="F43" s="240">
        <v>0</v>
      </c>
      <c r="G43" s="312" t="s">
        <v>72</v>
      </c>
      <c r="H43" s="241"/>
      <c r="I43" s="241"/>
      <c r="J43" s="241"/>
      <c r="L43" s="38">
        <f t="shared" si="7"/>
        <v>45230</v>
      </c>
      <c r="M43" s="245">
        <f t="shared" si="8"/>
        <v>55</v>
      </c>
      <c r="N43" s="246">
        <f t="shared" si="9"/>
        <v>3</v>
      </c>
      <c r="O43" s="204">
        <f t="shared" si="5"/>
        <v>22</v>
      </c>
      <c r="Q43" s="245">
        <f t="shared" ref="Q43:X58" si="11">Q42</f>
        <v>55</v>
      </c>
      <c r="R43" s="246">
        <f t="shared" si="11"/>
        <v>3</v>
      </c>
      <c r="S43" s="204">
        <f t="shared" si="1"/>
        <v>22</v>
      </c>
      <c r="T43" s="245">
        <f t="shared" si="11"/>
        <v>55</v>
      </c>
      <c r="U43" s="246">
        <f t="shared" si="11"/>
        <v>3</v>
      </c>
      <c r="V43" s="204">
        <f t="shared" si="2"/>
        <v>22</v>
      </c>
      <c r="W43" s="245">
        <f t="shared" si="11"/>
        <v>55</v>
      </c>
      <c r="X43" s="246">
        <f t="shared" si="11"/>
        <v>3</v>
      </c>
      <c r="Y43" s="204">
        <f t="shared" si="3"/>
        <v>22</v>
      </c>
    </row>
    <row r="44" spans="2:25" x14ac:dyDescent="0.25">
      <c r="B44" s="77"/>
      <c r="C44" s="341"/>
      <c r="D44" s="12"/>
      <c r="E44" s="239">
        <v>367</v>
      </c>
      <c r="F44" s="240">
        <v>0</v>
      </c>
      <c r="G44" s="312" t="s">
        <v>72</v>
      </c>
      <c r="H44" s="241"/>
      <c r="I44" s="241"/>
      <c r="J44" s="241"/>
      <c r="K44" s="310" t="str">
        <f>IF(DAY(E42)&lt;&gt;1,"ERROR Date must be the first day of the month","")</f>
        <v/>
      </c>
      <c r="L44" s="38">
        <f t="shared" si="7"/>
        <v>45260</v>
      </c>
      <c r="M44" s="245">
        <f t="shared" si="8"/>
        <v>55</v>
      </c>
      <c r="N44" s="246">
        <f t="shared" si="9"/>
        <v>3</v>
      </c>
      <c r="O44" s="204">
        <f t="shared" si="5"/>
        <v>22</v>
      </c>
      <c r="Q44" s="245">
        <f t="shared" si="11"/>
        <v>55</v>
      </c>
      <c r="R44" s="246">
        <f t="shared" si="11"/>
        <v>3</v>
      </c>
      <c r="S44" s="204">
        <f t="shared" si="1"/>
        <v>22</v>
      </c>
      <c r="T44" s="245">
        <f t="shared" si="11"/>
        <v>55</v>
      </c>
      <c r="U44" s="246">
        <f t="shared" si="11"/>
        <v>3</v>
      </c>
      <c r="V44" s="204">
        <f t="shared" si="2"/>
        <v>22</v>
      </c>
      <c r="W44" s="245">
        <f t="shared" si="11"/>
        <v>55</v>
      </c>
      <c r="X44" s="246">
        <f t="shared" si="11"/>
        <v>3</v>
      </c>
      <c r="Y44" s="204">
        <f t="shared" si="3"/>
        <v>22</v>
      </c>
    </row>
    <row r="45" spans="2:25" x14ac:dyDescent="0.25">
      <c r="B45" s="10"/>
      <c r="C45" s="11"/>
      <c r="D45" s="12"/>
      <c r="E45" s="239">
        <v>367</v>
      </c>
      <c r="F45" s="240">
        <v>0</v>
      </c>
      <c r="G45" s="312" t="s">
        <v>72</v>
      </c>
      <c r="H45" s="241"/>
      <c r="I45" s="241"/>
      <c r="J45" s="241"/>
      <c r="K45" s="310" t="str">
        <f>IF(DAY(E43)&lt;&gt;1,"ERROR Date must be the first day of the month","")</f>
        <v/>
      </c>
      <c r="L45" s="38">
        <f t="shared" si="7"/>
        <v>45291</v>
      </c>
      <c r="M45" s="245">
        <f t="shared" si="8"/>
        <v>55</v>
      </c>
      <c r="N45" s="246">
        <f t="shared" si="9"/>
        <v>3</v>
      </c>
      <c r="O45" s="204">
        <f t="shared" si="5"/>
        <v>22</v>
      </c>
      <c r="Q45" s="245">
        <f t="shared" si="11"/>
        <v>55</v>
      </c>
      <c r="R45" s="246">
        <f t="shared" si="11"/>
        <v>3</v>
      </c>
      <c r="S45" s="204">
        <f t="shared" si="1"/>
        <v>22</v>
      </c>
      <c r="T45" s="245">
        <f t="shared" si="11"/>
        <v>55</v>
      </c>
      <c r="U45" s="246">
        <f t="shared" si="11"/>
        <v>3</v>
      </c>
      <c r="V45" s="204">
        <f t="shared" si="2"/>
        <v>22</v>
      </c>
      <c r="W45" s="245">
        <f t="shared" si="11"/>
        <v>55</v>
      </c>
      <c r="X45" s="246">
        <f t="shared" si="11"/>
        <v>3</v>
      </c>
      <c r="Y45" s="204">
        <f t="shared" si="3"/>
        <v>22</v>
      </c>
    </row>
    <row r="46" spans="2:25" x14ac:dyDescent="0.25">
      <c r="B46" s="10"/>
      <c r="C46" s="11"/>
      <c r="D46" s="12"/>
      <c r="K46" s="310" t="str">
        <f>IF(DAY(E44)&lt;&gt;1,"ERROR Date must be the first day of the month","")</f>
        <v/>
      </c>
      <c r="L46" s="38">
        <f t="shared" si="7"/>
        <v>45322</v>
      </c>
      <c r="M46" s="245">
        <f t="shared" si="8"/>
        <v>55</v>
      </c>
      <c r="N46" s="246">
        <f t="shared" si="9"/>
        <v>3</v>
      </c>
      <c r="O46" s="204">
        <f t="shared" si="5"/>
        <v>22</v>
      </c>
      <c r="Q46" s="245">
        <f t="shared" si="11"/>
        <v>55</v>
      </c>
      <c r="R46" s="246">
        <f t="shared" si="11"/>
        <v>3</v>
      </c>
      <c r="S46" s="204">
        <f t="shared" si="1"/>
        <v>22</v>
      </c>
      <c r="T46" s="245">
        <f t="shared" si="11"/>
        <v>55</v>
      </c>
      <c r="U46" s="246">
        <f t="shared" si="11"/>
        <v>3</v>
      </c>
      <c r="V46" s="204">
        <f t="shared" si="2"/>
        <v>22</v>
      </c>
      <c r="W46" s="245">
        <f t="shared" si="11"/>
        <v>55</v>
      </c>
      <c r="X46" s="246">
        <f t="shared" si="11"/>
        <v>3</v>
      </c>
      <c r="Y46" s="204">
        <f t="shared" si="3"/>
        <v>22</v>
      </c>
    </row>
    <row r="47" spans="2:25" x14ac:dyDescent="0.25">
      <c r="K47" s="310" t="str">
        <f>IF(DAY(E45)&lt;&gt;1,"ERROR Date must be the first day of the month","")</f>
        <v/>
      </c>
      <c r="L47" s="38">
        <f t="shared" si="7"/>
        <v>45351</v>
      </c>
      <c r="M47" s="245">
        <f t="shared" si="8"/>
        <v>55</v>
      </c>
      <c r="N47" s="246">
        <f t="shared" si="9"/>
        <v>3</v>
      </c>
      <c r="O47" s="204">
        <f t="shared" si="5"/>
        <v>22</v>
      </c>
      <c r="Q47" s="245">
        <f t="shared" si="11"/>
        <v>55</v>
      </c>
      <c r="R47" s="246">
        <f t="shared" si="11"/>
        <v>3</v>
      </c>
      <c r="S47" s="204">
        <f t="shared" si="1"/>
        <v>22</v>
      </c>
      <c r="T47" s="245">
        <f t="shared" si="11"/>
        <v>55</v>
      </c>
      <c r="U47" s="246">
        <f t="shared" si="11"/>
        <v>3</v>
      </c>
      <c r="V47" s="204">
        <f t="shared" si="2"/>
        <v>22</v>
      </c>
      <c r="W47" s="245">
        <f t="shared" si="11"/>
        <v>55</v>
      </c>
      <c r="X47" s="246">
        <f t="shared" si="11"/>
        <v>3</v>
      </c>
      <c r="Y47" s="204">
        <f t="shared" si="3"/>
        <v>22</v>
      </c>
    </row>
    <row r="48" spans="2:25" x14ac:dyDescent="0.25">
      <c r="L48" s="38">
        <f t="shared" si="7"/>
        <v>45382</v>
      </c>
      <c r="M48" s="245">
        <f t="shared" si="8"/>
        <v>55</v>
      </c>
      <c r="N48" s="246">
        <f t="shared" si="9"/>
        <v>3</v>
      </c>
      <c r="O48" s="204">
        <f t="shared" si="5"/>
        <v>22</v>
      </c>
      <c r="Q48" s="245">
        <f t="shared" si="11"/>
        <v>55</v>
      </c>
      <c r="R48" s="246">
        <f t="shared" si="11"/>
        <v>3</v>
      </c>
      <c r="S48" s="204">
        <f t="shared" si="1"/>
        <v>22</v>
      </c>
      <c r="T48" s="245">
        <f t="shared" si="11"/>
        <v>55</v>
      </c>
      <c r="U48" s="246">
        <f t="shared" si="11"/>
        <v>3</v>
      </c>
      <c r="V48" s="204">
        <f t="shared" si="2"/>
        <v>22</v>
      </c>
      <c r="W48" s="245">
        <f t="shared" si="11"/>
        <v>55</v>
      </c>
      <c r="X48" s="246">
        <f t="shared" si="11"/>
        <v>3</v>
      </c>
      <c r="Y48" s="204">
        <f t="shared" si="3"/>
        <v>22</v>
      </c>
    </row>
    <row r="49" spans="2:25" ht="18.75" x14ac:dyDescent="0.3">
      <c r="B49" s="158" t="s">
        <v>47</v>
      </c>
      <c r="C49" s="120" t="s">
        <v>98</v>
      </c>
      <c r="D49" s="121" t="s">
        <v>99</v>
      </c>
      <c r="L49" s="38">
        <f t="shared" si="7"/>
        <v>45412</v>
      </c>
      <c r="M49" s="245">
        <f t="shared" si="8"/>
        <v>55</v>
      </c>
      <c r="N49" s="246">
        <f t="shared" si="9"/>
        <v>3</v>
      </c>
      <c r="O49" s="204">
        <f t="shared" si="5"/>
        <v>22</v>
      </c>
      <c r="Q49" s="245">
        <f t="shared" si="11"/>
        <v>55</v>
      </c>
      <c r="R49" s="246">
        <f t="shared" si="11"/>
        <v>3</v>
      </c>
      <c r="S49" s="204">
        <f t="shared" si="1"/>
        <v>22</v>
      </c>
      <c r="T49" s="245">
        <f t="shared" si="11"/>
        <v>55</v>
      </c>
      <c r="U49" s="246">
        <f t="shared" si="11"/>
        <v>3</v>
      </c>
      <c r="V49" s="204">
        <f t="shared" si="2"/>
        <v>22</v>
      </c>
      <c r="W49" s="245">
        <f t="shared" si="11"/>
        <v>55</v>
      </c>
      <c r="X49" s="246">
        <f t="shared" si="11"/>
        <v>3</v>
      </c>
      <c r="Y49" s="204">
        <f t="shared" si="3"/>
        <v>22</v>
      </c>
    </row>
    <row r="50" spans="2:25" x14ac:dyDescent="0.25">
      <c r="B50" s="17" t="s">
        <v>47</v>
      </c>
      <c r="C50" s="249">
        <v>0.1</v>
      </c>
      <c r="D50" s="250">
        <v>0.05</v>
      </c>
      <c r="E50" s="250">
        <v>0.08</v>
      </c>
      <c r="F50" s="250">
        <v>0.12</v>
      </c>
      <c r="G50" s="250">
        <v>0.15</v>
      </c>
      <c r="H50" s="250">
        <v>0.18</v>
      </c>
      <c r="I50" s="250">
        <v>0.2</v>
      </c>
      <c r="J50" s="250">
        <v>0.25</v>
      </c>
      <c r="L50" s="38">
        <f t="shared" si="7"/>
        <v>45443</v>
      </c>
      <c r="M50" s="245">
        <f t="shared" si="8"/>
        <v>55</v>
      </c>
      <c r="N50" s="246">
        <f t="shared" si="9"/>
        <v>3</v>
      </c>
      <c r="O50" s="204">
        <f t="shared" si="5"/>
        <v>22</v>
      </c>
      <c r="Q50" s="245">
        <f t="shared" si="11"/>
        <v>55</v>
      </c>
      <c r="R50" s="246">
        <f t="shared" si="11"/>
        <v>3</v>
      </c>
      <c r="S50" s="204">
        <f t="shared" si="1"/>
        <v>22</v>
      </c>
      <c r="T50" s="245">
        <f t="shared" si="11"/>
        <v>55</v>
      </c>
      <c r="U50" s="246">
        <f t="shared" si="11"/>
        <v>3</v>
      </c>
      <c r="V50" s="204">
        <f t="shared" si="2"/>
        <v>22</v>
      </c>
      <c r="W50" s="245">
        <f t="shared" si="11"/>
        <v>55</v>
      </c>
      <c r="X50" s="246">
        <f t="shared" si="11"/>
        <v>3</v>
      </c>
      <c r="Y50" s="204">
        <f t="shared" si="3"/>
        <v>22</v>
      </c>
    </row>
    <row r="51" spans="2:25" x14ac:dyDescent="0.25">
      <c r="B51" s="10"/>
      <c r="C51" s="11"/>
      <c r="D51" s="12"/>
      <c r="L51" s="38">
        <f t="shared" si="7"/>
        <v>45473</v>
      </c>
      <c r="M51" s="245">
        <f t="shared" si="8"/>
        <v>55</v>
      </c>
      <c r="N51" s="246">
        <f t="shared" si="9"/>
        <v>3</v>
      </c>
      <c r="O51" s="204">
        <f t="shared" si="5"/>
        <v>22</v>
      </c>
      <c r="Q51" s="245">
        <f t="shared" si="11"/>
        <v>55</v>
      </c>
      <c r="R51" s="246">
        <f t="shared" si="11"/>
        <v>3</v>
      </c>
      <c r="S51" s="204">
        <f t="shared" si="1"/>
        <v>22</v>
      </c>
      <c r="T51" s="245">
        <f t="shared" si="11"/>
        <v>55</v>
      </c>
      <c r="U51" s="246">
        <f t="shared" si="11"/>
        <v>3</v>
      </c>
      <c r="V51" s="204">
        <f t="shared" si="2"/>
        <v>22</v>
      </c>
      <c r="W51" s="245">
        <f t="shared" si="11"/>
        <v>55</v>
      </c>
      <c r="X51" s="246">
        <f t="shared" si="11"/>
        <v>3</v>
      </c>
      <c r="Y51" s="204">
        <f t="shared" si="3"/>
        <v>22</v>
      </c>
    </row>
    <row r="52" spans="2:25" ht="18.75" x14ac:dyDescent="0.3">
      <c r="B52" s="158" t="s">
        <v>0</v>
      </c>
      <c r="C52" s="11"/>
      <c r="D52" s="12"/>
      <c r="L52" s="38">
        <f t="shared" si="7"/>
        <v>45504</v>
      </c>
      <c r="M52" s="245">
        <f t="shared" si="8"/>
        <v>55</v>
      </c>
      <c r="N52" s="246">
        <f t="shared" si="9"/>
        <v>3</v>
      </c>
      <c r="O52" s="204">
        <f t="shared" si="5"/>
        <v>22</v>
      </c>
      <c r="Q52" s="245">
        <f t="shared" si="11"/>
        <v>55</v>
      </c>
      <c r="R52" s="246">
        <f t="shared" si="11"/>
        <v>3</v>
      </c>
      <c r="S52" s="204">
        <f t="shared" si="1"/>
        <v>22</v>
      </c>
      <c r="T52" s="245">
        <f t="shared" si="11"/>
        <v>55</v>
      </c>
      <c r="U52" s="246">
        <f t="shared" si="11"/>
        <v>3</v>
      </c>
      <c r="V52" s="204">
        <f t="shared" si="2"/>
        <v>22</v>
      </c>
      <c r="W52" s="245">
        <f t="shared" si="11"/>
        <v>55</v>
      </c>
      <c r="X52" s="246">
        <f t="shared" si="11"/>
        <v>3</v>
      </c>
      <c r="Y52" s="204">
        <f t="shared" si="3"/>
        <v>22</v>
      </c>
    </row>
    <row r="53" spans="2:25" x14ac:dyDescent="0.25">
      <c r="B53" s="17" t="s">
        <v>2</v>
      </c>
      <c r="C53" s="251">
        <v>1</v>
      </c>
      <c r="D53" s="12" t="s">
        <v>200</v>
      </c>
      <c r="L53" s="38">
        <f t="shared" si="7"/>
        <v>45535</v>
      </c>
      <c r="M53" s="245">
        <f t="shared" si="8"/>
        <v>55</v>
      </c>
      <c r="N53" s="246">
        <f t="shared" si="9"/>
        <v>3</v>
      </c>
      <c r="O53" s="204">
        <f t="shared" si="5"/>
        <v>22</v>
      </c>
      <c r="Q53" s="245">
        <f t="shared" si="11"/>
        <v>55</v>
      </c>
      <c r="R53" s="246">
        <f t="shared" si="11"/>
        <v>3</v>
      </c>
      <c r="S53" s="204">
        <f t="shared" si="1"/>
        <v>22</v>
      </c>
      <c r="T53" s="245">
        <f t="shared" si="11"/>
        <v>55</v>
      </c>
      <c r="U53" s="246">
        <f t="shared" si="11"/>
        <v>3</v>
      </c>
      <c r="V53" s="204">
        <f t="shared" si="2"/>
        <v>22</v>
      </c>
      <c r="W53" s="245">
        <f t="shared" si="11"/>
        <v>55</v>
      </c>
      <c r="X53" s="246">
        <f t="shared" si="11"/>
        <v>3</v>
      </c>
      <c r="Y53" s="204">
        <f t="shared" si="3"/>
        <v>22</v>
      </c>
    </row>
    <row r="54" spans="2:25" x14ac:dyDescent="0.25">
      <c r="B54" s="17" t="s">
        <v>61</v>
      </c>
      <c r="C54" s="252">
        <v>1</v>
      </c>
      <c r="D54" s="12" t="s">
        <v>77</v>
      </c>
      <c r="L54" s="38">
        <f t="shared" si="7"/>
        <v>45565</v>
      </c>
      <c r="M54" s="245">
        <f t="shared" si="8"/>
        <v>55</v>
      </c>
      <c r="N54" s="246">
        <f t="shared" si="9"/>
        <v>3</v>
      </c>
      <c r="O54" s="204">
        <f t="shared" si="5"/>
        <v>22</v>
      </c>
      <c r="Q54" s="245">
        <f t="shared" si="11"/>
        <v>55</v>
      </c>
      <c r="R54" s="246">
        <f t="shared" si="11"/>
        <v>3</v>
      </c>
      <c r="S54" s="204">
        <f t="shared" si="1"/>
        <v>22</v>
      </c>
      <c r="T54" s="245">
        <f t="shared" si="11"/>
        <v>55</v>
      </c>
      <c r="U54" s="246">
        <f t="shared" si="11"/>
        <v>3</v>
      </c>
      <c r="V54" s="204">
        <f t="shared" si="2"/>
        <v>22</v>
      </c>
      <c r="W54" s="245">
        <f t="shared" si="11"/>
        <v>55</v>
      </c>
      <c r="X54" s="246">
        <f t="shared" si="11"/>
        <v>3</v>
      </c>
      <c r="Y54" s="204">
        <f t="shared" si="3"/>
        <v>22</v>
      </c>
    </row>
    <row r="55" spans="2:25" x14ac:dyDescent="0.25">
      <c r="B55" s="17" t="s">
        <v>62</v>
      </c>
      <c r="C55" s="252">
        <v>1</v>
      </c>
      <c r="D55" s="12" t="s">
        <v>78</v>
      </c>
      <c r="L55" s="38">
        <f t="shared" si="7"/>
        <v>45596</v>
      </c>
      <c r="M55" s="245">
        <f t="shared" si="8"/>
        <v>55</v>
      </c>
      <c r="N55" s="246">
        <f t="shared" si="9"/>
        <v>3</v>
      </c>
      <c r="O55" s="204">
        <f t="shared" si="5"/>
        <v>22</v>
      </c>
      <c r="Q55" s="245">
        <f t="shared" si="11"/>
        <v>55</v>
      </c>
      <c r="R55" s="246">
        <f t="shared" si="11"/>
        <v>3</v>
      </c>
      <c r="S55" s="204">
        <f t="shared" si="1"/>
        <v>22</v>
      </c>
      <c r="T55" s="245">
        <f t="shared" si="11"/>
        <v>55</v>
      </c>
      <c r="U55" s="246">
        <f t="shared" si="11"/>
        <v>3</v>
      </c>
      <c r="V55" s="204">
        <f t="shared" si="2"/>
        <v>22</v>
      </c>
      <c r="W55" s="245">
        <f t="shared" si="11"/>
        <v>55</v>
      </c>
      <c r="X55" s="246">
        <f t="shared" si="11"/>
        <v>3</v>
      </c>
      <c r="Y55" s="204">
        <f t="shared" si="3"/>
        <v>22</v>
      </c>
    </row>
    <row r="56" spans="2:25" x14ac:dyDescent="0.25">
      <c r="B56" s="17" t="s">
        <v>3</v>
      </c>
      <c r="C56" s="252">
        <v>1</v>
      </c>
      <c r="D56" s="12" t="s">
        <v>251</v>
      </c>
      <c r="L56" s="38">
        <f t="shared" si="7"/>
        <v>45626</v>
      </c>
      <c r="M56" s="245">
        <f t="shared" si="8"/>
        <v>55</v>
      </c>
      <c r="N56" s="246">
        <f t="shared" si="9"/>
        <v>3</v>
      </c>
      <c r="O56" s="204">
        <f t="shared" si="5"/>
        <v>22</v>
      </c>
      <c r="Q56" s="245">
        <f t="shared" si="11"/>
        <v>55</v>
      </c>
      <c r="R56" s="246">
        <f t="shared" si="11"/>
        <v>3</v>
      </c>
      <c r="S56" s="204">
        <f t="shared" si="1"/>
        <v>22</v>
      </c>
      <c r="T56" s="245">
        <f t="shared" si="11"/>
        <v>55</v>
      </c>
      <c r="U56" s="246">
        <f t="shared" si="11"/>
        <v>3</v>
      </c>
      <c r="V56" s="204">
        <f t="shared" si="2"/>
        <v>22</v>
      </c>
      <c r="W56" s="245">
        <f t="shared" si="11"/>
        <v>55</v>
      </c>
      <c r="X56" s="246">
        <f t="shared" si="11"/>
        <v>3</v>
      </c>
      <c r="Y56" s="204">
        <f t="shared" si="3"/>
        <v>22</v>
      </c>
    </row>
    <row r="57" spans="2:25" x14ac:dyDescent="0.25">
      <c r="B57" s="17" t="s">
        <v>1</v>
      </c>
      <c r="C57" s="252">
        <v>1</v>
      </c>
      <c r="D57" s="12" t="s">
        <v>115</v>
      </c>
      <c r="L57" s="38">
        <f t="shared" si="7"/>
        <v>45657</v>
      </c>
      <c r="M57" s="245">
        <f t="shared" si="8"/>
        <v>55</v>
      </c>
      <c r="N57" s="246">
        <f t="shared" si="9"/>
        <v>3</v>
      </c>
      <c r="O57" s="204">
        <f t="shared" si="5"/>
        <v>22</v>
      </c>
      <c r="Q57" s="245">
        <f t="shared" si="11"/>
        <v>55</v>
      </c>
      <c r="R57" s="246">
        <f t="shared" si="11"/>
        <v>3</v>
      </c>
      <c r="S57" s="204">
        <f t="shared" si="1"/>
        <v>22</v>
      </c>
      <c r="T57" s="245">
        <f t="shared" si="11"/>
        <v>55</v>
      </c>
      <c r="U57" s="246">
        <f t="shared" si="11"/>
        <v>3</v>
      </c>
      <c r="V57" s="204">
        <f t="shared" si="2"/>
        <v>22</v>
      </c>
      <c r="W57" s="245">
        <f t="shared" si="11"/>
        <v>55</v>
      </c>
      <c r="X57" s="246">
        <f t="shared" si="11"/>
        <v>3</v>
      </c>
      <c r="Y57" s="204">
        <f t="shared" si="3"/>
        <v>22</v>
      </c>
    </row>
    <row r="58" spans="2:25" x14ac:dyDescent="0.25">
      <c r="B58" s="10"/>
      <c r="C58" s="11"/>
      <c r="D58" s="12"/>
      <c r="L58" s="38">
        <f t="shared" si="7"/>
        <v>45688</v>
      </c>
      <c r="M58" s="245">
        <f t="shared" si="8"/>
        <v>55</v>
      </c>
      <c r="N58" s="246">
        <f t="shared" si="9"/>
        <v>3</v>
      </c>
      <c r="O58" s="204">
        <f t="shared" si="5"/>
        <v>22</v>
      </c>
      <c r="Q58" s="245">
        <f t="shared" si="11"/>
        <v>55</v>
      </c>
      <c r="R58" s="246">
        <f t="shared" si="11"/>
        <v>3</v>
      </c>
      <c r="S58" s="204">
        <f t="shared" si="1"/>
        <v>22</v>
      </c>
      <c r="T58" s="245">
        <f t="shared" si="11"/>
        <v>55</v>
      </c>
      <c r="U58" s="246">
        <f t="shared" si="11"/>
        <v>3</v>
      </c>
      <c r="V58" s="204">
        <f t="shared" si="2"/>
        <v>22</v>
      </c>
      <c r="W58" s="245">
        <f t="shared" si="11"/>
        <v>55</v>
      </c>
      <c r="X58" s="246">
        <f t="shared" si="11"/>
        <v>3</v>
      </c>
      <c r="Y58" s="204">
        <f t="shared" si="3"/>
        <v>22</v>
      </c>
    </row>
    <row r="59" spans="2:25" x14ac:dyDescent="0.25">
      <c r="L59" s="38">
        <f t="shared" si="7"/>
        <v>45716</v>
      </c>
      <c r="M59" s="245">
        <f t="shared" si="8"/>
        <v>55</v>
      </c>
      <c r="N59" s="246">
        <f t="shared" si="9"/>
        <v>3</v>
      </c>
      <c r="O59" s="204">
        <f t="shared" si="5"/>
        <v>22</v>
      </c>
      <c r="Q59" s="245">
        <f t="shared" ref="Q59:X74" si="12">Q58</f>
        <v>55</v>
      </c>
      <c r="R59" s="246">
        <f t="shared" si="12"/>
        <v>3</v>
      </c>
      <c r="S59" s="204">
        <f t="shared" si="1"/>
        <v>22</v>
      </c>
      <c r="T59" s="245">
        <f t="shared" si="12"/>
        <v>55</v>
      </c>
      <c r="U59" s="246">
        <f t="shared" si="12"/>
        <v>3</v>
      </c>
      <c r="V59" s="204">
        <f t="shared" si="2"/>
        <v>22</v>
      </c>
      <c r="W59" s="245">
        <f t="shared" si="12"/>
        <v>55</v>
      </c>
      <c r="X59" s="246">
        <f t="shared" si="12"/>
        <v>3</v>
      </c>
      <c r="Y59" s="204">
        <f t="shared" si="3"/>
        <v>22</v>
      </c>
    </row>
    <row r="60" spans="2:25" ht="18.75" x14ac:dyDescent="0.25">
      <c r="B60" s="129" t="s">
        <v>116</v>
      </c>
      <c r="C60" s="11"/>
      <c r="D60" s="12"/>
      <c r="L60" s="38">
        <f t="shared" si="7"/>
        <v>45747</v>
      </c>
      <c r="M60" s="245">
        <f t="shared" si="8"/>
        <v>55</v>
      </c>
      <c r="N60" s="246">
        <f t="shared" si="9"/>
        <v>3</v>
      </c>
      <c r="O60" s="204">
        <f t="shared" si="5"/>
        <v>22</v>
      </c>
      <c r="Q60" s="245">
        <f t="shared" si="12"/>
        <v>55</v>
      </c>
      <c r="R60" s="246">
        <f t="shared" si="12"/>
        <v>3</v>
      </c>
      <c r="S60" s="204">
        <f t="shared" si="1"/>
        <v>22</v>
      </c>
      <c r="T60" s="245">
        <f t="shared" si="12"/>
        <v>55</v>
      </c>
      <c r="U60" s="246">
        <f t="shared" si="12"/>
        <v>3</v>
      </c>
      <c r="V60" s="204">
        <f t="shared" si="2"/>
        <v>22</v>
      </c>
      <c r="W60" s="245">
        <f t="shared" si="12"/>
        <v>55</v>
      </c>
      <c r="X60" s="246">
        <f t="shared" si="12"/>
        <v>3</v>
      </c>
      <c r="Y60" s="204">
        <f t="shared" si="3"/>
        <v>22</v>
      </c>
    </row>
    <row r="61" spans="2:25" x14ac:dyDescent="0.25">
      <c r="B61" s="6"/>
      <c r="C61" s="86" t="s">
        <v>117</v>
      </c>
      <c r="D61" s="12"/>
      <c r="L61" s="38">
        <f t="shared" si="7"/>
        <v>45777</v>
      </c>
      <c r="M61" s="245">
        <f t="shared" si="8"/>
        <v>55</v>
      </c>
      <c r="N61" s="246">
        <f t="shared" si="9"/>
        <v>3</v>
      </c>
      <c r="O61" s="204">
        <f t="shared" si="5"/>
        <v>22</v>
      </c>
      <c r="Q61" s="245">
        <f t="shared" si="12"/>
        <v>55</v>
      </c>
      <c r="R61" s="246">
        <f t="shared" si="12"/>
        <v>3</v>
      </c>
      <c r="S61" s="204">
        <f t="shared" si="1"/>
        <v>22</v>
      </c>
      <c r="T61" s="245">
        <f t="shared" si="12"/>
        <v>55</v>
      </c>
      <c r="U61" s="246">
        <f t="shared" si="12"/>
        <v>3</v>
      </c>
      <c r="V61" s="204">
        <f t="shared" si="2"/>
        <v>22</v>
      </c>
      <c r="W61" s="245">
        <f t="shared" si="12"/>
        <v>55</v>
      </c>
      <c r="X61" s="246">
        <f t="shared" si="12"/>
        <v>3</v>
      </c>
      <c r="Y61" s="204">
        <f t="shared" si="3"/>
        <v>22</v>
      </c>
    </row>
    <row r="62" spans="2:25" x14ac:dyDescent="0.25">
      <c r="B62" s="77" t="s">
        <v>60</v>
      </c>
      <c r="C62" s="253">
        <v>0.75</v>
      </c>
      <c r="D62" s="254">
        <v>0.75</v>
      </c>
      <c r="E62" s="254">
        <v>0.75</v>
      </c>
      <c r="L62" s="38">
        <f t="shared" si="7"/>
        <v>45808</v>
      </c>
      <c r="M62" s="245">
        <f t="shared" si="8"/>
        <v>55</v>
      </c>
      <c r="N62" s="246">
        <f t="shared" si="9"/>
        <v>3</v>
      </c>
      <c r="O62" s="204">
        <f t="shared" si="5"/>
        <v>22</v>
      </c>
      <c r="Q62" s="245">
        <f t="shared" si="12"/>
        <v>55</v>
      </c>
      <c r="R62" s="246">
        <f t="shared" si="12"/>
        <v>3</v>
      </c>
      <c r="S62" s="204">
        <f t="shared" si="1"/>
        <v>22</v>
      </c>
      <c r="T62" s="245">
        <f t="shared" si="12"/>
        <v>55</v>
      </c>
      <c r="U62" s="246">
        <f t="shared" si="12"/>
        <v>3</v>
      </c>
      <c r="V62" s="204">
        <f t="shared" si="2"/>
        <v>22</v>
      </c>
      <c r="W62" s="245">
        <f t="shared" si="12"/>
        <v>55</v>
      </c>
      <c r="X62" s="246">
        <f t="shared" si="12"/>
        <v>3</v>
      </c>
      <c r="Y62" s="204">
        <f t="shared" si="3"/>
        <v>22</v>
      </c>
    </row>
    <row r="63" spans="2:25" x14ac:dyDescent="0.25">
      <c r="B63" s="77" t="s">
        <v>9</v>
      </c>
      <c r="C63" s="218">
        <f>C18</f>
        <v>1</v>
      </c>
      <c r="D63" s="225">
        <f>D18</f>
        <v>1</v>
      </c>
      <c r="E63" s="226">
        <f>E18</f>
        <v>0</v>
      </c>
      <c r="L63" s="38">
        <f t="shared" si="7"/>
        <v>45838</v>
      </c>
      <c r="M63" s="245">
        <f t="shared" si="8"/>
        <v>55</v>
      </c>
      <c r="N63" s="246">
        <f t="shared" si="9"/>
        <v>3</v>
      </c>
      <c r="O63" s="204">
        <f t="shared" si="5"/>
        <v>22</v>
      </c>
      <c r="Q63" s="245">
        <f t="shared" si="12"/>
        <v>55</v>
      </c>
      <c r="R63" s="246">
        <f t="shared" si="12"/>
        <v>3</v>
      </c>
      <c r="S63" s="204">
        <f t="shared" si="1"/>
        <v>22</v>
      </c>
      <c r="T63" s="245">
        <f t="shared" si="12"/>
        <v>55</v>
      </c>
      <c r="U63" s="246">
        <f t="shared" si="12"/>
        <v>3</v>
      </c>
      <c r="V63" s="204">
        <f t="shared" si="2"/>
        <v>22</v>
      </c>
      <c r="W63" s="245">
        <f t="shared" si="12"/>
        <v>55</v>
      </c>
      <c r="X63" s="246">
        <f t="shared" si="12"/>
        <v>3</v>
      </c>
      <c r="Y63" s="204">
        <f t="shared" si="3"/>
        <v>22</v>
      </c>
    </row>
    <row r="64" spans="2:25" x14ac:dyDescent="0.25">
      <c r="B64" s="77" t="s">
        <v>59</v>
      </c>
      <c r="C64" s="255">
        <f t="shared" ref="C64:D64" si="13">(1-(EXP((1-((1-C62)^(-MAX(C63,0.001))))/MAX(C63,0.001))))</f>
        <v>0.95021293163213605</v>
      </c>
      <c r="D64" s="256">
        <f t="shared" si="13"/>
        <v>0.95021293163213605</v>
      </c>
      <c r="E64" s="256">
        <f>(1-(EXP((1-((1-E62)^(-MAX(E63,0.001))))/MAX(E63,0.001))))</f>
        <v>0.75024022206640339</v>
      </c>
      <c r="L64" s="38">
        <f t="shared" si="7"/>
        <v>45869</v>
      </c>
      <c r="M64" s="245">
        <f t="shared" si="8"/>
        <v>55</v>
      </c>
      <c r="N64" s="246">
        <f t="shared" si="9"/>
        <v>3</v>
      </c>
      <c r="O64" s="204">
        <f t="shared" si="5"/>
        <v>22</v>
      </c>
      <c r="Q64" s="245">
        <f t="shared" si="12"/>
        <v>55</v>
      </c>
      <c r="R64" s="246">
        <f t="shared" si="12"/>
        <v>3</v>
      </c>
      <c r="S64" s="204">
        <f t="shared" si="1"/>
        <v>22</v>
      </c>
      <c r="T64" s="245">
        <f t="shared" si="12"/>
        <v>55</v>
      </c>
      <c r="U64" s="246">
        <f t="shared" si="12"/>
        <v>3</v>
      </c>
      <c r="V64" s="204">
        <f t="shared" si="2"/>
        <v>22</v>
      </c>
      <c r="W64" s="245">
        <f t="shared" si="12"/>
        <v>55</v>
      </c>
      <c r="X64" s="246">
        <f t="shared" si="12"/>
        <v>3</v>
      </c>
      <c r="Y64" s="204">
        <f t="shared" si="3"/>
        <v>22</v>
      </c>
    </row>
    <row r="65" spans="1:25" x14ac:dyDescent="0.25">
      <c r="B65" s="77"/>
      <c r="C65" s="37"/>
      <c r="D65" s="37"/>
      <c r="E65" s="37"/>
      <c r="L65" s="38">
        <f t="shared" si="7"/>
        <v>45900</v>
      </c>
      <c r="M65" s="245">
        <f t="shared" si="8"/>
        <v>55</v>
      </c>
      <c r="N65" s="246">
        <f t="shared" si="9"/>
        <v>3</v>
      </c>
      <c r="O65" s="204">
        <f t="shared" si="5"/>
        <v>22</v>
      </c>
      <c r="Q65" s="245">
        <f t="shared" si="12"/>
        <v>55</v>
      </c>
      <c r="R65" s="246">
        <f t="shared" si="12"/>
        <v>3</v>
      </c>
      <c r="S65" s="204">
        <f t="shared" si="1"/>
        <v>22</v>
      </c>
      <c r="T65" s="245">
        <f t="shared" si="12"/>
        <v>55</v>
      </c>
      <c r="U65" s="246">
        <f t="shared" si="12"/>
        <v>3</v>
      </c>
      <c r="V65" s="204">
        <f t="shared" si="2"/>
        <v>22</v>
      </c>
      <c r="W65" s="245">
        <f t="shared" si="12"/>
        <v>55</v>
      </c>
      <c r="X65" s="246">
        <f t="shared" si="12"/>
        <v>3</v>
      </c>
      <c r="Y65" s="204">
        <f t="shared" si="3"/>
        <v>22</v>
      </c>
    </row>
    <row r="66" spans="1:25" x14ac:dyDescent="0.25">
      <c r="B66" s="6"/>
      <c r="C66" s="86" t="s">
        <v>75</v>
      </c>
      <c r="D66" s="12"/>
      <c r="L66" s="38">
        <f t="shared" si="7"/>
        <v>45930</v>
      </c>
      <c r="M66" s="245">
        <f t="shared" si="8"/>
        <v>55</v>
      </c>
      <c r="N66" s="246">
        <f t="shared" si="9"/>
        <v>3</v>
      </c>
      <c r="O66" s="204">
        <f t="shared" si="5"/>
        <v>22</v>
      </c>
      <c r="Q66" s="245">
        <f t="shared" si="12"/>
        <v>55</v>
      </c>
      <c r="R66" s="246">
        <f t="shared" si="12"/>
        <v>3</v>
      </c>
      <c r="S66" s="204">
        <f t="shared" si="1"/>
        <v>22</v>
      </c>
      <c r="T66" s="245">
        <f t="shared" si="12"/>
        <v>55</v>
      </c>
      <c r="U66" s="246">
        <f t="shared" si="12"/>
        <v>3</v>
      </c>
      <c r="V66" s="204">
        <f t="shared" si="2"/>
        <v>22</v>
      </c>
      <c r="W66" s="245">
        <f t="shared" si="12"/>
        <v>55</v>
      </c>
      <c r="X66" s="246">
        <f t="shared" si="12"/>
        <v>3</v>
      </c>
      <c r="Y66" s="204">
        <f t="shared" si="3"/>
        <v>22</v>
      </c>
    </row>
    <row r="67" spans="1:25" x14ac:dyDescent="0.25">
      <c r="B67" s="17" t="s">
        <v>101</v>
      </c>
      <c r="C67" s="257">
        <v>3</v>
      </c>
      <c r="D67" s="156" t="s">
        <v>76</v>
      </c>
      <c r="E67" s="157" t="str">
        <f>TEXT(C67*1000/42,"###")&amp;"  bbl/MMcf"</f>
        <v>71  bbl/MMcf</v>
      </c>
      <c r="F67" s="10"/>
      <c r="L67" s="38">
        <f t="shared" si="7"/>
        <v>45961</v>
      </c>
      <c r="M67" s="245">
        <f t="shared" si="8"/>
        <v>55</v>
      </c>
      <c r="N67" s="246">
        <f t="shared" si="9"/>
        <v>3</v>
      </c>
      <c r="O67" s="204">
        <f t="shared" si="5"/>
        <v>22</v>
      </c>
      <c r="Q67" s="245">
        <f t="shared" si="12"/>
        <v>55</v>
      </c>
      <c r="R67" s="246">
        <f t="shared" si="12"/>
        <v>3</v>
      </c>
      <c r="S67" s="204">
        <f t="shared" si="1"/>
        <v>22</v>
      </c>
      <c r="T67" s="245">
        <f t="shared" si="12"/>
        <v>55</v>
      </c>
      <c r="U67" s="246">
        <f t="shared" si="12"/>
        <v>3</v>
      </c>
      <c r="V67" s="204">
        <f t="shared" si="2"/>
        <v>22</v>
      </c>
      <c r="W67" s="245">
        <f t="shared" si="12"/>
        <v>55</v>
      </c>
      <c r="X67" s="246">
        <f t="shared" si="12"/>
        <v>3</v>
      </c>
      <c r="Y67" s="204">
        <f t="shared" si="3"/>
        <v>22</v>
      </c>
    </row>
    <row r="68" spans="1:25" x14ac:dyDescent="0.25">
      <c r="L68" s="38">
        <f t="shared" si="7"/>
        <v>45991</v>
      </c>
      <c r="M68" s="245">
        <f t="shared" si="8"/>
        <v>55</v>
      </c>
      <c r="N68" s="246">
        <f t="shared" si="9"/>
        <v>3</v>
      </c>
      <c r="O68" s="204">
        <f t="shared" si="5"/>
        <v>22</v>
      </c>
      <c r="Q68" s="245">
        <f t="shared" si="12"/>
        <v>55</v>
      </c>
      <c r="R68" s="246">
        <f t="shared" si="12"/>
        <v>3</v>
      </c>
      <c r="S68" s="204">
        <f t="shared" si="1"/>
        <v>22</v>
      </c>
      <c r="T68" s="245">
        <f t="shared" si="12"/>
        <v>55</v>
      </c>
      <c r="U68" s="246">
        <f t="shared" si="12"/>
        <v>3</v>
      </c>
      <c r="V68" s="204">
        <f t="shared" si="2"/>
        <v>22</v>
      </c>
      <c r="W68" s="245">
        <f t="shared" si="12"/>
        <v>55</v>
      </c>
      <c r="X68" s="246">
        <f t="shared" si="12"/>
        <v>3</v>
      </c>
      <c r="Y68" s="204">
        <f t="shared" si="3"/>
        <v>22</v>
      </c>
    </row>
    <row r="69" spans="1:25" x14ac:dyDescent="0.25">
      <c r="B69" s="6"/>
      <c r="C69" s="86" t="s">
        <v>105</v>
      </c>
      <c r="D69" s="12"/>
      <c r="L69" s="38">
        <f t="shared" si="7"/>
        <v>46022</v>
      </c>
      <c r="M69" s="245">
        <f t="shared" si="8"/>
        <v>55</v>
      </c>
      <c r="N69" s="246">
        <f t="shared" si="9"/>
        <v>3</v>
      </c>
      <c r="O69" s="204">
        <f t="shared" si="5"/>
        <v>22</v>
      </c>
      <c r="Q69" s="245">
        <f t="shared" si="12"/>
        <v>55</v>
      </c>
      <c r="R69" s="246">
        <f t="shared" si="12"/>
        <v>3</v>
      </c>
      <c r="S69" s="204">
        <f t="shared" si="1"/>
        <v>22</v>
      </c>
      <c r="T69" s="245">
        <f t="shared" si="12"/>
        <v>55</v>
      </c>
      <c r="U69" s="246">
        <f t="shared" si="12"/>
        <v>3</v>
      </c>
      <c r="V69" s="204">
        <f t="shared" si="2"/>
        <v>22</v>
      </c>
      <c r="W69" s="245">
        <f t="shared" si="12"/>
        <v>55</v>
      </c>
      <c r="X69" s="246">
        <f t="shared" si="12"/>
        <v>3</v>
      </c>
      <c r="Y69" s="204">
        <f t="shared" si="3"/>
        <v>22</v>
      </c>
    </row>
    <row r="70" spans="1:25" x14ac:dyDescent="0.25">
      <c r="B70" s="17" t="s">
        <v>11</v>
      </c>
      <c r="C70" s="215">
        <f>'historical production'!B6</f>
        <v>43466</v>
      </c>
      <c r="D70" s="154">
        <f t="shared" ref="D70:D71" si="14">C70</f>
        <v>43466</v>
      </c>
      <c r="L70" s="38">
        <f t="shared" si="7"/>
        <v>46053</v>
      </c>
      <c r="M70" s="245">
        <f t="shared" si="8"/>
        <v>55</v>
      </c>
      <c r="N70" s="246">
        <f t="shared" si="9"/>
        <v>3</v>
      </c>
      <c r="O70" s="204">
        <f t="shared" si="5"/>
        <v>22</v>
      </c>
      <c r="Q70" s="245">
        <f t="shared" si="12"/>
        <v>55</v>
      </c>
      <c r="R70" s="246">
        <f t="shared" si="12"/>
        <v>3</v>
      </c>
      <c r="S70" s="204">
        <f t="shared" si="1"/>
        <v>22</v>
      </c>
      <c r="T70" s="245">
        <f t="shared" si="12"/>
        <v>55</v>
      </c>
      <c r="U70" s="246">
        <f t="shared" si="12"/>
        <v>3</v>
      </c>
      <c r="V70" s="204">
        <f t="shared" si="2"/>
        <v>22</v>
      </c>
      <c r="W70" s="245">
        <f t="shared" si="12"/>
        <v>55</v>
      </c>
      <c r="X70" s="246">
        <f t="shared" si="12"/>
        <v>3</v>
      </c>
      <c r="Y70" s="204">
        <f t="shared" si="3"/>
        <v>22</v>
      </c>
    </row>
    <row r="71" spans="1:25" x14ac:dyDescent="0.25">
      <c r="B71" s="77" t="s">
        <v>106</v>
      </c>
      <c r="C71" s="258">
        <f>EOMONTH(C70,240)</f>
        <v>50801</v>
      </c>
      <c r="D71" s="155">
        <f t="shared" si="14"/>
        <v>50801</v>
      </c>
      <c r="L71" s="38">
        <f t="shared" si="7"/>
        <v>46081</v>
      </c>
      <c r="M71" s="245">
        <f t="shared" si="8"/>
        <v>55</v>
      </c>
      <c r="N71" s="246">
        <f t="shared" si="9"/>
        <v>3</v>
      </c>
      <c r="O71" s="204">
        <f t="shared" si="5"/>
        <v>22</v>
      </c>
      <c r="Q71" s="245">
        <f t="shared" si="12"/>
        <v>55</v>
      </c>
      <c r="R71" s="246">
        <f t="shared" si="12"/>
        <v>3</v>
      </c>
      <c r="S71" s="204">
        <f t="shared" si="1"/>
        <v>22</v>
      </c>
      <c r="T71" s="245">
        <f t="shared" si="12"/>
        <v>55</v>
      </c>
      <c r="U71" s="246">
        <f t="shared" si="12"/>
        <v>3</v>
      </c>
      <c r="V71" s="204">
        <f t="shared" si="2"/>
        <v>22</v>
      </c>
      <c r="W71" s="245">
        <f t="shared" si="12"/>
        <v>55</v>
      </c>
      <c r="X71" s="246">
        <f t="shared" si="12"/>
        <v>3</v>
      </c>
      <c r="Y71" s="204">
        <f t="shared" si="3"/>
        <v>22</v>
      </c>
    </row>
    <row r="72" spans="1:25" x14ac:dyDescent="0.25">
      <c r="B72" s="10"/>
      <c r="C72" s="11"/>
      <c r="D72" s="12"/>
      <c r="L72" s="38">
        <f t="shared" si="7"/>
        <v>46112</v>
      </c>
      <c r="M72" s="245">
        <f t="shared" si="8"/>
        <v>55</v>
      </c>
      <c r="N72" s="246">
        <f t="shared" si="9"/>
        <v>3</v>
      </c>
      <c r="O72" s="204">
        <f t="shared" si="5"/>
        <v>22</v>
      </c>
      <c r="Q72" s="245">
        <f t="shared" si="12"/>
        <v>55</v>
      </c>
      <c r="R72" s="246">
        <f t="shared" si="12"/>
        <v>3</v>
      </c>
      <c r="S72" s="204">
        <f t="shared" si="1"/>
        <v>22</v>
      </c>
      <c r="T72" s="245">
        <f t="shared" si="12"/>
        <v>55</v>
      </c>
      <c r="U72" s="246">
        <f t="shared" si="12"/>
        <v>3</v>
      </c>
      <c r="V72" s="204">
        <f t="shared" si="2"/>
        <v>22</v>
      </c>
      <c r="W72" s="245">
        <f t="shared" si="12"/>
        <v>55</v>
      </c>
      <c r="X72" s="246">
        <f t="shared" si="12"/>
        <v>3</v>
      </c>
      <c r="Y72" s="204">
        <f t="shared" si="3"/>
        <v>22</v>
      </c>
    </row>
    <row r="73" spans="1:25" x14ac:dyDescent="0.25">
      <c r="B73" s="10"/>
      <c r="C73" s="11"/>
      <c r="D73" s="12"/>
      <c r="L73" s="38">
        <f t="shared" si="7"/>
        <v>46142</v>
      </c>
      <c r="M73" s="245">
        <f t="shared" si="8"/>
        <v>55</v>
      </c>
      <c r="N73" s="246">
        <f t="shared" si="9"/>
        <v>3</v>
      </c>
      <c r="O73" s="204">
        <f t="shared" si="5"/>
        <v>22</v>
      </c>
      <c r="Q73" s="245">
        <f t="shared" si="12"/>
        <v>55</v>
      </c>
      <c r="R73" s="246">
        <f t="shared" si="12"/>
        <v>3</v>
      </c>
      <c r="S73" s="204">
        <f t="shared" si="1"/>
        <v>22</v>
      </c>
      <c r="T73" s="245">
        <f t="shared" si="12"/>
        <v>55</v>
      </c>
      <c r="U73" s="246">
        <f t="shared" si="12"/>
        <v>3</v>
      </c>
      <c r="V73" s="204">
        <f t="shared" si="2"/>
        <v>22</v>
      </c>
      <c r="W73" s="245">
        <f t="shared" si="12"/>
        <v>55</v>
      </c>
      <c r="X73" s="246">
        <f t="shared" si="12"/>
        <v>3</v>
      </c>
      <c r="Y73" s="204">
        <f t="shared" si="3"/>
        <v>22</v>
      </c>
    </row>
    <row r="74" spans="1:25" x14ac:dyDescent="0.25">
      <c r="B74" s="10"/>
      <c r="C74" s="11"/>
      <c r="D74" s="12"/>
      <c r="L74" s="38">
        <f t="shared" si="7"/>
        <v>46173</v>
      </c>
      <c r="M74" s="245">
        <f t="shared" si="8"/>
        <v>55</v>
      </c>
      <c r="N74" s="246">
        <f t="shared" si="9"/>
        <v>3</v>
      </c>
      <c r="O74" s="204">
        <f t="shared" si="5"/>
        <v>22</v>
      </c>
      <c r="Q74" s="245">
        <f t="shared" si="12"/>
        <v>55</v>
      </c>
      <c r="R74" s="246">
        <f t="shared" si="12"/>
        <v>3</v>
      </c>
      <c r="S74" s="204">
        <f t="shared" ref="S74:S137" si="15">(1+pdiff_ngl)*Q74</f>
        <v>22</v>
      </c>
      <c r="T74" s="245">
        <f t="shared" si="12"/>
        <v>55</v>
      </c>
      <c r="U74" s="246">
        <f t="shared" si="12"/>
        <v>3</v>
      </c>
      <c r="V74" s="204">
        <f t="shared" ref="V74:V137" si="16">(1+pdiff_ngl)*T74</f>
        <v>22</v>
      </c>
      <c r="W74" s="245">
        <f t="shared" si="12"/>
        <v>55</v>
      </c>
      <c r="X74" s="246">
        <f t="shared" si="12"/>
        <v>3</v>
      </c>
      <c r="Y74" s="204">
        <f t="shared" ref="Y74:Y137" si="17">(1+pdiff_ngl)*W74</f>
        <v>22</v>
      </c>
    </row>
    <row r="75" spans="1:25" x14ac:dyDescent="0.25">
      <c r="A75" s="173" t="s">
        <v>18</v>
      </c>
      <c r="B75" s="10"/>
      <c r="C75" s="11"/>
      <c r="D75" s="12"/>
      <c r="L75" s="38">
        <f t="shared" si="7"/>
        <v>46203</v>
      </c>
      <c r="M75" s="245">
        <f t="shared" si="8"/>
        <v>55</v>
      </c>
      <c r="N75" s="246">
        <f t="shared" si="9"/>
        <v>3</v>
      </c>
      <c r="O75" s="204">
        <f t="shared" ref="O75:O138" si="18">(1+pdiff_ngl)*mult_oilprice*M75</f>
        <v>22</v>
      </c>
      <c r="Q75" s="245">
        <f t="shared" ref="Q75:X90" si="19">Q74</f>
        <v>55</v>
      </c>
      <c r="R75" s="246">
        <f t="shared" si="19"/>
        <v>3</v>
      </c>
      <c r="S75" s="204">
        <f t="shared" si="15"/>
        <v>22</v>
      </c>
      <c r="T75" s="245">
        <f t="shared" si="19"/>
        <v>55</v>
      </c>
      <c r="U75" s="246">
        <f t="shared" si="19"/>
        <v>3</v>
      </c>
      <c r="V75" s="204">
        <f t="shared" si="16"/>
        <v>22</v>
      </c>
      <c r="W75" s="245">
        <f t="shared" si="19"/>
        <v>55</v>
      </c>
      <c r="X75" s="246">
        <f t="shared" si="19"/>
        <v>3</v>
      </c>
      <c r="Y75" s="204">
        <f t="shared" si="17"/>
        <v>22</v>
      </c>
    </row>
    <row r="76" spans="1:25" x14ac:dyDescent="0.25">
      <c r="B76" s="10"/>
      <c r="C76" s="11"/>
      <c r="D76" s="12"/>
      <c r="L76" s="38">
        <f t="shared" ref="L76:L139" si="20">EOMONTH(L75,1)</f>
        <v>46234</v>
      </c>
      <c r="M76" s="245">
        <f t="shared" ref="M76:M139" si="21">M75</f>
        <v>55</v>
      </c>
      <c r="N76" s="246">
        <f t="shared" ref="N76:N139" si="22">N75</f>
        <v>3</v>
      </c>
      <c r="O76" s="204">
        <f t="shared" si="18"/>
        <v>22</v>
      </c>
      <c r="Q76" s="245">
        <f t="shared" si="19"/>
        <v>55</v>
      </c>
      <c r="R76" s="246">
        <f t="shared" si="19"/>
        <v>3</v>
      </c>
      <c r="S76" s="204">
        <f t="shared" si="15"/>
        <v>22</v>
      </c>
      <c r="T76" s="245">
        <f t="shared" si="19"/>
        <v>55</v>
      </c>
      <c r="U76" s="246">
        <f t="shared" si="19"/>
        <v>3</v>
      </c>
      <c r="V76" s="204">
        <f t="shared" si="16"/>
        <v>22</v>
      </c>
      <c r="W76" s="245">
        <f t="shared" si="19"/>
        <v>55</v>
      </c>
      <c r="X76" s="246">
        <f t="shared" si="19"/>
        <v>3</v>
      </c>
      <c r="Y76" s="204">
        <f t="shared" si="17"/>
        <v>22</v>
      </c>
    </row>
    <row r="77" spans="1:25" x14ac:dyDescent="0.25">
      <c r="B77" s="10"/>
      <c r="C77" s="11"/>
      <c r="D77" s="12"/>
      <c r="L77" s="38">
        <f t="shared" si="20"/>
        <v>46265</v>
      </c>
      <c r="M77" s="245">
        <f t="shared" si="21"/>
        <v>55</v>
      </c>
      <c r="N77" s="246">
        <f t="shared" si="22"/>
        <v>3</v>
      </c>
      <c r="O77" s="204">
        <f t="shared" si="18"/>
        <v>22</v>
      </c>
      <c r="Q77" s="245">
        <f t="shared" si="19"/>
        <v>55</v>
      </c>
      <c r="R77" s="246">
        <f t="shared" si="19"/>
        <v>3</v>
      </c>
      <c r="S77" s="204">
        <f t="shared" si="15"/>
        <v>22</v>
      </c>
      <c r="T77" s="245">
        <f t="shared" si="19"/>
        <v>55</v>
      </c>
      <c r="U77" s="246">
        <f t="shared" si="19"/>
        <v>3</v>
      </c>
      <c r="V77" s="204">
        <f t="shared" si="16"/>
        <v>22</v>
      </c>
      <c r="W77" s="245">
        <f t="shared" si="19"/>
        <v>55</v>
      </c>
      <c r="X77" s="246">
        <f t="shared" si="19"/>
        <v>3</v>
      </c>
      <c r="Y77" s="204">
        <f t="shared" si="17"/>
        <v>22</v>
      </c>
    </row>
    <row r="78" spans="1:25" x14ac:dyDescent="0.25">
      <c r="B78" s="10"/>
      <c r="C78" s="11"/>
      <c r="D78" s="12"/>
      <c r="L78" s="38">
        <f t="shared" si="20"/>
        <v>46295</v>
      </c>
      <c r="M78" s="245">
        <f t="shared" si="21"/>
        <v>55</v>
      </c>
      <c r="N78" s="246">
        <f t="shared" si="22"/>
        <v>3</v>
      </c>
      <c r="O78" s="204">
        <f t="shared" si="18"/>
        <v>22</v>
      </c>
      <c r="Q78" s="245">
        <f t="shared" si="19"/>
        <v>55</v>
      </c>
      <c r="R78" s="246">
        <f t="shared" si="19"/>
        <v>3</v>
      </c>
      <c r="S78" s="204">
        <f t="shared" si="15"/>
        <v>22</v>
      </c>
      <c r="T78" s="245">
        <f t="shared" si="19"/>
        <v>55</v>
      </c>
      <c r="U78" s="246">
        <f t="shared" si="19"/>
        <v>3</v>
      </c>
      <c r="V78" s="204">
        <f t="shared" si="16"/>
        <v>22</v>
      </c>
      <c r="W78" s="245">
        <f t="shared" si="19"/>
        <v>55</v>
      </c>
      <c r="X78" s="246">
        <f t="shared" si="19"/>
        <v>3</v>
      </c>
      <c r="Y78" s="204">
        <f t="shared" si="17"/>
        <v>22</v>
      </c>
    </row>
    <row r="79" spans="1:25" x14ac:dyDescent="0.25">
      <c r="B79" s="10"/>
      <c r="C79" s="11"/>
      <c r="D79" s="12"/>
      <c r="L79" s="38">
        <f t="shared" si="20"/>
        <v>46326</v>
      </c>
      <c r="M79" s="245">
        <f t="shared" si="21"/>
        <v>55</v>
      </c>
      <c r="N79" s="246">
        <f t="shared" si="22"/>
        <v>3</v>
      </c>
      <c r="O79" s="204">
        <f t="shared" si="18"/>
        <v>22</v>
      </c>
      <c r="Q79" s="245">
        <f t="shared" si="19"/>
        <v>55</v>
      </c>
      <c r="R79" s="246">
        <f t="shared" si="19"/>
        <v>3</v>
      </c>
      <c r="S79" s="204">
        <f t="shared" si="15"/>
        <v>22</v>
      </c>
      <c r="T79" s="245">
        <f t="shared" si="19"/>
        <v>55</v>
      </c>
      <c r="U79" s="246">
        <f t="shared" si="19"/>
        <v>3</v>
      </c>
      <c r="V79" s="204">
        <f t="shared" si="16"/>
        <v>22</v>
      </c>
      <c r="W79" s="245">
        <f t="shared" si="19"/>
        <v>55</v>
      </c>
      <c r="X79" s="246">
        <f t="shared" si="19"/>
        <v>3</v>
      </c>
      <c r="Y79" s="204">
        <f t="shared" si="17"/>
        <v>22</v>
      </c>
    </row>
    <row r="80" spans="1:25" x14ac:dyDescent="0.25">
      <c r="L80" s="38">
        <f t="shared" si="20"/>
        <v>46356</v>
      </c>
      <c r="M80" s="245">
        <f t="shared" si="21"/>
        <v>55</v>
      </c>
      <c r="N80" s="246">
        <f t="shared" si="22"/>
        <v>3</v>
      </c>
      <c r="O80" s="204">
        <f t="shared" si="18"/>
        <v>22</v>
      </c>
      <c r="Q80" s="245">
        <f t="shared" si="19"/>
        <v>55</v>
      </c>
      <c r="R80" s="246">
        <f t="shared" si="19"/>
        <v>3</v>
      </c>
      <c r="S80" s="204">
        <f t="shared" si="15"/>
        <v>22</v>
      </c>
      <c r="T80" s="245">
        <f t="shared" si="19"/>
        <v>55</v>
      </c>
      <c r="U80" s="246">
        <f t="shared" si="19"/>
        <v>3</v>
      </c>
      <c r="V80" s="204">
        <f t="shared" si="16"/>
        <v>22</v>
      </c>
      <c r="W80" s="245">
        <f t="shared" si="19"/>
        <v>55</v>
      </c>
      <c r="X80" s="246">
        <f t="shared" si="19"/>
        <v>3</v>
      </c>
      <c r="Y80" s="204">
        <f t="shared" si="17"/>
        <v>22</v>
      </c>
    </row>
    <row r="81" spans="12:25" x14ac:dyDescent="0.25">
      <c r="L81" s="38">
        <f t="shared" si="20"/>
        <v>46387</v>
      </c>
      <c r="M81" s="245">
        <f t="shared" si="21"/>
        <v>55</v>
      </c>
      <c r="N81" s="246">
        <f t="shared" si="22"/>
        <v>3</v>
      </c>
      <c r="O81" s="204">
        <f t="shared" si="18"/>
        <v>22</v>
      </c>
      <c r="Q81" s="245">
        <f t="shared" si="19"/>
        <v>55</v>
      </c>
      <c r="R81" s="246">
        <f t="shared" si="19"/>
        <v>3</v>
      </c>
      <c r="S81" s="204">
        <f t="shared" si="15"/>
        <v>22</v>
      </c>
      <c r="T81" s="245">
        <f t="shared" si="19"/>
        <v>55</v>
      </c>
      <c r="U81" s="246">
        <f t="shared" si="19"/>
        <v>3</v>
      </c>
      <c r="V81" s="204">
        <f t="shared" si="16"/>
        <v>22</v>
      </c>
      <c r="W81" s="245">
        <f t="shared" si="19"/>
        <v>55</v>
      </c>
      <c r="X81" s="246">
        <f t="shared" si="19"/>
        <v>3</v>
      </c>
      <c r="Y81" s="204">
        <f t="shared" si="17"/>
        <v>22</v>
      </c>
    </row>
    <row r="82" spans="12:25" x14ac:dyDescent="0.25">
      <c r="L82" s="38">
        <f t="shared" si="20"/>
        <v>46418</v>
      </c>
      <c r="M82" s="245">
        <f t="shared" si="21"/>
        <v>55</v>
      </c>
      <c r="N82" s="246">
        <f t="shared" si="22"/>
        <v>3</v>
      </c>
      <c r="O82" s="204">
        <f t="shared" si="18"/>
        <v>22</v>
      </c>
      <c r="Q82" s="245">
        <f t="shared" si="19"/>
        <v>55</v>
      </c>
      <c r="R82" s="246">
        <f t="shared" si="19"/>
        <v>3</v>
      </c>
      <c r="S82" s="204">
        <f t="shared" si="15"/>
        <v>22</v>
      </c>
      <c r="T82" s="245">
        <f t="shared" si="19"/>
        <v>55</v>
      </c>
      <c r="U82" s="246">
        <f t="shared" si="19"/>
        <v>3</v>
      </c>
      <c r="V82" s="204">
        <f t="shared" si="16"/>
        <v>22</v>
      </c>
      <c r="W82" s="245">
        <f t="shared" si="19"/>
        <v>55</v>
      </c>
      <c r="X82" s="246">
        <f t="shared" si="19"/>
        <v>3</v>
      </c>
      <c r="Y82" s="204">
        <f t="shared" si="17"/>
        <v>22</v>
      </c>
    </row>
    <row r="83" spans="12:25" x14ac:dyDescent="0.25">
      <c r="L83" s="38">
        <f t="shared" si="20"/>
        <v>46446</v>
      </c>
      <c r="M83" s="245">
        <f t="shared" si="21"/>
        <v>55</v>
      </c>
      <c r="N83" s="246">
        <f t="shared" si="22"/>
        <v>3</v>
      </c>
      <c r="O83" s="204">
        <f t="shared" si="18"/>
        <v>22</v>
      </c>
      <c r="Q83" s="245">
        <f t="shared" si="19"/>
        <v>55</v>
      </c>
      <c r="R83" s="246">
        <f t="shared" si="19"/>
        <v>3</v>
      </c>
      <c r="S83" s="204">
        <f t="shared" si="15"/>
        <v>22</v>
      </c>
      <c r="T83" s="245">
        <f t="shared" si="19"/>
        <v>55</v>
      </c>
      <c r="U83" s="246">
        <f t="shared" si="19"/>
        <v>3</v>
      </c>
      <c r="V83" s="204">
        <f t="shared" si="16"/>
        <v>22</v>
      </c>
      <c r="W83" s="245">
        <f t="shared" si="19"/>
        <v>55</v>
      </c>
      <c r="X83" s="246">
        <f t="shared" si="19"/>
        <v>3</v>
      </c>
      <c r="Y83" s="204">
        <f t="shared" si="17"/>
        <v>22</v>
      </c>
    </row>
    <row r="84" spans="12:25" x14ac:dyDescent="0.25">
      <c r="L84" s="38">
        <f t="shared" si="20"/>
        <v>46477</v>
      </c>
      <c r="M84" s="245">
        <f t="shared" si="21"/>
        <v>55</v>
      </c>
      <c r="N84" s="246">
        <f t="shared" si="22"/>
        <v>3</v>
      </c>
      <c r="O84" s="204">
        <f t="shared" si="18"/>
        <v>22</v>
      </c>
      <c r="Q84" s="245">
        <f t="shared" si="19"/>
        <v>55</v>
      </c>
      <c r="R84" s="246">
        <f t="shared" si="19"/>
        <v>3</v>
      </c>
      <c r="S84" s="204">
        <f t="shared" si="15"/>
        <v>22</v>
      </c>
      <c r="T84" s="245">
        <f t="shared" si="19"/>
        <v>55</v>
      </c>
      <c r="U84" s="246">
        <f t="shared" si="19"/>
        <v>3</v>
      </c>
      <c r="V84" s="204">
        <f t="shared" si="16"/>
        <v>22</v>
      </c>
      <c r="W84" s="245">
        <f t="shared" si="19"/>
        <v>55</v>
      </c>
      <c r="X84" s="246">
        <f t="shared" si="19"/>
        <v>3</v>
      </c>
      <c r="Y84" s="204">
        <f t="shared" si="17"/>
        <v>22</v>
      </c>
    </row>
    <row r="85" spans="12:25" x14ac:dyDescent="0.25">
      <c r="L85" s="38">
        <f t="shared" si="20"/>
        <v>46507</v>
      </c>
      <c r="M85" s="245">
        <f t="shared" si="21"/>
        <v>55</v>
      </c>
      <c r="N85" s="246">
        <f t="shared" si="22"/>
        <v>3</v>
      </c>
      <c r="O85" s="204">
        <f t="shared" si="18"/>
        <v>22</v>
      </c>
      <c r="Q85" s="245">
        <f t="shared" si="19"/>
        <v>55</v>
      </c>
      <c r="R85" s="246">
        <f t="shared" si="19"/>
        <v>3</v>
      </c>
      <c r="S85" s="204">
        <f t="shared" si="15"/>
        <v>22</v>
      </c>
      <c r="T85" s="245">
        <f t="shared" si="19"/>
        <v>55</v>
      </c>
      <c r="U85" s="246">
        <f t="shared" si="19"/>
        <v>3</v>
      </c>
      <c r="V85" s="204">
        <f t="shared" si="16"/>
        <v>22</v>
      </c>
      <c r="W85" s="245">
        <f t="shared" si="19"/>
        <v>55</v>
      </c>
      <c r="X85" s="246">
        <f t="shared" si="19"/>
        <v>3</v>
      </c>
      <c r="Y85" s="204">
        <f t="shared" si="17"/>
        <v>22</v>
      </c>
    </row>
    <row r="86" spans="12:25" x14ac:dyDescent="0.25">
      <c r="L86" s="38">
        <f t="shared" si="20"/>
        <v>46538</v>
      </c>
      <c r="M86" s="245">
        <f t="shared" si="21"/>
        <v>55</v>
      </c>
      <c r="N86" s="246">
        <f t="shared" si="22"/>
        <v>3</v>
      </c>
      <c r="O86" s="204">
        <f t="shared" si="18"/>
        <v>22</v>
      </c>
      <c r="Q86" s="245">
        <f t="shared" si="19"/>
        <v>55</v>
      </c>
      <c r="R86" s="246">
        <f t="shared" si="19"/>
        <v>3</v>
      </c>
      <c r="S86" s="204">
        <f t="shared" si="15"/>
        <v>22</v>
      </c>
      <c r="T86" s="245">
        <f t="shared" si="19"/>
        <v>55</v>
      </c>
      <c r="U86" s="246">
        <f t="shared" si="19"/>
        <v>3</v>
      </c>
      <c r="V86" s="204">
        <f t="shared" si="16"/>
        <v>22</v>
      </c>
      <c r="W86" s="245">
        <f t="shared" si="19"/>
        <v>55</v>
      </c>
      <c r="X86" s="246">
        <f t="shared" si="19"/>
        <v>3</v>
      </c>
      <c r="Y86" s="204">
        <f t="shared" si="17"/>
        <v>22</v>
      </c>
    </row>
    <row r="87" spans="12:25" x14ac:dyDescent="0.25">
      <c r="L87" s="38">
        <f t="shared" si="20"/>
        <v>46568</v>
      </c>
      <c r="M87" s="245">
        <f t="shared" si="21"/>
        <v>55</v>
      </c>
      <c r="N87" s="246">
        <f t="shared" si="22"/>
        <v>3</v>
      </c>
      <c r="O87" s="204">
        <f t="shared" si="18"/>
        <v>22</v>
      </c>
      <c r="Q87" s="245">
        <f t="shared" si="19"/>
        <v>55</v>
      </c>
      <c r="R87" s="246">
        <f t="shared" si="19"/>
        <v>3</v>
      </c>
      <c r="S87" s="204">
        <f t="shared" si="15"/>
        <v>22</v>
      </c>
      <c r="T87" s="245">
        <f t="shared" si="19"/>
        <v>55</v>
      </c>
      <c r="U87" s="246">
        <f t="shared" si="19"/>
        <v>3</v>
      </c>
      <c r="V87" s="204">
        <f t="shared" si="16"/>
        <v>22</v>
      </c>
      <c r="W87" s="245">
        <f t="shared" si="19"/>
        <v>55</v>
      </c>
      <c r="X87" s="246">
        <f t="shared" si="19"/>
        <v>3</v>
      </c>
      <c r="Y87" s="204">
        <f t="shared" si="17"/>
        <v>22</v>
      </c>
    </row>
    <row r="88" spans="12:25" x14ac:dyDescent="0.25">
      <c r="L88" s="38">
        <f t="shared" si="20"/>
        <v>46599</v>
      </c>
      <c r="M88" s="245">
        <f t="shared" si="21"/>
        <v>55</v>
      </c>
      <c r="N88" s="246">
        <f t="shared" si="22"/>
        <v>3</v>
      </c>
      <c r="O88" s="204">
        <f t="shared" si="18"/>
        <v>22</v>
      </c>
      <c r="Q88" s="245">
        <f t="shared" si="19"/>
        <v>55</v>
      </c>
      <c r="R88" s="246">
        <f t="shared" si="19"/>
        <v>3</v>
      </c>
      <c r="S88" s="204">
        <f t="shared" si="15"/>
        <v>22</v>
      </c>
      <c r="T88" s="245">
        <f t="shared" si="19"/>
        <v>55</v>
      </c>
      <c r="U88" s="246">
        <f t="shared" si="19"/>
        <v>3</v>
      </c>
      <c r="V88" s="204">
        <f t="shared" si="16"/>
        <v>22</v>
      </c>
      <c r="W88" s="245">
        <f t="shared" si="19"/>
        <v>55</v>
      </c>
      <c r="X88" s="246">
        <f t="shared" si="19"/>
        <v>3</v>
      </c>
      <c r="Y88" s="204">
        <f t="shared" si="17"/>
        <v>22</v>
      </c>
    </row>
    <row r="89" spans="12:25" x14ac:dyDescent="0.25">
      <c r="L89" s="38">
        <f t="shared" si="20"/>
        <v>46630</v>
      </c>
      <c r="M89" s="245">
        <f t="shared" si="21"/>
        <v>55</v>
      </c>
      <c r="N89" s="246">
        <f t="shared" si="22"/>
        <v>3</v>
      </c>
      <c r="O89" s="204">
        <f t="shared" si="18"/>
        <v>22</v>
      </c>
      <c r="Q89" s="245">
        <f t="shared" si="19"/>
        <v>55</v>
      </c>
      <c r="R89" s="246">
        <f t="shared" si="19"/>
        <v>3</v>
      </c>
      <c r="S89" s="204">
        <f t="shared" si="15"/>
        <v>22</v>
      </c>
      <c r="T89" s="245">
        <f t="shared" si="19"/>
        <v>55</v>
      </c>
      <c r="U89" s="246">
        <f t="shared" si="19"/>
        <v>3</v>
      </c>
      <c r="V89" s="204">
        <f t="shared" si="16"/>
        <v>22</v>
      </c>
      <c r="W89" s="245">
        <f t="shared" si="19"/>
        <v>55</v>
      </c>
      <c r="X89" s="246">
        <f t="shared" si="19"/>
        <v>3</v>
      </c>
      <c r="Y89" s="204">
        <f t="shared" si="17"/>
        <v>22</v>
      </c>
    </row>
    <row r="90" spans="12:25" x14ac:dyDescent="0.25">
      <c r="L90" s="38">
        <f t="shared" si="20"/>
        <v>46660</v>
      </c>
      <c r="M90" s="245">
        <f t="shared" si="21"/>
        <v>55</v>
      </c>
      <c r="N90" s="246">
        <f t="shared" si="22"/>
        <v>3</v>
      </c>
      <c r="O90" s="204">
        <f t="shared" si="18"/>
        <v>22</v>
      </c>
      <c r="Q90" s="245">
        <f t="shared" si="19"/>
        <v>55</v>
      </c>
      <c r="R90" s="246">
        <f t="shared" si="19"/>
        <v>3</v>
      </c>
      <c r="S90" s="204">
        <f t="shared" si="15"/>
        <v>22</v>
      </c>
      <c r="T90" s="245">
        <f t="shared" si="19"/>
        <v>55</v>
      </c>
      <c r="U90" s="246">
        <f t="shared" si="19"/>
        <v>3</v>
      </c>
      <c r="V90" s="204">
        <f t="shared" si="16"/>
        <v>22</v>
      </c>
      <c r="W90" s="245">
        <f t="shared" si="19"/>
        <v>55</v>
      </c>
      <c r="X90" s="246">
        <f t="shared" si="19"/>
        <v>3</v>
      </c>
      <c r="Y90" s="204">
        <f t="shared" si="17"/>
        <v>22</v>
      </c>
    </row>
    <row r="91" spans="12:25" x14ac:dyDescent="0.25">
      <c r="L91" s="38">
        <f t="shared" si="20"/>
        <v>46691</v>
      </c>
      <c r="M91" s="245">
        <f t="shared" si="21"/>
        <v>55</v>
      </c>
      <c r="N91" s="246">
        <f t="shared" si="22"/>
        <v>3</v>
      </c>
      <c r="O91" s="204">
        <f t="shared" si="18"/>
        <v>22</v>
      </c>
      <c r="Q91" s="245">
        <f t="shared" ref="Q91:X106" si="23">Q90</f>
        <v>55</v>
      </c>
      <c r="R91" s="246">
        <f t="shared" si="23"/>
        <v>3</v>
      </c>
      <c r="S91" s="204">
        <f t="shared" si="15"/>
        <v>22</v>
      </c>
      <c r="T91" s="245">
        <f t="shared" si="23"/>
        <v>55</v>
      </c>
      <c r="U91" s="246">
        <f t="shared" si="23"/>
        <v>3</v>
      </c>
      <c r="V91" s="204">
        <f t="shared" si="16"/>
        <v>22</v>
      </c>
      <c r="W91" s="245">
        <f t="shared" si="23"/>
        <v>55</v>
      </c>
      <c r="X91" s="246">
        <f t="shared" si="23"/>
        <v>3</v>
      </c>
      <c r="Y91" s="204">
        <f t="shared" si="17"/>
        <v>22</v>
      </c>
    </row>
    <row r="92" spans="12:25" x14ac:dyDescent="0.25">
      <c r="L92" s="38">
        <f t="shared" si="20"/>
        <v>46721</v>
      </c>
      <c r="M92" s="245">
        <f t="shared" si="21"/>
        <v>55</v>
      </c>
      <c r="N92" s="246">
        <f t="shared" si="22"/>
        <v>3</v>
      </c>
      <c r="O92" s="204">
        <f t="shared" si="18"/>
        <v>22</v>
      </c>
      <c r="Q92" s="245">
        <f t="shared" si="23"/>
        <v>55</v>
      </c>
      <c r="R92" s="246">
        <f t="shared" si="23"/>
        <v>3</v>
      </c>
      <c r="S92" s="204">
        <f t="shared" si="15"/>
        <v>22</v>
      </c>
      <c r="T92" s="245">
        <f t="shared" si="23"/>
        <v>55</v>
      </c>
      <c r="U92" s="246">
        <f t="shared" si="23"/>
        <v>3</v>
      </c>
      <c r="V92" s="204">
        <f t="shared" si="16"/>
        <v>22</v>
      </c>
      <c r="W92" s="245">
        <f t="shared" si="23"/>
        <v>55</v>
      </c>
      <c r="X92" s="246">
        <f t="shared" si="23"/>
        <v>3</v>
      </c>
      <c r="Y92" s="204">
        <f t="shared" si="17"/>
        <v>22</v>
      </c>
    </row>
    <row r="93" spans="12:25" x14ac:dyDescent="0.25">
      <c r="L93" s="38">
        <f t="shared" si="20"/>
        <v>46752</v>
      </c>
      <c r="M93" s="245">
        <f t="shared" si="21"/>
        <v>55</v>
      </c>
      <c r="N93" s="246">
        <f t="shared" si="22"/>
        <v>3</v>
      </c>
      <c r="O93" s="204">
        <f t="shared" si="18"/>
        <v>22</v>
      </c>
      <c r="Q93" s="245">
        <f t="shared" si="23"/>
        <v>55</v>
      </c>
      <c r="R93" s="246">
        <f t="shared" si="23"/>
        <v>3</v>
      </c>
      <c r="S93" s="204">
        <f t="shared" si="15"/>
        <v>22</v>
      </c>
      <c r="T93" s="245">
        <f t="shared" si="23"/>
        <v>55</v>
      </c>
      <c r="U93" s="246">
        <f t="shared" si="23"/>
        <v>3</v>
      </c>
      <c r="V93" s="204">
        <f t="shared" si="16"/>
        <v>22</v>
      </c>
      <c r="W93" s="245">
        <f t="shared" si="23"/>
        <v>55</v>
      </c>
      <c r="X93" s="246">
        <f t="shared" si="23"/>
        <v>3</v>
      </c>
      <c r="Y93" s="204">
        <f t="shared" si="17"/>
        <v>22</v>
      </c>
    </row>
    <row r="94" spans="12:25" x14ac:dyDescent="0.25">
      <c r="L94" s="38">
        <f t="shared" si="20"/>
        <v>46783</v>
      </c>
      <c r="M94" s="245">
        <f t="shared" si="21"/>
        <v>55</v>
      </c>
      <c r="N94" s="246">
        <f t="shared" si="22"/>
        <v>3</v>
      </c>
      <c r="O94" s="204">
        <f t="shared" si="18"/>
        <v>22</v>
      </c>
      <c r="Q94" s="245">
        <f t="shared" si="23"/>
        <v>55</v>
      </c>
      <c r="R94" s="246">
        <f t="shared" si="23"/>
        <v>3</v>
      </c>
      <c r="S94" s="204">
        <f t="shared" si="15"/>
        <v>22</v>
      </c>
      <c r="T94" s="245">
        <f t="shared" si="23"/>
        <v>55</v>
      </c>
      <c r="U94" s="246">
        <f t="shared" si="23"/>
        <v>3</v>
      </c>
      <c r="V94" s="204">
        <f t="shared" si="16"/>
        <v>22</v>
      </c>
      <c r="W94" s="245">
        <f t="shared" si="23"/>
        <v>55</v>
      </c>
      <c r="X94" s="246">
        <f t="shared" si="23"/>
        <v>3</v>
      </c>
      <c r="Y94" s="204">
        <f t="shared" si="17"/>
        <v>22</v>
      </c>
    </row>
    <row r="95" spans="12:25" x14ac:dyDescent="0.25">
      <c r="L95" s="38">
        <f t="shared" si="20"/>
        <v>46812</v>
      </c>
      <c r="M95" s="245">
        <f t="shared" si="21"/>
        <v>55</v>
      </c>
      <c r="N95" s="246">
        <f t="shared" si="22"/>
        <v>3</v>
      </c>
      <c r="O95" s="204">
        <f t="shared" si="18"/>
        <v>22</v>
      </c>
      <c r="Q95" s="245">
        <f t="shared" si="23"/>
        <v>55</v>
      </c>
      <c r="R95" s="246">
        <f t="shared" si="23"/>
        <v>3</v>
      </c>
      <c r="S95" s="204">
        <f t="shared" si="15"/>
        <v>22</v>
      </c>
      <c r="T95" s="245">
        <f t="shared" si="23"/>
        <v>55</v>
      </c>
      <c r="U95" s="246">
        <f t="shared" si="23"/>
        <v>3</v>
      </c>
      <c r="V95" s="204">
        <f t="shared" si="16"/>
        <v>22</v>
      </c>
      <c r="W95" s="245">
        <f t="shared" si="23"/>
        <v>55</v>
      </c>
      <c r="X95" s="246">
        <f t="shared" si="23"/>
        <v>3</v>
      </c>
      <c r="Y95" s="204">
        <f t="shared" si="17"/>
        <v>22</v>
      </c>
    </row>
    <row r="96" spans="12:25" x14ac:dyDescent="0.25">
      <c r="L96" s="38">
        <f t="shared" si="20"/>
        <v>46843</v>
      </c>
      <c r="M96" s="245">
        <f t="shared" si="21"/>
        <v>55</v>
      </c>
      <c r="N96" s="246">
        <f t="shared" si="22"/>
        <v>3</v>
      </c>
      <c r="O96" s="204">
        <f t="shared" si="18"/>
        <v>22</v>
      </c>
      <c r="Q96" s="245">
        <f t="shared" si="23"/>
        <v>55</v>
      </c>
      <c r="R96" s="246">
        <f t="shared" si="23"/>
        <v>3</v>
      </c>
      <c r="S96" s="204">
        <f t="shared" si="15"/>
        <v>22</v>
      </c>
      <c r="T96" s="245">
        <f t="shared" si="23"/>
        <v>55</v>
      </c>
      <c r="U96" s="246">
        <f t="shared" si="23"/>
        <v>3</v>
      </c>
      <c r="V96" s="204">
        <f t="shared" si="16"/>
        <v>22</v>
      </c>
      <c r="W96" s="245">
        <f t="shared" si="23"/>
        <v>55</v>
      </c>
      <c r="X96" s="246">
        <f t="shared" si="23"/>
        <v>3</v>
      </c>
      <c r="Y96" s="204">
        <f t="shared" si="17"/>
        <v>22</v>
      </c>
    </row>
    <row r="97" spans="12:25" x14ac:dyDescent="0.25">
      <c r="L97" s="38">
        <f t="shared" si="20"/>
        <v>46873</v>
      </c>
      <c r="M97" s="245">
        <f t="shared" si="21"/>
        <v>55</v>
      </c>
      <c r="N97" s="246">
        <f t="shared" si="22"/>
        <v>3</v>
      </c>
      <c r="O97" s="204">
        <f t="shared" si="18"/>
        <v>22</v>
      </c>
      <c r="Q97" s="245">
        <f t="shared" si="23"/>
        <v>55</v>
      </c>
      <c r="R97" s="246">
        <f t="shared" si="23"/>
        <v>3</v>
      </c>
      <c r="S97" s="204">
        <f t="shared" si="15"/>
        <v>22</v>
      </c>
      <c r="T97" s="245">
        <f t="shared" si="23"/>
        <v>55</v>
      </c>
      <c r="U97" s="246">
        <f t="shared" si="23"/>
        <v>3</v>
      </c>
      <c r="V97" s="204">
        <f t="shared" si="16"/>
        <v>22</v>
      </c>
      <c r="W97" s="245">
        <f t="shared" si="23"/>
        <v>55</v>
      </c>
      <c r="X97" s="246">
        <f t="shared" si="23"/>
        <v>3</v>
      </c>
      <c r="Y97" s="204">
        <f t="shared" si="17"/>
        <v>22</v>
      </c>
    </row>
    <row r="98" spans="12:25" x14ac:dyDescent="0.25">
      <c r="L98" s="38">
        <f t="shared" si="20"/>
        <v>46904</v>
      </c>
      <c r="M98" s="245">
        <f t="shared" si="21"/>
        <v>55</v>
      </c>
      <c r="N98" s="246">
        <f t="shared" si="22"/>
        <v>3</v>
      </c>
      <c r="O98" s="204">
        <f t="shared" si="18"/>
        <v>22</v>
      </c>
      <c r="Q98" s="245">
        <f t="shared" si="23"/>
        <v>55</v>
      </c>
      <c r="R98" s="246">
        <f t="shared" si="23"/>
        <v>3</v>
      </c>
      <c r="S98" s="204">
        <f t="shared" si="15"/>
        <v>22</v>
      </c>
      <c r="T98" s="245">
        <f t="shared" si="23"/>
        <v>55</v>
      </c>
      <c r="U98" s="246">
        <f t="shared" si="23"/>
        <v>3</v>
      </c>
      <c r="V98" s="204">
        <f t="shared" si="16"/>
        <v>22</v>
      </c>
      <c r="W98" s="245">
        <f t="shared" si="23"/>
        <v>55</v>
      </c>
      <c r="X98" s="246">
        <f t="shared" si="23"/>
        <v>3</v>
      </c>
      <c r="Y98" s="204">
        <f t="shared" si="17"/>
        <v>22</v>
      </c>
    </row>
    <row r="99" spans="12:25" x14ac:dyDescent="0.25">
      <c r="L99" s="38">
        <f t="shared" si="20"/>
        <v>46934</v>
      </c>
      <c r="M99" s="245">
        <f t="shared" si="21"/>
        <v>55</v>
      </c>
      <c r="N99" s="246">
        <f t="shared" si="22"/>
        <v>3</v>
      </c>
      <c r="O99" s="204">
        <f t="shared" si="18"/>
        <v>22</v>
      </c>
      <c r="Q99" s="245">
        <f t="shared" si="23"/>
        <v>55</v>
      </c>
      <c r="R99" s="246">
        <f t="shared" si="23"/>
        <v>3</v>
      </c>
      <c r="S99" s="204">
        <f t="shared" si="15"/>
        <v>22</v>
      </c>
      <c r="T99" s="245">
        <f t="shared" si="23"/>
        <v>55</v>
      </c>
      <c r="U99" s="246">
        <f t="shared" si="23"/>
        <v>3</v>
      </c>
      <c r="V99" s="204">
        <f t="shared" si="16"/>
        <v>22</v>
      </c>
      <c r="W99" s="245">
        <f t="shared" si="23"/>
        <v>55</v>
      </c>
      <c r="X99" s="246">
        <f t="shared" si="23"/>
        <v>3</v>
      </c>
      <c r="Y99" s="204">
        <f t="shared" si="17"/>
        <v>22</v>
      </c>
    </row>
    <row r="100" spans="12:25" x14ac:dyDescent="0.25">
      <c r="L100" s="38">
        <f t="shared" si="20"/>
        <v>46965</v>
      </c>
      <c r="M100" s="245">
        <f t="shared" si="21"/>
        <v>55</v>
      </c>
      <c r="N100" s="246">
        <f t="shared" si="22"/>
        <v>3</v>
      </c>
      <c r="O100" s="204">
        <f t="shared" si="18"/>
        <v>22</v>
      </c>
      <c r="Q100" s="245">
        <f t="shared" si="23"/>
        <v>55</v>
      </c>
      <c r="R100" s="246">
        <f t="shared" si="23"/>
        <v>3</v>
      </c>
      <c r="S100" s="204">
        <f t="shared" si="15"/>
        <v>22</v>
      </c>
      <c r="T100" s="245">
        <f t="shared" si="23"/>
        <v>55</v>
      </c>
      <c r="U100" s="246">
        <f t="shared" si="23"/>
        <v>3</v>
      </c>
      <c r="V100" s="204">
        <f t="shared" si="16"/>
        <v>22</v>
      </c>
      <c r="W100" s="245">
        <f t="shared" si="23"/>
        <v>55</v>
      </c>
      <c r="X100" s="246">
        <f t="shared" si="23"/>
        <v>3</v>
      </c>
      <c r="Y100" s="204">
        <f t="shared" si="17"/>
        <v>22</v>
      </c>
    </row>
    <row r="101" spans="12:25" x14ac:dyDescent="0.25">
      <c r="L101" s="38">
        <f t="shared" si="20"/>
        <v>46996</v>
      </c>
      <c r="M101" s="245">
        <f t="shared" si="21"/>
        <v>55</v>
      </c>
      <c r="N101" s="246">
        <f t="shared" si="22"/>
        <v>3</v>
      </c>
      <c r="O101" s="204">
        <f t="shared" si="18"/>
        <v>22</v>
      </c>
      <c r="Q101" s="245">
        <f t="shared" si="23"/>
        <v>55</v>
      </c>
      <c r="R101" s="246">
        <f t="shared" si="23"/>
        <v>3</v>
      </c>
      <c r="S101" s="204">
        <f t="shared" si="15"/>
        <v>22</v>
      </c>
      <c r="T101" s="245">
        <f t="shared" si="23"/>
        <v>55</v>
      </c>
      <c r="U101" s="246">
        <f t="shared" si="23"/>
        <v>3</v>
      </c>
      <c r="V101" s="204">
        <f t="shared" si="16"/>
        <v>22</v>
      </c>
      <c r="W101" s="245">
        <f t="shared" si="23"/>
        <v>55</v>
      </c>
      <c r="X101" s="246">
        <f t="shared" si="23"/>
        <v>3</v>
      </c>
      <c r="Y101" s="204">
        <f t="shared" si="17"/>
        <v>22</v>
      </c>
    </row>
    <row r="102" spans="12:25" x14ac:dyDescent="0.25">
      <c r="L102" s="38">
        <f t="shared" si="20"/>
        <v>47026</v>
      </c>
      <c r="M102" s="245">
        <f t="shared" si="21"/>
        <v>55</v>
      </c>
      <c r="N102" s="246">
        <f t="shared" si="22"/>
        <v>3</v>
      </c>
      <c r="O102" s="204">
        <f t="shared" si="18"/>
        <v>22</v>
      </c>
      <c r="Q102" s="245">
        <f t="shared" si="23"/>
        <v>55</v>
      </c>
      <c r="R102" s="246">
        <f t="shared" si="23"/>
        <v>3</v>
      </c>
      <c r="S102" s="204">
        <f t="shared" si="15"/>
        <v>22</v>
      </c>
      <c r="T102" s="245">
        <f t="shared" si="23"/>
        <v>55</v>
      </c>
      <c r="U102" s="246">
        <f t="shared" si="23"/>
        <v>3</v>
      </c>
      <c r="V102" s="204">
        <f t="shared" si="16"/>
        <v>22</v>
      </c>
      <c r="W102" s="245">
        <f t="shared" si="23"/>
        <v>55</v>
      </c>
      <c r="X102" s="246">
        <f t="shared" si="23"/>
        <v>3</v>
      </c>
      <c r="Y102" s="204">
        <f t="shared" si="17"/>
        <v>22</v>
      </c>
    </row>
    <row r="103" spans="12:25" x14ac:dyDescent="0.25">
      <c r="L103" s="38">
        <f t="shared" si="20"/>
        <v>47057</v>
      </c>
      <c r="M103" s="245">
        <f t="shared" si="21"/>
        <v>55</v>
      </c>
      <c r="N103" s="246">
        <f t="shared" si="22"/>
        <v>3</v>
      </c>
      <c r="O103" s="204">
        <f t="shared" si="18"/>
        <v>22</v>
      </c>
      <c r="Q103" s="245">
        <f t="shared" si="23"/>
        <v>55</v>
      </c>
      <c r="R103" s="246">
        <f t="shared" si="23"/>
        <v>3</v>
      </c>
      <c r="S103" s="204">
        <f t="shared" si="15"/>
        <v>22</v>
      </c>
      <c r="T103" s="245">
        <f t="shared" si="23"/>
        <v>55</v>
      </c>
      <c r="U103" s="246">
        <f t="shared" si="23"/>
        <v>3</v>
      </c>
      <c r="V103" s="204">
        <f t="shared" si="16"/>
        <v>22</v>
      </c>
      <c r="W103" s="245">
        <f t="shared" si="23"/>
        <v>55</v>
      </c>
      <c r="X103" s="246">
        <f t="shared" si="23"/>
        <v>3</v>
      </c>
      <c r="Y103" s="204">
        <f t="shared" si="17"/>
        <v>22</v>
      </c>
    </row>
    <row r="104" spans="12:25" x14ac:dyDescent="0.25">
      <c r="L104" s="38">
        <f t="shared" si="20"/>
        <v>47087</v>
      </c>
      <c r="M104" s="245">
        <f t="shared" si="21"/>
        <v>55</v>
      </c>
      <c r="N104" s="246">
        <f t="shared" si="22"/>
        <v>3</v>
      </c>
      <c r="O104" s="204">
        <f t="shared" si="18"/>
        <v>22</v>
      </c>
      <c r="Q104" s="245">
        <f t="shared" si="23"/>
        <v>55</v>
      </c>
      <c r="R104" s="246">
        <f t="shared" si="23"/>
        <v>3</v>
      </c>
      <c r="S104" s="204">
        <f t="shared" si="15"/>
        <v>22</v>
      </c>
      <c r="T104" s="245">
        <f t="shared" si="23"/>
        <v>55</v>
      </c>
      <c r="U104" s="246">
        <f t="shared" si="23"/>
        <v>3</v>
      </c>
      <c r="V104" s="204">
        <f t="shared" si="16"/>
        <v>22</v>
      </c>
      <c r="W104" s="245">
        <f t="shared" si="23"/>
        <v>55</v>
      </c>
      <c r="X104" s="246">
        <f t="shared" si="23"/>
        <v>3</v>
      </c>
      <c r="Y104" s="204">
        <f t="shared" si="17"/>
        <v>22</v>
      </c>
    </row>
    <row r="105" spans="12:25" x14ac:dyDescent="0.25">
      <c r="L105" s="38">
        <f t="shared" si="20"/>
        <v>47118</v>
      </c>
      <c r="M105" s="245">
        <f t="shared" si="21"/>
        <v>55</v>
      </c>
      <c r="N105" s="246">
        <f t="shared" si="22"/>
        <v>3</v>
      </c>
      <c r="O105" s="204">
        <f t="shared" si="18"/>
        <v>22</v>
      </c>
      <c r="Q105" s="245">
        <f t="shared" si="23"/>
        <v>55</v>
      </c>
      <c r="R105" s="246">
        <f t="shared" si="23"/>
        <v>3</v>
      </c>
      <c r="S105" s="204">
        <f t="shared" si="15"/>
        <v>22</v>
      </c>
      <c r="T105" s="245">
        <f t="shared" si="23"/>
        <v>55</v>
      </c>
      <c r="U105" s="246">
        <f t="shared" si="23"/>
        <v>3</v>
      </c>
      <c r="V105" s="204">
        <f t="shared" si="16"/>
        <v>22</v>
      </c>
      <c r="W105" s="245">
        <f t="shared" si="23"/>
        <v>55</v>
      </c>
      <c r="X105" s="246">
        <f t="shared" si="23"/>
        <v>3</v>
      </c>
      <c r="Y105" s="204">
        <f t="shared" si="17"/>
        <v>22</v>
      </c>
    </row>
    <row r="106" spans="12:25" x14ac:dyDescent="0.25">
      <c r="L106" s="38">
        <f t="shared" si="20"/>
        <v>47149</v>
      </c>
      <c r="M106" s="245">
        <f t="shared" si="21"/>
        <v>55</v>
      </c>
      <c r="N106" s="246">
        <f t="shared" si="22"/>
        <v>3</v>
      </c>
      <c r="O106" s="204">
        <f t="shared" si="18"/>
        <v>22</v>
      </c>
      <c r="Q106" s="245">
        <f t="shared" si="23"/>
        <v>55</v>
      </c>
      <c r="R106" s="246">
        <f t="shared" si="23"/>
        <v>3</v>
      </c>
      <c r="S106" s="204">
        <f t="shared" si="15"/>
        <v>22</v>
      </c>
      <c r="T106" s="245">
        <f t="shared" si="23"/>
        <v>55</v>
      </c>
      <c r="U106" s="246">
        <f t="shared" si="23"/>
        <v>3</v>
      </c>
      <c r="V106" s="204">
        <f t="shared" si="16"/>
        <v>22</v>
      </c>
      <c r="W106" s="245">
        <f t="shared" si="23"/>
        <v>55</v>
      </c>
      <c r="X106" s="246">
        <f t="shared" si="23"/>
        <v>3</v>
      </c>
      <c r="Y106" s="204">
        <f t="shared" si="17"/>
        <v>22</v>
      </c>
    </row>
    <row r="107" spans="12:25" x14ac:dyDescent="0.25">
      <c r="L107" s="38">
        <f t="shared" si="20"/>
        <v>47177</v>
      </c>
      <c r="M107" s="245">
        <f t="shared" si="21"/>
        <v>55</v>
      </c>
      <c r="N107" s="246">
        <f t="shared" si="22"/>
        <v>3</v>
      </c>
      <c r="O107" s="204">
        <f t="shared" si="18"/>
        <v>22</v>
      </c>
      <c r="Q107" s="245">
        <f t="shared" ref="Q107:X122" si="24">Q106</f>
        <v>55</v>
      </c>
      <c r="R107" s="246">
        <f t="shared" si="24"/>
        <v>3</v>
      </c>
      <c r="S107" s="204">
        <f t="shared" si="15"/>
        <v>22</v>
      </c>
      <c r="T107" s="245">
        <f t="shared" si="24"/>
        <v>55</v>
      </c>
      <c r="U107" s="246">
        <f t="shared" si="24"/>
        <v>3</v>
      </c>
      <c r="V107" s="204">
        <f t="shared" si="16"/>
        <v>22</v>
      </c>
      <c r="W107" s="245">
        <f t="shared" si="24"/>
        <v>55</v>
      </c>
      <c r="X107" s="246">
        <f t="shared" si="24"/>
        <v>3</v>
      </c>
      <c r="Y107" s="204">
        <f t="shared" si="17"/>
        <v>22</v>
      </c>
    </row>
    <row r="108" spans="12:25" x14ac:dyDescent="0.25">
      <c r="L108" s="38">
        <f t="shared" si="20"/>
        <v>47208</v>
      </c>
      <c r="M108" s="245">
        <f t="shared" si="21"/>
        <v>55</v>
      </c>
      <c r="N108" s="246">
        <f t="shared" si="22"/>
        <v>3</v>
      </c>
      <c r="O108" s="204">
        <f t="shared" si="18"/>
        <v>22</v>
      </c>
      <c r="Q108" s="245">
        <f t="shared" si="24"/>
        <v>55</v>
      </c>
      <c r="R108" s="246">
        <f t="shared" si="24"/>
        <v>3</v>
      </c>
      <c r="S108" s="204">
        <f t="shared" si="15"/>
        <v>22</v>
      </c>
      <c r="T108" s="245">
        <f t="shared" si="24"/>
        <v>55</v>
      </c>
      <c r="U108" s="246">
        <f t="shared" si="24"/>
        <v>3</v>
      </c>
      <c r="V108" s="204">
        <f t="shared" si="16"/>
        <v>22</v>
      </c>
      <c r="W108" s="245">
        <f t="shared" si="24"/>
        <v>55</v>
      </c>
      <c r="X108" s="246">
        <f t="shared" si="24"/>
        <v>3</v>
      </c>
      <c r="Y108" s="204">
        <f t="shared" si="17"/>
        <v>22</v>
      </c>
    </row>
    <row r="109" spans="12:25" x14ac:dyDescent="0.25">
      <c r="L109" s="38">
        <f t="shared" si="20"/>
        <v>47238</v>
      </c>
      <c r="M109" s="245">
        <f t="shared" si="21"/>
        <v>55</v>
      </c>
      <c r="N109" s="246">
        <f t="shared" si="22"/>
        <v>3</v>
      </c>
      <c r="O109" s="204">
        <f t="shared" si="18"/>
        <v>22</v>
      </c>
      <c r="Q109" s="245">
        <f t="shared" si="24"/>
        <v>55</v>
      </c>
      <c r="R109" s="246">
        <f t="shared" si="24"/>
        <v>3</v>
      </c>
      <c r="S109" s="204">
        <f t="shared" si="15"/>
        <v>22</v>
      </c>
      <c r="T109" s="245">
        <f t="shared" si="24"/>
        <v>55</v>
      </c>
      <c r="U109" s="246">
        <f t="shared" si="24"/>
        <v>3</v>
      </c>
      <c r="V109" s="204">
        <f t="shared" si="16"/>
        <v>22</v>
      </c>
      <c r="W109" s="245">
        <f t="shared" si="24"/>
        <v>55</v>
      </c>
      <c r="X109" s="246">
        <f t="shared" si="24"/>
        <v>3</v>
      </c>
      <c r="Y109" s="204">
        <f t="shared" si="17"/>
        <v>22</v>
      </c>
    </row>
    <row r="110" spans="12:25" x14ac:dyDescent="0.25">
      <c r="L110" s="38">
        <f t="shared" si="20"/>
        <v>47269</v>
      </c>
      <c r="M110" s="245">
        <f t="shared" si="21"/>
        <v>55</v>
      </c>
      <c r="N110" s="246">
        <f t="shared" si="22"/>
        <v>3</v>
      </c>
      <c r="O110" s="204">
        <f t="shared" si="18"/>
        <v>22</v>
      </c>
      <c r="Q110" s="245">
        <f t="shared" si="24"/>
        <v>55</v>
      </c>
      <c r="R110" s="246">
        <f t="shared" si="24"/>
        <v>3</v>
      </c>
      <c r="S110" s="204">
        <f t="shared" si="15"/>
        <v>22</v>
      </c>
      <c r="T110" s="245">
        <f t="shared" si="24"/>
        <v>55</v>
      </c>
      <c r="U110" s="246">
        <f t="shared" si="24"/>
        <v>3</v>
      </c>
      <c r="V110" s="204">
        <f t="shared" si="16"/>
        <v>22</v>
      </c>
      <c r="W110" s="245">
        <f t="shared" si="24"/>
        <v>55</v>
      </c>
      <c r="X110" s="246">
        <f t="shared" si="24"/>
        <v>3</v>
      </c>
      <c r="Y110" s="204">
        <f t="shared" si="17"/>
        <v>22</v>
      </c>
    </row>
    <row r="111" spans="12:25" x14ac:dyDescent="0.25">
      <c r="L111" s="38">
        <f t="shared" si="20"/>
        <v>47299</v>
      </c>
      <c r="M111" s="245">
        <f t="shared" si="21"/>
        <v>55</v>
      </c>
      <c r="N111" s="246">
        <f t="shared" si="22"/>
        <v>3</v>
      </c>
      <c r="O111" s="204">
        <f t="shared" si="18"/>
        <v>22</v>
      </c>
      <c r="Q111" s="245">
        <f t="shared" si="24"/>
        <v>55</v>
      </c>
      <c r="R111" s="246">
        <f t="shared" si="24"/>
        <v>3</v>
      </c>
      <c r="S111" s="204">
        <f t="shared" si="15"/>
        <v>22</v>
      </c>
      <c r="T111" s="245">
        <f t="shared" si="24"/>
        <v>55</v>
      </c>
      <c r="U111" s="246">
        <f t="shared" si="24"/>
        <v>3</v>
      </c>
      <c r="V111" s="204">
        <f t="shared" si="16"/>
        <v>22</v>
      </c>
      <c r="W111" s="245">
        <f t="shared" si="24"/>
        <v>55</v>
      </c>
      <c r="X111" s="246">
        <f t="shared" si="24"/>
        <v>3</v>
      </c>
      <c r="Y111" s="204">
        <f t="shared" si="17"/>
        <v>22</v>
      </c>
    </row>
    <row r="112" spans="12:25" x14ac:dyDescent="0.25">
      <c r="L112" s="38">
        <f t="shared" si="20"/>
        <v>47330</v>
      </c>
      <c r="M112" s="245">
        <f t="shared" si="21"/>
        <v>55</v>
      </c>
      <c r="N112" s="246">
        <f t="shared" si="22"/>
        <v>3</v>
      </c>
      <c r="O112" s="204">
        <f t="shared" si="18"/>
        <v>22</v>
      </c>
      <c r="Q112" s="245">
        <f t="shared" si="24"/>
        <v>55</v>
      </c>
      <c r="R112" s="246">
        <f t="shared" si="24"/>
        <v>3</v>
      </c>
      <c r="S112" s="204">
        <f t="shared" si="15"/>
        <v>22</v>
      </c>
      <c r="T112" s="245">
        <f t="shared" si="24"/>
        <v>55</v>
      </c>
      <c r="U112" s="246">
        <f t="shared" si="24"/>
        <v>3</v>
      </c>
      <c r="V112" s="204">
        <f t="shared" si="16"/>
        <v>22</v>
      </c>
      <c r="W112" s="245">
        <f t="shared" si="24"/>
        <v>55</v>
      </c>
      <c r="X112" s="246">
        <f t="shared" si="24"/>
        <v>3</v>
      </c>
      <c r="Y112" s="204">
        <f t="shared" si="17"/>
        <v>22</v>
      </c>
    </row>
    <row r="113" spans="12:25" x14ac:dyDescent="0.25">
      <c r="L113" s="38">
        <f t="shared" si="20"/>
        <v>47361</v>
      </c>
      <c r="M113" s="245">
        <f t="shared" si="21"/>
        <v>55</v>
      </c>
      <c r="N113" s="246">
        <f t="shared" si="22"/>
        <v>3</v>
      </c>
      <c r="O113" s="204">
        <f t="shared" si="18"/>
        <v>22</v>
      </c>
      <c r="Q113" s="245">
        <f t="shared" si="24"/>
        <v>55</v>
      </c>
      <c r="R113" s="246">
        <f t="shared" si="24"/>
        <v>3</v>
      </c>
      <c r="S113" s="204">
        <f t="shared" si="15"/>
        <v>22</v>
      </c>
      <c r="T113" s="245">
        <f t="shared" si="24"/>
        <v>55</v>
      </c>
      <c r="U113" s="246">
        <f t="shared" si="24"/>
        <v>3</v>
      </c>
      <c r="V113" s="204">
        <f t="shared" si="16"/>
        <v>22</v>
      </c>
      <c r="W113" s="245">
        <f t="shared" si="24"/>
        <v>55</v>
      </c>
      <c r="X113" s="246">
        <f t="shared" si="24"/>
        <v>3</v>
      </c>
      <c r="Y113" s="204">
        <f t="shared" si="17"/>
        <v>22</v>
      </c>
    </row>
    <row r="114" spans="12:25" x14ac:dyDescent="0.25">
      <c r="L114" s="38">
        <f t="shared" si="20"/>
        <v>47391</v>
      </c>
      <c r="M114" s="245">
        <f t="shared" si="21"/>
        <v>55</v>
      </c>
      <c r="N114" s="246">
        <f t="shared" si="22"/>
        <v>3</v>
      </c>
      <c r="O114" s="204">
        <f t="shared" si="18"/>
        <v>22</v>
      </c>
      <c r="Q114" s="245">
        <f t="shared" si="24"/>
        <v>55</v>
      </c>
      <c r="R114" s="246">
        <f t="shared" si="24"/>
        <v>3</v>
      </c>
      <c r="S114" s="204">
        <f t="shared" si="15"/>
        <v>22</v>
      </c>
      <c r="T114" s="245">
        <f t="shared" si="24"/>
        <v>55</v>
      </c>
      <c r="U114" s="246">
        <f t="shared" si="24"/>
        <v>3</v>
      </c>
      <c r="V114" s="204">
        <f t="shared" si="16"/>
        <v>22</v>
      </c>
      <c r="W114" s="245">
        <f t="shared" si="24"/>
        <v>55</v>
      </c>
      <c r="X114" s="246">
        <f t="shared" si="24"/>
        <v>3</v>
      </c>
      <c r="Y114" s="204">
        <f t="shared" si="17"/>
        <v>22</v>
      </c>
    </row>
    <row r="115" spans="12:25" x14ac:dyDescent="0.25">
      <c r="L115" s="38">
        <f t="shared" si="20"/>
        <v>47422</v>
      </c>
      <c r="M115" s="245">
        <f t="shared" si="21"/>
        <v>55</v>
      </c>
      <c r="N115" s="246">
        <f t="shared" si="22"/>
        <v>3</v>
      </c>
      <c r="O115" s="204">
        <f t="shared" si="18"/>
        <v>22</v>
      </c>
      <c r="Q115" s="245">
        <f t="shared" si="24"/>
        <v>55</v>
      </c>
      <c r="R115" s="246">
        <f t="shared" si="24"/>
        <v>3</v>
      </c>
      <c r="S115" s="204">
        <f t="shared" si="15"/>
        <v>22</v>
      </c>
      <c r="T115" s="245">
        <f t="shared" si="24"/>
        <v>55</v>
      </c>
      <c r="U115" s="246">
        <f t="shared" si="24"/>
        <v>3</v>
      </c>
      <c r="V115" s="204">
        <f t="shared" si="16"/>
        <v>22</v>
      </c>
      <c r="W115" s="245">
        <f t="shared" si="24"/>
        <v>55</v>
      </c>
      <c r="X115" s="246">
        <f t="shared" si="24"/>
        <v>3</v>
      </c>
      <c r="Y115" s="204">
        <f t="shared" si="17"/>
        <v>22</v>
      </c>
    </row>
    <row r="116" spans="12:25" x14ac:dyDescent="0.25">
      <c r="L116" s="38">
        <f t="shared" si="20"/>
        <v>47452</v>
      </c>
      <c r="M116" s="245">
        <f t="shared" si="21"/>
        <v>55</v>
      </c>
      <c r="N116" s="246">
        <f t="shared" si="22"/>
        <v>3</v>
      </c>
      <c r="O116" s="204">
        <f t="shared" si="18"/>
        <v>22</v>
      </c>
      <c r="Q116" s="245">
        <f t="shared" si="24"/>
        <v>55</v>
      </c>
      <c r="R116" s="246">
        <f t="shared" si="24"/>
        <v>3</v>
      </c>
      <c r="S116" s="204">
        <f t="shared" si="15"/>
        <v>22</v>
      </c>
      <c r="T116" s="245">
        <f t="shared" si="24"/>
        <v>55</v>
      </c>
      <c r="U116" s="246">
        <f t="shared" si="24"/>
        <v>3</v>
      </c>
      <c r="V116" s="204">
        <f t="shared" si="16"/>
        <v>22</v>
      </c>
      <c r="W116" s="245">
        <f t="shared" si="24"/>
        <v>55</v>
      </c>
      <c r="X116" s="246">
        <f t="shared" si="24"/>
        <v>3</v>
      </c>
      <c r="Y116" s="204">
        <f t="shared" si="17"/>
        <v>22</v>
      </c>
    </row>
    <row r="117" spans="12:25" x14ac:dyDescent="0.25">
      <c r="L117" s="38">
        <f t="shared" si="20"/>
        <v>47483</v>
      </c>
      <c r="M117" s="245">
        <f t="shared" si="21"/>
        <v>55</v>
      </c>
      <c r="N117" s="246">
        <f t="shared" si="22"/>
        <v>3</v>
      </c>
      <c r="O117" s="204">
        <f t="shared" si="18"/>
        <v>22</v>
      </c>
      <c r="Q117" s="245">
        <f t="shared" si="24"/>
        <v>55</v>
      </c>
      <c r="R117" s="246">
        <f t="shared" si="24"/>
        <v>3</v>
      </c>
      <c r="S117" s="204">
        <f t="shared" si="15"/>
        <v>22</v>
      </c>
      <c r="T117" s="245">
        <f t="shared" si="24"/>
        <v>55</v>
      </c>
      <c r="U117" s="246">
        <f t="shared" si="24"/>
        <v>3</v>
      </c>
      <c r="V117" s="204">
        <f t="shared" si="16"/>
        <v>22</v>
      </c>
      <c r="W117" s="245">
        <f t="shared" si="24"/>
        <v>55</v>
      </c>
      <c r="X117" s="246">
        <f t="shared" si="24"/>
        <v>3</v>
      </c>
      <c r="Y117" s="204">
        <f t="shared" si="17"/>
        <v>22</v>
      </c>
    </row>
    <row r="118" spans="12:25" x14ac:dyDescent="0.25">
      <c r="L118" s="38">
        <f t="shared" si="20"/>
        <v>47514</v>
      </c>
      <c r="M118" s="245">
        <f t="shared" si="21"/>
        <v>55</v>
      </c>
      <c r="N118" s="246">
        <f t="shared" si="22"/>
        <v>3</v>
      </c>
      <c r="O118" s="204">
        <f t="shared" si="18"/>
        <v>22</v>
      </c>
      <c r="Q118" s="245">
        <f t="shared" si="24"/>
        <v>55</v>
      </c>
      <c r="R118" s="246">
        <f t="shared" si="24"/>
        <v>3</v>
      </c>
      <c r="S118" s="204">
        <f t="shared" si="15"/>
        <v>22</v>
      </c>
      <c r="T118" s="245">
        <f t="shared" si="24"/>
        <v>55</v>
      </c>
      <c r="U118" s="246">
        <f t="shared" si="24"/>
        <v>3</v>
      </c>
      <c r="V118" s="204">
        <f t="shared" si="16"/>
        <v>22</v>
      </c>
      <c r="W118" s="245">
        <f t="shared" si="24"/>
        <v>55</v>
      </c>
      <c r="X118" s="246">
        <f t="shared" si="24"/>
        <v>3</v>
      </c>
      <c r="Y118" s="204">
        <f t="shared" si="17"/>
        <v>22</v>
      </c>
    </row>
    <row r="119" spans="12:25" x14ac:dyDescent="0.25">
      <c r="L119" s="38">
        <f t="shared" si="20"/>
        <v>47542</v>
      </c>
      <c r="M119" s="245">
        <f t="shared" si="21"/>
        <v>55</v>
      </c>
      <c r="N119" s="246">
        <f t="shared" si="22"/>
        <v>3</v>
      </c>
      <c r="O119" s="204">
        <f t="shared" si="18"/>
        <v>22</v>
      </c>
      <c r="Q119" s="245">
        <f t="shared" si="24"/>
        <v>55</v>
      </c>
      <c r="R119" s="246">
        <f t="shared" si="24"/>
        <v>3</v>
      </c>
      <c r="S119" s="204">
        <f t="shared" si="15"/>
        <v>22</v>
      </c>
      <c r="T119" s="245">
        <f t="shared" si="24"/>
        <v>55</v>
      </c>
      <c r="U119" s="246">
        <f t="shared" si="24"/>
        <v>3</v>
      </c>
      <c r="V119" s="204">
        <f t="shared" si="16"/>
        <v>22</v>
      </c>
      <c r="W119" s="245">
        <f t="shared" si="24"/>
        <v>55</v>
      </c>
      <c r="X119" s="246">
        <f t="shared" si="24"/>
        <v>3</v>
      </c>
      <c r="Y119" s="204">
        <f t="shared" si="17"/>
        <v>22</v>
      </c>
    </row>
    <row r="120" spans="12:25" x14ac:dyDescent="0.25">
      <c r="L120" s="38">
        <f t="shared" si="20"/>
        <v>47573</v>
      </c>
      <c r="M120" s="245">
        <f t="shared" si="21"/>
        <v>55</v>
      </c>
      <c r="N120" s="246">
        <f t="shared" si="22"/>
        <v>3</v>
      </c>
      <c r="O120" s="204">
        <f t="shared" si="18"/>
        <v>22</v>
      </c>
      <c r="Q120" s="245">
        <f t="shared" si="24"/>
        <v>55</v>
      </c>
      <c r="R120" s="246">
        <f t="shared" si="24"/>
        <v>3</v>
      </c>
      <c r="S120" s="204">
        <f t="shared" si="15"/>
        <v>22</v>
      </c>
      <c r="T120" s="245">
        <f t="shared" si="24"/>
        <v>55</v>
      </c>
      <c r="U120" s="246">
        <f t="shared" si="24"/>
        <v>3</v>
      </c>
      <c r="V120" s="204">
        <f t="shared" si="16"/>
        <v>22</v>
      </c>
      <c r="W120" s="245">
        <f t="shared" si="24"/>
        <v>55</v>
      </c>
      <c r="X120" s="246">
        <f t="shared" si="24"/>
        <v>3</v>
      </c>
      <c r="Y120" s="204">
        <f t="shared" si="17"/>
        <v>22</v>
      </c>
    </row>
    <row r="121" spans="12:25" x14ac:dyDescent="0.25">
      <c r="L121" s="38">
        <f t="shared" si="20"/>
        <v>47603</v>
      </c>
      <c r="M121" s="245">
        <f t="shared" si="21"/>
        <v>55</v>
      </c>
      <c r="N121" s="246">
        <f t="shared" si="22"/>
        <v>3</v>
      </c>
      <c r="O121" s="204">
        <f t="shared" si="18"/>
        <v>22</v>
      </c>
      <c r="Q121" s="245">
        <f t="shared" si="24"/>
        <v>55</v>
      </c>
      <c r="R121" s="246">
        <f t="shared" si="24"/>
        <v>3</v>
      </c>
      <c r="S121" s="204">
        <f t="shared" si="15"/>
        <v>22</v>
      </c>
      <c r="T121" s="245">
        <f t="shared" si="24"/>
        <v>55</v>
      </c>
      <c r="U121" s="246">
        <f t="shared" si="24"/>
        <v>3</v>
      </c>
      <c r="V121" s="204">
        <f t="shared" si="16"/>
        <v>22</v>
      </c>
      <c r="W121" s="245">
        <f t="shared" si="24"/>
        <v>55</v>
      </c>
      <c r="X121" s="246">
        <f t="shared" si="24"/>
        <v>3</v>
      </c>
      <c r="Y121" s="204">
        <f t="shared" si="17"/>
        <v>22</v>
      </c>
    </row>
    <row r="122" spans="12:25" x14ac:dyDescent="0.25">
      <c r="L122" s="38">
        <f t="shared" si="20"/>
        <v>47634</v>
      </c>
      <c r="M122" s="245">
        <f t="shared" si="21"/>
        <v>55</v>
      </c>
      <c r="N122" s="246">
        <f t="shared" si="22"/>
        <v>3</v>
      </c>
      <c r="O122" s="204">
        <f t="shared" si="18"/>
        <v>22</v>
      </c>
      <c r="Q122" s="245">
        <f t="shared" si="24"/>
        <v>55</v>
      </c>
      <c r="R122" s="246">
        <f t="shared" si="24"/>
        <v>3</v>
      </c>
      <c r="S122" s="204">
        <f t="shared" si="15"/>
        <v>22</v>
      </c>
      <c r="T122" s="245">
        <f t="shared" si="24"/>
        <v>55</v>
      </c>
      <c r="U122" s="246">
        <f t="shared" si="24"/>
        <v>3</v>
      </c>
      <c r="V122" s="204">
        <f t="shared" si="16"/>
        <v>22</v>
      </c>
      <c r="W122" s="245">
        <f t="shared" si="24"/>
        <v>55</v>
      </c>
      <c r="X122" s="246">
        <f t="shared" si="24"/>
        <v>3</v>
      </c>
      <c r="Y122" s="204">
        <f t="shared" si="17"/>
        <v>22</v>
      </c>
    </row>
    <row r="123" spans="12:25" x14ac:dyDescent="0.25">
      <c r="L123" s="38">
        <f t="shared" si="20"/>
        <v>47664</v>
      </c>
      <c r="M123" s="245">
        <f t="shared" si="21"/>
        <v>55</v>
      </c>
      <c r="N123" s="246">
        <f t="shared" si="22"/>
        <v>3</v>
      </c>
      <c r="O123" s="204">
        <f t="shared" si="18"/>
        <v>22</v>
      </c>
      <c r="Q123" s="245">
        <f t="shared" ref="Q123:X138" si="25">Q122</f>
        <v>55</v>
      </c>
      <c r="R123" s="246">
        <f t="shared" si="25"/>
        <v>3</v>
      </c>
      <c r="S123" s="204">
        <f t="shared" si="15"/>
        <v>22</v>
      </c>
      <c r="T123" s="245">
        <f t="shared" si="25"/>
        <v>55</v>
      </c>
      <c r="U123" s="246">
        <f t="shared" si="25"/>
        <v>3</v>
      </c>
      <c r="V123" s="204">
        <f t="shared" si="16"/>
        <v>22</v>
      </c>
      <c r="W123" s="245">
        <f t="shared" si="25"/>
        <v>55</v>
      </c>
      <c r="X123" s="246">
        <f t="shared" si="25"/>
        <v>3</v>
      </c>
      <c r="Y123" s="204">
        <f t="shared" si="17"/>
        <v>22</v>
      </c>
    </row>
    <row r="124" spans="12:25" x14ac:dyDescent="0.25">
      <c r="L124" s="38">
        <f t="shared" si="20"/>
        <v>47695</v>
      </c>
      <c r="M124" s="245">
        <f t="shared" si="21"/>
        <v>55</v>
      </c>
      <c r="N124" s="246">
        <f t="shared" si="22"/>
        <v>3</v>
      </c>
      <c r="O124" s="204">
        <f t="shared" si="18"/>
        <v>22</v>
      </c>
      <c r="Q124" s="245">
        <f t="shared" si="25"/>
        <v>55</v>
      </c>
      <c r="R124" s="246">
        <f t="shared" si="25"/>
        <v>3</v>
      </c>
      <c r="S124" s="204">
        <f t="shared" si="15"/>
        <v>22</v>
      </c>
      <c r="T124" s="245">
        <f t="shared" si="25"/>
        <v>55</v>
      </c>
      <c r="U124" s="246">
        <f t="shared" si="25"/>
        <v>3</v>
      </c>
      <c r="V124" s="204">
        <f t="shared" si="16"/>
        <v>22</v>
      </c>
      <c r="W124" s="245">
        <f t="shared" si="25"/>
        <v>55</v>
      </c>
      <c r="X124" s="246">
        <f t="shared" si="25"/>
        <v>3</v>
      </c>
      <c r="Y124" s="204">
        <f t="shared" si="17"/>
        <v>22</v>
      </c>
    </row>
    <row r="125" spans="12:25" x14ac:dyDescent="0.25">
      <c r="L125" s="38">
        <f t="shared" si="20"/>
        <v>47726</v>
      </c>
      <c r="M125" s="245">
        <f t="shared" si="21"/>
        <v>55</v>
      </c>
      <c r="N125" s="246">
        <f t="shared" si="22"/>
        <v>3</v>
      </c>
      <c r="O125" s="204">
        <f t="shared" si="18"/>
        <v>22</v>
      </c>
      <c r="Q125" s="245">
        <f t="shared" si="25"/>
        <v>55</v>
      </c>
      <c r="R125" s="246">
        <f t="shared" si="25"/>
        <v>3</v>
      </c>
      <c r="S125" s="204">
        <f t="shared" si="15"/>
        <v>22</v>
      </c>
      <c r="T125" s="245">
        <f t="shared" si="25"/>
        <v>55</v>
      </c>
      <c r="U125" s="246">
        <f t="shared" si="25"/>
        <v>3</v>
      </c>
      <c r="V125" s="204">
        <f t="shared" si="16"/>
        <v>22</v>
      </c>
      <c r="W125" s="245">
        <f t="shared" si="25"/>
        <v>55</v>
      </c>
      <c r="X125" s="246">
        <f t="shared" si="25"/>
        <v>3</v>
      </c>
      <c r="Y125" s="204">
        <f t="shared" si="17"/>
        <v>22</v>
      </c>
    </row>
    <row r="126" spans="12:25" x14ac:dyDescent="0.25">
      <c r="L126" s="38">
        <f t="shared" si="20"/>
        <v>47756</v>
      </c>
      <c r="M126" s="245">
        <f t="shared" si="21"/>
        <v>55</v>
      </c>
      <c r="N126" s="246">
        <f t="shared" si="22"/>
        <v>3</v>
      </c>
      <c r="O126" s="204">
        <f t="shared" si="18"/>
        <v>22</v>
      </c>
      <c r="Q126" s="245">
        <f t="shared" si="25"/>
        <v>55</v>
      </c>
      <c r="R126" s="246">
        <f t="shared" si="25"/>
        <v>3</v>
      </c>
      <c r="S126" s="204">
        <f t="shared" si="15"/>
        <v>22</v>
      </c>
      <c r="T126" s="245">
        <f t="shared" si="25"/>
        <v>55</v>
      </c>
      <c r="U126" s="246">
        <f t="shared" si="25"/>
        <v>3</v>
      </c>
      <c r="V126" s="204">
        <f t="shared" si="16"/>
        <v>22</v>
      </c>
      <c r="W126" s="245">
        <f t="shared" si="25"/>
        <v>55</v>
      </c>
      <c r="X126" s="246">
        <f t="shared" si="25"/>
        <v>3</v>
      </c>
      <c r="Y126" s="204">
        <f t="shared" si="17"/>
        <v>22</v>
      </c>
    </row>
    <row r="127" spans="12:25" x14ac:dyDescent="0.25">
      <c r="L127" s="38">
        <f t="shared" si="20"/>
        <v>47787</v>
      </c>
      <c r="M127" s="245">
        <f t="shared" si="21"/>
        <v>55</v>
      </c>
      <c r="N127" s="246">
        <f t="shared" si="22"/>
        <v>3</v>
      </c>
      <c r="O127" s="204">
        <f t="shared" si="18"/>
        <v>22</v>
      </c>
      <c r="Q127" s="245">
        <f t="shared" si="25"/>
        <v>55</v>
      </c>
      <c r="R127" s="246">
        <f t="shared" si="25"/>
        <v>3</v>
      </c>
      <c r="S127" s="204">
        <f t="shared" si="15"/>
        <v>22</v>
      </c>
      <c r="T127" s="245">
        <f t="shared" si="25"/>
        <v>55</v>
      </c>
      <c r="U127" s="246">
        <f t="shared" si="25"/>
        <v>3</v>
      </c>
      <c r="V127" s="204">
        <f t="shared" si="16"/>
        <v>22</v>
      </c>
      <c r="W127" s="245">
        <f t="shared" si="25"/>
        <v>55</v>
      </c>
      <c r="X127" s="246">
        <f t="shared" si="25"/>
        <v>3</v>
      </c>
      <c r="Y127" s="204">
        <f t="shared" si="17"/>
        <v>22</v>
      </c>
    </row>
    <row r="128" spans="12:25" x14ac:dyDescent="0.25">
      <c r="L128" s="38">
        <f t="shared" si="20"/>
        <v>47817</v>
      </c>
      <c r="M128" s="245">
        <f t="shared" si="21"/>
        <v>55</v>
      </c>
      <c r="N128" s="246">
        <f t="shared" si="22"/>
        <v>3</v>
      </c>
      <c r="O128" s="204">
        <f t="shared" si="18"/>
        <v>22</v>
      </c>
      <c r="Q128" s="245">
        <f t="shared" si="25"/>
        <v>55</v>
      </c>
      <c r="R128" s="246">
        <f t="shared" si="25"/>
        <v>3</v>
      </c>
      <c r="S128" s="204">
        <f t="shared" si="15"/>
        <v>22</v>
      </c>
      <c r="T128" s="245">
        <f t="shared" si="25"/>
        <v>55</v>
      </c>
      <c r="U128" s="246">
        <f t="shared" si="25"/>
        <v>3</v>
      </c>
      <c r="V128" s="204">
        <f t="shared" si="16"/>
        <v>22</v>
      </c>
      <c r="W128" s="245">
        <f t="shared" si="25"/>
        <v>55</v>
      </c>
      <c r="X128" s="246">
        <f t="shared" si="25"/>
        <v>3</v>
      </c>
      <c r="Y128" s="204">
        <f t="shared" si="17"/>
        <v>22</v>
      </c>
    </row>
    <row r="129" spans="12:25" x14ac:dyDescent="0.25">
      <c r="L129" s="38">
        <f t="shared" si="20"/>
        <v>47848</v>
      </c>
      <c r="M129" s="245">
        <f t="shared" si="21"/>
        <v>55</v>
      </c>
      <c r="N129" s="246">
        <f t="shared" si="22"/>
        <v>3</v>
      </c>
      <c r="O129" s="204">
        <f t="shared" si="18"/>
        <v>22</v>
      </c>
      <c r="Q129" s="245">
        <f t="shared" si="25"/>
        <v>55</v>
      </c>
      <c r="R129" s="246">
        <f t="shared" si="25"/>
        <v>3</v>
      </c>
      <c r="S129" s="204">
        <f t="shared" si="15"/>
        <v>22</v>
      </c>
      <c r="T129" s="245">
        <f t="shared" si="25"/>
        <v>55</v>
      </c>
      <c r="U129" s="246">
        <f t="shared" si="25"/>
        <v>3</v>
      </c>
      <c r="V129" s="204">
        <f t="shared" si="16"/>
        <v>22</v>
      </c>
      <c r="W129" s="245">
        <f t="shared" si="25"/>
        <v>55</v>
      </c>
      <c r="X129" s="246">
        <f t="shared" si="25"/>
        <v>3</v>
      </c>
      <c r="Y129" s="204">
        <f t="shared" si="17"/>
        <v>22</v>
      </c>
    </row>
    <row r="130" spans="12:25" x14ac:dyDescent="0.25">
      <c r="L130" s="38">
        <f t="shared" si="20"/>
        <v>47879</v>
      </c>
      <c r="M130" s="245">
        <f t="shared" si="21"/>
        <v>55</v>
      </c>
      <c r="N130" s="246">
        <f t="shared" si="22"/>
        <v>3</v>
      </c>
      <c r="O130" s="204">
        <f t="shared" si="18"/>
        <v>22</v>
      </c>
      <c r="Q130" s="245">
        <f t="shared" si="25"/>
        <v>55</v>
      </c>
      <c r="R130" s="246">
        <f t="shared" si="25"/>
        <v>3</v>
      </c>
      <c r="S130" s="204">
        <f t="shared" si="15"/>
        <v>22</v>
      </c>
      <c r="T130" s="245">
        <f t="shared" si="25"/>
        <v>55</v>
      </c>
      <c r="U130" s="246">
        <f t="shared" si="25"/>
        <v>3</v>
      </c>
      <c r="V130" s="204">
        <f t="shared" si="16"/>
        <v>22</v>
      </c>
      <c r="W130" s="245">
        <f t="shared" si="25"/>
        <v>55</v>
      </c>
      <c r="X130" s="246">
        <f t="shared" si="25"/>
        <v>3</v>
      </c>
      <c r="Y130" s="204">
        <f t="shared" si="17"/>
        <v>22</v>
      </c>
    </row>
    <row r="131" spans="12:25" x14ac:dyDescent="0.25">
      <c r="L131" s="38">
        <f t="shared" si="20"/>
        <v>47907</v>
      </c>
      <c r="M131" s="245">
        <f t="shared" si="21"/>
        <v>55</v>
      </c>
      <c r="N131" s="246">
        <f t="shared" si="22"/>
        <v>3</v>
      </c>
      <c r="O131" s="204">
        <f t="shared" si="18"/>
        <v>22</v>
      </c>
      <c r="Q131" s="245">
        <f t="shared" si="25"/>
        <v>55</v>
      </c>
      <c r="R131" s="246">
        <f t="shared" si="25"/>
        <v>3</v>
      </c>
      <c r="S131" s="204">
        <f t="shared" si="15"/>
        <v>22</v>
      </c>
      <c r="T131" s="245">
        <f t="shared" si="25"/>
        <v>55</v>
      </c>
      <c r="U131" s="246">
        <f t="shared" si="25"/>
        <v>3</v>
      </c>
      <c r="V131" s="204">
        <f t="shared" si="16"/>
        <v>22</v>
      </c>
      <c r="W131" s="245">
        <f t="shared" si="25"/>
        <v>55</v>
      </c>
      <c r="X131" s="246">
        <f t="shared" si="25"/>
        <v>3</v>
      </c>
      <c r="Y131" s="204">
        <f t="shared" si="17"/>
        <v>22</v>
      </c>
    </row>
    <row r="132" spans="12:25" x14ac:dyDescent="0.25">
      <c r="L132" s="38">
        <f t="shared" si="20"/>
        <v>47938</v>
      </c>
      <c r="M132" s="245">
        <f t="shared" si="21"/>
        <v>55</v>
      </c>
      <c r="N132" s="246">
        <f t="shared" si="22"/>
        <v>3</v>
      </c>
      <c r="O132" s="204">
        <f t="shared" si="18"/>
        <v>22</v>
      </c>
      <c r="Q132" s="245">
        <f t="shared" si="25"/>
        <v>55</v>
      </c>
      <c r="R132" s="246">
        <f t="shared" si="25"/>
        <v>3</v>
      </c>
      <c r="S132" s="204">
        <f t="shared" si="15"/>
        <v>22</v>
      </c>
      <c r="T132" s="245">
        <f t="shared" si="25"/>
        <v>55</v>
      </c>
      <c r="U132" s="246">
        <f t="shared" si="25"/>
        <v>3</v>
      </c>
      <c r="V132" s="204">
        <f t="shared" si="16"/>
        <v>22</v>
      </c>
      <c r="W132" s="245">
        <f t="shared" si="25"/>
        <v>55</v>
      </c>
      <c r="X132" s="246">
        <f t="shared" si="25"/>
        <v>3</v>
      </c>
      <c r="Y132" s="204">
        <f t="shared" si="17"/>
        <v>22</v>
      </c>
    </row>
    <row r="133" spans="12:25" x14ac:dyDescent="0.25">
      <c r="L133" s="38">
        <f t="shared" si="20"/>
        <v>47968</v>
      </c>
      <c r="M133" s="245">
        <f t="shared" si="21"/>
        <v>55</v>
      </c>
      <c r="N133" s="246">
        <f t="shared" si="22"/>
        <v>3</v>
      </c>
      <c r="O133" s="204">
        <f t="shared" si="18"/>
        <v>22</v>
      </c>
      <c r="Q133" s="245">
        <f t="shared" si="25"/>
        <v>55</v>
      </c>
      <c r="R133" s="246">
        <f t="shared" si="25"/>
        <v>3</v>
      </c>
      <c r="S133" s="204">
        <f t="shared" si="15"/>
        <v>22</v>
      </c>
      <c r="T133" s="245">
        <f t="shared" si="25"/>
        <v>55</v>
      </c>
      <c r="U133" s="246">
        <f t="shared" si="25"/>
        <v>3</v>
      </c>
      <c r="V133" s="204">
        <f t="shared" si="16"/>
        <v>22</v>
      </c>
      <c r="W133" s="245">
        <f t="shared" si="25"/>
        <v>55</v>
      </c>
      <c r="X133" s="246">
        <f t="shared" si="25"/>
        <v>3</v>
      </c>
      <c r="Y133" s="204">
        <f t="shared" si="17"/>
        <v>22</v>
      </c>
    </row>
    <row r="134" spans="12:25" x14ac:dyDescent="0.25">
      <c r="L134" s="38">
        <f t="shared" si="20"/>
        <v>47999</v>
      </c>
      <c r="M134" s="245">
        <f t="shared" si="21"/>
        <v>55</v>
      </c>
      <c r="N134" s="246">
        <f t="shared" si="22"/>
        <v>3</v>
      </c>
      <c r="O134" s="204">
        <f t="shared" si="18"/>
        <v>22</v>
      </c>
      <c r="Q134" s="245">
        <f t="shared" si="25"/>
        <v>55</v>
      </c>
      <c r="R134" s="246">
        <f t="shared" si="25"/>
        <v>3</v>
      </c>
      <c r="S134" s="204">
        <f t="shared" si="15"/>
        <v>22</v>
      </c>
      <c r="T134" s="245">
        <f t="shared" si="25"/>
        <v>55</v>
      </c>
      <c r="U134" s="246">
        <f t="shared" si="25"/>
        <v>3</v>
      </c>
      <c r="V134" s="204">
        <f t="shared" si="16"/>
        <v>22</v>
      </c>
      <c r="W134" s="245">
        <f t="shared" si="25"/>
        <v>55</v>
      </c>
      <c r="X134" s="246">
        <f t="shared" si="25"/>
        <v>3</v>
      </c>
      <c r="Y134" s="204">
        <f t="shared" si="17"/>
        <v>22</v>
      </c>
    </row>
    <row r="135" spans="12:25" x14ac:dyDescent="0.25">
      <c r="L135" s="38">
        <f t="shared" si="20"/>
        <v>48029</v>
      </c>
      <c r="M135" s="245">
        <f t="shared" si="21"/>
        <v>55</v>
      </c>
      <c r="N135" s="246">
        <f t="shared" si="22"/>
        <v>3</v>
      </c>
      <c r="O135" s="204">
        <f t="shared" si="18"/>
        <v>22</v>
      </c>
      <c r="Q135" s="245">
        <f t="shared" si="25"/>
        <v>55</v>
      </c>
      <c r="R135" s="246">
        <f t="shared" si="25"/>
        <v>3</v>
      </c>
      <c r="S135" s="204">
        <f t="shared" si="15"/>
        <v>22</v>
      </c>
      <c r="T135" s="245">
        <f t="shared" si="25"/>
        <v>55</v>
      </c>
      <c r="U135" s="246">
        <f t="shared" si="25"/>
        <v>3</v>
      </c>
      <c r="V135" s="204">
        <f t="shared" si="16"/>
        <v>22</v>
      </c>
      <c r="W135" s="245">
        <f t="shared" si="25"/>
        <v>55</v>
      </c>
      <c r="X135" s="246">
        <f t="shared" si="25"/>
        <v>3</v>
      </c>
      <c r="Y135" s="204">
        <f t="shared" si="17"/>
        <v>22</v>
      </c>
    </row>
    <row r="136" spans="12:25" x14ac:dyDescent="0.25">
      <c r="L136" s="38">
        <f t="shared" si="20"/>
        <v>48060</v>
      </c>
      <c r="M136" s="245">
        <f t="shared" si="21"/>
        <v>55</v>
      </c>
      <c r="N136" s="246">
        <f t="shared" si="22"/>
        <v>3</v>
      </c>
      <c r="O136" s="204">
        <f t="shared" si="18"/>
        <v>22</v>
      </c>
      <c r="Q136" s="245">
        <f t="shared" si="25"/>
        <v>55</v>
      </c>
      <c r="R136" s="246">
        <f t="shared" si="25"/>
        <v>3</v>
      </c>
      <c r="S136" s="204">
        <f t="shared" si="15"/>
        <v>22</v>
      </c>
      <c r="T136" s="245">
        <f t="shared" si="25"/>
        <v>55</v>
      </c>
      <c r="U136" s="246">
        <f t="shared" si="25"/>
        <v>3</v>
      </c>
      <c r="V136" s="204">
        <f t="shared" si="16"/>
        <v>22</v>
      </c>
      <c r="W136" s="245">
        <f t="shared" si="25"/>
        <v>55</v>
      </c>
      <c r="X136" s="246">
        <f t="shared" si="25"/>
        <v>3</v>
      </c>
      <c r="Y136" s="204">
        <f t="shared" si="17"/>
        <v>22</v>
      </c>
    </row>
    <row r="137" spans="12:25" x14ac:dyDescent="0.25">
      <c r="L137" s="38">
        <f t="shared" si="20"/>
        <v>48091</v>
      </c>
      <c r="M137" s="245">
        <f t="shared" si="21"/>
        <v>55</v>
      </c>
      <c r="N137" s="246">
        <f t="shared" si="22"/>
        <v>3</v>
      </c>
      <c r="O137" s="204">
        <f t="shared" si="18"/>
        <v>22</v>
      </c>
      <c r="Q137" s="245">
        <f t="shared" si="25"/>
        <v>55</v>
      </c>
      <c r="R137" s="246">
        <f t="shared" si="25"/>
        <v>3</v>
      </c>
      <c r="S137" s="204">
        <f t="shared" si="15"/>
        <v>22</v>
      </c>
      <c r="T137" s="245">
        <f t="shared" si="25"/>
        <v>55</v>
      </c>
      <c r="U137" s="246">
        <f t="shared" si="25"/>
        <v>3</v>
      </c>
      <c r="V137" s="204">
        <f t="shared" si="16"/>
        <v>22</v>
      </c>
      <c r="W137" s="245">
        <f t="shared" si="25"/>
        <v>55</v>
      </c>
      <c r="X137" s="246">
        <f t="shared" si="25"/>
        <v>3</v>
      </c>
      <c r="Y137" s="204">
        <f t="shared" si="17"/>
        <v>22</v>
      </c>
    </row>
    <row r="138" spans="12:25" x14ac:dyDescent="0.25">
      <c r="L138" s="38">
        <f t="shared" si="20"/>
        <v>48121</v>
      </c>
      <c r="M138" s="245">
        <f t="shared" si="21"/>
        <v>55</v>
      </c>
      <c r="N138" s="246">
        <f t="shared" si="22"/>
        <v>3</v>
      </c>
      <c r="O138" s="204">
        <f t="shared" si="18"/>
        <v>22</v>
      </c>
      <c r="Q138" s="245">
        <f t="shared" si="25"/>
        <v>55</v>
      </c>
      <c r="R138" s="246">
        <f t="shared" si="25"/>
        <v>3</v>
      </c>
      <c r="S138" s="204">
        <f t="shared" ref="S138:S201" si="26">(1+pdiff_ngl)*Q138</f>
        <v>22</v>
      </c>
      <c r="T138" s="245">
        <f t="shared" si="25"/>
        <v>55</v>
      </c>
      <c r="U138" s="246">
        <f t="shared" si="25"/>
        <v>3</v>
      </c>
      <c r="V138" s="204">
        <f t="shared" ref="V138:V201" si="27">(1+pdiff_ngl)*T138</f>
        <v>22</v>
      </c>
      <c r="W138" s="245">
        <f t="shared" si="25"/>
        <v>55</v>
      </c>
      <c r="X138" s="246">
        <f t="shared" si="25"/>
        <v>3</v>
      </c>
      <c r="Y138" s="204">
        <f t="shared" ref="Y138:Y201" si="28">(1+pdiff_ngl)*W138</f>
        <v>22</v>
      </c>
    </row>
    <row r="139" spans="12:25" x14ac:dyDescent="0.25">
      <c r="L139" s="38">
        <f t="shared" si="20"/>
        <v>48152</v>
      </c>
      <c r="M139" s="245">
        <f t="shared" si="21"/>
        <v>55</v>
      </c>
      <c r="N139" s="246">
        <f t="shared" si="22"/>
        <v>3</v>
      </c>
      <c r="O139" s="204">
        <f t="shared" ref="O139:O202" si="29">(1+pdiff_ngl)*mult_oilprice*M139</f>
        <v>22</v>
      </c>
      <c r="Q139" s="245">
        <f t="shared" ref="Q139:X154" si="30">Q138</f>
        <v>55</v>
      </c>
      <c r="R139" s="246">
        <f t="shared" si="30"/>
        <v>3</v>
      </c>
      <c r="S139" s="204">
        <f t="shared" si="26"/>
        <v>22</v>
      </c>
      <c r="T139" s="245">
        <f t="shared" si="30"/>
        <v>55</v>
      </c>
      <c r="U139" s="246">
        <f t="shared" si="30"/>
        <v>3</v>
      </c>
      <c r="V139" s="204">
        <f t="shared" si="27"/>
        <v>22</v>
      </c>
      <c r="W139" s="245">
        <f t="shared" si="30"/>
        <v>55</v>
      </c>
      <c r="X139" s="246">
        <f t="shared" si="30"/>
        <v>3</v>
      </c>
      <c r="Y139" s="204">
        <f t="shared" si="28"/>
        <v>22</v>
      </c>
    </row>
    <row r="140" spans="12:25" x14ac:dyDescent="0.25">
      <c r="L140" s="38">
        <f t="shared" ref="L140:L203" si="31">EOMONTH(L139,1)</f>
        <v>48182</v>
      </c>
      <c r="M140" s="245">
        <f t="shared" ref="M140:M203" si="32">M139</f>
        <v>55</v>
      </c>
      <c r="N140" s="246">
        <f t="shared" ref="N140:N203" si="33">N139</f>
        <v>3</v>
      </c>
      <c r="O140" s="204">
        <f t="shared" si="29"/>
        <v>22</v>
      </c>
      <c r="Q140" s="245">
        <f t="shared" si="30"/>
        <v>55</v>
      </c>
      <c r="R140" s="246">
        <f t="shared" si="30"/>
        <v>3</v>
      </c>
      <c r="S140" s="204">
        <f t="shared" si="26"/>
        <v>22</v>
      </c>
      <c r="T140" s="245">
        <f t="shared" si="30"/>
        <v>55</v>
      </c>
      <c r="U140" s="246">
        <f t="shared" si="30"/>
        <v>3</v>
      </c>
      <c r="V140" s="204">
        <f t="shared" si="27"/>
        <v>22</v>
      </c>
      <c r="W140" s="245">
        <f t="shared" si="30"/>
        <v>55</v>
      </c>
      <c r="X140" s="246">
        <f t="shared" si="30"/>
        <v>3</v>
      </c>
      <c r="Y140" s="204">
        <f t="shared" si="28"/>
        <v>22</v>
      </c>
    </row>
    <row r="141" spans="12:25" x14ac:dyDescent="0.25">
      <c r="L141" s="38">
        <f t="shared" si="31"/>
        <v>48213</v>
      </c>
      <c r="M141" s="245">
        <f t="shared" si="32"/>
        <v>55</v>
      </c>
      <c r="N141" s="246">
        <f t="shared" si="33"/>
        <v>3</v>
      </c>
      <c r="O141" s="204">
        <f t="shared" si="29"/>
        <v>22</v>
      </c>
      <c r="Q141" s="245">
        <f t="shared" si="30"/>
        <v>55</v>
      </c>
      <c r="R141" s="246">
        <f t="shared" si="30"/>
        <v>3</v>
      </c>
      <c r="S141" s="204">
        <f t="shared" si="26"/>
        <v>22</v>
      </c>
      <c r="T141" s="245">
        <f t="shared" si="30"/>
        <v>55</v>
      </c>
      <c r="U141" s="246">
        <f t="shared" si="30"/>
        <v>3</v>
      </c>
      <c r="V141" s="204">
        <f t="shared" si="27"/>
        <v>22</v>
      </c>
      <c r="W141" s="245">
        <f t="shared" si="30"/>
        <v>55</v>
      </c>
      <c r="X141" s="246">
        <f t="shared" si="30"/>
        <v>3</v>
      </c>
      <c r="Y141" s="204">
        <f t="shared" si="28"/>
        <v>22</v>
      </c>
    </row>
    <row r="142" spans="12:25" x14ac:dyDescent="0.25">
      <c r="L142" s="38">
        <f t="shared" si="31"/>
        <v>48244</v>
      </c>
      <c r="M142" s="245">
        <f t="shared" si="32"/>
        <v>55</v>
      </c>
      <c r="N142" s="246">
        <f t="shared" si="33"/>
        <v>3</v>
      </c>
      <c r="O142" s="204">
        <f t="shared" si="29"/>
        <v>22</v>
      </c>
      <c r="Q142" s="245">
        <f t="shared" si="30"/>
        <v>55</v>
      </c>
      <c r="R142" s="246">
        <f t="shared" si="30"/>
        <v>3</v>
      </c>
      <c r="S142" s="204">
        <f t="shared" si="26"/>
        <v>22</v>
      </c>
      <c r="T142" s="245">
        <f t="shared" si="30"/>
        <v>55</v>
      </c>
      <c r="U142" s="246">
        <f t="shared" si="30"/>
        <v>3</v>
      </c>
      <c r="V142" s="204">
        <f t="shared" si="27"/>
        <v>22</v>
      </c>
      <c r="W142" s="245">
        <f t="shared" si="30"/>
        <v>55</v>
      </c>
      <c r="X142" s="246">
        <f t="shared" si="30"/>
        <v>3</v>
      </c>
      <c r="Y142" s="204">
        <f t="shared" si="28"/>
        <v>22</v>
      </c>
    </row>
    <row r="143" spans="12:25" x14ac:dyDescent="0.25">
      <c r="L143" s="38">
        <f t="shared" si="31"/>
        <v>48273</v>
      </c>
      <c r="M143" s="245">
        <f t="shared" si="32"/>
        <v>55</v>
      </c>
      <c r="N143" s="246">
        <f t="shared" si="33"/>
        <v>3</v>
      </c>
      <c r="O143" s="204">
        <f t="shared" si="29"/>
        <v>22</v>
      </c>
      <c r="Q143" s="245">
        <f t="shared" si="30"/>
        <v>55</v>
      </c>
      <c r="R143" s="246">
        <f t="shared" si="30"/>
        <v>3</v>
      </c>
      <c r="S143" s="204">
        <f t="shared" si="26"/>
        <v>22</v>
      </c>
      <c r="T143" s="245">
        <f t="shared" si="30"/>
        <v>55</v>
      </c>
      <c r="U143" s="246">
        <f t="shared" si="30"/>
        <v>3</v>
      </c>
      <c r="V143" s="204">
        <f t="shared" si="27"/>
        <v>22</v>
      </c>
      <c r="W143" s="245">
        <f t="shared" si="30"/>
        <v>55</v>
      </c>
      <c r="X143" s="246">
        <f t="shared" si="30"/>
        <v>3</v>
      </c>
      <c r="Y143" s="204">
        <f t="shared" si="28"/>
        <v>22</v>
      </c>
    </row>
    <row r="144" spans="12:25" x14ac:dyDescent="0.25">
      <c r="L144" s="38">
        <f t="shared" si="31"/>
        <v>48304</v>
      </c>
      <c r="M144" s="245">
        <f t="shared" si="32"/>
        <v>55</v>
      </c>
      <c r="N144" s="246">
        <f t="shared" si="33"/>
        <v>3</v>
      </c>
      <c r="O144" s="204">
        <f t="shared" si="29"/>
        <v>22</v>
      </c>
      <c r="Q144" s="245">
        <f t="shared" si="30"/>
        <v>55</v>
      </c>
      <c r="R144" s="246">
        <f t="shared" si="30"/>
        <v>3</v>
      </c>
      <c r="S144" s="204">
        <f t="shared" si="26"/>
        <v>22</v>
      </c>
      <c r="T144" s="245">
        <f t="shared" si="30"/>
        <v>55</v>
      </c>
      <c r="U144" s="246">
        <f t="shared" si="30"/>
        <v>3</v>
      </c>
      <c r="V144" s="204">
        <f t="shared" si="27"/>
        <v>22</v>
      </c>
      <c r="W144" s="245">
        <f t="shared" si="30"/>
        <v>55</v>
      </c>
      <c r="X144" s="246">
        <f t="shared" si="30"/>
        <v>3</v>
      </c>
      <c r="Y144" s="204">
        <f t="shared" si="28"/>
        <v>22</v>
      </c>
    </row>
    <row r="145" spans="12:25" x14ac:dyDescent="0.25">
      <c r="L145" s="38">
        <f t="shared" si="31"/>
        <v>48334</v>
      </c>
      <c r="M145" s="245">
        <f t="shared" si="32"/>
        <v>55</v>
      </c>
      <c r="N145" s="246">
        <f t="shared" si="33"/>
        <v>3</v>
      </c>
      <c r="O145" s="204">
        <f t="shared" si="29"/>
        <v>22</v>
      </c>
      <c r="Q145" s="245">
        <f t="shared" si="30"/>
        <v>55</v>
      </c>
      <c r="R145" s="246">
        <f t="shared" si="30"/>
        <v>3</v>
      </c>
      <c r="S145" s="204">
        <f t="shared" si="26"/>
        <v>22</v>
      </c>
      <c r="T145" s="245">
        <f t="shared" si="30"/>
        <v>55</v>
      </c>
      <c r="U145" s="246">
        <f t="shared" si="30"/>
        <v>3</v>
      </c>
      <c r="V145" s="204">
        <f t="shared" si="27"/>
        <v>22</v>
      </c>
      <c r="W145" s="245">
        <f t="shared" si="30"/>
        <v>55</v>
      </c>
      <c r="X145" s="246">
        <f t="shared" si="30"/>
        <v>3</v>
      </c>
      <c r="Y145" s="204">
        <f t="shared" si="28"/>
        <v>22</v>
      </c>
    </row>
    <row r="146" spans="12:25" x14ac:dyDescent="0.25">
      <c r="L146" s="38">
        <f t="shared" si="31"/>
        <v>48365</v>
      </c>
      <c r="M146" s="245">
        <f t="shared" si="32"/>
        <v>55</v>
      </c>
      <c r="N146" s="246">
        <f t="shared" si="33"/>
        <v>3</v>
      </c>
      <c r="O146" s="204">
        <f t="shared" si="29"/>
        <v>22</v>
      </c>
      <c r="Q146" s="245">
        <f t="shared" si="30"/>
        <v>55</v>
      </c>
      <c r="R146" s="246">
        <f t="shared" si="30"/>
        <v>3</v>
      </c>
      <c r="S146" s="204">
        <f t="shared" si="26"/>
        <v>22</v>
      </c>
      <c r="T146" s="245">
        <f t="shared" si="30"/>
        <v>55</v>
      </c>
      <c r="U146" s="246">
        <f t="shared" si="30"/>
        <v>3</v>
      </c>
      <c r="V146" s="204">
        <f t="shared" si="27"/>
        <v>22</v>
      </c>
      <c r="W146" s="245">
        <f t="shared" si="30"/>
        <v>55</v>
      </c>
      <c r="X146" s="246">
        <f t="shared" si="30"/>
        <v>3</v>
      </c>
      <c r="Y146" s="204">
        <f t="shared" si="28"/>
        <v>22</v>
      </c>
    </row>
    <row r="147" spans="12:25" x14ac:dyDescent="0.25">
      <c r="L147" s="38">
        <f t="shared" si="31"/>
        <v>48395</v>
      </c>
      <c r="M147" s="245">
        <f t="shared" si="32"/>
        <v>55</v>
      </c>
      <c r="N147" s="246">
        <f t="shared" si="33"/>
        <v>3</v>
      </c>
      <c r="O147" s="204">
        <f t="shared" si="29"/>
        <v>22</v>
      </c>
      <c r="Q147" s="245">
        <f t="shared" si="30"/>
        <v>55</v>
      </c>
      <c r="R147" s="246">
        <f t="shared" si="30"/>
        <v>3</v>
      </c>
      <c r="S147" s="204">
        <f t="shared" si="26"/>
        <v>22</v>
      </c>
      <c r="T147" s="245">
        <f t="shared" si="30"/>
        <v>55</v>
      </c>
      <c r="U147" s="246">
        <f t="shared" si="30"/>
        <v>3</v>
      </c>
      <c r="V147" s="204">
        <f t="shared" si="27"/>
        <v>22</v>
      </c>
      <c r="W147" s="245">
        <f t="shared" si="30"/>
        <v>55</v>
      </c>
      <c r="X147" s="246">
        <f t="shared" si="30"/>
        <v>3</v>
      </c>
      <c r="Y147" s="204">
        <f t="shared" si="28"/>
        <v>22</v>
      </c>
    </row>
    <row r="148" spans="12:25" x14ac:dyDescent="0.25">
      <c r="L148" s="38">
        <f t="shared" si="31"/>
        <v>48426</v>
      </c>
      <c r="M148" s="245">
        <f t="shared" si="32"/>
        <v>55</v>
      </c>
      <c r="N148" s="246">
        <f t="shared" si="33"/>
        <v>3</v>
      </c>
      <c r="O148" s="204">
        <f t="shared" si="29"/>
        <v>22</v>
      </c>
      <c r="Q148" s="245">
        <f t="shared" si="30"/>
        <v>55</v>
      </c>
      <c r="R148" s="246">
        <f t="shared" si="30"/>
        <v>3</v>
      </c>
      <c r="S148" s="204">
        <f t="shared" si="26"/>
        <v>22</v>
      </c>
      <c r="T148" s="245">
        <f t="shared" si="30"/>
        <v>55</v>
      </c>
      <c r="U148" s="246">
        <f t="shared" si="30"/>
        <v>3</v>
      </c>
      <c r="V148" s="204">
        <f t="shared" si="27"/>
        <v>22</v>
      </c>
      <c r="W148" s="245">
        <f t="shared" si="30"/>
        <v>55</v>
      </c>
      <c r="X148" s="246">
        <f t="shared" si="30"/>
        <v>3</v>
      </c>
      <c r="Y148" s="204">
        <f t="shared" si="28"/>
        <v>22</v>
      </c>
    </row>
    <row r="149" spans="12:25" x14ac:dyDescent="0.25">
      <c r="L149" s="38">
        <f t="shared" si="31"/>
        <v>48457</v>
      </c>
      <c r="M149" s="245">
        <f t="shared" si="32"/>
        <v>55</v>
      </c>
      <c r="N149" s="246">
        <f t="shared" si="33"/>
        <v>3</v>
      </c>
      <c r="O149" s="204">
        <f t="shared" si="29"/>
        <v>22</v>
      </c>
      <c r="Q149" s="245">
        <f t="shared" si="30"/>
        <v>55</v>
      </c>
      <c r="R149" s="246">
        <f t="shared" si="30"/>
        <v>3</v>
      </c>
      <c r="S149" s="204">
        <f t="shared" si="26"/>
        <v>22</v>
      </c>
      <c r="T149" s="245">
        <f t="shared" si="30"/>
        <v>55</v>
      </c>
      <c r="U149" s="246">
        <f t="shared" si="30"/>
        <v>3</v>
      </c>
      <c r="V149" s="204">
        <f t="shared" si="27"/>
        <v>22</v>
      </c>
      <c r="W149" s="245">
        <f t="shared" si="30"/>
        <v>55</v>
      </c>
      <c r="X149" s="246">
        <f t="shared" si="30"/>
        <v>3</v>
      </c>
      <c r="Y149" s="204">
        <f t="shared" si="28"/>
        <v>22</v>
      </c>
    </row>
    <row r="150" spans="12:25" x14ac:dyDescent="0.25">
      <c r="L150" s="38">
        <f t="shared" si="31"/>
        <v>48487</v>
      </c>
      <c r="M150" s="245">
        <f t="shared" si="32"/>
        <v>55</v>
      </c>
      <c r="N150" s="246">
        <f t="shared" si="33"/>
        <v>3</v>
      </c>
      <c r="O150" s="204">
        <f t="shared" si="29"/>
        <v>22</v>
      </c>
      <c r="Q150" s="245">
        <f t="shared" si="30"/>
        <v>55</v>
      </c>
      <c r="R150" s="246">
        <f t="shared" si="30"/>
        <v>3</v>
      </c>
      <c r="S150" s="204">
        <f t="shared" si="26"/>
        <v>22</v>
      </c>
      <c r="T150" s="245">
        <f t="shared" si="30"/>
        <v>55</v>
      </c>
      <c r="U150" s="246">
        <f t="shared" si="30"/>
        <v>3</v>
      </c>
      <c r="V150" s="204">
        <f t="shared" si="27"/>
        <v>22</v>
      </c>
      <c r="W150" s="245">
        <f t="shared" si="30"/>
        <v>55</v>
      </c>
      <c r="X150" s="246">
        <f t="shared" si="30"/>
        <v>3</v>
      </c>
      <c r="Y150" s="204">
        <f t="shared" si="28"/>
        <v>22</v>
      </c>
    </row>
    <row r="151" spans="12:25" x14ac:dyDescent="0.25">
      <c r="L151" s="38">
        <f t="shared" si="31"/>
        <v>48518</v>
      </c>
      <c r="M151" s="245">
        <f t="shared" si="32"/>
        <v>55</v>
      </c>
      <c r="N151" s="246">
        <f t="shared" si="33"/>
        <v>3</v>
      </c>
      <c r="O151" s="204">
        <f t="shared" si="29"/>
        <v>22</v>
      </c>
      <c r="Q151" s="245">
        <f t="shared" si="30"/>
        <v>55</v>
      </c>
      <c r="R151" s="246">
        <f t="shared" si="30"/>
        <v>3</v>
      </c>
      <c r="S151" s="204">
        <f t="shared" si="26"/>
        <v>22</v>
      </c>
      <c r="T151" s="245">
        <f t="shared" si="30"/>
        <v>55</v>
      </c>
      <c r="U151" s="246">
        <f t="shared" si="30"/>
        <v>3</v>
      </c>
      <c r="V151" s="204">
        <f t="shared" si="27"/>
        <v>22</v>
      </c>
      <c r="W151" s="245">
        <f t="shared" si="30"/>
        <v>55</v>
      </c>
      <c r="X151" s="246">
        <f t="shared" si="30"/>
        <v>3</v>
      </c>
      <c r="Y151" s="204">
        <f t="shared" si="28"/>
        <v>22</v>
      </c>
    </row>
    <row r="152" spans="12:25" x14ac:dyDescent="0.25">
      <c r="L152" s="38">
        <f t="shared" si="31"/>
        <v>48548</v>
      </c>
      <c r="M152" s="245">
        <f t="shared" si="32"/>
        <v>55</v>
      </c>
      <c r="N152" s="246">
        <f t="shared" si="33"/>
        <v>3</v>
      </c>
      <c r="O152" s="204">
        <f t="shared" si="29"/>
        <v>22</v>
      </c>
      <c r="Q152" s="245">
        <f t="shared" si="30"/>
        <v>55</v>
      </c>
      <c r="R152" s="246">
        <f t="shared" si="30"/>
        <v>3</v>
      </c>
      <c r="S152" s="204">
        <f t="shared" si="26"/>
        <v>22</v>
      </c>
      <c r="T152" s="245">
        <f t="shared" si="30"/>
        <v>55</v>
      </c>
      <c r="U152" s="246">
        <f t="shared" si="30"/>
        <v>3</v>
      </c>
      <c r="V152" s="204">
        <f t="shared" si="27"/>
        <v>22</v>
      </c>
      <c r="W152" s="245">
        <f t="shared" si="30"/>
        <v>55</v>
      </c>
      <c r="X152" s="246">
        <f t="shared" si="30"/>
        <v>3</v>
      </c>
      <c r="Y152" s="204">
        <f t="shared" si="28"/>
        <v>22</v>
      </c>
    </row>
    <row r="153" spans="12:25" x14ac:dyDescent="0.25">
      <c r="L153" s="38">
        <f t="shared" si="31"/>
        <v>48579</v>
      </c>
      <c r="M153" s="245">
        <f t="shared" si="32"/>
        <v>55</v>
      </c>
      <c r="N153" s="246">
        <f t="shared" si="33"/>
        <v>3</v>
      </c>
      <c r="O153" s="204">
        <f t="shared" si="29"/>
        <v>22</v>
      </c>
      <c r="Q153" s="245">
        <f t="shared" si="30"/>
        <v>55</v>
      </c>
      <c r="R153" s="246">
        <f t="shared" si="30"/>
        <v>3</v>
      </c>
      <c r="S153" s="204">
        <f t="shared" si="26"/>
        <v>22</v>
      </c>
      <c r="T153" s="245">
        <f t="shared" si="30"/>
        <v>55</v>
      </c>
      <c r="U153" s="246">
        <f t="shared" si="30"/>
        <v>3</v>
      </c>
      <c r="V153" s="204">
        <f t="shared" si="27"/>
        <v>22</v>
      </c>
      <c r="W153" s="245">
        <f t="shared" si="30"/>
        <v>55</v>
      </c>
      <c r="X153" s="246">
        <f t="shared" si="30"/>
        <v>3</v>
      </c>
      <c r="Y153" s="204">
        <f t="shared" si="28"/>
        <v>22</v>
      </c>
    </row>
    <row r="154" spans="12:25" x14ac:dyDescent="0.25">
      <c r="L154" s="38">
        <f t="shared" si="31"/>
        <v>48610</v>
      </c>
      <c r="M154" s="245">
        <f t="shared" si="32"/>
        <v>55</v>
      </c>
      <c r="N154" s="246">
        <f t="shared" si="33"/>
        <v>3</v>
      </c>
      <c r="O154" s="204">
        <f t="shared" si="29"/>
        <v>22</v>
      </c>
      <c r="Q154" s="245">
        <f t="shared" si="30"/>
        <v>55</v>
      </c>
      <c r="R154" s="246">
        <f t="shared" si="30"/>
        <v>3</v>
      </c>
      <c r="S154" s="204">
        <f t="shared" si="26"/>
        <v>22</v>
      </c>
      <c r="T154" s="245">
        <f t="shared" si="30"/>
        <v>55</v>
      </c>
      <c r="U154" s="246">
        <f t="shared" si="30"/>
        <v>3</v>
      </c>
      <c r="V154" s="204">
        <f t="shared" si="27"/>
        <v>22</v>
      </c>
      <c r="W154" s="245">
        <f t="shared" si="30"/>
        <v>55</v>
      </c>
      <c r="X154" s="246">
        <f t="shared" si="30"/>
        <v>3</v>
      </c>
      <c r="Y154" s="204">
        <f t="shared" si="28"/>
        <v>22</v>
      </c>
    </row>
    <row r="155" spans="12:25" x14ac:dyDescent="0.25">
      <c r="L155" s="38">
        <f t="shared" si="31"/>
        <v>48638</v>
      </c>
      <c r="M155" s="245">
        <f t="shared" si="32"/>
        <v>55</v>
      </c>
      <c r="N155" s="246">
        <f t="shared" si="33"/>
        <v>3</v>
      </c>
      <c r="O155" s="204">
        <f t="shared" si="29"/>
        <v>22</v>
      </c>
      <c r="Q155" s="245">
        <f t="shared" ref="Q155:X170" si="34">Q154</f>
        <v>55</v>
      </c>
      <c r="R155" s="246">
        <f t="shared" si="34"/>
        <v>3</v>
      </c>
      <c r="S155" s="204">
        <f t="shared" si="26"/>
        <v>22</v>
      </c>
      <c r="T155" s="245">
        <f t="shared" si="34"/>
        <v>55</v>
      </c>
      <c r="U155" s="246">
        <f t="shared" si="34"/>
        <v>3</v>
      </c>
      <c r="V155" s="204">
        <f t="shared" si="27"/>
        <v>22</v>
      </c>
      <c r="W155" s="245">
        <f t="shared" si="34"/>
        <v>55</v>
      </c>
      <c r="X155" s="246">
        <f t="shared" si="34"/>
        <v>3</v>
      </c>
      <c r="Y155" s="204">
        <f t="shared" si="28"/>
        <v>22</v>
      </c>
    </row>
    <row r="156" spans="12:25" x14ac:dyDescent="0.25">
      <c r="L156" s="38">
        <f t="shared" si="31"/>
        <v>48669</v>
      </c>
      <c r="M156" s="245">
        <f t="shared" si="32"/>
        <v>55</v>
      </c>
      <c r="N156" s="246">
        <f t="shared" si="33"/>
        <v>3</v>
      </c>
      <c r="O156" s="204">
        <f t="shared" si="29"/>
        <v>22</v>
      </c>
      <c r="Q156" s="245">
        <f t="shared" si="34"/>
        <v>55</v>
      </c>
      <c r="R156" s="246">
        <f t="shared" si="34"/>
        <v>3</v>
      </c>
      <c r="S156" s="204">
        <f t="shared" si="26"/>
        <v>22</v>
      </c>
      <c r="T156" s="245">
        <f t="shared" si="34"/>
        <v>55</v>
      </c>
      <c r="U156" s="246">
        <f t="shared" si="34"/>
        <v>3</v>
      </c>
      <c r="V156" s="204">
        <f t="shared" si="27"/>
        <v>22</v>
      </c>
      <c r="W156" s="245">
        <f t="shared" si="34"/>
        <v>55</v>
      </c>
      <c r="X156" s="246">
        <f t="shared" si="34"/>
        <v>3</v>
      </c>
      <c r="Y156" s="204">
        <f t="shared" si="28"/>
        <v>22</v>
      </c>
    </row>
    <row r="157" spans="12:25" x14ac:dyDescent="0.25">
      <c r="L157" s="38">
        <f t="shared" si="31"/>
        <v>48699</v>
      </c>
      <c r="M157" s="245">
        <f t="shared" si="32"/>
        <v>55</v>
      </c>
      <c r="N157" s="246">
        <f t="shared" si="33"/>
        <v>3</v>
      </c>
      <c r="O157" s="204">
        <f t="shared" si="29"/>
        <v>22</v>
      </c>
      <c r="Q157" s="245">
        <f t="shared" si="34"/>
        <v>55</v>
      </c>
      <c r="R157" s="246">
        <f t="shared" si="34"/>
        <v>3</v>
      </c>
      <c r="S157" s="204">
        <f t="shared" si="26"/>
        <v>22</v>
      </c>
      <c r="T157" s="245">
        <f t="shared" si="34"/>
        <v>55</v>
      </c>
      <c r="U157" s="246">
        <f t="shared" si="34"/>
        <v>3</v>
      </c>
      <c r="V157" s="204">
        <f t="shared" si="27"/>
        <v>22</v>
      </c>
      <c r="W157" s="245">
        <f t="shared" si="34"/>
        <v>55</v>
      </c>
      <c r="X157" s="246">
        <f t="shared" si="34"/>
        <v>3</v>
      </c>
      <c r="Y157" s="204">
        <f t="shared" si="28"/>
        <v>22</v>
      </c>
    </row>
    <row r="158" spans="12:25" x14ac:dyDescent="0.25">
      <c r="L158" s="38">
        <f t="shared" si="31"/>
        <v>48730</v>
      </c>
      <c r="M158" s="245">
        <f t="shared" si="32"/>
        <v>55</v>
      </c>
      <c r="N158" s="246">
        <f t="shared" si="33"/>
        <v>3</v>
      </c>
      <c r="O158" s="204">
        <f t="shared" si="29"/>
        <v>22</v>
      </c>
      <c r="Q158" s="245">
        <f t="shared" si="34"/>
        <v>55</v>
      </c>
      <c r="R158" s="246">
        <f t="shared" si="34"/>
        <v>3</v>
      </c>
      <c r="S158" s="204">
        <f t="shared" si="26"/>
        <v>22</v>
      </c>
      <c r="T158" s="245">
        <f t="shared" si="34"/>
        <v>55</v>
      </c>
      <c r="U158" s="246">
        <f t="shared" si="34"/>
        <v>3</v>
      </c>
      <c r="V158" s="204">
        <f t="shared" si="27"/>
        <v>22</v>
      </c>
      <c r="W158" s="245">
        <f t="shared" si="34"/>
        <v>55</v>
      </c>
      <c r="X158" s="246">
        <f t="shared" si="34"/>
        <v>3</v>
      </c>
      <c r="Y158" s="204">
        <f t="shared" si="28"/>
        <v>22</v>
      </c>
    </row>
    <row r="159" spans="12:25" x14ac:dyDescent="0.25">
      <c r="L159" s="38">
        <f t="shared" si="31"/>
        <v>48760</v>
      </c>
      <c r="M159" s="245">
        <f t="shared" si="32"/>
        <v>55</v>
      </c>
      <c r="N159" s="246">
        <f t="shared" si="33"/>
        <v>3</v>
      </c>
      <c r="O159" s="204">
        <f t="shared" si="29"/>
        <v>22</v>
      </c>
      <c r="Q159" s="245">
        <f t="shared" si="34"/>
        <v>55</v>
      </c>
      <c r="R159" s="246">
        <f t="shared" si="34"/>
        <v>3</v>
      </c>
      <c r="S159" s="204">
        <f t="shared" si="26"/>
        <v>22</v>
      </c>
      <c r="T159" s="245">
        <f t="shared" si="34"/>
        <v>55</v>
      </c>
      <c r="U159" s="246">
        <f t="shared" si="34"/>
        <v>3</v>
      </c>
      <c r="V159" s="204">
        <f t="shared" si="27"/>
        <v>22</v>
      </c>
      <c r="W159" s="245">
        <f t="shared" si="34"/>
        <v>55</v>
      </c>
      <c r="X159" s="246">
        <f t="shared" si="34"/>
        <v>3</v>
      </c>
      <c r="Y159" s="204">
        <f t="shared" si="28"/>
        <v>22</v>
      </c>
    </row>
    <row r="160" spans="12:25" x14ac:dyDescent="0.25">
      <c r="L160" s="38">
        <f t="shared" si="31"/>
        <v>48791</v>
      </c>
      <c r="M160" s="245">
        <f t="shared" si="32"/>
        <v>55</v>
      </c>
      <c r="N160" s="246">
        <f t="shared" si="33"/>
        <v>3</v>
      </c>
      <c r="O160" s="204">
        <f t="shared" si="29"/>
        <v>22</v>
      </c>
      <c r="Q160" s="245">
        <f t="shared" si="34"/>
        <v>55</v>
      </c>
      <c r="R160" s="246">
        <f t="shared" si="34"/>
        <v>3</v>
      </c>
      <c r="S160" s="204">
        <f t="shared" si="26"/>
        <v>22</v>
      </c>
      <c r="T160" s="245">
        <f t="shared" si="34"/>
        <v>55</v>
      </c>
      <c r="U160" s="246">
        <f t="shared" si="34"/>
        <v>3</v>
      </c>
      <c r="V160" s="204">
        <f t="shared" si="27"/>
        <v>22</v>
      </c>
      <c r="W160" s="245">
        <f t="shared" si="34"/>
        <v>55</v>
      </c>
      <c r="X160" s="246">
        <f t="shared" si="34"/>
        <v>3</v>
      </c>
      <c r="Y160" s="204">
        <f t="shared" si="28"/>
        <v>22</v>
      </c>
    </row>
    <row r="161" spans="12:25" x14ac:dyDescent="0.25">
      <c r="L161" s="38">
        <f t="shared" si="31"/>
        <v>48822</v>
      </c>
      <c r="M161" s="245">
        <f t="shared" si="32"/>
        <v>55</v>
      </c>
      <c r="N161" s="246">
        <f t="shared" si="33"/>
        <v>3</v>
      </c>
      <c r="O161" s="204">
        <f t="shared" si="29"/>
        <v>22</v>
      </c>
      <c r="Q161" s="245">
        <f t="shared" si="34"/>
        <v>55</v>
      </c>
      <c r="R161" s="246">
        <f t="shared" si="34"/>
        <v>3</v>
      </c>
      <c r="S161" s="204">
        <f t="shared" si="26"/>
        <v>22</v>
      </c>
      <c r="T161" s="245">
        <f t="shared" si="34"/>
        <v>55</v>
      </c>
      <c r="U161" s="246">
        <f t="shared" si="34"/>
        <v>3</v>
      </c>
      <c r="V161" s="204">
        <f t="shared" si="27"/>
        <v>22</v>
      </c>
      <c r="W161" s="245">
        <f t="shared" si="34"/>
        <v>55</v>
      </c>
      <c r="X161" s="246">
        <f t="shared" si="34"/>
        <v>3</v>
      </c>
      <c r="Y161" s="204">
        <f t="shared" si="28"/>
        <v>22</v>
      </c>
    </row>
    <row r="162" spans="12:25" x14ac:dyDescent="0.25">
      <c r="L162" s="38">
        <f t="shared" si="31"/>
        <v>48852</v>
      </c>
      <c r="M162" s="245">
        <f t="shared" si="32"/>
        <v>55</v>
      </c>
      <c r="N162" s="246">
        <f t="shared" si="33"/>
        <v>3</v>
      </c>
      <c r="O162" s="204">
        <f t="shared" si="29"/>
        <v>22</v>
      </c>
      <c r="Q162" s="245">
        <f t="shared" si="34"/>
        <v>55</v>
      </c>
      <c r="R162" s="246">
        <f t="shared" si="34"/>
        <v>3</v>
      </c>
      <c r="S162" s="204">
        <f t="shared" si="26"/>
        <v>22</v>
      </c>
      <c r="T162" s="245">
        <f t="shared" si="34"/>
        <v>55</v>
      </c>
      <c r="U162" s="246">
        <f t="shared" si="34"/>
        <v>3</v>
      </c>
      <c r="V162" s="204">
        <f t="shared" si="27"/>
        <v>22</v>
      </c>
      <c r="W162" s="245">
        <f t="shared" si="34"/>
        <v>55</v>
      </c>
      <c r="X162" s="246">
        <f t="shared" si="34"/>
        <v>3</v>
      </c>
      <c r="Y162" s="204">
        <f t="shared" si="28"/>
        <v>22</v>
      </c>
    </row>
    <row r="163" spans="12:25" x14ac:dyDescent="0.25">
      <c r="L163" s="38">
        <f t="shared" si="31"/>
        <v>48883</v>
      </c>
      <c r="M163" s="245">
        <f t="shared" si="32"/>
        <v>55</v>
      </c>
      <c r="N163" s="246">
        <f t="shared" si="33"/>
        <v>3</v>
      </c>
      <c r="O163" s="204">
        <f t="shared" si="29"/>
        <v>22</v>
      </c>
      <c r="Q163" s="245">
        <f t="shared" si="34"/>
        <v>55</v>
      </c>
      <c r="R163" s="246">
        <f t="shared" si="34"/>
        <v>3</v>
      </c>
      <c r="S163" s="204">
        <f t="shared" si="26"/>
        <v>22</v>
      </c>
      <c r="T163" s="245">
        <f t="shared" si="34"/>
        <v>55</v>
      </c>
      <c r="U163" s="246">
        <f t="shared" si="34"/>
        <v>3</v>
      </c>
      <c r="V163" s="204">
        <f t="shared" si="27"/>
        <v>22</v>
      </c>
      <c r="W163" s="245">
        <f t="shared" si="34"/>
        <v>55</v>
      </c>
      <c r="X163" s="246">
        <f t="shared" si="34"/>
        <v>3</v>
      </c>
      <c r="Y163" s="204">
        <f t="shared" si="28"/>
        <v>22</v>
      </c>
    </row>
    <row r="164" spans="12:25" x14ac:dyDescent="0.25">
      <c r="L164" s="38">
        <f t="shared" si="31"/>
        <v>48913</v>
      </c>
      <c r="M164" s="245">
        <f t="shared" si="32"/>
        <v>55</v>
      </c>
      <c r="N164" s="246">
        <f t="shared" si="33"/>
        <v>3</v>
      </c>
      <c r="O164" s="204">
        <f t="shared" si="29"/>
        <v>22</v>
      </c>
      <c r="Q164" s="245">
        <f t="shared" si="34"/>
        <v>55</v>
      </c>
      <c r="R164" s="246">
        <f t="shared" si="34"/>
        <v>3</v>
      </c>
      <c r="S164" s="204">
        <f t="shared" si="26"/>
        <v>22</v>
      </c>
      <c r="T164" s="245">
        <f t="shared" si="34"/>
        <v>55</v>
      </c>
      <c r="U164" s="246">
        <f t="shared" si="34"/>
        <v>3</v>
      </c>
      <c r="V164" s="204">
        <f t="shared" si="27"/>
        <v>22</v>
      </c>
      <c r="W164" s="245">
        <f t="shared" si="34"/>
        <v>55</v>
      </c>
      <c r="X164" s="246">
        <f t="shared" si="34"/>
        <v>3</v>
      </c>
      <c r="Y164" s="204">
        <f t="shared" si="28"/>
        <v>22</v>
      </c>
    </row>
    <row r="165" spans="12:25" x14ac:dyDescent="0.25">
      <c r="L165" s="38">
        <f t="shared" si="31"/>
        <v>48944</v>
      </c>
      <c r="M165" s="245">
        <f t="shared" si="32"/>
        <v>55</v>
      </c>
      <c r="N165" s="246">
        <f t="shared" si="33"/>
        <v>3</v>
      </c>
      <c r="O165" s="204">
        <f t="shared" si="29"/>
        <v>22</v>
      </c>
      <c r="Q165" s="245">
        <f t="shared" si="34"/>
        <v>55</v>
      </c>
      <c r="R165" s="246">
        <f t="shared" si="34"/>
        <v>3</v>
      </c>
      <c r="S165" s="204">
        <f t="shared" si="26"/>
        <v>22</v>
      </c>
      <c r="T165" s="245">
        <f t="shared" si="34"/>
        <v>55</v>
      </c>
      <c r="U165" s="246">
        <f t="shared" si="34"/>
        <v>3</v>
      </c>
      <c r="V165" s="204">
        <f t="shared" si="27"/>
        <v>22</v>
      </c>
      <c r="W165" s="245">
        <f t="shared" si="34"/>
        <v>55</v>
      </c>
      <c r="X165" s="246">
        <f t="shared" si="34"/>
        <v>3</v>
      </c>
      <c r="Y165" s="204">
        <f t="shared" si="28"/>
        <v>22</v>
      </c>
    </row>
    <row r="166" spans="12:25" x14ac:dyDescent="0.25">
      <c r="L166" s="38">
        <f t="shared" si="31"/>
        <v>48975</v>
      </c>
      <c r="M166" s="245">
        <f t="shared" si="32"/>
        <v>55</v>
      </c>
      <c r="N166" s="246">
        <f t="shared" si="33"/>
        <v>3</v>
      </c>
      <c r="O166" s="204">
        <f t="shared" si="29"/>
        <v>22</v>
      </c>
      <c r="Q166" s="245">
        <f t="shared" si="34"/>
        <v>55</v>
      </c>
      <c r="R166" s="246">
        <f t="shared" si="34"/>
        <v>3</v>
      </c>
      <c r="S166" s="204">
        <f t="shared" si="26"/>
        <v>22</v>
      </c>
      <c r="T166" s="245">
        <f t="shared" si="34"/>
        <v>55</v>
      </c>
      <c r="U166" s="246">
        <f t="shared" si="34"/>
        <v>3</v>
      </c>
      <c r="V166" s="204">
        <f t="shared" si="27"/>
        <v>22</v>
      </c>
      <c r="W166" s="245">
        <f t="shared" si="34"/>
        <v>55</v>
      </c>
      <c r="X166" s="246">
        <f t="shared" si="34"/>
        <v>3</v>
      </c>
      <c r="Y166" s="204">
        <f t="shared" si="28"/>
        <v>22</v>
      </c>
    </row>
    <row r="167" spans="12:25" x14ac:dyDescent="0.25">
      <c r="L167" s="38">
        <f t="shared" si="31"/>
        <v>49003</v>
      </c>
      <c r="M167" s="245">
        <f t="shared" si="32"/>
        <v>55</v>
      </c>
      <c r="N167" s="246">
        <f t="shared" si="33"/>
        <v>3</v>
      </c>
      <c r="O167" s="204">
        <f t="shared" si="29"/>
        <v>22</v>
      </c>
      <c r="Q167" s="245">
        <f t="shared" si="34"/>
        <v>55</v>
      </c>
      <c r="R167" s="246">
        <f t="shared" si="34"/>
        <v>3</v>
      </c>
      <c r="S167" s="204">
        <f t="shared" si="26"/>
        <v>22</v>
      </c>
      <c r="T167" s="245">
        <f t="shared" si="34"/>
        <v>55</v>
      </c>
      <c r="U167" s="246">
        <f t="shared" si="34"/>
        <v>3</v>
      </c>
      <c r="V167" s="204">
        <f t="shared" si="27"/>
        <v>22</v>
      </c>
      <c r="W167" s="245">
        <f t="shared" si="34"/>
        <v>55</v>
      </c>
      <c r="X167" s="246">
        <f t="shared" si="34"/>
        <v>3</v>
      </c>
      <c r="Y167" s="204">
        <f t="shared" si="28"/>
        <v>22</v>
      </c>
    </row>
    <row r="168" spans="12:25" x14ac:dyDescent="0.25">
      <c r="L168" s="38">
        <f t="shared" si="31"/>
        <v>49034</v>
      </c>
      <c r="M168" s="245">
        <f t="shared" si="32"/>
        <v>55</v>
      </c>
      <c r="N168" s="246">
        <f t="shared" si="33"/>
        <v>3</v>
      </c>
      <c r="O168" s="204">
        <f t="shared" si="29"/>
        <v>22</v>
      </c>
      <c r="Q168" s="245">
        <f t="shared" si="34"/>
        <v>55</v>
      </c>
      <c r="R168" s="246">
        <f t="shared" si="34"/>
        <v>3</v>
      </c>
      <c r="S168" s="204">
        <f t="shared" si="26"/>
        <v>22</v>
      </c>
      <c r="T168" s="245">
        <f t="shared" si="34"/>
        <v>55</v>
      </c>
      <c r="U168" s="246">
        <f t="shared" si="34"/>
        <v>3</v>
      </c>
      <c r="V168" s="204">
        <f t="shared" si="27"/>
        <v>22</v>
      </c>
      <c r="W168" s="245">
        <f t="shared" si="34"/>
        <v>55</v>
      </c>
      <c r="X168" s="246">
        <f t="shared" si="34"/>
        <v>3</v>
      </c>
      <c r="Y168" s="204">
        <f t="shared" si="28"/>
        <v>22</v>
      </c>
    </row>
    <row r="169" spans="12:25" x14ac:dyDescent="0.25">
      <c r="L169" s="38">
        <f t="shared" si="31"/>
        <v>49064</v>
      </c>
      <c r="M169" s="245">
        <f t="shared" si="32"/>
        <v>55</v>
      </c>
      <c r="N169" s="246">
        <f t="shared" si="33"/>
        <v>3</v>
      </c>
      <c r="O169" s="204">
        <f t="shared" si="29"/>
        <v>22</v>
      </c>
      <c r="Q169" s="245">
        <f t="shared" si="34"/>
        <v>55</v>
      </c>
      <c r="R169" s="246">
        <f t="shared" si="34"/>
        <v>3</v>
      </c>
      <c r="S169" s="204">
        <f t="shared" si="26"/>
        <v>22</v>
      </c>
      <c r="T169" s="245">
        <f t="shared" si="34"/>
        <v>55</v>
      </c>
      <c r="U169" s="246">
        <f t="shared" si="34"/>
        <v>3</v>
      </c>
      <c r="V169" s="204">
        <f t="shared" si="27"/>
        <v>22</v>
      </c>
      <c r="W169" s="245">
        <f t="shared" si="34"/>
        <v>55</v>
      </c>
      <c r="X169" s="246">
        <f t="shared" si="34"/>
        <v>3</v>
      </c>
      <c r="Y169" s="204">
        <f t="shared" si="28"/>
        <v>22</v>
      </c>
    </row>
    <row r="170" spans="12:25" x14ac:dyDescent="0.25">
      <c r="L170" s="38">
        <f t="shared" si="31"/>
        <v>49095</v>
      </c>
      <c r="M170" s="245">
        <f t="shared" si="32"/>
        <v>55</v>
      </c>
      <c r="N170" s="246">
        <f t="shared" si="33"/>
        <v>3</v>
      </c>
      <c r="O170" s="204">
        <f t="shared" si="29"/>
        <v>22</v>
      </c>
      <c r="Q170" s="245">
        <f t="shared" si="34"/>
        <v>55</v>
      </c>
      <c r="R170" s="246">
        <f t="shared" si="34"/>
        <v>3</v>
      </c>
      <c r="S170" s="204">
        <f t="shared" si="26"/>
        <v>22</v>
      </c>
      <c r="T170" s="245">
        <f t="shared" si="34"/>
        <v>55</v>
      </c>
      <c r="U170" s="246">
        <f t="shared" si="34"/>
        <v>3</v>
      </c>
      <c r="V170" s="204">
        <f t="shared" si="27"/>
        <v>22</v>
      </c>
      <c r="W170" s="245">
        <f t="shared" si="34"/>
        <v>55</v>
      </c>
      <c r="X170" s="246">
        <f t="shared" si="34"/>
        <v>3</v>
      </c>
      <c r="Y170" s="204">
        <f t="shared" si="28"/>
        <v>22</v>
      </c>
    </row>
    <row r="171" spans="12:25" x14ac:dyDescent="0.25">
      <c r="L171" s="38">
        <f t="shared" si="31"/>
        <v>49125</v>
      </c>
      <c r="M171" s="245">
        <f t="shared" si="32"/>
        <v>55</v>
      </c>
      <c r="N171" s="246">
        <f t="shared" si="33"/>
        <v>3</v>
      </c>
      <c r="O171" s="204">
        <f t="shared" si="29"/>
        <v>22</v>
      </c>
      <c r="Q171" s="245">
        <f t="shared" ref="Q171:X186" si="35">Q170</f>
        <v>55</v>
      </c>
      <c r="R171" s="246">
        <f t="shared" si="35"/>
        <v>3</v>
      </c>
      <c r="S171" s="204">
        <f t="shared" si="26"/>
        <v>22</v>
      </c>
      <c r="T171" s="245">
        <f t="shared" si="35"/>
        <v>55</v>
      </c>
      <c r="U171" s="246">
        <f t="shared" si="35"/>
        <v>3</v>
      </c>
      <c r="V171" s="204">
        <f t="shared" si="27"/>
        <v>22</v>
      </c>
      <c r="W171" s="245">
        <f t="shared" si="35"/>
        <v>55</v>
      </c>
      <c r="X171" s="246">
        <f t="shared" si="35"/>
        <v>3</v>
      </c>
      <c r="Y171" s="204">
        <f t="shared" si="28"/>
        <v>22</v>
      </c>
    </row>
    <row r="172" spans="12:25" x14ac:dyDescent="0.25">
      <c r="L172" s="38">
        <f t="shared" si="31"/>
        <v>49156</v>
      </c>
      <c r="M172" s="245">
        <f t="shared" si="32"/>
        <v>55</v>
      </c>
      <c r="N172" s="246">
        <f t="shared" si="33"/>
        <v>3</v>
      </c>
      <c r="O172" s="204">
        <f t="shared" si="29"/>
        <v>22</v>
      </c>
      <c r="Q172" s="245">
        <f t="shared" si="35"/>
        <v>55</v>
      </c>
      <c r="R172" s="246">
        <f t="shared" si="35"/>
        <v>3</v>
      </c>
      <c r="S172" s="204">
        <f t="shared" si="26"/>
        <v>22</v>
      </c>
      <c r="T172" s="245">
        <f t="shared" si="35"/>
        <v>55</v>
      </c>
      <c r="U172" s="246">
        <f t="shared" si="35"/>
        <v>3</v>
      </c>
      <c r="V172" s="204">
        <f t="shared" si="27"/>
        <v>22</v>
      </c>
      <c r="W172" s="245">
        <f t="shared" si="35"/>
        <v>55</v>
      </c>
      <c r="X172" s="246">
        <f t="shared" si="35"/>
        <v>3</v>
      </c>
      <c r="Y172" s="204">
        <f t="shared" si="28"/>
        <v>22</v>
      </c>
    </row>
    <row r="173" spans="12:25" x14ac:dyDescent="0.25">
      <c r="L173" s="38">
        <f t="shared" si="31"/>
        <v>49187</v>
      </c>
      <c r="M173" s="245">
        <f t="shared" si="32"/>
        <v>55</v>
      </c>
      <c r="N173" s="246">
        <f t="shared" si="33"/>
        <v>3</v>
      </c>
      <c r="O173" s="204">
        <f t="shared" si="29"/>
        <v>22</v>
      </c>
      <c r="Q173" s="245">
        <f t="shared" si="35"/>
        <v>55</v>
      </c>
      <c r="R173" s="246">
        <f t="shared" si="35"/>
        <v>3</v>
      </c>
      <c r="S173" s="204">
        <f t="shared" si="26"/>
        <v>22</v>
      </c>
      <c r="T173" s="245">
        <f t="shared" si="35"/>
        <v>55</v>
      </c>
      <c r="U173" s="246">
        <f t="shared" si="35"/>
        <v>3</v>
      </c>
      <c r="V173" s="204">
        <f t="shared" si="27"/>
        <v>22</v>
      </c>
      <c r="W173" s="245">
        <f t="shared" si="35"/>
        <v>55</v>
      </c>
      <c r="X173" s="246">
        <f t="shared" si="35"/>
        <v>3</v>
      </c>
      <c r="Y173" s="204">
        <f t="shared" si="28"/>
        <v>22</v>
      </c>
    </row>
    <row r="174" spans="12:25" x14ac:dyDescent="0.25">
      <c r="L174" s="38">
        <f t="shared" si="31"/>
        <v>49217</v>
      </c>
      <c r="M174" s="245">
        <f t="shared" si="32"/>
        <v>55</v>
      </c>
      <c r="N174" s="246">
        <f t="shared" si="33"/>
        <v>3</v>
      </c>
      <c r="O174" s="204">
        <f t="shared" si="29"/>
        <v>22</v>
      </c>
      <c r="Q174" s="245">
        <f t="shared" si="35"/>
        <v>55</v>
      </c>
      <c r="R174" s="246">
        <f t="shared" si="35"/>
        <v>3</v>
      </c>
      <c r="S174" s="204">
        <f t="shared" si="26"/>
        <v>22</v>
      </c>
      <c r="T174" s="245">
        <f t="shared" si="35"/>
        <v>55</v>
      </c>
      <c r="U174" s="246">
        <f t="shared" si="35"/>
        <v>3</v>
      </c>
      <c r="V174" s="204">
        <f t="shared" si="27"/>
        <v>22</v>
      </c>
      <c r="W174" s="245">
        <f t="shared" si="35"/>
        <v>55</v>
      </c>
      <c r="X174" s="246">
        <f t="shared" si="35"/>
        <v>3</v>
      </c>
      <c r="Y174" s="204">
        <f t="shared" si="28"/>
        <v>22</v>
      </c>
    </row>
    <row r="175" spans="12:25" x14ac:dyDescent="0.25">
      <c r="L175" s="38">
        <f t="shared" si="31"/>
        <v>49248</v>
      </c>
      <c r="M175" s="245">
        <f t="shared" si="32"/>
        <v>55</v>
      </c>
      <c r="N175" s="246">
        <f t="shared" si="33"/>
        <v>3</v>
      </c>
      <c r="O175" s="204">
        <f t="shared" si="29"/>
        <v>22</v>
      </c>
      <c r="Q175" s="245">
        <f t="shared" si="35"/>
        <v>55</v>
      </c>
      <c r="R175" s="246">
        <f t="shared" si="35"/>
        <v>3</v>
      </c>
      <c r="S175" s="204">
        <f t="shared" si="26"/>
        <v>22</v>
      </c>
      <c r="T175" s="245">
        <f t="shared" si="35"/>
        <v>55</v>
      </c>
      <c r="U175" s="246">
        <f t="shared" si="35"/>
        <v>3</v>
      </c>
      <c r="V175" s="204">
        <f t="shared" si="27"/>
        <v>22</v>
      </c>
      <c r="W175" s="245">
        <f t="shared" si="35"/>
        <v>55</v>
      </c>
      <c r="X175" s="246">
        <f t="shared" si="35"/>
        <v>3</v>
      </c>
      <c r="Y175" s="204">
        <f t="shared" si="28"/>
        <v>22</v>
      </c>
    </row>
    <row r="176" spans="12:25" x14ac:dyDescent="0.25">
      <c r="L176" s="38">
        <f t="shared" si="31"/>
        <v>49278</v>
      </c>
      <c r="M176" s="245">
        <f t="shared" si="32"/>
        <v>55</v>
      </c>
      <c r="N176" s="246">
        <f t="shared" si="33"/>
        <v>3</v>
      </c>
      <c r="O176" s="204">
        <f t="shared" si="29"/>
        <v>22</v>
      </c>
      <c r="Q176" s="245">
        <f t="shared" si="35"/>
        <v>55</v>
      </c>
      <c r="R176" s="246">
        <f t="shared" si="35"/>
        <v>3</v>
      </c>
      <c r="S176" s="204">
        <f t="shared" si="26"/>
        <v>22</v>
      </c>
      <c r="T176" s="245">
        <f t="shared" si="35"/>
        <v>55</v>
      </c>
      <c r="U176" s="246">
        <f t="shared" si="35"/>
        <v>3</v>
      </c>
      <c r="V176" s="204">
        <f t="shared" si="27"/>
        <v>22</v>
      </c>
      <c r="W176" s="245">
        <f t="shared" si="35"/>
        <v>55</v>
      </c>
      <c r="X176" s="246">
        <f t="shared" si="35"/>
        <v>3</v>
      </c>
      <c r="Y176" s="204">
        <f t="shared" si="28"/>
        <v>22</v>
      </c>
    </row>
    <row r="177" spans="12:25" x14ac:dyDescent="0.25">
      <c r="L177" s="38">
        <f t="shared" si="31"/>
        <v>49309</v>
      </c>
      <c r="M177" s="245">
        <f t="shared" si="32"/>
        <v>55</v>
      </c>
      <c r="N177" s="246">
        <f t="shared" si="33"/>
        <v>3</v>
      </c>
      <c r="O177" s="204">
        <f t="shared" si="29"/>
        <v>22</v>
      </c>
      <c r="Q177" s="245">
        <f t="shared" si="35"/>
        <v>55</v>
      </c>
      <c r="R177" s="246">
        <f t="shared" si="35"/>
        <v>3</v>
      </c>
      <c r="S177" s="204">
        <f t="shared" si="26"/>
        <v>22</v>
      </c>
      <c r="T177" s="245">
        <f t="shared" si="35"/>
        <v>55</v>
      </c>
      <c r="U177" s="246">
        <f t="shared" si="35"/>
        <v>3</v>
      </c>
      <c r="V177" s="204">
        <f t="shared" si="27"/>
        <v>22</v>
      </c>
      <c r="W177" s="245">
        <f t="shared" si="35"/>
        <v>55</v>
      </c>
      <c r="X177" s="246">
        <f t="shared" si="35"/>
        <v>3</v>
      </c>
      <c r="Y177" s="204">
        <f t="shared" si="28"/>
        <v>22</v>
      </c>
    </row>
    <row r="178" spans="12:25" x14ac:dyDescent="0.25">
      <c r="L178" s="38">
        <f t="shared" si="31"/>
        <v>49340</v>
      </c>
      <c r="M178" s="245">
        <f t="shared" si="32"/>
        <v>55</v>
      </c>
      <c r="N178" s="246">
        <f t="shared" si="33"/>
        <v>3</v>
      </c>
      <c r="O178" s="204">
        <f t="shared" si="29"/>
        <v>22</v>
      </c>
      <c r="Q178" s="245">
        <f t="shared" si="35"/>
        <v>55</v>
      </c>
      <c r="R178" s="246">
        <f t="shared" si="35"/>
        <v>3</v>
      </c>
      <c r="S178" s="204">
        <f t="shared" si="26"/>
        <v>22</v>
      </c>
      <c r="T178" s="245">
        <f t="shared" si="35"/>
        <v>55</v>
      </c>
      <c r="U178" s="246">
        <f t="shared" si="35"/>
        <v>3</v>
      </c>
      <c r="V178" s="204">
        <f t="shared" si="27"/>
        <v>22</v>
      </c>
      <c r="W178" s="245">
        <f t="shared" si="35"/>
        <v>55</v>
      </c>
      <c r="X178" s="246">
        <f t="shared" si="35"/>
        <v>3</v>
      </c>
      <c r="Y178" s="204">
        <f t="shared" si="28"/>
        <v>22</v>
      </c>
    </row>
    <row r="179" spans="12:25" x14ac:dyDescent="0.25">
      <c r="L179" s="38">
        <f t="shared" si="31"/>
        <v>49368</v>
      </c>
      <c r="M179" s="245">
        <f t="shared" si="32"/>
        <v>55</v>
      </c>
      <c r="N179" s="246">
        <f t="shared" si="33"/>
        <v>3</v>
      </c>
      <c r="O179" s="204">
        <f t="shared" si="29"/>
        <v>22</v>
      </c>
      <c r="Q179" s="245">
        <f t="shared" si="35"/>
        <v>55</v>
      </c>
      <c r="R179" s="246">
        <f t="shared" si="35"/>
        <v>3</v>
      </c>
      <c r="S179" s="204">
        <f t="shared" si="26"/>
        <v>22</v>
      </c>
      <c r="T179" s="245">
        <f t="shared" si="35"/>
        <v>55</v>
      </c>
      <c r="U179" s="246">
        <f t="shared" si="35"/>
        <v>3</v>
      </c>
      <c r="V179" s="204">
        <f t="shared" si="27"/>
        <v>22</v>
      </c>
      <c r="W179" s="245">
        <f t="shared" si="35"/>
        <v>55</v>
      </c>
      <c r="X179" s="246">
        <f t="shared" si="35"/>
        <v>3</v>
      </c>
      <c r="Y179" s="204">
        <f t="shared" si="28"/>
        <v>22</v>
      </c>
    </row>
    <row r="180" spans="12:25" x14ac:dyDescent="0.25">
      <c r="L180" s="38">
        <f t="shared" si="31"/>
        <v>49399</v>
      </c>
      <c r="M180" s="245">
        <f t="shared" si="32"/>
        <v>55</v>
      </c>
      <c r="N180" s="246">
        <f t="shared" si="33"/>
        <v>3</v>
      </c>
      <c r="O180" s="204">
        <f t="shared" si="29"/>
        <v>22</v>
      </c>
      <c r="Q180" s="245">
        <f t="shared" si="35"/>
        <v>55</v>
      </c>
      <c r="R180" s="246">
        <f t="shared" si="35"/>
        <v>3</v>
      </c>
      <c r="S180" s="204">
        <f t="shared" si="26"/>
        <v>22</v>
      </c>
      <c r="T180" s="245">
        <f t="shared" si="35"/>
        <v>55</v>
      </c>
      <c r="U180" s="246">
        <f t="shared" si="35"/>
        <v>3</v>
      </c>
      <c r="V180" s="204">
        <f t="shared" si="27"/>
        <v>22</v>
      </c>
      <c r="W180" s="245">
        <f t="shared" si="35"/>
        <v>55</v>
      </c>
      <c r="X180" s="246">
        <f t="shared" si="35"/>
        <v>3</v>
      </c>
      <c r="Y180" s="204">
        <f t="shared" si="28"/>
        <v>22</v>
      </c>
    </row>
    <row r="181" spans="12:25" x14ac:dyDescent="0.25">
      <c r="L181" s="38">
        <f t="shared" si="31"/>
        <v>49429</v>
      </c>
      <c r="M181" s="245">
        <f t="shared" si="32"/>
        <v>55</v>
      </c>
      <c r="N181" s="246">
        <f t="shared" si="33"/>
        <v>3</v>
      </c>
      <c r="O181" s="204">
        <f t="shared" si="29"/>
        <v>22</v>
      </c>
      <c r="Q181" s="245">
        <f t="shared" si="35"/>
        <v>55</v>
      </c>
      <c r="R181" s="246">
        <f t="shared" si="35"/>
        <v>3</v>
      </c>
      <c r="S181" s="204">
        <f t="shared" si="26"/>
        <v>22</v>
      </c>
      <c r="T181" s="245">
        <f t="shared" si="35"/>
        <v>55</v>
      </c>
      <c r="U181" s="246">
        <f t="shared" si="35"/>
        <v>3</v>
      </c>
      <c r="V181" s="204">
        <f t="shared" si="27"/>
        <v>22</v>
      </c>
      <c r="W181" s="245">
        <f t="shared" si="35"/>
        <v>55</v>
      </c>
      <c r="X181" s="246">
        <f t="shared" si="35"/>
        <v>3</v>
      </c>
      <c r="Y181" s="204">
        <f t="shared" si="28"/>
        <v>22</v>
      </c>
    </row>
    <row r="182" spans="12:25" x14ac:dyDescent="0.25">
      <c r="L182" s="38">
        <f t="shared" si="31"/>
        <v>49460</v>
      </c>
      <c r="M182" s="245">
        <f t="shared" si="32"/>
        <v>55</v>
      </c>
      <c r="N182" s="246">
        <f t="shared" si="33"/>
        <v>3</v>
      </c>
      <c r="O182" s="204">
        <f t="shared" si="29"/>
        <v>22</v>
      </c>
      <c r="Q182" s="245">
        <f t="shared" si="35"/>
        <v>55</v>
      </c>
      <c r="R182" s="246">
        <f t="shared" si="35"/>
        <v>3</v>
      </c>
      <c r="S182" s="204">
        <f t="shared" si="26"/>
        <v>22</v>
      </c>
      <c r="T182" s="245">
        <f t="shared" si="35"/>
        <v>55</v>
      </c>
      <c r="U182" s="246">
        <f t="shared" si="35"/>
        <v>3</v>
      </c>
      <c r="V182" s="204">
        <f t="shared" si="27"/>
        <v>22</v>
      </c>
      <c r="W182" s="245">
        <f t="shared" si="35"/>
        <v>55</v>
      </c>
      <c r="X182" s="246">
        <f t="shared" si="35"/>
        <v>3</v>
      </c>
      <c r="Y182" s="204">
        <f t="shared" si="28"/>
        <v>22</v>
      </c>
    </row>
    <row r="183" spans="12:25" x14ac:dyDescent="0.25">
      <c r="L183" s="38">
        <f t="shared" si="31"/>
        <v>49490</v>
      </c>
      <c r="M183" s="245">
        <f t="shared" si="32"/>
        <v>55</v>
      </c>
      <c r="N183" s="246">
        <f t="shared" si="33"/>
        <v>3</v>
      </c>
      <c r="O183" s="204">
        <f t="shared" si="29"/>
        <v>22</v>
      </c>
      <c r="Q183" s="245">
        <f t="shared" si="35"/>
        <v>55</v>
      </c>
      <c r="R183" s="246">
        <f t="shared" si="35"/>
        <v>3</v>
      </c>
      <c r="S183" s="204">
        <f t="shared" si="26"/>
        <v>22</v>
      </c>
      <c r="T183" s="245">
        <f t="shared" si="35"/>
        <v>55</v>
      </c>
      <c r="U183" s="246">
        <f t="shared" si="35"/>
        <v>3</v>
      </c>
      <c r="V183" s="204">
        <f t="shared" si="27"/>
        <v>22</v>
      </c>
      <c r="W183" s="245">
        <f t="shared" si="35"/>
        <v>55</v>
      </c>
      <c r="X183" s="246">
        <f t="shared" si="35"/>
        <v>3</v>
      </c>
      <c r="Y183" s="204">
        <f t="shared" si="28"/>
        <v>22</v>
      </c>
    </row>
    <row r="184" spans="12:25" x14ac:dyDescent="0.25">
      <c r="L184" s="38">
        <f t="shared" si="31"/>
        <v>49521</v>
      </c>
      <c r="M184" s="245">
        <f t="shared" si="32"/>
        <v>55</v>
      </c>
      <c r="N184" s="246">
        <f t="shared" si="33"/>
        <v>3</v>
      </c>
      <c r="O184" s="204">
        <f t="shared" si="29"/>
        <v>22</v>
      </c>
      <c r="Q184" s="245">
        <f t="shared" si="35"/>
        <v>55</v>
      </c>
      <c r="R184" s="246">
        <f t="shared" si="35"/>
        <v>3</v>
      </c>
      <c r="S184" s="204">
        <f t="shared" si="26"/>
        <v>22</v>
      </c>
      <c r="T184" s="245">
        <f t="shared" si="35"/>
        <v>55</v>
      </c>
      <c r="U184" s="246">
        <f t="shared" si="35"/>
        <v>3</v>
      </c>
      <c r="V184" s="204">
        <f t="shared" si="27"/>
        <v>22</v>
      </c>
      <c r="W184" s="245">
        <f t="shared" si="35"/>
        <v>55</v>
      </c>
      <c r="X184" s="246">
        <f t="shared" si="35"/>
        <v>3</v>
      </c>
      <c r="Y184" s="204">
        <f t="shared" si="28"/>
        <v>22</v>
      </c>
    </row>
    <row r="185" spans="12:25" x14ac:dyDescent="0.25">
      <c r="L185" s="38">
        <f t="shared" si="31"/>
        <v>49552</v>
      </c>
      <c r="M185" s="245">
        <f t="shared" si="32"/>
        <v>55</v>
      </c>
      <c r="N185" s="246">
        <f t="shared" si="33"/>
        <v>3</v>
      </c>
      <c r="O185" s="204">
        <f t="shared" si="29"/>
        <v>22</v>
      </c>
      <c r="Q185" s="245">
        <f t="shared" si="35"/>
        <v>55</v>
      </c>
      <c r="R185" s="246">
        <f t="shared" si="35"/>
        <v>3</v>
      </c>
      <c r="S185" s="204">
        <f t="shared" si="26"/>
        <v>22</v>
      </c>
      <c r="T185" s="245">
        <f t="shared" si="35"/>
        <v>55</v>
      </c>
      <c r="U185" s="246">
        <f t="shared" si="35"/>
        <v>3</v>
      </c>
      <c r="V185" s="204">
        <f t="shared" si="27"/>
        <v>22</v>
      </c>
      <c r="W185" s="245">
        <f t="shared" si="35"/>
        <v>55</v>
      </c>
      <c r="X185" s="246">
        <f t="shared" si="35"/>
        <v>3</v>
      </c>
      <c r="Y185" s="204">
        <f t="shared" si="28"/>
        <v>22</v>
      </c>
    </row>
    <row r="186" spans="12:25" x14ac:dyDescent="0.25">
      <c r="L186" s="38">
        <f t="shared" si="31"/>
        <v>49582</v>
      </c>
      <c r="M186" s="245">
        <f t="shared" si="32"/>
        <v>55</v>
      </c>
      <c r="N186" s="246">
        <f t="shared" si="33"/>
        <v>3</v>
      </c>
      <c r="O186" s="204">
        <f t="shared" si="29"/>
        <v>22</v>
      </c>
      <c r="Q186" s="245">
        <f t="shared" si="35"/>
        <v>55</v>
      </c>
      <c r="R186" s="246">
        <f t="shared" si="35"/>
        <v>3</v>
      </c>
      <c r="S186" s="204">
        <f t="shared" si="26"/>
        <v>22</v>
      </c>
      <c r="T186" s="245">
        <f t="shared" si="35"/>
        <v>55</v>
      </c>
      <c r="U186" s="246">
        <f t="shared" si="35"/>
        <v>3</v>
      </c>
      <c r="V186" s="204">
        <f t="shared" si="27"/>
        <v>22</v>
      </c>
      <c r="W186" s="245">
        <f t="shared" si="35"/>
        <v>55</v>
      </c>
      <c r="X186" s="246">
        <f t="shared" si="35"/>
        <v>3</v>
      </c>
      <c r="Y186" s="204">
        <f t="shared" si="28"/>
        <v>22</v>
      </c>
    </row>
    <row r="187" spans="12:25" x14ac:dyDescent="0.25">
      <c r="L187" s="38">
        <f t="shared" si="31"/>
        <v>49613</v>
      </c>
      <c r="M187" s="245">
        <f t="shared" si="32"/>
        <v>55</v>
      </c>
      <c r="N187" s="246">
        <f t="shared" si="33"/>
        <v>3</v>
      </c>
      <c r="O187" s="204">
        <f t="shared" si="29"/>
        <v>22</v>
      </c>
      <c r="Q187" s="245">
        <f t="shared" ref="Q187:X202" si="36">Q186</f>
        <v>55</v>
      </c>
      <c r="R187" s="246">
        <f t="shared" si="36"/>
        <v>3</v>
      </c>
      <c r="S187" s="204">
        <f t="shared" si="26"/>
        <v>22</v>
      </c>
      <c r="T187" s="245">
        <f t="shared" si="36"/>
        <v>55</v>
      </c>
      <c r="U187" s="246">
        <f t="shared" si="36"/>
        <v>3</v>
      </c>
      <c r="V187" s="204">
        <f t="shared" si="27"/>
        <v>22</v>
      </c>
      <c r="W187" s="245">
        <f t="shared" si="36"/>
        <v>55</v>
      </c>
      <c r="X187" s="246">
        <f t="shared" si="36"/>
        <v>3</v>
      </c>
      <c r="Y187" s="204">
        <f t="shared" si="28"/>
        <v>22</v>
      </c>
    </row>
    <row r="188" spans="12:25" x14ac:dyDescent="0.25">
      <c r="L188" s="38">
        <f t="shared" si="31"/>
        <v>49643</v>
      </c>
      <c r="M188" s="245">
        <f t="shared" si="32"/>
        <v>55</v>
      </c>
      <c r="N188" s="246">
        <f t="shared" si="33"/>
        <v>3</v>
      </c>
      <c r="O188" s="204">
        <f t="shared" si="29"/>
        <v>22</v>
      </c>
      <c r="Q188" s="245">
        <f t="shared" si="36"/>
        <v>55</v>
      </c>
      <c r="R188" s="246">
        <f t="shared" si="36"/>
        <v>3</v>
      </c>
      <c r="S188" s="204">
        <f t="shared" si="26"/>
        <v>22</v>
      </c>
      <c r="T188" s="245">
        <f t="shared" si="36"/>
        <v>55</v>
      </c>
      <c r="U188" s="246">
        <f t="shared" si="36"/>
        <v>3</v>
      </c>
      <c r="V188" s="204">
        <f t="shared" si="27"/>
        <v>22</v>
      </c>
      <c r="W188" s="245">
        <f t="shared" si="36"/>
        <v>55</v>
      </c>
      <c r="X188" s="246">
        <f t="shared" si="36"/>
        <v>3</v>
      </c>
      <c r="Y188" s="204">
        <f t="shared" si="28"/>
        <v>22</v>
      </c>
    </row>
    <row r="189" spans="12:25" x14ac:dyDescent="0.25">
      <c r="L189" s="38">
        <f t="shared" si="31"/>
        <v>49674</v>
      </c>
      <c r="M189" s="245">
        <f t="shared" si="32"/>
        <v>55</v>
      </c>
      <c r="N189" s="246">
        <f t="shared" si="33"/>
        <v>3</v>
      </c>
      <c r="O189" s="204">
        <f t="shared" si="29"/>
        <v>22</v>
      </c>
      <c r="Q189" s="245">
        <f t="shared" si="36"/>
        <v>55</v>
      </c>
      <c r="R189" s="246">
        <f t="shared" si="36"/>
        <v>3</v>
      </c>
      <c r="S189" s="204">
        <f t="shared" si="26"/>
        <v>22</v>
      </c>
      <c r="T189" s="245">
        <f t="shared" si="36"/>
        <v>55</v>
      </c>
      <c r="U189" s="246">
        <f t="shared" si="36"/>
        <v>3</v>
      </c>
      <c r="V189" s="204">
        <f t="shared" si="27"/>
        <v>22</v>
      </c>
      <c r="W189" s="245">
        <f t="shared" si="36"/>
        <v>55</v>
      </c>
      <c r="X189" s="246">
        <f t="shared" si="36"/>
        <v>3</v>
      </c>
      <c r="Y189" s="204">
        <f t="shared" si="28"/>
        <v>22</v>
      </c>
    </row>
    <row r="190" spans="12:25" x14ac:dyDescent="0.25">
      <c r="L190" s="38">
        <f t="shared" si="31"/>
        <v>49705</v>
      </c>
      <c r="M190" s="245">
        <f t="shared" si="32"/>
        <v>55</v>
      </c>
      <c r="N190" s="246">
        <f t="shared" si="33"/>
        <v>3</v>
      </c>
      <c r="O190" s="204">
        <f t="shared" si="29"/>
        <v>22</v>
      </c>
      <c r="Q190" s="245">
        <f t="shared" si="36"/>
        <v>55</v>
      </c>
      <c r="R190" s="246">
        <f t="shared" si="36"/>
        <v>3</v>
      </c>
      <c r="S190" s="204">
        <f t="shared" si="26"/>
        <v>22</v>
      </c>
      <c r="T190" s="245">
        <f t="shared" si="36"/>
        <v>55</v>
      </c>
      <c r="U190" s="246">
        <f t="shared" si="36"/>
        <v>3</v>
      </c>
      <c r="V190" s="204">
        <f t="shared" si="27"/>
        <v>22</v>
      </c>
      <c r="W190" s="245">
        <f t="shared" si="36"/>
        <v>55</v>
      </c>
      <c r="X190" s="246">
        <f t="shared" si="36"/>
        <v>3</v>
      </c>
      <c r="Y190" s="204">
        <f t="shared" si="28"/>
        <v>22</v>
      </c>
    </row>
    <row r="191" spans="12:25" x14ac:dyDescent="0.25">
      <c r="L191" s="38">
        <f t="shared" si="31"/>
        <v>49734</v>
      </c>
      <c r="M191" s="245">
        <f t="shared" si="32"/>
        <v>55</v>
      </c>
      <c r="N191" s="246">
        <f t="shared" si="33"/>
        <v>3</v>
      </c>
      <c r="O191" s="204">
        <f t="shared" si="29"/>
        <v>22</v>
      </c>
      <c r="Q191" s="245">
        <f t="shared" si="36"/>
        <v>55</v>
      </c>
      <c r="R191" s="246">
        <f t="shared" si="36"/>
        <v>3</v>
      </c>
      <c r="S191" s="204">
        <f t="shared" si="26"/>
        <v>22</v>
      </c>
      <c r="T191" s="245">
        <f t="shared" si="36"/>
        <v>55</v>
      </c>
      <c r="U191" s="246">
        <f t="shared" si="36"/>
        <v>3</v>
      </c>
      <c r="V191" s="204">
        <f t="shared" si="27"/>
        <v>22</v>
      </c>
      <c r="W191" s="245">
        <f t="shared" si="36"/>
        <v>55</v>
      </c>
      <c r="X191" s="246">
        <f t="shared" si="36"/>
        <v>3</v>
      </c>
      <c r="Y191" s="204">
        <f t="shared" si="28"/>
        <v>22</v>
      </c>
    </row>
    <row r="192" spans="12:25" x14ac:dyDescent="0.25">
      <c r="L192" s="38">
        <f t="shared" si="31"/>
        <v>49765</v>
      </c>
      <c r="M192" s="245">
        <f t="shared" si="32"/>
        <v>55</v>
      </c>
      <c r="N192" s="246">
        <f t="shared" si="33"/>
        <v>3</v>
      </c>
      <c r="O192" s="204">
        <f t="shared" si="29"/>
        <v>22</v>
      </c>
      <c r="Q192" s="245">
        <f t="shared" si="36"/>
        <v>55</v>
      </c>
      <c r="R192" s="246">
        <f t="shared" si="36"/>
        <v>3</v>
      </c>
      <c r="S192" s="204">
        <f t="shared" si="26"/>
        <v>22</v>
      </c>
      <c r="T192" s="245">
        <f t="shared" si="36"/>
        <v>55</v>
      </c>
      <c r="U192" s="246">
        <f t="shared" si="36"/>
        <v>3</v>
      </c>
      <c r="V192" s="204">
        <f t="shared" si="27"/>
        <v>22</v>
      </c>
      <c r="W192" s="245">
        <f t="shared" si="36"/>
        <v>55</v>
      </c>
      <c r="X192" s="246">
        <f t="shared" si="36"/>
        <v>3</v>
      </c>
      <c r="Y192" s="204">
        <f t="shared" si="28"/>
        <v>22</v>
      </c>
    </row>
    <row r="193" spans="12:25" x14ac:dyDescent="0.25">
      <c r="L193" s="38">
        <f t="shared" si="31"/>
        <v>49795</v>
      </c>
      <c r="M193" s="245">
        <f t="shared" si="32"/>
        <v>55</v>
      </c>
      <c r="N193" s="246">
        <f t="shared" si="33"/>
        <v>3</v>
      </c>
      <c r="O193" s="204">
        <f t="shared" si="29"/>
        <v>22</v>
      </c>
      <c r="Q193" s="245">
        <f t="shared" si="36"/>
        <v>55</v>
      </c>
      <c r="R193" s="246">
        <f t="shared" si="36"/>
        <v>3</v>
      </c>
      <c r="S193" s="204">
        <f t="shared" si="26"/>
        <v>22</v>
      </c>
      <c r="T193" s="245">
        <f t="shared" si="36"/>
        <v>55</v>
      </c>
      <c r="U193" s="246">
        <f t="shared" si="36"/>
        <v>3</v>
      </c>
      <c r="V193" s="204">
        <f t="shared" si="27"/>
        <v>22</v>
      </c>
      <c r="W193" s="245">
        <f t="shared" si="36"/>
        <v>55</v>
      </c>
      <c r="X193" s="246">
        <f t="shared" si="36"/>
        <v>3</v>
      </c>
      <c r="Y193" s="204">
        <f t="shared" si="28"/>
        <v>22</v>
      </c>
    </row>
    <row r="194" spans="12:25" x14ac:dyDescent="0.25">
      <c r="L194" s="38">
        <f t="shared" si="31"/>
        <v>49826</v>
      </c>
      <c r="M194" s="245">
        <f t="shared" si="32"/>
        <v>55</v>
      </c>
      <c r="N194" s="246">
        <f t="shared" si="33"/>
        <v>3</v>
      </c>
      <c r="O194" s="204">
        <f t="shared" si="29"/>
        <v>22</v>
      </c>
      <c r="Q194" s="245">
        <f t="shared" si="36"/>
        <v>55</v>
      </c>
      <c r="R194" s="246">
        <f t="shared" si="36"/>
        <v>3</v>
      </c>
      <c r="S194" s="204">
        <f t="shared" si="26"/>
        <v>22</v>
      </c>
      <c r="T194" s="245">
        <f t="shared" si="36"/>
        <v>55</v>
      </c>
      <c r="U194" s="246">
        <f t="shared" si="36"/>
        <v>3</v>
      </c>
      <c r="V194" s="204">
        <f t="shared" si="27"/>
        <v>22</v>
      </c>
      <c r="W194" s="245">
        <f t="shared" si="36"/>
        <v>55</v>
      </c>
      <c r="X194" s="246">
        <f t="shared" si="36"/>
        <v>3</v>
      </c>
      <c r="Y194" s="204">
        <f t="shared" si="28"/>
        <v>22</v>
      </c>
    </row>
    <row r="195" spans="12:25" x14ac:dyDescent="0.25">
      <c r="L195" s="38">
        <f t="shared" si="31"/>
        <v>49856</v>
      </c>
      <c r="M195" s="245">
        <f t="shared" si="32"/>
        <v>55</v>
      </c>
      <c r="N195" s="246">
        <f t="shared" si="33"/>
        <v>3</v>
      </c>
      <c r="O195" s="204">
        <f t="shared" si="29"/>
        <v>22</v>
      </c>
      <c r="Q195" s="245">
        <f t="shared" si="36"/>
        <v>55</v>
      </c>
      <c r="R195" s="246">
        <f t="shared" si="36"/>
        <v>3</v>
      </c>
      <c r="S195" s="204">
        <f t="shared" si="26"/>
        <v>22</v>
      </c>
      <c r="T195" s="245">
        <f t="shared" si="36"/>
        <v>55</v>
      </c>
      <c r="U195" s="246">
        <f t="shared" si="36"/>
        <v>3</v>
      </c>
      <c r="V195" s="204">
        <f t="shared" si="27"/>
        <v>22</v>
      </c>
      <c r="W195" s="245">
        <f t="shared" si="36"/>
        <v>55</v>
      </c>
      <c r="X195" s="246">
        <f t="shared" si="36"/>
        <v>3</v>
      </c>
      <c r="Y195" s="204">
        <f t="shared" si="28"/>
        <v>22</v>
      </c>
    </row>
    <row r="196" spans="12:25" x14ac:dyDescent="0.25">
      <c r="L196" s="38">
        <f t="shared" si="31"/>
        <v>49887</v>
      </c>
      <c r="M196" s="245">
        <f t="shared" si="32"/>
        <v>55</v>
      </c>
      <c r="N196" s="246">
        <f t="shared" si="33"/>
        <v>3</v>
      </c>
      <c r="O196" s="204">
        <f t="shared" si="29"/>
        <v>22</v>
      </c>
      <c r="Q196" s="245">
        <f t="shared" si="36"/>
        <v>55</v>
      </c>
      <c r="R196" s="246">
        <f t="shared" si="36"/>
        <v>3</v>
      </c>
      <c r="S196" s="204">
        <f t="shared" si="26"/>
        <v>22</v>
      </c>
      <c r="T196" s="245">
        <f t="shared" si="36"/>
        <v>55</v>
      </c>
      <c r="U196" s="246">
        <f t="shared" si="36"/>
        <v>3</v>
      </c>
      <c r="V196" s="204">
        <f t="shared" si="27"/>
        <v>22</v>
      </c>
      <c r="W196" s="245">
        <f t="shared" si="36"/>
        <v>55</v>
      </c>
      <c r="X196" s="246">
        <f t="shared" si="36"/>
        <v>3</v>
      </c>
      <c r="Y196" s="204">
        <f t="shared" si="28"/>
        <v>22</v>
      </c>
    </row>
    <row r="197" spans="12:25" x14ac:dyDescent="0.25">
      <c r="L197" s="38">
        <f t="shared" si="31"/>
        <v>49918</v>
      </c>
      <c r="M197" s="245">
        <f t="shared" si="32"/>
        <v>55</v>
      </c>
      <c r="N197" s="246">
        <f t="shared" si="33"/>
        <v>3</v>
      </c>
      <c r="O197" s="204">
        <f t="shared" si="29"/>
        <v>22</v>
      </c>
      <c r="Q197" s="245">
        <f t="shared" si="36"/>
        <v>55</v>
      </c>
      <c r="R197" s="246">
        <f t="shared" si="36"/>
        <v>3</v>
      </c>
      <c r="S197" s="204">
        <f t="shared" si="26"/>
        <v>22</v>
      </c>
      <c r="T197" s="245">
        <f t="shared" si="36"/>
        <v>55</v>
      </c>
      <c r="U197" s="246">
        <f t="shared" si="36"/>
        <v>3</v>
      </c>
      <c r="V197" s="204">
        <f t="shared" si="27"/>
        <v>22</v>
      </c>
      <c r="W197" s="245">
        <f t="shared" si="36"/>
        <v>55</v>
      </c>
      <c r="X197" s="246">
        <f t="shared" si="36"/>
        <v>3</v>
      </c>
      <c r="Y197" s="204">
        <f t="shared" si="28"/>
        <v>22</v>
      </c>
    </row>
    <row r="198" spans="12:25" x14ac:dyDescent="0.25">
      <c r="L198" s="38">
        <f t="shared" si="31"/>
        <v>49948</v>
      </c>
      <c r="M198" s="245">
        <f t="shared" si="32"/>
        <v>55</v>
      </c>
      <c r="N198" s="246">
        <f t="shared" si="33"/>
        <v>3</v>
      </c>
      <c r="O198" s="204">
        <f t="shared" si="29"/>
        <v>22</v>
      </c>
      <c r="Q198" s="245">
        <f t="shared" si="36"/>
        <v>55</v>
      </c>
      <c r="R198" s="246">
        <f t="shared" si="36"/>
        <v>3</v>
      </c>
      <c r="S198" s="204">
        <f t="shared" si="26"/>
        <v>22</v>
      </c>
      <c r="T198" s="245">
        <f t="shared" si="36"/>
        <v>55</v>
      </c>
      <c r="U198" s="246">
        <f t="shared" si="36"/>
        <v>3</v>
      </c>
      <c r="V198" s="204">
        <f t="shared" si="27"/>
        <v>22</v>
      </c>
      <c r="W198" s="245">
        <f t="shared" si="36"/>
        <v>55</v>
      </c>
      <c r="X198" s="246">
        <f t="shared" si="36"/>
        <v>3</v>
      </c>
      <c r="Y198" s="204">
        <f t="shared" si="28"/>
        <v>22</v>
      </c>
    </row>
    <row r="199" spans="12:25" x14ac:dyDescent="0.25">
      <c r="L199" s="38">
        <f t="shared" si="31"/>
        <v>49979</v>
      </c>
      <c r="M199" s="245">
        <f t="shared" si="32"/>
        <v>55</v>
      </c>
      <c r="N199" s="246">
        <f t="shared" si="33"/>
        <v>3</v>
      </c>
      <c r="O199" s="204">
        <f t="shared" si="29"/>
        <v>22</v>
      </c>
      <c r="Q199" s="245">
        <f t="shared" si="36"/>
        <v>55</v>
      </c>
      <c r="R199" s="246">
        <f t="shared" si="36"/>
        <v>3</v>
      </c>
      <c r="S199" s="204">
        <f t="shared" si="26"/>
        <v>22</v>
      </c>
      <c r="T199" s="245">
        <f t="shared" si="36"/>
        <v>55</v>
      </c>
      <c r="U199" s="246">
        <f t="shared" si="36"/>
        <v>3</v>
      </c>
      <c r="V199" s="204">
        <f t="shared" si="27"/>
        <v>22</v>
      </c>
      <c r="W199" s="245">
        <f t="shared" si="36"/>
        <v>55</v>
      </c>
      <c r="X199" s="246">
        <f t="shared" si="36"/>
        <v>3</v>
      </c>
      <c r="Y199" s="204">
        <f t="shared" si="28"/>
        <v>22</v>
      </c>
    </row>
    <row r="200" spans="12:25" x14ac:dyDescent="0.25">
      <c r="L200" s="38">
        <f t="shared" si="31"/>
        <v>50009</v>
      </c>
      <c r="M200" s="245">
        <f t="shared" si="32"/>
        <v>55</v>
      </c>
      <c r="N200" s="246">
        <f t="shared" si="33"/>
        <v>3</v>
      </c>
      <c r="O200" s="204">
        <f t="shared" si="29"/>
        <v>22</v>
      </c>
      <c r="Q200" s="245">
        <f t="shared" si="36"/>
        <v>55</v>
      </c>
      <c r="R200" s="246">
        <f t="shared" si="36"/>
        <v>3</v>
      </c>
      <c r="S200" s="204">
        <f t="shared" si="26"/>
        <v>22</v>
      </c>
      <c r="T200" s="245">
        <f t="shared" si="36"/>
        <v>55</v>
      </c>
      <c r="U200" s="246">
        <f t="shared" si="36"/>
        <v>3</v>
      </c>
      <c r="V200" s="204">
        <f t="shared" si="27"/>
        <v>22</v>
      </c>
      <c r="W200" s="245">
        <f t="shared" si="36"/>
        <v>55</v>
      </c>
      <c r="X200" s="246">
        <f t="shared" si="36"/>
        <v>3</v>
      </c>
      <c r="Y200" s="204">
        <f t="shared" si="28"/>
        <v>22</v>
      </c>
    </row>
    <row r="201" spans="12:25" x14ac:dyDescent="0.25">
      <c r="L201" s="38">
        <f t="shared" si="31"/>
        <v>50040</v>
      </c>
      <c r="M201" s="245">
        <f t="shared" si="32"/>
        <v>55</v>
      </c>
      <c r="N201" s="246">
        <f t="shared" si="33"/>
        <v>3</v>
      </c>
      <c r="O201" s="204">
        <f t="shared" si="29"/>
        <v>22</v>
      </c>
      <c r="Q201" s="245">
        <f t="shared" si="36"/>
        <v>55</v>
      </c>
      <c r="R201" s="246">
        <f t="shared" si="36"/>
        <v>3</v>
      </c>
      <c r="S201" s="204">
        <f t="shared" si="26"/>
        <v>22</v>
      </c>
      <c r="T201" s="245">
        <f t="shared" si="36"/>
        <v>55</v>
      </c>
      <c r="U201" s="246">
        <f t="shared" si="36"/>
        <v>3</v>
      </c>
      <c r="V201" s="204">
        <f t="shared" si="27"/>
        <v>22</v>
      </c>
      <c r="W201" s="245">
        <f t="shared" si="36"/>
        <v>55</v>
      </c>
      <c r="X201" s="246">
        <f t="shared" si="36"/>
        <v>3</v>
      </c>
      <c r="Y201" s="204">
        <f t="shared" si="28"/>
        <v>22</v>
      </c>
    </row>
    <row r="202" spans="12:25" x14ac:dyDescent="0.25">
      <c r="L202" s="38">
        <f t="shared" si="31"/>
        <v>50071</v>
      </c>
      <c r="M202" s="245">
        <f t="shared" si="32"/>
        <v>55</v>
      </c>
      <c r="N202" s="246">
        <f t="shared" si="33"/>
        <v>3</v>
      </c>
      <c r="O202" s="204">
        <f t="shared" si="29"/>
        <v>22</v>
      </c>
      <c r="Q202" s="245">
        <f t="shared" si="36"/>
        <v>55</v>
      </c>
      <c r="R202" s="246">
        <f t="shared" si="36"/>
        <v>3</v>
      </c>
      <c r="S202" s="204">
        <f t="shared" ref="S202:S265" si="37">(1+pdiff_ngl)*Q202</f>
        <v>22</v>
      </c>
      <c r="T202" s="245">
        <f t="shared" si="36"/>
        <v>55</v>
      </c>
      <c r="U202" s="246">
        <f t="shared" si="36"/>
        <v>3</v>
      </c>
      <c r="V202" s="204">
        <f t="shared" ref="V202:V265" si="38">(1+pdiff_ngl)*T202</f>
        <v>22</v>
      </c>
      <c r="W202" s="245">
        <f t="shared" si="36"/>
        <v>55</v>
      </c>
      <c r="X202" s="246">
        <f t="shared" si="36"/>
        <v>3</v>
      </c>
      <c r="Y202" s="204">
        <f t="shared" ref="Y202:Y265" si="39">(1+pdiff_ngl)*W202</f>
        <v>22</v>
      </c>
    </row>
    <row r="203" spans="12:25" x14ac:dyDescent="0.25">
      <c r="L203" s="38">
        <f t="shared" si="31"/>
        <v>50099</v>
      </c>
      <c r="M203" s="245">
        <f t="shared" si="32"/>
        <v>55</v>
      </c>
      <c r="N203" s="246">
        <f t="shared" si="33"/>
        <v>3</v>
      </c>
      <c r="O203" s="204">
        <f t="shared" ref="O203:O266" si="40">(1+pdiff_ngl)*mult_oilprice*M203</f>
        <v>22</v>
      </c>
      <c r="Q203" s="245">
        <f t="shared" ref="Q203:X218" si="41">Q202</f>
        <v>55</v>
      </c>
      <c r="R203" s="246">
        <f t="shared" si="41"/>
        <v>3</v>
      </c>
      <c r="S203" s="204">
        <f t="shared" si="37"/>
        <v>22</v>
      </c>
      <c r="T203" s="245">
        <f t="shared" si="41"/>
        <v>55</v>
      </c>
      <c r="U203" s="246">
        <f t="shared" si="41"/>
        <v>3</v>
      </c>
      <c r="V203" s="204">
        <f t="shared" si="38"/>
        <v>22</v>
      </c>
      <c r="W203" s="245">
        <f t="shared" si="41"/>
        <v>55</v>
      </c>
      <c r="X203" s="246">
        <f t="shared" si="41"/>
        <v>3</v>
      </c>
      <c r="Y203" s="204">
        <f t="shared" si="39"/>
        <v>22</v>
      </c>
    </row>
    <row r="204" spans="12:25" x14ac:dyDescent="0.25">
      <c r="L204" s="38">
        <f t="shared" ref="L204:L267" si="42">EOMONTH(L203,1)</f>
        <v>50130</v>
      </c>
      <c r="M204" s="245">
        <f t="shared" ref="M204:M267" si="43">M203</f>
        <v>55</v>
      </c>
      <c r="N204" s="246">
        <f t="shared" ref="N204:N267" si="44">N203</f>
        <v>3</v>
      </c>
      <c r="O204" s="204">
        <f t="shared" si="40"/>
        <v>22</v>
      </c>
      <c r="Q204" s="245">
        <f t="shared" si="41"/>
        <v>55</v>
      </c>
      <c r="R204" s="246">
        <f t="shared" si="41"/>
        <v>3</v>
      </c>
      <c r="S204" s="204">
        <f t="shared" si="37"/>
        <v>22</v>
      </c>
      <c r="T204" s="245">
        <f t="shared" si="41"/>
        <v>55</v>
      </c>
      <c r="U204" s="246">
        <f t="shared" si="41"/>
        <v>3</v>
      </c>
      <c r="V204" s="204">
        <f t="shared" si="38"/>
        <v>22</v>
      </c>
      <c r="W204" s="245">
        <f t="shared" si="41"/>
        <v>55</v>
      </c>
      <c r="X204" s="246">
        <f t="shared" si="41"/>
        <v>3</v>
      </c>
      <c r="Y204" s="204">
        <f t="shared" si="39"/>
        <v>22</v>
      </c>
    </row>
    <row r="205" spans="12:25" x14ac:dyDescent="0.25">
      <c r="L205" s="38">
        <f t="shared" si="42"/>
        <v>50160</v>
      </c>
      <c r="M205" s="245">
        <f t="shared" si="43"/>
        <v>55</v>
      </c>
      <c r="N205" s="246">
        <f t="shared" si="44"/>
        <v>3</v>
      </c>
      <c r="O205" s="204">
        <f t="shared" si="40"/>
        <v>22</v>
      </c>
      <c r="Q205" s="245">
        <f t="shared" si="41"/>
        <v>55</v>
      </c>
      <c r="R205" s="246">
        <f t="shared" si="41"/>
        <v>3</v>
      </c>
      <c r="S205" s="204">
        <f t="shared" si="37"/>
        <v>22</v>
      </c>
      <c r="T205" s="245">
        <f t="shared" si="41"/>
        <v>55</v>
      </c>
      <c r="U205" s="246">
        <f t="shared" si="41"/>
        <v>3</v>
      </c>
      <c r="V205" s="204">
        <f t="shared" si="38"/>
        <v>22</v>
      </c>
      <c r="W205" s="245">
        <f t="shared" si="41"/>
        <v>55</v>
      </c>
      <c r="X205" s="246">
        <f t="shared" si="41"/>
        <v>3</v>
      </c>
      <c r="Y205" s="204">
        <f t="shared" si="39"/>
        <v>22</v>
      </c>
    </row>
    <row r="206" spans="12:25" x14ac:dyDescent="0.25">
      <c r="L206" s="38">
        <f t="shared" si="42"/>
        <v>50191</v>
      </c>
      <c r="M206" s="245">
        <f t="shared" si="43"/>
        <v>55</v>
      </c>
      <c r="N206" s="246">
        <f t="shared" si="44"/>
        <v>3</v>
      </c>
      <c r="O206" s="204">
        <f t="shared" si="40"/>
        <v>22</v>
      </c>
      <c r="Q206" s="245">
        <f t="shared" si="41"/>
        <v>55</v>
      </c>
      <c r="R206" s="246">
        <f t="shared" si="41"/>
        <v>3</v>
      </c>
      <c r="S206" s="204">
        <f t="shared" si="37"/>
        <v>22</v>
      </c>
      <c r="T206" s="245">
        <f t="shared" si="41"/>
        <v>55</v>
      </c>
      <c r="U206" s="246">
        <f t="shared" si="41"/>
        <v>3</v>
      </c>
      <c r="V206" s="204">
        <f t="shared" si="38"/>
        <v>22</v>
      </c>
      <c r="W206" s="245">
        <f t="shared" si="41"/>
        <v>55</v>
      </c>
      <c r="X206" s="246">
        <f t="shared" si="41"/>
        <v>3</v>
      </c>
      <c r="Y206" s="204">
        <f t="shared" si="39"/>
        <v>22</v>
      </c>
    </row>
    <row r="207" spans="12:25" x14ac:dyDescent="0.25">
      <c r="L207" s="38">
        <f t="shared" si="42"/>
        <v>50221</v>
      </c>
      <c r="M207" s="245">
        <f t="shared" si="43"/>
        <v>55</v>
      </c>
      <c r="N207" s="246">
        <f t="shared" si="44"/>
        <v>3</v>
      </c>
      <c r="O207" s="204">
        <f t="shared" si="40"/>
        <v>22</v>
      </c>
      <c r="Q207" s="245">
        <f t="shared" si="41"/>
        <v>55</v>
      </c>
      <c r="R207" s="246">
        <f t="shared" si="41"/>
        <v>3</v>
      </c>
      <c r="S207" s="204">
        <f t="shared" si="37"/>
        <v>22</v>
      </c>
      <c r="T207" s="245">
        <f t="shared" si="41"/>
        <v>55</v>
      </c>
      <c r="U207" s="246">
        <f t="shared" si="41"/>
        <v>3</v>
      </c>
      <c r="V207" s="204">
        <f t="shared" si="38"/>
        <v>22</v>
      </c>
      <c r="W207" s="245">
        <f t="shared" si="41"/>
        <v>55</v>
      </c>
      <c r="X207" s="246">
        <f t="shared" si="41"/>
        <v>3</v>
      </c>
      <c r="Y207" s="204">
        <f t="shared" si="39"/>
        <v>22</v>
      </c>
    </row>
    <row r="208" spans="12:25" x14ac:dyDescent="0.25">
      <c r="L208" s="38">
        <f t="shared" si="42"/>
        <v>50252</v>
      </c>
      <c r="M208" s="245">
        <f t="shared" si="43"/>
        <v>55</v>
      </c>
      <c r="N208" s="246">
        <f t="shared" si="44"/>
        <v>3</v>
      </c>
      <c r="O208" s="204">
        <f t="shared" si="40"/>
        <v>22</v>
      </c>
      <c r="Q208" s="245">
        <f t="shared" si="41"/>
        <v>55</v>
      </c>
      <c r="R208" s="246">
        <f t="shared" si="41"/>
        <v>3</v>
      </c>
      <c r="S208" s="204">
        <f t="shared" si="37"/>
        <v>22</v>
      </c>
      <c r="T208" s="245">
        <f t="shared" si="41"/>
        <v>55</v>
      </c>
      <c r="U208" s="246">
        <f t="shared" si="41"/>
        <v>3</v>
      </c>
      <c r="V208" s="204">
        <f t="shared" si="38"/>
        <v>22</v>
      </c>
      <c r="W208" s="245">
        <f t="shared" si="41"/>
        <v>55</v>
      </c>
      <c r="X208" s="246">
        <f t="shared" si="41"/>
        <v>3</v>
      </c>
      <c r="Y208" s="204">
        <f t="shared" si="39"/>
        <v>22</v>
      </c>
    </row>
    <row r="209" spans="12:25" x14ac:dyDescent="0.25">
      <c r="L209" s="38">
        <f t="shared" si="42"/>
        <v>50283</v>
      </c>
      <c r="M209" s="245">
        <f t="shared" si="43"/>
        <v>55</v>
      </c>
      <c r="N209" s="246">
        <f t="shared" si="44"/>
        <v>3</v>
      </c>
      <c r="O209" s="204">
        <f t="shared" si="40"/>
        <v>22</v>
      </c>
      <c r="Q209" s="245">
        <f t="shared" si="41"/>
        <v>55</v>
      </c>
      <c r="R209" s="246">
        <f t="shared" si="41"/>
        <v>3</v>
      </c>
      <c r="S209" s="204">
        <f t="shared" si="37"/>
        <v>22</v>
      </c>
      <c r="T209" s="245">
        <f t="shared" si="41"/>
        <v>55</v>
      </c>
      <c r="U209" s="246">
        <f t="shared" si="41"/>
        <v>3</v>
      </c>
      <c r="V209" s="204">
        <f t="shared" si="38"/>
        <v>22</v>
      </c>
      <c r="W209" s="245">
        <f t="shared" si="41"/>
        <v>55</v>
      </c>
      <c r="X209" s="246">
        <f t="shared" si="41"/>
        <v>3</v>
      </c>
      <c r="Y209" s="204">
        <f t="shared" si="39"/>
        <v>22</v>
      </c>
    </row>
    <row r="210" spans="12:25" x14ac:dyDescent="0.25">
      <c r="L210" s="38">
        <f t="shared" si="42"/>
        <v>50313</v>
      </c>
      <c r="M210" s="245">
        <f t="shared" si="43"/>
        <v>55</v>
      </c>
      <c r="N210" s="246">
        <f t="shared" si="44"/>
        <v>3</v>
      </c>
      <c r="O210" s="204">
        <f t="shared" si="40"/>
        <v>22</v>
      </c>
      <c r="Q210" s="245">
        <f t="shared" si="41"/>
        <v>55</v>
      </c>
      <c r="R210" s="246">
        <f t="shared" si="41"/>
        <v>3</v>
      </c>
      <c r="S210" s="204">
        <f t="shared" si="37"/>
        <v>22</v>
      </c>
      <c r="T210" s="245">
        <f t="shared" si="41"/>
        <v>55</v>
      </c>
      <c r="U210" s="246">
        <f t="shared" si="41"/>
        <v>3</v>
      </c>
      <c r="V210" s="204">
        <f t="shared" si="38"/>
        <v>22</v>
      </c>
      <c r="W210" s="245">
        <f t="shared" si="41"/>
        <v>55</v>
      </c>
      <c r="X210" s="246">
        <f t="shared" si="41"/>
        <v>3</v>
      </c>
      <c r="Y210" s="204">
        <f t="shared" si="39"/>
        <v>22</v>
      </c>
    </row>
    <row r="211" spans="12:25" x14ac:dyDescent="0.25">
      <c r="L211" s="38">
        <f t="shared" si="42"/>
        <v>50344</v>
      </c>
      <c r="M211" s="245">
        <f t="shared" si="43"/>
        <v>55</v>
      </c>
      <c r="N211" s="246">
        <f t="shared" si="44"/>
        <v>3</v>
      </c>
      <c r="O211" s="204">
        <f t="shared" si="40"/>
        <v>22</v>
      </c>
      <c r="Q211" s="245">
        <f t="shared" si="41"/>
        <v>55</v>
      </c>
      <c r="R211" s="246">
        <f t="shared" si="41"/>
        <v>3</v>
      </c>
      <c r="S211" s="204">
        <f t="shared" si="37"/>
        <v>22</v>
      </c>
      <c r="T211" s="245">
        <f t="shared" si="41"/>
        <v>55</v>
      </c>
      <c r="U211" s="246">
        <f t="shared" si="41"/>
        <v>3</v>
      </c>
      <c r="V211" s="204">
        <f t="shared" si="38"/>
        <v>22</v>
      </c>
      <c r="W211" s="245">
        <f t="shared" si="41"/>
        <v>55</v>
      </c>
      <c r="X211" s="246">
        <f t="shared" si="41"/>
        <v>3</v>
      </c>
      <c r="Y211" s="204">
        <f t="shared" si="39"/>
        <v>22</v>
      </c>
    </row>
    <row r="212" spans="12:25" x14ac:dyDescent="0.25">
      <c r="L212" s="38">
        <f t="shared" si="42"/>
        <v>50374</v>
      </c>
      <c r="M212" s="245">
        <f t="shared" si="43"/>
        <v>55</v>
      </c>
      <c r="N212" s="246">
        <f t="shared" si="44"/>
        <v>3</v>
      </c>
      <c r="O212" s="204">
        <f t="shared" si="40"/>
        <v>22</v>
      </c>
      <c r="Q212" s="245">
        <f t="shared" si="41"/>
        <v>55</v>
      </c>
      <c r="R212" s="246">
        <f t="shared" si="41"/>
        <v>3</v>
      </c>
      <c r="S212" s="204">
        <f t="shared" si="37"/>
        <v>22</v>
      </c>
      <c r="T212" s="245">
        <f t="shared" si="41"/>
        <v>55</v>
      </c>
      <c r="U212" s="246">
        <f t="shared" si="41"/>
        <v>3</v>
      </c>
      <c r="V212" s="204">
        <f t="shared" si="38"/>
        <v>22</v>
      </c>
      <c r="W212" s="245">
        <f t="shared" si="41"/>
        <v>55</v>
      </c>
      <c r="X212" s="246">
        <f t="shared" si="41"/>
        <v>3</v>
      </c>
      <c r="Y212" s="204">
        <f t="shared" si="39"/>
        <v>22</v>
      </c>
    </row>
    <row r="213" spans="12:25" x14ac:dyDescent="0.25">
      <c r="L213" s="38">
        <f t="shared" si="42"/>
        <v>50405</v>
      </c>
      <c r="M213" s="245">
        <f t="shared" si="43"/>
        <v>55</v>
      </c>
      <c r="N213" s="246">
        <f t="shared" si="44"/>
        <v>3</v>
      </c>
      <c r="O213" s="204">
        <f t="shared" si="40"/>
        <v>22</v>
      </c>
      <c r="Q213" s="245">
        <f t="shared" si="41"/>
        <v>55</v>
      </c>
      <c r="R213" s="246">
        <f t="shared" si="41"/>
        <v>3</v>
      </c>
      <c r="S213" s="204">
        <f t="shared" si="37"/>
        <v>22</v>
      </c>
      <c r="T213" s="245">
        <f t="shared" si="41"/>
        <v>55</v>
      </c>
      <c r="U213" s="246">
        <f t="shared" si="41"/>
        <v>3</v>
      </c>
      <c r="V213" s="204">
        <f t="shared" si="38"/>
        <v>22</v>
      </c>
      <c r="W213" s="245">
        <f t="shared" si="41"/>
        <v>55</v>
      </c>
      <c r="X213" s="246">
        <f t="shared" si="41"/>
        <v>3</v>
      </c>
      <c r="Y213" s="204">
        <f t="shared" si="39"/>
        <v>22</v>
      </c>
    </row>
    <row r="214" spans="12:25" x14ac:dyDescent="0.25">
      <c r="L214" s="38">
        <f t="shared" si="42"/>
        <v>50436</v>
      </c>
      <c r="M214" s="245">
        <f t="shared" si="43"/>
        <v>55</v>
      </c>
      <c r="N214" s="246">
        <f t="shared" si="44"/>
        <v>3</v>
      </c>
      <c r="O214" s="204">
        <f t="shared" si="40"/>
        <v>22</v>
      </c>
      <c r="Q214" s="245">
        <f t="shared" si="41"/>
        <v>55</v>
      </c>
      <c r="R214" s="246">
        <f t="shared" si="41"/>
        <v>3</v>
      </c>
      <c r="S214" s="204">
        <f t="shared" si="37"/>
        <v>22</v>
      </c>
      <c r="T214" s="245">
        <f t="shared" si="41"/>
        <v>55</v>
      </c>
      <c r="U214" s="246">
        <f t="shared" si="41"/>
        <v>3</v>
      </c>
      <c r="V214" s="204">
        <f t="shared" si="38"/>
        <v>22</v>
      </c>
      <c r="W214" s="245">
        <f t="shared" si="41"/>
        <v>55</v>
      </c>
      <c r="X214" s="246">
        <f t="shared" si="41"/>
        <v>3</v>
      </c>
      <c r="Y214" s="204">
        <f t="shared" si="39"/>
        <v>22</v>
      </c>
    </row>
    <row r="215" spans="12:25" x14ac:dyDescent="0.25">
      <c r="L215" s="38">
        <f t="shared" si="42"/>
        <v>50464</v>
      </c>
      <c r="M215" s="245">
        <f t="shared" si="43"/>
        <v>55</v>
      </c>
      <c r="N215" s="246">
        <f t="shared" si="44"/>
        <v>3</v>
      </c>
      <c r="O215" s="204">
        <f t="shared" si="40"/>
        <v>22</v>
      </c>
      <c r="Q215" s="245">
        <f t="shared" si="41"/>
        <v>55</v>
      </c>
      <c r="R215" s="246">
        <f t="shared" si="41"/>
        <v>3</v>
      </c>
      <c r="S215" s="204">
        <f t="shared" si="37"/>
        <v>22</v>
      </c>
      <c r="T215" s="245">
        <f t="shared" si="41"/>
        <v>55</v>
      </c>
      <c r="U215" s="246">
        <f t="shared" si="41"/>
        <v>3</v>
      </c>
      <c r="V215" s="204">
        <f t="shared" si="38"/>
        <v>22</v>
      </c>
      <c r="W215" s="245">
        <f t="shared" si="41"/>
        <v>55</v>
      </c>
      <c r="X215" s="246">
        <f t="shared" si="41"/>
        <v>3</v>
      </c>
      <c r="Y215" s="204">
        <f t="shared" si="39"/>
        <v>22</v>
      </c>
    </row>
    <row r="216" spans="12:25" x14ac:dyDescent="0.25">
      <c r="L216" s="38">
        <f t="shared" si="42"/>
        <v>50495</v>
      </c>
      <c r="M216" s="245">
        <f t="shared" si="43"/>
        <v>55</v>
      </c>
      <c r="N216" s="246">
        <f t="shared" si="44"/>
        <v>3</v>
      </c>
      <c r="O216" s="204">
        <f t="shared" si="40"/>
        <v>22</v>
      </c>
      <c r="Q216" s="245">
        <f t="shared" si="41"/>
        <v>55</v>
      </c>
      <c r="R216" s="246">
        <f t="shared" si="41"/>
        <v>3</v>
      </c>
      <c r="S216" s="204">
        <f t="shared" si="37"/>
        <v>22</v>
      </c>
      <c r="T216" s="245">
        <f t="shared" si="41"/>
        <v>55</v>
      </c>
      <c r="U216" s="246">
        <f t="shared" si="41"/>
        <v>3</v>
      </c>
      <c r="V216" s="204">
        <f t="shared" si="38"/>
        <v>22</v>
      </c>
      <c r="W216" s="245">
        <f t="shared" si="41"/>
        <v>55</v>
      </c>
      <c r="X216" s="246">
        <f t="shared" si="41"/>
        <v>3</v>
      </c>
      <c r="Y216" s="204">
        <f t="shared" si="39"/>
        <v>22</v>
      </c>
    </row>
    <row r="217" spans="12:25" x14ac:dyDescent="0.25">
      <c r="L217" s="38">
        <f t="shared" si="42"/>
        <v>50525</v>
      </c>
      <c r="M217" s="245">
        <f t="shared" si="43"/>
        <v>55</v>
      </c>
      <c r="N217" s="246">
        <f t="shared" si="44"/>
        <v>3</v>
      </c>
      <c r="O217" s="204">
        <f t="shared" si="40"/>
        <v>22</v>
      </c>
      <c r="Q217" s="245">
        <f t="shared" si="41"/>
        <v>55</v>
      </c>
      <c r="R217" s="246">
        <f t="shared" si="41"/>
        <v>3</v>
      </c>
      <c r="S217" s="204">
        <f t="shared" si="37"/>
        <v>22</v>
      </c>
      <c r="T217" s="245">
        <f t="shared" si="41"/>
        <v>55</v>
      </c>
      <c r="U217" s="246">
        <f t="shared" si="41"/>
        <v>3</v>
      </c>
      <c r="V217" s="204">
        <f t="shared" si="38"/>
        <v>22</v>
      </c>
      <c r="W217" s="245">
        <f t="shared" si="41"/>
        <v>55</v>
      </c>
      <c r="X217" s="246">
        <f t="shared" si="41"/>
        <v>3</v>
      </c>
      <c r="Y217" s="204">
        <f t="shared" si="39"/>
        <v>22</v>
      </c>
    </row>
    <row r="218" spans="12:25" x14ac:dyDescent="0.25">
      <c r="L218" s="38">
        <f t="shared" si="42"/>
        <v>50556</v>
      </c>
      <c r="M218" s="245">
        <f t="shared" si="43"/>
        <v>55</v>
      </c>
      <c r="N218" s="246">
        <f t="shared" si="44"/>
        <v>3</v>
      </c>
      <c r="O218" s="204">
        <f t="shared" si="40"/>
        <v>22</v>
      </c>
      <c r="Q218" s="245">
        <f t="shared" si="41"/>
        <v>55</v>
      </c>
      <c r="R218" s="246">
        <f t="shared" si="41"/>
        <v>3</v>
      </c>
      <c r="S218" s="204">
        <f t="shared" si="37"/>
        <v>22</v>
      </c>
      <c r="T218" s="245">
        <f t="shared" si="41"/>
        <v>55</v>
      </c>
      <c r="U218" s="246">
        <f t="shared" si="41"/>
        <v>3</v>
      </c>
      <c r="V218" s="204">
        <f t="shared" si="38"/>
        <v>22</v>
      </c>
      <c r="W218" s="245">
        <f t="shared" si="41"/>
        <v>55</v>
      </c>
      <c r="X218" s="246">
        <f t="shared" si="41"/>
        <v>3</v>
      </c>
      <c r="Y218" s="204">
        <f t="shared" si="39"/>
        <v>22</v>
      </c>
    </row>
    <row r="219" spans="12:25" x14ac:dyDescent="0.25">
      <c r="L219" s="38">
        <f t="shared" si="42"/>
        <v>50586</v>
      </c>
      <c r="M219" s="245">
        <f t="shared" si="43"/>
        <v>55</v>
      </c>
      <c r="N219" s="246">
        <f t="shared" si="44"/>
        <v>3</v>
      </c>
      <c r="O219" s="204">
        <f t="shared" si="40"/>
        <v>22</v>
      </c>
      <c r="Q219" s="245">
        <f t="shared" ref="Q219:X234" si="45">Q218</f>
        <v>55</v>
      </c>
      <c r="R219" s="246">
        <f t="shared" si="45"/>
        <v>3</v>
      </c>
      <c r="S219" s="204">
        <f t="shared" si="37"/>
        <v>22</v>
      </c>
      <c r="T219" s="245">
        <f t="shared" si="45"/>
        <v>55</v>
      </c>
      <c r="U219" s="246">
        <f t="shared" si="45"/>
        <v>3</v>
      </c>
      <c r="V219" s="204">
        <f t="shared" si="38"/>
        <v>22</v>
      </c>
      <c r="W219" s="245">
        <f t="shared" si="45"/>
        <v>55</v>
      </c>
      <c r="X219" s="246">
        <f t="shared" si="45"/>
        <v>3</v>
      </c>
      <c r="Y219" s="204">
        <f t="shared" si="39"/>
        <v>22</v>
      </c>
    </row>
    <row r="220" spans="12:25" x14ac:dyDescent="0.25">
      <c r="L220" s="38">
        <f t="shared" si="42"/>
        <v>50617</v>
      </c>
      <c r="M220" s="245">
        <f t="shared" si="43"/>
        <v>55</v>
      </c>
      <c r="N220" s="246">
        <f t="shared" si="44"/>
        <v>3</v>
      </c>
      <c r="O220" s="204">
        <f t="shared" si="40"/>
        <v>22</v>
      </c>
      <c r="Q220" s="245">
        <f t="shared" si="45"/>
        <v>55</v>
      </c>
      <c r="R220" s="246">
        <f t="shared" si="45"/>
        <v>3</v>
      </c>
      <c r="S220" s="204">
        <f t="shared" si="37"/>
        <v>22</v>
      </c>
      <c r="T220" s="245">
        <f t="shared" si="45"/>
        <v>55</v>
      </c>
      <c r="U220" s="246">
        <f t="shared" si="45"/>
        <v>3</v>
      </c>
      <c r="V220" s="204">
        <f t="shared" si="38"/>
        <v>22</v>
      </c>
      <c r="W220" s="245">
        <f t="shared" si="45"/>
        <v>55</v>
      </c>
      <c r="X220" s="246">
        <f t="shared" si="45"/>
        <v>3</v>
      </c>
      <c r="Y220" s="204">
        <f t="shared" si="39"/>
        <v>22</v>
      </c>
    </row>
    <row r="221" spans="12:25" x14ac:dyDescent="0.25">
      <c r="L221" s="38">
        <f t="shared" si="42"/>
        <v>50648</v>
      </c>
      <c r="M221" s="245">
        <f t="shared" si="43"/>
        <v>55</v>
      </c>
      <c r="N221" s="246">
        <f t="shared" si="44"/>
        <v>3</v>
      </c>
      <c r="O221" s="204">
        <f t="shared" si="40"/>
        <v>22</v>
      </c>
      <c r="Q221" s="245">
        <f t="shared" si="45"/>
        <v>55</v>
      </c>
      <c r="R221" s="246">
        <f t="shared" si="45"/>
        <v>3</v>
      </c>
      <c r="S221" s="204">
        <f t="shared" si="37"/>
        <v>22</v>
      </c>
      <c r="T221" s="245">
        <f t="shared" si="45"/>
        <v>55</v>
      </c>
      <c r="U221" s="246">
        <f t="shared" si="45"/>
        <v>3</v>
      </c>
      <c r="V221" s="204">
        <f t="shared" si="38"/>
        <v>22</v>
      </c>
      <c r="W221" s="245">
        <f t="shared" si="45"/>
        <v>55</v>
      </c>
      <c r="X221" s="246">
        <f t="shared" si="45"/>
        <v>3</v>
      </c>
      <c r="Y221" s="204">
        <f t="shared" si="39"/>
        <v>22</v>
      </c>
    </row>
    <row r="222" spans="12:25" x14ac:dyDescent="0.25">
      <c r="L222" s="38">
        <f t="shared" si="42"/>
        <v>50678</v>
      </c>
      <c r="M222" s="245">
        <f t="shared" si="43"/>
        <v>55</v>
      </c>
      <c r="N222" s="246">
        <f t="shared" si="44"/>
        <v>3</v>
      </c>
      <c r="O222" s="204">
        <f t="shared" si="40"/>
        <v>22</v>
      </c>
      <c r="Q222" s="245">
        <f t="shared" si="45"/>
        <v>55</v>
      </c>
      <c r="R222" s="246">
        <f t="shared" si="45"/>
        <v>3</v>
      </c>
      <c r="S222" s="204">
        <f t="shared" si="37"/>
        <v>22</v>
      </c>
      <c r="T222" s="245">
        <f t="shared" si="45"/>
        <v>55</v>
      </c>
      <c r="U222" s="246">
        <f t="shared" si="45"/>
        <v>3</v>
      </c>
      <c r="V222" s="204">
        <f t="shared" si="38"/>
        <v>22</v>
      </c>
      <c r="W222" s="245">
        <f t="shared" si="45"/>
        <v>55</v>
      </c>
      <c r="X222" s="246">
        <f t="shared" si="45"/>
        <v>3</v>
      </c>
      <c r="Y222" s="204">
        <f t="shared" si="39"/>
        <v>22</v>
      </c>
    </row>
    <row r="223" spans="12:25" x14ac:dyDescent="0.25">
      <c r="L223" s="38">
        <f t="shared" si="42"/>
        <v>50709</v>
      </c>
      <c r="M223" s="245">
        <f t="shared" si="43"/>
        <v>55</v>
      </c>
      <c r="N223" s="246">
        <f t="shared" si="44"/>
        <v>3</v>
      </c>
      <c r="O223" s="204">
        <f t="shared" si="40"/>
        <v>22</v>
      </c>
      <c r="Q223" s="245">
        <f t="shared" si="45"/>
        <v>55</v>
      </c>
      <c r="R223" s="246">
        <f t="shared" si="45"/>
        <v>3</v>
      </c>
      <c r="S223" s="204">
        <f t="shared" si="37"/>
        <v>22</v>
      </c>
      <c r="T223" s="245">
        <f t="shared" si="45"/>
        <v>55</v>
      </c>
      <c r="U223" s="246">
        <f t="shared" si="45"/>
        <v>3</v>
      </c>
      <c r="V223" s="204">
        <f t="shared" si="38"/>
        <v>22</v>
      </c>
      <c r="W223" s="245">
        <f t="shared" si="45"/>
        <v>55</v>
      </c>
      <c r="X223" s="246">
        <f t="shared" si="45"/>
        <v>3</v>
      </c>
      <c r="Y223" s="204">
        <f t="shared" si="39"/>
        <v>22</v>
      </c>
    </row>
    <row r="224" spans="12:25" x14ac:dyDescent="0.25">
      <c r="L224" s="38">
        <f t="shared" si="42"/>
        <v>50739</v>
      </c>
      <c r="M224" s="245">
        <f t="shared" si="43"/>
        <v>55</v>
      </c>
      <c r="N224" s="246">
        <f t="shared" si="44"/>
        <v>3</v>
      </c>
      <c r="O224" s="204">
        <f t="shared" si="40"/>
        <v>22</v>
      </c>
      <c r="Q224" s="245">
        <f t="shared" si="45"/>
        <v>55</v>
      </c>
      <c r="R224" s="246">
        <f t="shared" si="45"/>
        <v>3</v>
      </c>
      <c r="S224" s="204">
        <f t="shared" si="37"/>
        <v>22</v>
      </c>
      <c r="T224" s="245">
        <f t="shared" si="45"/>
        <v>55</v>
      </c>
      <c r="U224" s="246">
        <f t="shared" si="45"/>
        <v>3</v>
      </c>
      <c r="V224" s="204">
        <f t="shared" si="38"/>
        <v>22</v>
      </c>
      <c r="W224" s="245">
        <f t="shared" si="45"/>
        <v>55</v>
      </c>
      <c r="X224" s="246">
        <f t="shared" si="45"/>
        <v>3</v>
      </c>
      <c r="Y224" s="204">
        <f t="shared" si="39"/>
        <v>22</v>
      </c>
    </row>
    <row r="225" spans="12:25" x14ac:dyDescent="0.25">
      <c r="L225" s="38">
        <f t="shared" si="42"/>
        <v>50770</v>
      </c>
      <c r="M225" s="245">
        <f t="shared" si="43"/>
        <v>55</v>
      </c>
      <c r="N225" s="246">
        <f t="shared" si="44"/>
        <v>3</v>
      </c>
      <c r="O225" s="204">
        <f t="shared" si="40"/>
        <v>22</v>
      </c>
      <c r="Q225" s="245">
        <f t="shared" si="45"/>
        <v>55</v>
      </c>
      <c r="R225" s="246">
        <f t="shared" si="45"/>
        <v>3</v>
      </c>
      <c r="S225" s="204">
        <f t="shared" si="37"/>
        <v>22</v>
      </c>
      <c r="T225" s="245">
        <f t="shared" si="45"/>
        <v>55</v>
      </c>
      <c r="U225" s="246">
        <f t="shared" si="45"/>
        <v>3</v>
      </c>
      <c r="V225" s="204">
        <f t="shared" si="38"/>
        <v>22</v>
      </c>
      <c r="W225" s="245">
        <f t="shared" si="45"/>
        <v>55</v>
      </c>
      <c r="X225" s="246">
        <f t="shared" si="45"/>
        <v>3</v>
      </c>
      <c r="Y225" s="204">
        <f t="shared" si="39"/>
        <v>22</v>
      </c>
    </row>
    <row r="226" spans="12:25" x14ac:dyDescent="0.25">
      <c r="L226" s="38">
        <f t="shared" si="42"/>
        <v>50801</v>
      </c>
      <c r="M226" s="245">
        <f t="shared" si="43"/>
        <v>55</v>
      </c>
      <c r="N226" s="246">
        <f t="shared" si="44"/>
        <v>3</v>
      </c>
      <c r="O226" s="204">
        <f t="shared" si="40"/>
        <v>22</v>
      </c>
      <c r="Q226" s="245">
        <f t="shared" si="45"/>
        <v>55</v>
      </c>
      <c r="R226" s="246">
        <f t="shared" si="45"/>
        <v>3</v>
      </c>
      <c r="S226" s="204">
        <f t="shared" si="37"/>
        <v>22</v>
      </c>
      <c r="T226" s="245">
        <f t="shared" si="45"/>
        <v>55</v>
      </c>
      <c r="U226" s="246">
        <f t="shared" si="45"/>
        <v>3</v>
      </c>
      <c r="V226" s="204">
        <f t="shared" si="38"/>
        <v>22</v>
      </c>
      <c r="W226" s="245">
        <f t="shared" si="45"/>
        <v>55</v>
      </c>
      <c r="X226" s="246">
        <f t="shared" si="45"/>
        <v>3</v>
      </c>
      <c r="Y226" s="204">
        <f t="shared" si="39"/>
        <v>22</v>
      </c>
    </row>
    <row r="227" spans="12:25" x14ac:dyDescent="0.25">
      <c r="L227" s="38">
        <f t="shared" si="42"/>
        <v>50829</v>
      </c>
      <c r="M227" s="245">
        <f t="shared" si="43"/>
        <v>55</v>
      </c>
      <c r="N227" s="246">
        <f t="shared" si="44"/>
        <v>3</v>
      </c>
      <c r="O227" s="204">
        <f t="shared" si="40"/>
        <v>22</v>
      </c>
      <c r="Q227" s="245">
        <f t="shared" si="45"/>
        <v>55</v>
      </c>
      <c r="R227" s="246">
        <f t="shared" si="45"/>
        <v>3</v>
      </c>
      <c r="S227" s="204">
        <f t="shared" si="37"/>
        <v>22</v>
      </c>
      <c r="T227" s="245">
        <f t="shared" si="45"/>
        <v>55</v>
      </c>
      <c r="U227" s="246">
        <f t="shared" si="45"/>
        <v>3</v>
      </c>
      <c r="V227" s="204">
        <f t="shared" si="38"/>
        <v>22</v>
      </c>
      <c r="W227" s="245">
        <f t="shared" si="45"/>
        <v>55</v>
      </c>
      <c r="X227" s="246">
        <f t="shared" si="45"/>
        <v>3</v>
      </c>
      <c r="Y227" s="204">
        <f t="shared" si="39"/>
        <v>22</v>
      </c>
    </row>
    <row r="228" spans="12:25" x14ac:dyDescent="0.25">
      <c r="L228" s="38">
        <f t="shared" si="42"/>
        <v>50860</v>
      </c>
      <c r="M228" s="245">
        <f t="shared" si="43"/>
        <v>55</v>
      </c>
      <c r="N228" s="246">
        <f t="shared" si="44"/>
        <v>3</v>
      </c>
      <c r="O228" s="204">
        <f t="shared" si="40"/>
        <v>22</v>
      </c>
      <c r="Q228" s="245">
        <f t="shared" si="45"/>
        <v>55</v>
      </c>
      <c r="R228" s="246">
        <f t="shared" si="45"/>
        <v>3</v>
      </c>
      <c r="S228" s="204">
        <f t="shared" si="37"/>
        <v>22</v>
      </c>
      <c r="T228" s="245">
        <f t="shared" si="45"/>
        <v>55</v>
      </c>
      <c r="U228" s="246">
        <f t="shared" si="45"/>
        <v>3</v>
      </c>
      <c r="V228" s="204">
        <f t="shared" si="38"/>
        <v>22</v>
      </c>
      <c r="W228" s="245">
        <f t="shared" si="45"/>
        <v>55</v>
      </c>
      <c r="X228" s="246">
        <f t="shared" si="45"/>
        <v>3</v>
      </c>
      <c r="Y228" s="204">
        <f t="shared" si="39"/>
        <v>22</v>
      </c>
    </row>
    <row r="229" spans="12:25" x14ac:dyDescent="0.25">
      <c r="L229" s="38">
        <f t="shared" si="42"/>
        <v>50890</v>
      </c>
      <c r="M229" s="245">
        <f t="shared" si="43"/>
        <v>55</v>
      </c>
      <c r="N229" s="246">
        <f t="shared" si="44"/>
        <v>3</v>
      </c>
      <c r="O229" s="204">
        <f t="shared" si="40"/>
        <v>22</v>
      </c>
      <c r="Q229" s="245">
        <f t="shared" si="45"/>
        <v>55</v>
      </c>
      <c r="R229" s="246">
        <f t="shared" si="45"/>
        <v>3</v>
      </c>
      <c r="S229" s="204">
        <f t="shared" si="37"/>
        <v>22</v>
      </c>
      <c r="T229" s="245">
        <f t="shared" si="45"/>
        <v>55</v>
      </c>
      <c r="U229" s="246">
        <f t="shared" si="45"/>
        <v>3</v>
      </c>
      <c r="V229" s="204">
        <f t="shared" si="38"/>
        <v>22</v>
      </c>
      <c r="W229" s="245">
        <f t="shared" si="45"/>
        <v>55</v>
      </c>
      <c r="X229" s="246">
        <f t="shared" si="45"/>
        <v>3</v>
      </c>
      <c r="Y229" s="204">
        <f t="shared" si="39"/>
        <v>22</v>
      </c>
    </row>
    <row r="230" spans="12:25" x14ac:dyDescent="0.25">
      <c r="L230" s="38">
        <f t="shared" si="42"/>
        <v>50921</v>
      </c>
      <c r="M230" s="245">
        <f t="shared" si="43"/>
        <v>55</v>
      </c>
      <c r="N230" s="246">
        <f t="shared" si="44"/>
        <v>3</v>
      </c>
      <c r="O230" s="204">
        <f t="shared" si="40"/>
        <v>22</v>
      </c>
      <c r="Q230" s="245">
        <f t="shared" si="45"/>
        <v>55</v>
      </c>
      <c r="R230" s="246">
        <f t="shared" si="45"/>
        <v>3</v>
      </c>
      <c r="S230" s="204">
        <f t="shared" si="37"/>
        <v>22</v>
      </c>
      <c r="T230" s="245">
        <f t="shared" si="45"/>
        <v>55</v>
      </c>
      <c r="U230" s="246">
        <f t="shared" si="45"/>
        <v>3</v>
      </c>
      <c r="V230" s="204">
        <f t="shared" si="38"/>
        <v>22</v>
      </c>
      <c r="W230" s="245">
        <f t="shared" si="45"/>
        <v>55</v>
      </c>
      <c r="X230" s="246">
        <f t="shared" si="45"/>
        <v>3</v>
      </c>
      <c r="Y230" s="204">
        <f t="shared" si="39"/>
        <v>22</v>
      </c>
    </row>
    <row r="231" spans="12:25" x14ac:dyDescent="0.25">
      <c r="L231" s="38">
        <f t="shared" si="42"/>
        <v>50951</v>
      </c>
      <c r="M231" s="245">
        <f t="shared" si="43"/>
        <v>55</v>
      </c>
      <c r="N231" s="246">
        <f t="shared" si="44"/>
        <v>3</v>
      </c>
      <c r="O231" s="204">
        <f t="shared" si="40"/>
        <v>22</v>
      </c>
      <c r="Q231" s="245">
        <f t="shared" si="45"/>
        <v>55</v>
      </c>
      <c r="R231" s="246">
        <f t="shared" si="45"/>
        <v>3</v>
      </c>
      <c r="S231" s="204">
        <f t="shared" si="37"/>
        <v>22</v>
      </c>
      <c r="T231" s="245">
        <f t="shared" si="45"/>
        <v>55</v>
      </c>
      <c r="U231" s="246">
        <f t="shared" si="45"/>
        <v>3</v>
      </c>
      <c r="V231" s="204">
        <f t="shared" si="38"/>
        <v>22</v>
      </c>
      <c r="W231" s="245">
        <f t="shared" si="45"/>
        <v>55</v>
      </c>
      <c r="X231" s="246">
        <f t="shared" si="45"/>
        <v>3</v>
      </c>
      <c r="Y231" s="204">
        <f t="shared" si="39"/>
        <v>22</v>
      </c>
    </row>
    <row r="232" spans="12:25" x14ac:dyDescent="0.25">
      <c r="L232" s="38">
        <f t="shared" si="42"/>
        <v>50982</v>
      </c>
      <c r="M232" s="245">
        <f t="shared" si="43"/>
        <v>55</v>
      </c>
      <c r="N232" s="246">
        <f t="shared" si="44"/>
        <v>3</v>
      </c>
      <c r="O232" s="204">
        <f t="shared" si="40"/>
        <v>22</v>
      </c>
      <c r="Q232" s="245">
        <f t="shared" si="45"/>
        <v>55</v>
      </c>
      <c r="R232" s="246">
        <f t="shared" si="45"/>
        <v>3</v>
      </c>
      <c r="S232" s="204">
        <f t="shared" si="37"/>
        <v>22</v>
      </c>
      <c r="T232" s="245">
        <f t="shared" si="45"/>
        <v>55</v>
      </c>
      <c r="U232" s="246">
        <f t="shared" si="45"/>
        <v>3</v>
      </c>
      <c r="V232" s="204">
        <f t="shared" si="38"/>
        <v>22</v>
      </c>
      <c r="W232" s="245">
        <f t="shared" si="45"/>
        <v>55</v>
      </c>
      <c r="X232" s="246">
        <f t="shared" si="45"/>
        <v>3</v>
      </c>
      <c r="Y232" s="204">
        <f t="shared" si="39"/>
        <v>22</v>
      </c>
    </row>
    <row r="233" spans="12:25" x14ac:dyDescent="0.25">
      <c r="L233" s="38">
        <f t="shared" si="42"/>
        <v>51013</v>
      </c>
      <c r="M233" s="245">
        <f t="shared" si="43"/>
        <v>55</v>
      </c>
      <c r="N233" s="246">
        <f t="shared" si="44"/>
        <v>3</v>
      </c>
      <c r="O233" s="204">
        <f t="shared" si="40"/>
        <v>22</v>
      </c>
      <c r="Q233" s="245">
        <f t="shared" si="45"/>
        <v>55</v>
      </c>
      <c r="R233" s="246">
        <f t="shared" si="45"/>
        <v>3</v>
      </c>
      <c r="S233" s="204">
        <f t="shared" si="37"/>
        <v>22</v>
      </c>
      <c r="T233" s="245">
        <f t="shared" si="45"/>
        <v>55</v>
      </c>
      <c r="U233" s="246">
        <f t="shared" si="45"/>
        <v>3</v>
      </c>
      <c r="V233" s="204">
        <f t="shared" si="38"/>
        <v>22</v>
      </c>
      <c r="W233" s="245">
        <f t="shared" si="45"/>
        <v>55</v>
      </c>
      <c r="X233" s="246">
        <f t="shared" si="45"/>
        <v>3</v>
      </c>
      <c r="Y233" s="204">
        <f t="shared" si="39"/>
        <v>22</v>
      </c>
    </row>
    <row r="234" spans="12:25" x14ac:dyDescent="0.25">
      <c r="L234" s="38">
        <f t="shared" si="42"/>
        <v>51043</v>
      </c>
      <c r="M234" s="245">
        <f t="shared" si="43"/>
        <v>55</v>
      </c>
      <c r="N234" s="246">
        <f t="shared" si="44"/>
        <v>3</v>
      </c>
      <c r="O234" s="204">
        <f t="shared" si="40"/>
        <v>22</v>
      </c>
      <c r="Q234" s="245">
        <f t="shared" si="45"/>
        <v>55</v>
      </c>
      <c r="R234" s="246">
        <f t="shared" si="45"/>
        <v>3</v>
      </c>
      <c r="S234" s="204">
        <f t="shared" si="37"/>
        <v>22</v>
      </c>
      <c r="T234" s="245">
        <f t="shared" si="45"/>
        <v>55</v>
      </c>
      <c r="U234" s="246">
        <f t="shared" si="45"/>
        <v>3</v>
      </c>
      <c r="V234" s="204">
        <f t="shared" si="38"/>
        <v>22</v>
      </c>
      <c r="W234" s="245">
        <f t="shared" si="45"/>
        <v>55</v>
      </c>
      <c r="X234" s="246">
        <f t="shared" si="45"/>
        <v>3</v>
      </c>
      <c r="Y234" s="204">
        <f t="shared" si="39"/>
        <v>22</v>
      </c>
    </row>
    <row r="235" spans="12:25" x14ac:dyDescent="0.25">
      <c r="L235" s="38">
        <f t="shared" si="42"/>
        <v>51074</v>
      </c>
      <c r="M235" s="245">
        <f t="shared" si="43"/>
        <v>55</v>
      </c>
      <c r="N235" s="246">
        <f t="shared" si="44"/>
        <v>3</v>
      </c>
      <c r="O235" s="204">
        <f t="shared" si="40"/>
        <v>22</v>
      </c>
      <c r="Q235" s="245">
        <f t="shared" ref="Q235:X250" si="46">Q234</f>
        <v>55</v>
      </c>
      <c r="R235" s="246">
        <f t="shared" si="46"/>
        <v>3</v>
      </c>
      <c r="S235" s="204">
        <f t="shared" si="37"/>
        <v>22</v>
      </c>
      <c r="T235" s="245">
        <f t="shared" si="46"/>
        <v>55</v>
      </c>
      <c r="U235" s="246">
        <f t="shared" si="46"/>
        <v>3</v>
      </c>
      <c r="V235" s="204">
        <f t="shared" si="38"/>
        <v>22</v>
      </c>
      <c r="W235" s="245">
        <f t="shared" si="46"/>
        <v>55</v>
      </c>
      <c r="X235" s="246">
        <f t="shared" si="46"/>
        <v>3</v>
      </c>
      <c r="Y235" s="204">
        <f t="shared" si="39"/>
        <v>22</v>
      </c>
    </row>
    <row r="236" spans="12:25" x14ac:dyDescent="0.25">
      <c r="L236" s="38">
        <f t="shared" si="42"/>
        <v>51104</v>
      </c>
      <c r="M236" s="245">
        <f t="shared" si="43"/>
        <v>55</v>
      </c>
      <c r="N236" s="246">
        <f t="shared" si="44"/>
        <v>3</v>
      </c>
      <c r="O236" s="204">
        <f t="shared" si="40"/>
        <v>22</v>
      </c>
      <c r="Q236" s="245">
        <f t="shared" si="46"/>
        <v>55</v>
      </c>
      <c r="R236" s="246">
        <f t="shared" si="46"/>
        <v>3</v>
      </c>
      <c r="S236" s="204">
        <f t="shared" si="37"/>
        <v>22</v>
      </c>
      <c r="T236" s="245">
        <f t="shared" si="46"/>
        <v>55</v>
      </c>
      <c r="U236" s="246">
        <f t="shared" si="46"/>
        <v>3</v>
      </c>
      <c r="V236" s="204">
        <f t="shared" si="38"/>
        <v>22</v>
      </c>
      <c r="W236" s="245">
        <f t="shared" si="46"/>
        <v>55</v>
      </c>
      <c r="X236" s="246">
        <f t="shared" si="46"/>
        <v>3</v>
      </c>
      <c r="Y236" s="204">
        <f t="shared" si="39"/>
        <v>22</v>
      </c>
    </row>
    <row r="237" spans="12:25" x14ac:dyDescent="0.25">
      <c r="L237" s="38">
        <f t="shared" si="42"/>
        <v>51135</v>
      </c>
      <c r="M237" s="245">
        <f t="shared" si="43"/>
        <v>55</v>
      </c>
      <c r="N237" s="246">
        <f t="shared" si="44"/>
        <v>3</v>
      </c>
      <c r="O237" s="204">
        <f t="shared" si="40"/>
        <v>22</v>
      </c>
      <c r="Q237" s="245">
        <f t="shared" si="46"/>
        <v>55</v>
      </c>
      <c r="R237" s="246">
        <f t="shared" si="46"/>
        <v>3</v>
      </c>
      <c r="S237" s="204">
        <f t="shared" si="37"/>
        <v>22</v>
      </c>
      <c r="T237" s="245">
        <f t="shared" si="46"/>
        <v>55</v>
      </c>
      <c r="U237" s="246">
        <f t="shared" si="46"/>
        <v>3</v>
      </c>
      <c r="V237" s="204">
        <f t="shared" si="38"/>
        <v>22</v>
      </c>
      <c r="W237" s="245">
        <f t="shared" si="46"/>
        <v>55</v>
      </c>
      <c r="X237" s="246">
        <f t="shared" si="46"/>
        <v>3</v>
      </c>
      <c r="Y237" s="204">
        <f t="shared" si="39"/>
        <v>22</v>
      </c>
    </row>
    <row r="238" spans="12:25" x14ac:dyDescent="0.25">
      <c r="L238" s="38">
        <f t="shared" si="42"/>
        <v>51166</v>
      </c>
      <c r="M238" s="245">
        <f t="shared" si="43"/>
        <v>55</v>
      </c>
      <c r="N238" s="246">
        <f t="shared" si="44"/>
        <v>3</v>
      </c>
      <c r="O238" s="204">
        <f t="shared" si="40"/>
        <v>22</v>
      </c>
      <c r="Q238" s="245">
        <f t="shared" si="46"/>
        <v>55</v>
      </c>
      <c r="R238" s="246">
        <f t="shared" si="46"/>
        <v>3</v>
      </c>
      <c r="S238" s="204">
        <f t="shared" si="37"/>
        <v>22</v>
      </c>
      <c r="T238" s="245">
        <f t="shared" si="46"/>
        <v>55</v>
      </c>
      <c r="U238" s="246">
        <f t="shared" si="46"/>
        <v>3</v>
      </c>
      <c r="V238" s="204">
        <f t="shared" si="38"/>
        <v>22</v>
      </c>
      <c r="W238" s="245">
        <f t="shared" si="46"/>
        <v>55</v>
      </c>
      <c r="X238" s="246">
        <f t="shared" si="46"/>
        <v>3</v>
      </c>
      <c r="Y238" s="204">
        <f t="shared" si="39"/>
        <v>22</v>
      </c>
    </row>
    <row r="239" spans="12:25" x14ac:dyDescent="0.25">
      <c r="L239" s="38">
        <f t="shared" si="42"/>
        <v>51195</v>
      </c>
      <c r="M239" s="245">
        <f t="shared" si="43"/>
        <v>55</v>
      </c>
      <c r="N239" s="246">
        <f t="shared" si="44"/>
        <v>3</v>
      </c>
      <c r="O239" s="204">
        <f t="shared" si="40"/>
        <v>22</v>
      </c>
      <c r="Q239" s="245">
        <f t="shared" si="46"/>
        <v>55</v>
      </c>
      <c r="R239" s="246">
        <f t="shared" si="46"/>
        <v>3</v>
      </c>
      <c r="S239" s="204">
        <f t="shared" si="37"/>
        <v>22</v>
      </c>
      <c r="T239" s="245">
        <f t="shared" si="46"/>
        <v>55</v>
      </c>
      <c r="U239" s="246">
        <f t="shared" si="46"/>
        <v>3</v>
      </c>
      <c r="V239" s="204">
        <f t="shared" si="38"/>
        <v>22</v>
      </c>
      <c r="W239" s="245">
        <f t="shared" si="46"/>
        <v>55</v>
      </c>
      <c r="X239" s="246">
        <f t="shared" si="46"/>
        <v>3</v>
      </c>
      <c r="Y239" s="204">
        <f t="shared" si="39"/>
        <v>22</v>
      </c>
    </row>
    <row r="240" spans="12:25" x14ac:dyDescent="0.25">
      <c r="L240" s="38">
        <f t="shared" si="42"/>
        <v>51226</v>
      </c>
      <c r="M240" s="245">
        <f t="shared" si="43"/>
        <v>55</v>
      </c>
      <c r="N240" s="246">
        <f t="shared" si="44"/>
        <v>3</v>
      </c>
      <c r="O240" s="204">
        <f t="shared" si="40"/>
        <v>22</v>
      </c>
      <c r="Q240" s="245">
        <f t="shared" si="46"/>
        <v>55</v>
      </c>
      <c r="R240" s="246">
        <f t="shared" si="46"/>
        <v>3</v>
      </c>
      <c r="S240" s="204">
        <f t="shared" si="37"/>
        <v>22</v>
      </c>
      <c r="T240" s="245">
        <f t="shared" si="46"/>
        <v>55</v>
      </c>
      <c r="U240" s="246">
        <f t="shared" si="46"/>
        <v>3</v>
      </c>
      <c r="V240" s="204">
        <f t="shared" si="38"/>
        <v>22</v>
      </c>
      <c r="W240" s="245">
        <f t="shared" si="46"/>
        <v>55</v>
      </c>
      <c r="X240" s="246">
        <f t="shared" si="46"/>
        <v>3</v>
      </c>
      <c r="Y240" s="204">
        <f t="shared" si="39"/>
        <v>22</v>
      </c>
    </row>
    <row r="241" spans="12:25" x14ac:dyDescent="0.25">
      <c r="L241" s="38">
        <f t="shared" si="42"/>
        <v>51256</v>
      </c>
      <c r="M241" s="245">
        <f t="shared" si="43"/>
        <v>55</v>
      </c>
      <c r="N241" s="246">
        <f t="shared" si="44"/>
        <v>3</v>
      </c>
      <c r="O241" s="204">
        <f t="shared" si="40"/>
        <v>22</v>
      </c>
      <c r="Q241" s="245">
        <f t="shared" si="46"/>
        <v>55</v>
      </c>
      <c r="R241" s="246">
        <f t="shared" si="46"/>
        <v>3</v>
      </c>
      <c r="S241" s="204">
        <f t="shared" si="37"/>
        <v>22</v>
      </c>
      <c r="T241" s="245">
        <f t="shared" si="46"/>
        <v>55</v>
      </c>
      <c r="U241" s="246">
        <f t="shared" si="46"/>
        <v>3</v>
      </c>
      <c r="V241" s="204">
        <f t="shared" si="38"/>
        <v>22</v>
      </c>
      <c r="W241" s="245">
        <f t="shared" si="46"/>
        <v>55</v>
      </c>
      <c r="X241" s="246">
        <f t="shared" si="46"/>
        <v>3</v>
      </c>
      <c r="Y241" s="204">
        <f t="shared" si="39"/>
        <v>22</v>
      </c>
    </row>
    <row r="242" spans="12:25" x14ac:dyDescent="0.25">
      <c r="L242" s="38">
        <f t="shared" si="42"/>
        <v>51287</v>
      </c>
      <c r="M242" s="245">
        <f t="shared" si="43"/>
        <v>55</v>
      </c>
      <c r="N242" s="246">
        <f t="shared" si="44"/>
        <v>3</v>
      </c>
      <c r="O242" s="204">
        <f t="shared" si="40"/>
        <v>22</v>
      </c>
      <c r="Q242" s="245">
        <f t="shared" si="46"/>
        <v>55</v>
      </c>
      <c r="R242" s="246">
        <f t="shared" si="46"/>
        <v>3</v>
      </c>
      <c r="S242" s="204">
        <f t="shared" si="37"/>
        <v>22</v>
      </c>
      <c r="T242" s="245">
        <f t="shared" si="46"/>
        <v>55</v>
      </c>
      <c r="U242" s="246">
        <f t="shared" si="46"/>
        <v>3</v>
      </c>
      <c r="V242" s="204">
        <f t="shared" si="38"/>
        <v>22</v>
      </c>
      <c r="W242" s="245">
        <f t="shared" si="46"/>
        <v>55</v>
      </c>
      <c r="X242" s="246">
        <f t="shared" si="46"/>
        <v>3</v>
      </c>
      <c r="Y242" s="204">
        <f t="shared" si="39"/>
        <v>22</v>
      </c>
    </row>
    <row r="243" spans="12:25" x14ac:dyDescent="0.25">
      <c r="L243" s="38">
        <f t="shared" si="42"/>
        <v>51317</v>
      </c>
      <c r="M243" s="245">
        <f t="shared" si="43"/>
        <v>55</v>
      </c>
      <c r="N243" s="246">
        <f t="shared" si="44"/>
        <v>3</v>
      </c>
      <c r="O243" s="204">
        <f t="shared" si="40"/>
        <v>22</v>
      </c>
      <c r="Q243" s="245">
        <f t="shared" si="46"/>
        <v>55</v>
      </c>
      <c r="R243" s="246">
        <f t="shared" si="46"/>
        <v>3</v>
      </c>
      <c r="S243" s="204">
        <f t="shared" si="37"/>
        <v>22</v>
      </c>
      <c r="T243" s="245">
        <f t="shared" si="46"/>
        <v>55</v>
      </c>
      <c r="U243" s="246">
        <f t="shared" si="46"/>
        <v>3</v>
      </c>
      <c r="V243" s="204">
        <f t="shared" si="38"/>
        <v>22</v>
      </c>
      <c r="W243" s="245">
        <f t="shared" si="46"/>
        <v>55</v>
      </c>
      <c r="X243" s="246">
        <f t="shared" si="46"/>
        <v>3</v>
      </c>
      <c r="Y243" s="204">
        <f t="shared" si="39"/>
        <v>22</v>
      </c>
    </row>
    <row r="244" spans="12:25" x14ac:dyDescent="0.25">
      <c r="L244" s="38">
        <f t="shared" si="42"/>
        <v>51348</v>
      </c>
      <c r="M244" s="245">
        <f t="shared" si="43"/>
        <v>55</v>
      </c>
      <c r="N244" s="246">
        <f t="shared" si="44"/>
        <v>3</v>
      </c>
      <c r="O244" s="204">
        <f t="shared" si="40"/>
        <v>22</v>
      </c>
      <c r="Q244" s="245">
        <f t="shared" si="46"/>
        <v>55</v>
      </c>
      <c r="R244" s="246">
        <f t="shared" si="46"/>
        <v>3</v>
      </c>
      <c r="S244" s="204">
        <f t="shared" si="37"/>
        <v>22</v>
      </c>
      <c r="T244" s="245">
        <f t="shared" si="46"/>
        <v>55</v>
      </c>
      <c r="U244" s="246">
        <f t="shared" si="46"/>
        <v>3</v>
      </c>
      <c r="V244" s="204">
        <f t="shared" si="38"/>
        <v>22</v>
      </c>
      <c r="W244" s="245">
        <f t="shared" si="46"/>
        <v>55</v>
      </c>
      <c r="X244" s="246">
        <f t="shared" si="46"/>
        <v>3</v>
      </c>
      <c r="Y244" s="204">
        <f t="shared" si="39"/>
        <v>22</v>
      </c>
    </row>
    <row r="245" spans="12:25" x14ac:dyDescent="0.25">
      <c r="L245" s="38">
        <f t="shared" si="42"/>
        <v>51379</v>
      </c>
      <c r="M245" s="245">
        <f t="shared" si="43"/>
        <v>55</v>
      </c>
      <c r="N245" s="246">
        <f t="shared" si="44"/>
        <v>3</v>
      </c>
      <c r="O245" s="204">
        <f t="shared" si="40"/>
        <v>22</v>
      </c>
      <c r="Q245" s="245">
        <f t="shared" si="46"/>
        <v>55</v>
      </c>
      <c r="R245" s="246">
        <f t="shared" si="46"/>
        <v>3</v>
      </c>
      <c r="S245" s="204">
        <f t="shared" si="37"/>
        <v>22</v>
      </c>
      <c r="T245" s="245">
        <f t="shared" si="46"/>
        <v>55</v>
      </c>
      <c r="U245" s="246">
        <f t="shared" si="46"/>
        <v>3</v>
      </c>
      <c r="V245" s="204">
        <f t="shared" si="38"/>
        <v>22</v>
      </c>
      <c r="W245" s="245">
        <f t="shared" si="46"/>
        <v>55</v>
      </c>
      <c r="X245" s="246">
        <f t="shared" si="46"/>
        <v>3</v>
      </c>
      <c r="Y245" s="204">
        <f t="shared" si="39"/>
        <v>22</v>
      </c>
    </row>
    <row r="246" spans="12:25" x14ac:dyDescent="0.25">
      <c r="L246" s="38">
        <f t="shared" si="42"/>
        <v>51409</v>
      </c>
      <c r="M246" s="245">
        <f t="shared" si="43"/>
        <v>55</v>
      </c>
      <c r="N246" s="246">
        <f t="shared" si="44"/>
        <v>3</v>
      </c>
      <c r="O246" s="204">
        <f t="shared" si="40"/>
        <v>22</v>
      </c>
      <c r="Q246" s="245">
        <f t="shared" si="46"/>
        <v>55</v>
      </c>
      <c r="R246" s="246">
        <f t="shared" si="46"/>
        <v>3</v>
      </c>
      <c r="S246" s="204">
        <f t="shared" si="37"/>
        <v>22</v>
      </c>
      <c r="T246" s="245">
        <f t="shared" si="46"/>
        <v>55</v>
      </c>
      <c r="U246" s="246">
        <f t="shared" si="46"/>
        <v>3</v>
      </c>
      <c r="V246" s="204">
        <f t="shared" si="38"/>
        <v>22</v>
      </c>
      <c r="W246" s="245">
        <f t="shared" si="46"/>
        <v>55</v>
      </c>
      <c r="X246" s="246">
        <f t="shared" si="46"/>
        <v>3</v>
      </c>
      <c r="Y246" s="204">
        <f t="shared" si="39"/>
        <v>22</v>
      </c>
    </row>
    <row r="247" spans="12:25" x14ac:dyDescent="0.25">
      <c r="L247" s="38">
        <f t="shared" si="42"/>
        <v>51440</v>
      </c>
      <c r="M247" s="245">
        <f t="shared" si="43"/>
        <v>55</v>
      </c>
      <c r="N247" s="246">
        <f t="shared" si="44"/>
        <v>3</v>
      </c>
      <c r="O247" s="204">
        <f t="shared" si="40"/>
        <v>22</v>
      </c>
      <c r="Q247" s="245">
        <f t="shared" si="46"/>
        <v>55</v>
      </c>
      <c r="R247" s="246">
        <f t="shared" si="46"/>
        <v>3</v>
      </c>
      <c r="S247" s="204">
        <f t="shared" si="37"/>
        <v>22</v>
      </c>
      <c r="T247" s="245">
        <f t="shared" si="46"/>
        <v>55</v>
      </c>
      <c r="U247" s="246">
        <f t="shared" si="46"/>
        <v>3</v>
      </c>
      <c r="V247" s="204">
        <f t="shared" si="38"/>
        <v>22</v>
      </c>
      <c r="W247" s="245">
        <f t="shared" si="46"/>
        <v>55</v>
      </c>
      <c r="X247" s="246">
        <f t="shared" si="46"/>
        <v>3</v>
      </c>
      <c r="Y247" s="204">
        <f t="shared" si="39"/>
        <v>22</v>
      </c>
    </row>
    <row r="248" spans="12:25" x14ac:dyDescent="0.25">
      <c r="L248" s="38">
        <f t="shared" si="42"/>
        <v>51470</v>
      </c>
      <c r="M248" s="245">
        <f t="shared" si="43"/>
        <v>55</v>
      </c>
      <c r="N248" s="246">
        <f t="shared" si="44"/>
        <v>3</v>
      </c>
      <c r="O248" s="204">
        <f t="shared" si="40"/>
        <v>22</v>
      </c>
      <c r="Q248" s="245">
        <f t="shared" si="46"/>
        <v>55</v>
      </c>
      <c r="R248" s="246">
        <f t="shared" si="46"/>
        <v>3</v>
      </c>
      <c r="S248" s="204">
        <f t="shared" si="37"/>
        <v>22</v>
      </c>
      <c r="T248" s="245">
        <f t="shared" si="46"/>
        <v>55</v>
      </c>
      <c r="U248" s="246">
        <f t="shared" si="46"/>
        <v>3</v>
      </c>
      <c r="V248" s="204">
        <f t="shared" si="38"/>
        <v>22</v>
      </c>
      <c r="W248" s="245">
        <f t="shared" si="46"/>
        <v>55</v>
      </c>
      <c r="X248" s="246">
        <f t="shared" si="46"/>
        <v>3</v>
      </c>
      <c r="Y248" s="204">
        <f t="shared" si="39"/>
        <v>22</v>
      </c>
    </row>
    <row r="249" spans="12:25" x14ac:dyDescent="0.25">
      <c r="L249" s="38">
        <f t="shared" si="42"/>
        <v>51501</v>
      </c>
      <c r="M249" s="245">
        <f t="shared" si="43"/>
        <v>55</v>
      </c>
      <c r="N249" s="246">
        <f t="shared" si="44"/>
        <v>3</v>
      </c>
      <c r="O249" s="204">
        <f t="shared" si="40"/>
        <v>22</v>
      </c>
      <c r="Q249" s="245">
        <f t="shared" si="46"/>
        <v>55</v>
      </c>
      <c r="R249" s="246">
        <f t="shared" si="46"/>
        <v>3</v>
      </c>
      <c r="S249" s="204">
        <f t="shared" si="37"/>
        <v>22</v>
      </c>
      <c r="T249" s="245">
        <f t="shared" si="46"/>
        <v>55</v>
      </c>
      <c r="U249" s="246">
        <f t="shared" si="46"/>
        <v>3</v>
      </c>
      <c r="V249" s="204">
        <f t="shared" si="38"/>
        <v>22</v>
      </c>
      <c r="W249" s="245">
        <f t="shared" si="46"/>
        <v>55</v>
      </c>
      <c r="X249" s="246">
        <f t="shared" si="46"/>
        <v>3</v>
      </c>
      <c r="Y249" s="204">
        <f t="shared" si="39"/>
        <v>22</v>
      </c>
    </row>
    <row r="250" spans="12:25" x14ac:dyDescent="0.25">
      <c r="L250" s="38">
        <f t="shared" si="42"/>
        <v>51532</v>
      </c>
      <c r="M250" s="245">
        <f t="shared" si="43"/>
        <v>55</v>
      </c>
      <c r="N250" s="246">
        <f t="shared" si="44"/>
        <v>3</v>
      </c>
      <c r="O250" s="204">
        <f t="shared" si="40"/>
        <v>22</v>
      </c>
      <c r="Q250" s="245">
        <f t="shared" si="46"/>
        <v>55</v>
      </c>
      <c r="R250" s="246">
        <f t="shared" si="46"/>
        <v>3</v>
      </c>
      <c r="S250" s="204">
        <f t="shared" si="37"/>
        <v>22</v>
      </c>
      <c r="T250" s="245">
        <f t="shared" si="46"/>
        <v>55</v>
      </c>
      <c r="U250" s="246">
        <f t="shared" si="46"/>
        <v>3</v>
      </c>
      <c r="V250" s="204">
        <f t="shared" si="38"/>
        <v>22</v>
      </c>
      <c r="W250" s="245">
        <f t="shared" si="46"/>
        <v>55</v>
      </c>
      <c r="X250" s="246">
        <f t="shared" si="46"/>
        <v>3</v>
      </c>
      <c r="Y250" s="204">
        <f t="shared" si="39"/>
        <v>22</v>
      </c>
    </row>
    <row r="251" spans="12:25" x14ac:dyDescent="0.25">
      <c r="L251" s="38">
        <f t="shared" si="42"/>
        <v>51560</v>
      </c>
      <c r="M251" s="245">
        <f t="shared" si="43"/>
        <v>55</v>
      </c>
      <c r="N251" s="246">
        <f t="shared" si="44"/>
        <v>3</v>
      </c>
      <c r="O251" s="204">
        <f t="shared" si="40"/>
        <v>22</v>
      </c>
      <c r="Q251" s="245">
        <f t="shared" ref="Q251:X266" si="47">Q250</f>
        <v>55</v>
      </c>
      <c r="R251" s="246">
        <f t="shared" si="47"/>
        <v>3</v>
      </c>
      <c r="S251" s="204">
        <f t="shared" si="37"/>
        <v>22</v>
      </c>
      <c r="T251" s="245">
        <f t="shared" si="47"/>
        <v>55</v>
      </c>
      <c r="U251" s="246">
        <f t="shared" si="47"/>
        <v>3</v>
      </c>
      <c r="V251" s="204">
        <f t="shared" si="38"/>
        <v>22</v>
      </c>
      <c r="W251" s="245">
        <f t="shared" si="47"/>
        <v>55</v>
      </c>
      <c r="X251" s="246">
        <f t="shared" si="47"/>
        <v>3</v>
      </c>
      <c r="Y251" s="204">
        <f t="shared" si="39"/>
        <v>22</v>
      </c>
    </row>
    <row r="252" spans="12:25" x14ac:dyDescent="0.25">
      <c r="L252" s="38">
        <f t="shared" si="42"/>
        <v>51591</v>
      </c>
      <c r="M252" s="245">
        <f t="shared" si="43"/>
        <v>55</v>
      </c>
      <c r="N252" s="246">
        <f t="shared" si="44"/>
        <v>3</v>
      </c>
      <c r="O252" s="204">
        <f t="shared" si="40"/>
        <v>22</v>
      </c>
      <c r="Q252" s="245">
        <f t="shared" si="47"/>
        <v>55</v>
      </c>
      <c r="R252" s="246">
        <f t="shared" si="47"/>
        <v>3</v>
      </c>
      <c r="S252" s="204">
        <f t="shared" si="37"/>
        <v>22</v>
      </c>
      <c r="T252" s="245">
        <f t="shared" si="47"/>
        <v>55</v>
      </c>
      <c r="U252" s="246">
        <f t="shared" si="47"/>
        <v>3</v>
      </c>
      <c r="V252" s="204">
        <f t="shared" si="38"/>
        <v>22</v>
      </c>
      <c r="W252" s="245">
        <f t="shared" si="47"/>
        <v>55</v>
      </c>
      <c r="X252" s="246">
        <f t="shared" si="47"/>
        <v>3</v>
      </c>
      <c r="Y252" s="204">
        <f t="shared" si="39"/>
        <v>22</v>
      </c>
    </row>
    <row r="253" spans="12:25" x14ac:dyDescent="0.25">
      <c r="L253" s="38">
        <f t="shared" si="42"/>
        <v>51621</v>
      </c>
      <c r="M253" s="245">
        <f t="shared" si="43"/>
        <v>55</v>
      </c>
      <c r="N253" s="246">
        <f t="shared" si="44"/>
        <v>3</v>
      </c>
      <c r="O253" s="204">
        <f t="shared" si="40"/>
        <v>22</v>
      </c>
      <c r="Q253" s="245">
        <f t="shared" si="47"/>
        <v>55</v>
      </c>
      <c r="R253" s="246">
        <f t="shared" si="47"/>
        <v>3</v>
      </c>
      <c r="S253" s="204">
        <f t="shared" si="37"/>
        <v>22</v>
      </c>
      <c r="T253" s="245">
        <f t="shared" si="47"/>
        <v>55</v>
      </c>
      <c r="U253" s="246">
        <f t="shared" si="47"/>
        <v>3</v>
      </c>
      <c r="V253" s="204">
        <f t="shared" si="38"/>
        <v>22</v>
      </c>
      <c r="W253" s="245">
        <f t="shared" si="47"/>
        <v>55</v>
      </c>
      <c r="X253" s="246">
        <f t="shared" si="47"/>
        <v>3</v>
      </c>
      <c r="Y253" s="204">
        <f t="shared" si="39"/>
        <v>22</v>
      </c>
    </row>
    <row r="254" spans="12:25" x14ac:dyDescent="0.25">
      <c r="L254" s="38">
        <f t="shared" si="42"/>
        <v>51652</v>
      </c>
      <c r="M254" s="245">
        <f t="shared" si="43"/>
        <v>55</v>
      </c>
      <c r="N254" s="246">
        <f t="shared" si="44"/>
        <v>3</v>
      </c>
      <c r="O254" s="204">
        <f t="shared" si="40"/>
        <v>22</v>
      </c>
      <c r="Q254" s="245">
        <f t="shared" si="47"/>
        <v>55</v>
      </c>
      <c r="R254" s="246">
        <f t="shared" si="47"/>
        <v>3</v>
      </c>
      <c r="S254" s="204">
        <f t="shared" si="37"/>
        <v>22</v>
      </c>
      <c r="T254" s="245">
        <f t="shared" si="47"/>
        <v>55</v>
      </c>
      <c r="U254" s="246">
        <f t="shared" si="47"/>
        <v>3</v>
      </c>
      <c r="V254" s="204">
        <f t="shared" si="38"/>
        <v>22</v>
      </c>
      <c r="W254" s="245">
        <f t="shared" si="47"/>
        <v>55</v>
      </c>
      <c r="X254" s="246">
        <f t="shared" si="47"/>
        <v>3</v>
      </c>
      <c r="Y254" s="204">
        <f t="shared" si="39"/>
        <v>22</v>
      </c>
    </row>
    <row r="255" spans="12:25" x14ac:dyDescent="0.25">
      <c r="L255" s="38">
        <f t="shared" si="42"/>
        <v>51682</v>
      </c>
      <c r="M255" s="245">
        <f t="shared" si="43"/>
        <v>55</v>
      </c>
      <c r="N255" s="246">
        <f t="shared" si="44"/>
        <v>3</v>
      </c>
      <c r="O255" s="204">
        <f t="shared" si="40"/>
        <v>22</v>
      </c>
      <c r="Q255" s="245">
        <f t="shared" si="47"/>
        <v>55</v>
      </c>
      <c r="R255" s="246">
        <f t="shared" si="47"/>
        <v>3</v>
      </c>
      <c r="S255" s="204">
        <f t="shared" si="37"/>
        <v>22</v>
      </c>
      <c r="T255" s="245">
        <f t="shared" si="47"/>
        <v>55</v>
      </c>
      <c r="U255" s="246">
        <f t="shared" si="47"/>
        <v>3</v>
      </c>
      <c r="V255" s="204">
        <f t="shared" si="38"/>
        <v>22</v>
      </c>
      <c r="W255" s="245">
        <f t="shared" si="47"/>
        <v>55</v>
      </c>
      <c r="X255" s="246">
        <f t="shared" si="47"/>
        <v>3</v>
      </c>
      <c r="Y255" s="204">
        <f t="shared" si="39"/>
        <v>22</v>
      </c>
    </row>
    <row r="256" spans="12:25" x14ac:dyDescent="0.25">
      <c r="L256" s="38">
        <f t="shared" si="42"/>
        <v>51713</v>
      </c>
      <c r="M256" s="245">
        <f t="shared" si="43"/>
        <v>55</v>
      </c>
      <c r="N256" s="246">
        <f t="shared" si="44"/>
        <v>3</v>
      </c>
      <c r="O256" s="204">
        <f t="shared" si="40"/>
        <v>22</v>
      </c>
      <c r="Q256" s="245">
        <f t="shared" si="47"/>
        <v>55</v>
      </c>
      <c r="R256" s="246">
        <f t="shared" si="47"/>
        <v>3</v>
      </c>
      <c r="S256" s="204">
        <f t="shared" si="37"/>
        <v>22</v>
      </c>
      <c r="T256" s="245">
        <f t="shared" si="47"/>
        <v>55</v>
      </c>
      <c r="U256" s="246">
        <f t="shared" si="47"/>
        <v>3</v>
      </c>
      <c r="V256" s="204">
        <f t="shared" si="38"/>
        <v>22</v>
      </c>
      <c r="W256" s="245">
        <f t="shared" si="47"/>
        <v>55</v>
      </c>
      <c r="X256" s="246">
        <f t="shared" si="47"/>
        <v>3</v>
      </c>
      <c r="Y256" s="204">
        <f t="shared" si="39"/>
        <v>22</v>
      </c>
    </row>
    <row r="257" spans="12:25" x14ac:dyDescent="0.25">
      <c r="L257" s="38">
        <f t="shared" si="42"/>
        <v>51744</v>
      </c>
      <c r="M257" s="245">
        <f t="shared" si="43"/>
        <v>55</v>
      </c>
      <c r="N257" s="246">
        <f t="shared" si="44"/>
        <v>3</v>
      </c>
      <c r="O257" s="204">
        <f t="shared" si="40"/>
        <v>22</v>
      </c>
      <c r="Q257" s="245">
        <f t="shared" si="47"/>
        <v>55</v>
      </c>
      <c r="R257" s="246">
        <f t="shared" si="47"/>
        <v>3</v>
      </c>
      <c r="S257" s="204">
        <f t="shared" si="37"/>
        <v>22</v>
      </c>
      <c r="T257" s="245">
        <f t="shared" si="47"/>
        <v>55</v>
      </c>
      <c r="U257" s="246">
        <f t="shared" si="47"/>
        <v>3</v>
      </c>
      <c r="V257" s="204">
        <f t="shared" si="38"/>
        <v>22</v>
      </c>
      <c r="W257" s="245">
        <f t="shared" si="47"/>
        <v>55</v>
      </c>
      <c r="X257" s="246">
        <f t="shared" si="47"/>
        <v>3</v>
      </c>
      <c r="Y257" s="204">
        <f t="shared" si="39"/>
        <v>22</v>
      </c>
    </row>
    <row r="258" spans="12:25" x14ac:dyDescent="0.25">
      <c r="L258" s="38">
        <f t="shared" si="42"/>
        <v>51774</v>
      </c>
      <c r="M258" s="245">
        <f t="shared" si="43"/>
        <v>55</v>
      </c>
      <c r="N258" s="246">
        <f t="shared" si="44"/>
        <v>3</v>
      </c>
      <c r="O258" s="204">
        <f t="shared" si="40"/>
        <v>22</v>
      </c>
      <c r="Q258" s="245">
        <f t="shared" si="47"/>
        <v>55</v>
      </c>
      <c r="R258" s="246">
        <f t="shared" si="47"/>
        <v>3</v>
      </c>
      <c r="S258" s="204">
        <f t="shared" si="37"/>
        <v>22</v>
      </c>
      <c r="T258" s="245">
        <f t="shared" si="47"/>
        <v>55</v>
      </c>
      <c r="U258" s="246">
        <f t="shared" si="47"/>
        <v>3</v>
      </c>
      <c r="V258" s="204">
        <f t="shared" si="38"/>
        <v>22</v>
      </c>
      <c r="W258" s="245">
        <f t="shared" si="47"/>
        <v>55</v>
      </c>
      <c r="X258" s="246">
        <f t="shared" si="47"/>
        <v>3</v>
      </c>
      <c r="Y258" s="204">
        <f t="shared" si="39"/>
        <v>22</v>
      </c>
    </row>
    <row r="259" spans="12:25" x14ac:dyDescent="0.25">
      <c r="L259" s="38">
        <f t="shared" si="42"/>
        <v>51805</v>
      </c>
      <c r="M259" s="245">
        <f t="shared" si="43"/>
        <v>55</v>
      </c>
      <c r="N259" s="246">
        <f t="shared" si="44"/>
        <v>3</v>
      </c>
      <c r="O259" s="204">
        <f t="shared" si="40"/>
        <v>22</v>
      </c>
      <c r="Q259" s="245">
        <f t="shared" si="47"/>
        <v>55</v>
      </c>
      <c r="R259" s="246">
        <f t="shared" si="47"/>
        <v>3</v>
      </c>
      <c r="S259" s="204">
        <f t="shared" si="37"/>
        <v>22</v>
      </c>
      <c r="T259" s="245">
        <f t="shared" si="47"/>
        <v>55</v>
      </c>
      <c r="U259" s="246">
        <f t="shared" si="47"/>
        <v>3</v>
      </c>
      <c r="V259" s="204">
        <f t="shared" si="38"/>
        <v>22</v>
      </c>
      <c r="W259" s="245">
        <f t="shared" si="47"/>
        <v>55</v>
      </c>
      <c r="X259" s="246">
        <f t="shared" si="47"/>
        <v>3</v>
      </c>
      <c r="Y259" s="204">
        <f t="shared" si="39"/>
        <v>22</v>
      </c>
    </row>
    <row r="260" spans="12:25" x14ac:dyDescent="0.25">
      <c r="L260" s="38">
        <f t="shared" si="42"/>
        <v>51835</v>
      </c>
      <c r="M260" s="245">
        <f t="shared" si="43"/>
        <v>55</v>
      </c>
      <c r="N260" s="246">
        <f t="shared" si="44"/>
        <v>3</v>
      </c>
      <c r="O260" s="204">
        <f t="shared" si="40"/>
        <v>22</v>
      </c>
      <c r="Q260" s="245">
        <f t="shared" si="47"/>
        <v>55</v>
      </c>
      <c r="R260" s="246">
        <f t="shared" si="47"/>
        <v>3</v>
      </c>
      <c r="S260" s="204">
        <f t="shared" si="37"/>
        <v>22</v>
      </c>
      <c r="T260" s="245">
        <f t="shared" si="47"/>
        <v>55</v>
      </c>
      <c r="U260" s="246">
        <f t="shared" si="47"/>
        <v>3</v>
      </c>
      <c r="V260" s="204">
        <f t="shared" si="38"/>
        <v>22</v>
      </c>
      <c r="W260" s="245">
        <f t="shared" si="47"/>
        <v>55</v>
      </c>
      <c r="X260" s="246">
        <f t="shared" si="47"/>
        <v>3</v>
      </c>
      <c r="Y260" s="204">
        <f t="shared" si="39"/>
        <v>22</v>
      </c>
    </row>
    <row r="261" spans="12:25" x14ac:dyDescent="0.25">
      <c r="L261" s="38">
        <f t="shared" si="42"/>
        <v>51866</v>
      </c>
      <c r="M261" s="245">
        <f t="shared" si="43"/>
        <v>55</v>
      </c>
      <c r="N261" s="246">
        <f t="shared" si="44"/>
        <v>3</v>
      </c>
      <c r="O261" s="204">
        <f t="shared" si="40"/>
        <v>22</v>
      </c>
      <c r="Q261" s="245">
        <f t="shared" si="47"/>
        <v>55</v>
      </c>
      <c r="R261" s="246">
        <f t="shared" si="47"/>
        <v>3</v>
      </c>
      <c r="S261" s="204">
        <f t="shared" si="37"/>
        <v>22</v>
      </c>
      <c r="T261" s="245">
        <f t="shared" si="47"/>
        <v>55</v>
      </c>
      <c r="U261" s="246">
        <f t="shared" si="47"/>
        <v>3</v>
      </c>
      <c r="V261" s="204">
        <f t="shared" si="38"/>
        <v>22</v>
      </c>
      <c r="W261" s="245">
        <f t="shared" si="47"/>
        <v>55</v>
      </c>
      <c r="X261" s="246">
        <f t="shared" si="47"/>
        <v>3</v>
      </c>
      <c r="Y261" s="204">
        <f t="shared" si="39"/>
        <v>22</v>
      </c>
    </row>
    <row r="262" spans="12:25" x14ac:dyDescent="0.25">
      <c r="L262" s="38">
        <f t="shared" si="42"/>
        <v>51897</v>
      </c>
      <c r="M262" s="245">
        <f t="shared" si="43"/>
        <v>55</v>
      </c>
      <c r="N262" s="246">
        <f t="shared" si="44"/>
        <v>3</v>
      </c>
      <c r="O262" s="204">
        <f t="shared" si="40"/>
        <v>22</v>
      </c>
      <c r="Q262" s="245">
        <f t="shared" si="47"/>
        <v>55</v>
      </c>
      <c r="R262" s="246">
        <f t="shared" si="47"/>
        <v>3</v>
      </c>
      <c r="S262" s="204">
        <f t="shared" si="37"/>
        <v>22</v>
      </c>
      <c r="T262" s="245">
        <f t="shared" si="47"/>
        <v>55</v>
      </c>
      <c r="U262" s="246">
        <f t="shared" si="47"/>
        <v>3</v>
      </c>
      <c r="V262" s="204">
        <f t="shared" si="38"/>
        <v>22</v>
      </c>
      <c r="W262" s="245">
        <f t="shared" si="47"/>
        <v>55</v>
      </c>
      <c r="X262" s="246">
        <f t="shared" si="47"/>
        <v>3</v>
      </c>
      <c r="Y262" s="204">
        <f t="shared" si="39"/>
        <v>22</v>
      </c>
    </row>
    <row r="263" spans="12:25" x14ac:dyDescent="0.25">
      <c r="L263" s="38">
        <f t="shared" si="42"/>
        <v>51925</v>
      </c>
      <c r="M263" s="245">
        <f t="shared" si="43"/>
        <v>55</v>
      </c>
      <c r="N263" s="246">
        <f t="shared" si="44"/>
        <v>3</v>
      </c>
      <c r="O263" s="204">
        <f t="shared" si="40"/>
        <v>22</v>
      </c>
      <c r="Q263" s="245">
        <f t="shared" si="47"/>
        <v>55</v>
      </c>
      <c r="R263" s="246">
        <f t="shared" si="47"/>
        <v>3</v>
      </c>
      <c r="S263" s="204">
        <f t="shared" si="37"/>
        <v>22</v>
      </c>
      <c r="T263" s="245">
        <f t="shared" si="47"/>
        <v>55</v>
      </c>
      <c r="U263" s="246">
        <f t="shared" si="47"/>
        <v>3</v>
      </c>
      <c r="V263" s="204">
        <f t="shared" si="38"/>
        <v>22</v>
      </c>
      <c r="W263" s="245">
        <f t="shared" si="47"/>
        <v>55</v>
      </c>
      <c r="X263" s="246">
        <f t="shared" si="47"/>
        <v>3</v>
      </c>
      <c r="Y263" s="204">
        <f t="shared" si="39"/>
        <v>22</v>
      </c>
    </row>
    <row r="264" spans="12:25" x14ac:dyDescent="0.25">
      <c r="L264" s="38">
        <f t="shared" si="42"/>
        <v>51956</v>
      </c>
      <c r="M264" s="245">
        <f t="shared" si="43"/>
        <v>55</v>
      </c>
      <c r="N264" s="246">
        <f t="shared" si="44"/>
        <v>3</v>
      </c>
      <c r="O264" s="204">
        <f t="shared" si="40"/>
        <v>22</v>
      </c>
      <c r="Q264" s="245">
        <f t="shared" si="47"/>
        <v>55</v>
      </c>
      <c r="R264" s="246">
        <f t="shared" si="47"/>
        <v>3</v>
      </c>
      <c r="S264" s="204">
        <f t="shared" si="37"/>
        <v>22</v>
      </c>
      <c r="T264" s="245">
        <f t="shared" si="47"/>
        <v>55</v>
      </c>
      <c r="U264" s="246">
        <f t="shared" si="47"/>
        <v>3</v>
      </c>
      <c r="V264" s="204">
        <f t="shared" si="38"/>
        <v>22</v>
      </c>
      <c r="W264" s="245">
        <f t="shared" si="47"/>
        <v>55</v>
      </c>
      <c r="X264" s="246">
        <f t="shared" si="47"/>
        <v>3</v>
      </c>
      <c r="Y264" s="204">
        <f t="shared" si="39"/>
        <v>22</v>
      </c>
    </row>
    <row r="265" spans="12:25" x14ac:dyDescent="0.25">
      <c r="L265" s="38">
        <f t="shared" si="42"/>
        <v>51986</v>
      </c>
      <c r="M265" s="245">
        <f t="shared" si="43"/>
        <v>55</v>
      </c>
      <c r="N265" s="246">
        <f t="shared" si="44"/>
        <v>3</v>
      </c>
      <c r="O265" s="204">
        <f t="shared" si="40"/>
        <v>22</v>
      </c>
      <c r="Q265" s="245">
        <f t="shared" si="47"/>
        <v>55</v>
      </c>
      <c r="R265" s="246">
        <f t="shared" si="47"/>
        <v>3</v>
      </c>
      <c r="S265" s="204">
        <f t="shared" si="37"/>
        <v>22</v>
      </c>
      <c r="T265" s="245">
        <f t="shared" si="47"/>
        <v>55</v>
      </c>
      <c r="U265" s="246">
        <f t="shared" si="47"/>
        <v>3</v>
      </c>
      <c r="V265" s="204">
        <f t="shared" si="38"/>
        <v>22</v>
      </c>
      <c r="W265" s="245">
        <f t="shared" si="47"/>
        <v>55</v>
      </c>
      <c r="X265" s="246">
        <f t="shared" si="47"/>
        <v>3</v>
      </c>
      <c r="Y265" s="204">
        <f t="shared" si="39"/>
        <v>22</v>
      </c>
    </row>
    <row r="266" spans="12:25" x14ac:dyDescent="0.25">
      <c r="L266" s="38">
        <f t="shared" si="42"/>
        <v>52017</v>
      </c>
      <c r="M266" s="245">
        <f t="shared" si="43"/>
        <v>55</v>
      </c>
      <c r="N266" s="246">
        <f t="shared" si="44"/>
        <v>3</v>
      </c>
      <c r="O266" s="204">
        <f t="shared" si="40"/>
        <v>22</v>
      </c>
      <c r="Q266" s="245">
        <f t="shared" si="47"/>
        <v>55</v>
      </c>
      <c r="R266" s="246">
        <f t="shared" si="47"/>
        <v>3</v>
      </c>
      <c r="S266" s="204">
        <f t="shared" ref="S266:S329" si="48">(1+pdiff_ngl)*Q266</f>
        <v>22</v>
      </c>
      <c r="T266" s="245">
        <f t="shared" si="47"/>
        <v>55</v>
      </c>
      <c r="U266" s="246">
        <f t="shared" si="47"/>
        <v>3</v>
      </c>
      <c r="V266" s="204">
        <f t="shared" ref="V266:V329" si="49">(1+pdiff_ngl)*T266</f>
        <v>22</v>
      </c>
      <c r="W266" s="245">
        <f t="shared" si="47"/>
        <v>55</v>
      </c>
      <c r="X266" s="246">
        <f t="shared" si="47"/>
        <v>3</v>
      </c>
      <c r="Y266" s="204">
        <f t="shared" ref="Y266:Y329" si="50">(1+pdiff_ngl)*W266</f>
        <v>22</v>
      </c>
    </row>
    <row r="267" spans="12:25" x14ac:dyDescent="0.25">
      <c r="L267" s="38">
        <f t="shared" si="42"/>
        <v>52047</v>
      </c>
      <c r="M267" s="245">
        <f t="shared" si="43"/>
        <v>55</v>
      </c>
      <c r="N267" s="246">
        <f t="shared" si="44"/>
        <v>3</v>
      </c>
      <c r="O267" s="204">
        <f t="shared" ref="O267:O330" si="51">(1+pdiff_ngl)*mult_oilprice*M267</f>
        <v>22</v>
      </c>
      <c r="Q267" s="245">
        <f t="shared" ref="Q267:X282" si="52">Q266</f>
        <v>55</v>
      </c>
      <c r="R267" s="246">
        <f t="shared" si="52"/>
        <v>3</v>
      </c>
      <c r="S267" s="204">
        <f t="shared" si="48"/>
        <v>22</v>
      </c>
      <c r="T267" s="245">
        <f t="shared" si="52"/>
        <v>55</v>
      </c>
      <c r="U267" s="246">
        <f t="shared" si="52"/>
        <v>3</v>
      </c>
      <c r="V267" s="204">
        <f t="shared" si="49"/>
        <v>22</v>
      </c>
      <c r="W267" s="245">
        <f t="shared" si="52"/>
        <v>55</v>
      </c>
      <c r="X267" s="246">
        <f t="shared" si="52"/>
        <v>3</v>
      </c>
      <c r="Y267" s="204">
        <f t="shared" si="50"/>
        <v>22</v>
      </c>
    </row>
    <row r="268" spans="12:25" x14ac:dyDescent="0.25">
      <c r="L268" s="38">
        <f t="shared" ref="L268:L331" si="53">EOMONTH(L267,1)</f>
        <v>52078</v>
      </c>
      <c r="M268" s="245">
        <f t="shared" ref="M268:M331" si="54">M267</f>
        <v>55</v>
      </c>
      <c r="N268" s="246">
        <f t="shared" ref="N268:N331" si="55">N267</f>
        <v>3</v>
      </c>
      <c r="O268" s="204">
        <f t="shared" si="51"/>
        <v>22</v>
      </c>
      <c r="Q268" s="245">
        <f t="shared" si="52"/>
        <v>55</v>
      </c>
      <c r="R268" s="246">
        <f t="shared" si="52"/>
        <v>3</v>
      </c>
      <c r="S268" s="204">
        <f t="shared" si="48"/>
        <v>22</v>
      </c>
      <c r="T268" s="245">
        <f t="shared" si="52"/>
        <v>55</v>
      </c>
      <c r="U268" s="246">
        <f t="shared" si="52"/>
        <v>3</v>
      </c>
      <c r="V268" s="204">
        <f t="shared" si="49"/>
        <v>22</v>
      </c>
      <c r="W268" s="245">
        <f t="shared" si="52"/>
        <v>55</v>
      </c>
      <c r="X268" s="246">
        <f t="shared" si="52"/>
        <v>3</v>
      </c>
      <c r="Y268" s="204">
        <f t="shared" si="50"/>
        <v>22</v>
      </c>
    </row>
    <row r="269" spans="12:25" x14ac:dyDescent="0.25">
      <c r="L269" s="38">
        <f t="shared" si="53"/>
        <v>52109</v>
      </c>
      <c r="M269" s="245">
        <f t="shared" si="54"/>
        <v>55</v>
      </c>
      <c r="N269" s="246">
        <f t="shared" si="55"/>
        <v>3</v>
      </c>
      <c r="O269" s="204">
        <f t="shared" si="51"/>
        <v>22</v>
      </c>
      <c r="Q269" s="245">
        <f t="shared" si="52"/>
        <v>55</v>
      </c>
      <c r="R269" s="246">
        <f t="shared" si="52"/>
        <v>3</v>
      </c>
      <c r="S269" s="204">
        <f t="shared" si="48"/>
        <v>22</v>
      </c>
      <c r="T269" s="245">
        <f t="shared" si="52"/>
        <v>55</v>
      </c>
      <c r="U269" s="246">
        <f t="shared" si="52"/>
        <v>3</v>
      </c>
      <c r="V269" s="204">
        <f t="shared" si="49"/>
        <v>22</v>
      </c>
      <c r="W269" s="245">
        <f t="shared" si="52"/>
        <v>55</v>
      </c>
      <c r="X269" s="246">
        <f t="shared" si="52"/>
        <v>3</v>
      </c>
      <c r="Y269" s="204">
        <f t="shared" si="50"/>
        <v>22</v>
      </c>
    </row>
    <row r="270" spans="12:25" x14ac:dyDescent="0.25">
      <c r="L270" s="38">
        <f t="shared" si="53"/>
        <v>52139</v>
      </c>
      <c r="M270" s="245">
        <f t="shared" si="54"/>
        <v>55</v>
      </c>
      <c r="N270" s="246">
        <f t="shared" si="55"/>
        <v>3</v>
      </c>
      <c r="O270" s="204">
        <f t="shared" si="51"/>
        <v>22</v>
      </c>
      <c r="Q270" s="245">
        <f t="shared" si="52"/>
        <v>55</v>
      </c>
      <c r="R270" s="246">
        <f t="shared" si="52"/>
        <v>3</v>
      </c>
      <c r="S270" s="204">
        <f t="shared" si="48"/>
        <v>22</v>
      </c>
      <c r="T270" s="245">
        <f t="shared" si="52"/>
        <v>55</v>
      </c>
      <c r="U270" s="246">
        <f t="shared" si="52"/>
        <v>3</v>
      </c>
      <c r="V270" s="204">
        <f t="shared" si="49"/>
        <v>22</v>
      </c>
      <c r="W270" s="245">
        <f t="shared" si="52"/>
        <v>55</v>
      </c>
      <c r="X270" s="246">
        <f t="shared" si="52"/>
        <v>3</v>
      </c>
      <c r="Y270" s="204">
        <f t="shared" si="50"/>
        <v>22</v>
      </c>
    </row>
    <row r="271" spans="12:25" x14ac:dyDescent="0.25">
      <c r="L271" s="38">
        <f t="shared" si="53"/>
        <v>52170</v>
      </c>
      <c r="M271" s="245">
        <f t="shared" si="54"/>
        <v>55</v>
      </c>
      <c r="N271" s="246">
        <f t="shared" si="55"/>
        <v>3</v>
      </c>
      <c r="O271" s="204">
        <f t="shared" si="51"/>
        <v>22</v>
      </c>
      <c r="Q271" s="245">
        <f t="shared" si="52"/>
        <v>55</v>
      </c>
      <c r="R271" s="246">
        <f t="shared" si="52"/>
        <v>3</v>
      </c>
      <c r="S271" s="204">
        <f t="shared" si="48"/>
        <v>22</v>
      </c>
      <c r="T271" s="245">
        <f t="shared" si="52"/>
        <v>55</v>
      </c>
      <c r="U271" s="246">
        <f t="shared" si="52"/>
        <v>3</v>
      </c>
      <c r="V271" s="204">
        <f t="shared" si="49"/>
        <v>22</v>
      </c>
      <c r="W271" s="245">
        <f t="shared" si="52"/>
        <v>55</v>
      </c>
      <c r="X271" s="246">
        <f t="shared" si="52"/>
        <v>3</v>
      </c>
      <c r="Y271" s="204">
        <f t="shared" si="50"/>
        <v>22</v>
      </c>
    </row>
    <row r="272" spans="12:25" x14ac:dyDescent="0.25">
      <c r="L272" s="38">
        <f t="shared" si="53"/>
        <v>52200</v>
      </c>
      <c r="M272" s="245">
        <f t="shared" si="54"/>
        <v>55</v>
      </c>
      <c r="N272" s="246">
        <f t="shared" si="55"/>
        <v>3</v>
      </c>
      <c r="O272" s="204">
        <f t="shared" si="51"/>
        <v>22</v>
      </c>
      <c r="Q272" s="245">
        <f t="shared" si="52"/>
        <v>55</v>
      </c>
      <c r="R272" s="246">
        <f t="shared" si="52"/>
        <v>3</v>
      </c>
      <c r="S272" s="204">
        <f t="shared" si="48"/>
        <v>22</v>
      </c>
      <c r="T272" s="245">
        <f t="shared" si="52"/>
        <v>55</v>
      </c>
      <c r="U272" s="246">
        <f t="shared" si="52"/>
        <v>3</v>
      </c>
      <c r="V272" s="204">
        <f t="shared" si="49"/>
        <v>22</v>
      </c>
      <c r="W272" s="245">
        <f t="shared" si="52"/>
        <v>55</v>
      </c>
      <c r="X272" s="246">
        <f t="shared" si="52"/>
        <v>3</v>
      </c>
      <c r="Y272" s="204">
        <f t="shared" si="50"/>
        <v>22</v>
      </c>
    </row>
    <row r="273" spans="12:25" x14ac:dyDescent="0.25">
      <c r="L273" s="38">
        <f t="shared" si="53"/>
        <v>52231</v>
      </c>
      <c r="M273" s="245">
        <f t="shared" si="54"/>
        <v>55</v>
      </c>
      <c r="N273" s="246">
        <f t="shared" si="55"/>
        <v>3</v>
      </c>
      <c r="O273" s="204">
        <f t="shared" si="51"/>
        <v>22</v>
      </c>
      <c r="Q273" s="245">
        <f t="shared" si="52"/>
        <v>55</v>
      </c>
      <c r="R273" s="246">
        <f t="shared" si="52"/>
        <v>3</v>
      </c>
      <c r="S273" s="204">
        <f t="shared" si="48"/>
        <v>22</v>
      </c>
      <c r="T273" s="245">
        <f t="shared" si="52"/>
        <v>55</v>
      </c>
      <c r="U273" s="246">
        <f t="shared" si="52"/>
        <v>3</v>
      </c>
      <c r="V273" s="204">
        <f t="shared" si="49"/>
        <v>22</v>
      </c>
      <c r="W273" s="245">
        <f t="shared" si="52"/>
        <v>55</v>
      </c>
      <c r="X273" s="246">
        <f t="shared" si="52"/>
        <v>3</v>
      </c>
      <c r="Y273" s="204">
        <f t="shared" si="50"/>
        <v>22</v>
      </c>
    </row>
    <row r="274" spans="12:25" x14ac:dyDescent="0.25">
      <c r="L274" s="38">
        <f t="shared" si="53"/>
        <v>52262</v>
      </c>
      <c r="M274" s="245">
        <f t="shared" si="54"/>
        <v>55</v>
      </c>
      <c r="N274" s="246">
        <f t="shared" si="55"/>
        <v>3</v>
      </c>
      <c r="O274" s="204">
        <f t="shared" si="51"/>
        <v>22</v>
      </c>
      <c r="Q274" s="245">
        <f t="shared" si="52"/>
        <v>55</v>
      </c>
      <c r="R274" s="246">
        <f t="shared" si="52"/>
        <v>3</v>
      </c>
      <c r="S274" s="204">
        <f t="shared" si="48"/>
        <v>22</v>
      </c>
      <c r="T274" s="245">
        <f t="shared" si="52"/>
        <v>55</v>
      </c>
      <c r="U274" s="246">
        <f t="shared" si="52"/>
        <v>3</v>
      </c>
      <c r="V274" s="204">
        <f t="shared" si="49"/>
        <v>22</v>
      </c>
      <c r="W274" s="245">
        <f t="shared" si="52"/>
        <v>55</v>
      </c>
      <c r="X274" s="246">
        <f t="shared" si="52"/>
        <v>3</v>
      </c>
      <c r="Y274" s="204">
        <f t="shared" si="50"/>
        <v>22</v>
      </c>
    </row>
    <row r="275" spans="12:25" x14ac:dyDescent="0.25">
      <c r="L275" s="38">
        <f t="shared" si="53"/>
        <v>52290</v>
      </c>
      <c r="M275" s="245">
        <f t="shared" si="54"/>
        <v>55</v>
      </c>
      <c r="N275" s="246">
        <f t="shared" si="55"/>
        <v>3</v>
      </c>
      <c r="O275" s="204">
        <f t="shared" si="51"/>
        <v>22</v>
      </c>
      <c r="Q275" s="245">
        <f t="shared" si="52"/>
        <v>55</v>
      </c>
      <c r="R275" s="246">
        <f t="shared" si="52"/>
        <v>3</v>
      </c>
      <c r="S275" s="204">
        <f t="shared" si="48"/>
        <v>22</v>
      </c>
      <c r="T275" s="245">
        <f t="shared" si="52"/>
        <v>55</v>
      </c>
      <c r="U275" s="246">
        <f t="shared" si="52"/>
        <v>3</v>
      </c>
      <c r="V275" s="204">
        <f t="shared" si="49"/>
        <v>22</v>
      </c>
      <c r="W275" s="245">
        <f t="shared" si="52"/>
        <v>55</v>
      </c>
      <c r="X275" s="246">
        <f t="shared" si="52"/>
        <v>3</v>
      </c>
      <c r="Y275" s="204">
        <f t="shared" si="50"/>
        <v>22</v>
      </c>
    </row>
    <row r="276" spans="12:25" x14ac:dyDescent="0.25">
      <c r="L276" s="38">
        <f t="shared" si="53"/>
        <v>52321</v>
      </c>
      <c r="M276" s="245">
        <f t="shared" si="54"/>
        <v>55</v>
      </c>
      <c r="N276" s="246">
        <f t="shared" si="55"/>
        <v>3</v>
      </c>
      <c r="O276" s="204">
        <f t="shared" si="51"/>
        <v>22</v>
      </c>
      <c r="Q276" s="245">
        <f t="shared" si="52"/>
        <v>55</v>
      </c>
      <c r="R276" s="246">
        <f t="shared" si="52"/>
        <v>3</v>
      </c>
      <c r="S276" s="204">
        <f t="shared" si="48"/>
        <v>22</v>
      </c>
      <c r="T276" s="245">
        <f t="shared" si="52"/>
        <v>55</v>
      </c>
      <c r="U276" s="246">
        <f t="shared" si="52"/>
        <v>3</v>
      </c>
      <c r="V276" s="204">
        <f t="shared" si="49"/>
        <v>22</v>
      </c>
      <c r="W276" s="245">
        <f t="shared" si="52"/>
        <v>55</v>
      </c>
      <c r="X276" s="246">
        <f t="shared" si="52"/>
        <v>3</v>
      </c>
      <c r="Y276" s="204">
        <f t="shared" si="50"/>
        <v>22</v>
      </c>
    </row>
    <row r="277" spans="12:25" x14ac:dyDescent="0.25">
      <c r="L277" s="38">
        <f t="shared" si="53"/>
        <v>52351</v>
      </c>
      <c r="M277" s="245">
        <f t="shared" si="54"/>
        <v>55</v>
      </c>
      <c r="N277" s="246">
        <f t="shared" si="55"/>
        <v>3</v>
      </c>
      <c r="O277" s="204">
        <f t="shared" si="51"/>
        <v>22</v>
      </c>
      <c r="Q277" s="245">
        <f t="shared" si="52"/>
        <v>55</v>
      </c>
      <c r="R277" s="246">
        <f t="shared" si="52"/>
        <v>3</v>
      </c>
      <c r="S277" s="204">
        <f t="shared" si="48"/>
        <v>22</v>
      </c>
      <c r="T277" s="245">
        <f t="shared" si="52"/>
        <v>55</v>
      </c>
      <c r="U277" s="246">
        <f t="shared" si="52"/>
        <v>3</v>
      </c>
      <c r="V277" s="204">
        <f t="shared" si="49"/>
        <v>22</v>
      </c>
      <c r="W277" s="245">
        <f t="shared" si="52"/>
        <v>55</v>
      </c>
      <c r="X277" s="246">
        <f t="shared" si="52"/>
        <v>3</v>
      </c>
      <c r="Y277" s="204">
        <f t="shared" si="50"/>
        <v>22</v>
      </c>
    </row>
    <row r="278" spans="12:25" x14ac:dyDescent="0.25">
      <c r="L278" s="38">
        <f t="shared" si="53"/>
        <v>52382</v>
      </c>
      <c r="M278" s="245">
        <f t="shared" si="54"/>
        <v>55</v>
      </c>
      <c r="N278" s="246">
        <f t="shared" si="55"/>
        <v>3</v>
      </c>
      <c r="O278" s="204">
        <f t="shared" si="51"/>
        <v>22</v>
      </c>
      <c r="Q278" s="245">
        <f t="shared" si="52"/>
        <v>55</v>
      </c>
      <c r="R278" s="246">
        <f t="shared" si="52"/>
        <v>3</v>
      </c>
      <c r="S278" s="204">
        <f t="shared" si="48"/>
        <v>22</v>
      </c>
      <c r="T278" s="245">
        <f t="shared" si="52"/>
        <v>55</v>
      </c>
      <c r="U278" s="246">
        <f t="shared" si="52"/>
        <v>3</v>
      </c>
      <c r="V278" s="204">
        <f t="shared" si="49"/>
        <v>22</v>
      </c>
      <c r="W278" s="245">
        <f t="shared" si="52"/>
        <v>55</v>
      </c>
      <c r="X278" s="246">
        <f t="shared" si="52"/>
        <v>3</v>
      </c>
      <c r="Y278" s="204">
        <f t="shared" si="50"/>
        <v>22</v>
      </c>
    </row>
    <row r="279" spans="12:25" x14ac:dyDescent="0.25">
      <c r="L279" s="38">
        <f t="shared" si="53"/>
        <v>52412</v>
      </c>
      <c r="M279" s="245">
        <f t="shared" si="54"/>
        <v>55</v>
      </c>
      <c r="N279" s="246">
        <f t="shared" si="55"/>
        <v>3</v>
      </c>
      <c r="O279" s="204">
        <f t="shared" si="51"/>
        <v>22</v>
      </c>
      <c r="Q279" s="245">
        <f t="shared" si="52"/>
        <v>55</v>
      </c>
      <c r="R279" s="246">
        <f t="shared" si="52"/>
        <v>3</v>
      </c>
      <c r="S279" s="204">
        <f t="shared" si="48"/>
        <v>22</v>
      </c>
      <c r="T279" s="245">
        <f t="shared" si="52"/>
        <v>55</v>
      </c>
      <c r="U279" s="246">
        <f t="shared" si="52"/>
        <v>3</v>
      </c>
      <c r="V279" s="204">
        <f t="shared" si="49"/>
        <v>22</v>
      </c>
      <c r="W279" s="245">
        <f t="shared" si="52"/>
        <v>55</v>
      </c>
      <c r="X279" s="246">
        <f t="shared" si="52"/>
        <v>3</v>
      </c>
      <c r="Y279" s="204">
        <f t="shared" si="50"/>
        <v>22</v>
      </c>
    </row>
    <row r="280" spans="12:25" x14ac:dyDescent="0.25">
      <c r="L280" s="38">
        <f t="shared" si="53"/>
        <v>52443</v>
      </c>
      <c r="M280" s="245">
        <f t="shared" si="54"/>
        <v>55</v>
      </c>
      <c r="N280" s="246">
        <f t="shared" si="55"/>
        <v>3</v>
      </c>
      <c r="O280" s="204">
        <f t="shared" si="51"/>
        <v>22</v>
      </c>
      <c r="Q280" s="245">
        <f t="shared" si="52"/>
        <v>55</v>
      </c>
      <c r="R280" s="246">
        <f t="shared" si="52"/>
        <v>3</v>
      </c>
      <c r="S280" s="204">
        <f t="shared" si="48"/>
        <v>22</v>
      </c>
      <c r="T280" s="245">
        <f t="shared" si="52"/>
        <v>55</v>
      </c>
      <c r="U280" s="246">
        <f t="shared" si="52"/>
        <v>3</v>
      </c>
      <c r="V280" s="204">
        <f t="shared" si="49"/>
        <v>22</v>
      </c>
      <c r="W280" s="245">
        <f t="shared" si="52"/>
        <v>55</v>
      </c>
      <c r="X280" s="246">
        <f t="shared" si="52"/>
        <v>3</v>
      </c>
      <c r="Y280" s="204">
        <f t="shared" si="50"/>
        <v>22</v>
      </c>
    </row>
    <row r="281" spans="12:25" x14ac:dyDescent="0.25">
      <c r="L281" s="38">
        <f t="shared" si="53"/>
        <v>52474</v>
      </c>
      <c r="M281" s="245">
        <f t="shared" si="54"/>
        <v>55</v>
      </c>
      <c r="N281" s="246">
        <f t="shared" si="55"/>
        <v>3</v>
      </c>
      <c r="O281" s="204">
        <f t="shared" si="51"/>
        <v>22</v>
      </c>
      <c r="Q281" s="245">
        <f t="shared" si="52"/>
        <v>55</v>
      </c>
      <c r="R281" s="246">
        <f t="shared" si="52"/>
        <v>3</v>
      </c>
      <c r="S281" s="204">
        <f t="shared" si="48"/>
        <v>22</v>
      </c>
      <c r="T281" s="245">
        <f t="shared" si="52"/>
        <v>55</v>
      </c>
      <c r="U281" s="246">
        <f t="shared" si="52"/>
        <v>3</v>
      </c>
      <c r="V281" s="204">
        <f t="shared" si="49"/>
        <v>22</v>
      </c>
      <c r="W281" s="245">
        <f t="shared" si="52"/>
        <v>55</v>
      </c>
      <c r="X281" s="246">
        <f t="shared" si="52"/>
        <v>3</v>
      </c>
      <c r="Y281" s="204">
        <f t="shared" si="50"/>
        <v>22</v>
      </c>
    </row>
    <row r="282" spans="12:25" x14ac:dyDescent="0.25">
      <c r="L282" s="38">
        <f t="shared" si="53"/>
        <v>52504</v>
      </c>
      <c r="M282" s="245">
        <f t="shared" si="54"/>
        <v>55</v>
      </c>
      <c r="N282" s="246">
        <f t="shared" si="55"/>
        <v>3</v>
      </c>
      <c r="O282" s="204">
        <f t="shared" si="51"/>
        <v>22</v>
      </c>
      <c r="Q282" s="245">
        <f t="shared" si="52"/>
        <v>55</v>
      </c>
      <c r="R282" s="246">
        <f t="shared" si="52"/>
        <v>3</v>
      </c>
      <c r="S282" s="204">
        <f t="shared" si="48"/>
        <v>22</v>
      </c>
      <c r="T282" s="245">
        <f t="shared" si="52"/>
        <v>55</v>
      </c>
      <c r="U282" s="246">
        <f t="shared" si="52"/>
        <v>3</v>
      </c>
      <c r="V282" s="204">
        <f t="shared" si="49"/>
        <v>22</v>
      </c>
      <c r="W282" s="245">
        <f t="shared" si="52"/>
        <v>55</v>
      </c>
      <c r="X282" s="246">
        <f t="shared" si="52"/>
        <v>3</v>
      </c>
      <c r="Y282" s="204">
        <f t="shared" si="50"/>
        <v>22</v>
      </c>
    </row>
    <row r="283" spans="12:25" x14ac:dyDescent="0.25">
      <c r="L283" s="38">
        <f t="shared" si="53"/>
        <v>52535</v>
      </c>
      <c r="M283" s="245">
        <f t="shared" si="54"/>
        <v>55</v>
      </c>
      <c r="N283" s="246">
        <f t="shared" si="55"/>
        <v>3</v>
      </c>
      <c r="O283" s="204">
        <f t="shared" si="51"/>
        <v>22</v>
      </c>
      <c r="Q283" s="245">
        <f t="shared" ref="Q283:X298" si="56">Q282</f>
        <v>55</v>
      </c>
      <c r="R283" s="246">
        <f t="shared" si="56"/>
        <v>3</v>
      </c>
      <c r="S283" s="204">
        <f t="shared" si="48"/>
        <v>22</v>
      </c>
      <c r="T283" s="245">
        <f t="shared" si="56"/>
        <v>55</v>
      </c>
      <c r="U283" s="246">
        <f t="shared" si="56"/>
        <v>3</v>
      </c>
      <c r="V283" s="204">
        <f t="shared" si="49"/>
        <v>22</v>
      </c>
      <c r="W283" s="245">
        <f t="shared" si="56"/>
        <v>55</v>
      </c>
      <c r="X283" s="246">
        <f t="shared" si="56"/>
        <v>3</v>
      </c>
      <c r="Y283" s="204">
        <f t="shared" si="50"/>
        <v>22</v>
      </c>
    </row>
    <row r="284" spans="12:25" x14ac:dyDescent="0.25">
      <c r="L284" s="38">
        <f t="shared" si="53"/>
        <v>52565</v>
      </c>
      <c r="M284" s="245">
        <f t="shared" si="54"/>
        <v>55</v>
      </c>
      <c r="N284" s="246">
        <f t="shared" si="55"/>
        <v>3</v>
      </c>
      <c r="O284" s="204">
        <f t="shared" si="51"/>
        <v>22</v>
      </c>
      <c r="Q284" s="245">
        <f t="shared" si="56"/>
        <v>55</v>
      </c>
      <c r="R284" s="246">
        <f t="shared" si="56"/>
        <v>3</v>
      </c>
      <c r="S284" s="204">
        <f t="shared" si="48"/>
        <v>22</v>
      </c>
      <c r="T284" s="245">
        <f t="shared" si="56"/>
        <v>55</v>
      </c>
      <c r="U284" s="246">
        <f t="shared" si="56"/>
        <v>3</v>
      </c>
      <c r="V284" s="204">
        <f t="shared" si="49"/>
        <v>22</v>
      </c>
      <c r="W284" s="245">
        <f t="shared" si="56"/>
        <v>55</v>
      </c>
      <c r="X284" s="246">
        <f t="shared" si="56"/>
        <v>3</v>
      </c>
      <c r="Y284" s="204">
        <f t="shared" si="50"/>
        <v>22</v>
      </c>
    </row>
    <row r="285" spans="12:25" x14ac:dyDescent="0.25">
      <c r="L285" s="38">
        <f t="shared" si="53"/>
        <v>52596</v>
      </c>
      <c r="M285" s="245">
        <f t="shared" si="54"/>
        <v>55</v>
      </c>
      <c r="N285" s="246">
        <f t="shared" si="55"/>
        <v>3</v>
      </c>
      <c r="O285" s="204">
        <f t="shared" si="51"/>
        <v>22</v>
      </c>
      <c r="Q285" s="245">
        <f t="shared" si="56"/>
        <v>55</v>
      </c>
      <c r="R285" s="246">
        <f t="shared" si="56"/>
        <v>3</v>
      </c>
      <c r="S285" s="204">
        <f t="shared" si="48"/>
        <v>22</v>
      </c>
      <c r="T285" s="245">
        <f t="shared" si="56"/>
        <v>55</v>
      </c>
      <c r="U285" s="246">
        <f t="shared" si="56"/>
        <v>3</v>
      </c>
      <c r="V285" s="204">
        <f t="shared" si="49"/>
        <v>22</v>
      </c>
      <c r="W285" s="245">
        <f t="shared" si="56"/>
        <v>55</v>
      </c>
      <c r="X285" s="246">
        <f t="shared" si="56"/>
        <v>3</v>
      </c>
      <c r="Y285" s="204">
        <f t="shared" si="50"/>
        <v>22</v>
      </c>
    </row>
    <row r="286" spans="12:25" x14ac:dyDescent="0.25">
      <c r="L286" s="38">
        <f t="shared" si="53"/>
        <v>52627</v>
      </c>
      <c r="M286" s="245">
        <f t="shared" si="54"/>
        <v>55</v>
      </c>
      <c r="N286" s="246">
        <f t="shared" si="55"/>
        <v>3</v>
      </c>
      <c r="O286" s="204">
        <f t="shared" si="51"/>
        <v>22</v>
      </c>
      <c r="Q286" s="245">
        <f t="shared" si="56"/>
        <v>55</v>
      </c>
      <c r="R286" s="246">
        <f t="shared" si="56"/>
        <v>3</v>
      </c>
      <c r="S286" s="204">
        <f t="shared" si="48"/>
        <v>22</v>
      </c>
      <c r="T286" s="245">
        <f t="shared" si="56"/>
        <v>55</v>
      </c>
      <c r="U286" s="246">
        <f t="shared" si="56"/>
        <v>3</v>
      </c>
      <c r="V286" s="204">
        <f t="shared" si="49"/>
        <v>22</v>
      </c>
      <c r="W286" s="245">
        <f t="shared" si="56"/>
        <v>55</v>
      </c>
      <c r="X286" s="246">
        <f t="shared" si="56"/>
        <v>3</v>
      </c>
      <c r="Y286" s="204">
        <f t="shared" si="50"/>
        <v>22</v>
      </c>
    </row>
    <row r="287" spans="12:25" x14ac:dyDescent="0.25">
      <c r="L287" s="38">
        <f t="shared" si="53"/>
        <v>52656</v>
      </c>
      <c r="M287" s="245">
        <f t="shared" si="54"/>
        <v>55</v>
      </c>
      <c r="N287" s="246">
        <f t="shared" si="55"/>
        <v>3</v>
      </c>
      <c r="O287" s="204">
        <f t="shared" si="51"/>
        <v>22</v>
      </c>
      <c r="Q287" s="245">
        <f t="shared" si="56"/>
        <v>55</v>
      </c>
      <c r="R287" s="246">
        <f t="shared" si="56"/>
        <v>3</v>
      </c>
      <c r="S287" s="204">
        <f t="shared" si="48"/>
        <v>22</v>
      </c>
      <c r="T287" s="245">
        <f t="shared" si="56"/>
        <v>55</v>
      </c>
      <c r="U287" s="246">
        <f t="shared" si="56"/>
        <v>3</v>
      </c>
      <c r="V287" s="204">
        <f t="shared" si="49"/>
        <v>22</v>
      </c>
      <c r="W287" s="245">
        <f t="shared" si="56"/>
        <v>55</v>
      </c>
      <c r="X287" s="246">
        <f t="shared" si="56"/>
        <v>3</v>
      </c>
      <c r="Y287" s="204">
        <f t="shared" si="50"/>
        <v>22</v>
      </c>
    </row>
    <row r="288" spans="12:25" x14ac:dyDescent="0.25">
      <c r="L288" s="38">
        <f t="shared" si="53"/>
        <v>52687</v>
      </c>
      <c r="M288" s="245">
        <f t="shared" si="54"/>
        <v>55</v>
      </c>
      <c r="N288" s="246">
        <f t="shared" si="55"/>
        <v>3</v>
      </c>
      <c r="O288" s="204">
        <f t="shared" si="51"/>
        <v>22</v>
      </c>
      <c r="Q288" s="245">
        <f t="shared" si="56"/>
        <v>55</v>
      </c>
      <c r="R288" s="246">
        <f t="shared" si="56"/>
        <v>3</v>
      </c>
      <c r="S288" s="204">
        <f t="shared" si="48"/>
        <v>22</v>
      </c>
      <c r="T288" s="245">
        <f t="shared" si="56"/>
        <v>55</v>
      </c>
      <c r="U288" s="246">
        <f t="shared" si="56"/>
        <v>3</v>
      </c>
      <c r="V288" s="204">
        <f t="shared" si="49"/>
        <v>22</v>
      </c>
      <c r="W288" s="245">
        <f t="shared" si="56"/>
        <v>55</v>
      </c>
      <c r="X288" s="246">
        <f t="shared" si="56"/>
        <v>3</v>
      </c>
      <c r="Y288" s="204">
        <f t="shared" si="50"/>
        <v>22</v>
      </c>
    </row>
    <row r="289" spans="12:25" x14ac:dyDescent="0.25">
      <c r="L289" s="38">
        <f t="shared" si="53"/>
        <v>52717</v>
      </c>
      <c r="M289" s="245">
        <f t="shared" si="54"/>
        <v>55</v>
      </c>
      <c r="N289" s="246">
        <f t="shared" si="55"/>
        <v>3</v>
      </c>
      <c r="O289" s="204">
        <f t="shared" si="51"/>
        <v>22</v>
      </c>
      <c r="Q289" s="245">
        <f t="shared" si="56"/>
        <v>55</v>
      </c>
      <c r="R289" s="246">
        <f t="shared" si="56"/>
        <v>3</v>
      </c>
      <c r="S289" s="204">
        <f t="shared" si="48"/>
        <v>22</v>
      </c>
      <c r="T289" s="245">
        <f t="shared" si="56"/>
        <v>55</v>
      </c>
      <c r="U289" s="246">
        <f t="shared" si="56"/>
        <v>3</v>
      </c>
      <c r="V289" s="204">
        <f t="shared" si="49"/>
        <v>22</v>
      </c>
      <c r="W289" s="245">
        <f t="shared" si="56"/>
        <v>55</v>
      </c>
      <c r="X289" s="246">
        <f t="shared" si="56"/>
        <v>3</v>
      </c>
      <c r="Y289" s="204">
        <f t="shared" si="50"/>
        <v>22</v>
      </c>
    </row>
    <row r="290" spans="12:25" x14ac:dyDescent="0.25">
      <c r="L290" s="38">
        <f t="shared" si="53"/>
        <v>52748</v>
      </c>
      <c r="M290" s="245">
        <f t="shared" si="54"/>
        <v>55</v>
      </c>
      <c r="N290" s="246">
        <f t="shared" si="55"/>
        <v>3</v>
      </c>
      <c r="O290" s="204">
        <f t="shared" si="51"/>
        <v>22</v>
      </c>
      <c r="Q290" s="245">
        <f t="shared" si="56"/>
        <v>55</v>
      </c>
      <c r="R290" s="246">
        <f t="shared" si="56"/>
        <v>3</v>
      </c>
      <c r="S290" s="204">
        <f t="shared" si="48"/>
        <v>22</v>
      </c>
      <c r="T290" s="245">
        <f t="shared" si="56"/>
        <v>55</v>
      </c>
      <c r="U290" s="246">
        <f t="shared" si="56"/>
        <v>3</v>
      </c>
      <c r="V290" s="204">
        <f t="shared" si="49"/>
        <v>22</v>
      </c>
      <c r="W290" s="245">
        <f t="shared" si="56"/>
        <v>55</v>
      </c>
      <c r="X290" s="246">
        <f t="shared" si="56"/>
        <v>3</v>
      </c>
      <c r="Y290" s="204">
        <f t="shared" si="50"/>
        <v>22</v>
      </c>
    </row>
    <row r="291" spans="12:25" x14ac:dyDescent="0.25">
      <c r="L291" s="38">
        <f t="shared" si="53"/>
        <v>52778</v>
      </c>
      <c r="M291" s="245">
        <f t="shared" si="54"/>
        <v>55</v>
      </c>
      <c r="N291" s="246">
        <f t="shared" si="55"/>
        <v>3</v>
      </c>
      <c r="O291" s="204">
        <f t="shared" si="51"/>
        <v>22</v>
      </c>
      <c r="Q291" s="245">
        <f t="shared" si="56"/>
        <v>55</v>
      </c>
      <c r="R291" s="246">
        <f t="shared" si="56"/>
        <v>3</v>
      </c>
      <c r="S291" s="204">
        <f t="shared" si="48"/>
        <v>22</v>
      </c>
      <c r="T291" s="245">
        <f t="shared" si="56"/>
        <v>55</v>
      </c>
      <c r="U291" s="246">
        <f t="shared" si="56"/>
        <v>3</v>
      </c>
      <c r="V291" s="204">
        <f t="shared" si="49"/>
        <v>22</v>
      </c>
      <c r="W291" s="245">
        <f t="shared" si="56"/>
        <v>55</v>
      </c>
      <c r="X291" s="246">
        <f t="shared" si="56"/>
        <v>3</v>
      </c>
      <c r="Y291" s="204">
        <f t="shared" si="50"/>
        <v>22</v>
      </c>
    </row>
    <row r="292" spans="12:25" x14ac:dyDescent="0.25">
      <c r="L292" s="38">
        <f t="shared" si="53"/>
        <v>52809</v>
      </c>
      <c r="M292" s="245">
        <f t="shared" si="54"/>
        <v>55</v>
      </c>
      <c r="N292" s="246">
        <f t="shared" si="55"/>
        <v>3</v>
      </c>
      <c r="O292" s="204">
        <f t="shared" si="51"/>
        <v>22</v>
      </c>
      <c r="Q292" s="245">
        <f t="shared" si="56"/>
        <v>55</v>
      </c>
      <c r="R292" s="246">
        <f t="shared" si="56"/>
        <v>3</v>
      </c>
      <c r="S292" s="204">
        <f t="shared" si="48"/>
        <v>22</v>
      </c>
      <c r="T292" s="245">
        <f t="shared" si="56"/>
        <v>55</v>
      </c>
      <c r="U292" s="246">
        <f t="shared" si="56"/>
        <v>3</v>
      </c>
      <c r="V292" s="204">
        <f t="shared" si="49"/>
        <v>22</v>
      </c>
      <c r="W292" s="245">
        <f t="shared" si="56"/>
        <v>55</v>
      </c>
      <c r="X292" s="246">
        <f t="shared" si="56"/>
        <v>3</v>
      </c>
      <c r="Y292" s="204">
        <f t="shared" si="50"/>
        <v>22</v>
      </c>
    </row>
    <row r="293" spans="12:25" x14ac:dyDescent="0.25">
      <c r="L293" s="38">
        <f t="shared" si="53"/>
        <v>52840</v>
      </c>
      <c r="M293" s="245">
        <f t="shared" si="54"/>
        <v>55</v>
      </c>
      <c r="N293" s="246">
        <f t="shared" si="55"/>
        <v>3</v>
      </c>
      <c r="O293" s="204">
        <f t="shared" si="51"/>
        <v>22</v>
      </c>
      <c r="Q293" s="245">
        <f t="shared" si="56"/>
        <v>55</v>
      </c>
      <c r="R293" s="246">
        <f t="shared" si="56"/>
        <v>3</v>
      </c>
      <c r="S293" s="204">
        <f t="shared" si="48"/>
        <v>22</v>
      </c>
      <c r="T293" s="245">
        <f t="shared" si="56"/>
        <v>55</v>
      </c>
      <c r="U293" s="246">
        <f t="shared" si="56"/>
        <v>3</v>
      </c>
      <c r="V293" s="204">
        <f t="shared" si="49"/>
        <v>22</v>
      </c>
      <c r="W293" s="245">
        <f t="shared" si="56"/>
        <v>55</v>
      </c>
      <c r="X293" s="246">
        <f t="shared" si="56"/>
        <v>3</v>
      </c>
      <c r="Y293" s="204">
        <f t="shared" si="50"/>
        <v>22</v>
      </c>
    </row>
    <row r="294" spans="12:25" x14ac:dyDescent="0.25">
      <c r="L294" s="38">
        <f t="shared" si="53"/>
        <v>52870</v>
      </c>
      <c r="M294" s="245">
        <f t="shared" si="54"/>
        <v>55</v>
      </c>
      <c r="N294" s="246">
        <f t="shared" si="55"/>
        <v>3</v>
      </c>
      <c r="O294" s="204">
        <f t="shared" si="51"/>
        <v>22</v>
      </c>
      <c r="Q294" s="245">
        <f t="shared" si="56"/>
        <v>55</v>
      </c>
      <c r="R294" s="246">
        <f t="shared" si="56"/>
        <v>3</v>
      </c>
      <c r="S294" s="204">
        <f t="shared" si="48"/>
        <v>22</v>
      </c>
      <c r="T294" s="245">
        <f t="shared" si="56"/>
        <v>55</v>
      </c>
      <c r="U294" s="246">
        <f t="shared" si="56"/>
        <v>3</v>
      </c>
      <c r="V294" s="204">
        <f t="shared" si="49"/>
        <v>22</v>
      </c>
      <c r="W294" s="245">
        <f t="shared" si="56"/>
        <v>55</v>
      </c>
      <c r="X294" s="246">
        <f t="shared" si="56"/>
        <v>3</v>
      </c>
      <c r="Y294" s="204">
        <f t="shared" si="50"/>
        <v>22</v>
      </c>
    </row>
    <row r="295" spans="12:25" x14ac:dyDescent="0.25">
      <c r="L295" s="38">
        <f t="shared" si="53"/>
        <v>52901</v>
      </c>
      <c r="M295" s="245">
        <f t="shared" si="54"/>
        <v>55</v>
      </c>
      <c r="N295" s="246">
        <f t="shared" si="55"/>
        <v>3</v>
      </c>
      <c r="O295" s="204">
        <f t="shared" si="51"/>
        <v>22</v>
      </c>
      <c r="Q295" s="245">
        <f t="shared" si="56"/>
        <v>55</v>
      </c>
      <c r="R295" s="246">
        <f t="shared" si="56"/>
        <v>3</v>
      </c>
      <c r="S295" s="204">
        <f t="shared" si="48"/>
        <v>22</v>
      </c>
      <c r="T295" s="245">
        <f t="shared" si="56"/>
        <v>55</v>
      </c>
      <c r="U295" s="246">
        <f t="shared" si="56"/>
        <v>3</v>
      </c>
      <c r="V295" s="204">
        <f t="shared" si="49"/>
        <v>22</v>
      </c>
      <c r="W295" s="245">
        <f t="shared" si="56"/>
        <v>55</v>
      </c>
      <c r="X295" s="246">
        <f t="shared" si="56"/>
        <v>3</v>
      </c>
      <c r="Y295" s="204">
        <f t="shared" si="50"/>
        <v>22</v>
      </c>
    </row>
    <row r="296" spans="12:25" x14ac:dyDescent="0.25">
      <c r="L296" s="38">
        <f t="shared" si="53"/>
        <v>52931</v>
      </c>
      <c r="M296" s="245">
        <f t="shared" si="54"/>
        <v>55</v>
      </c>
      <c r="N296" s="246">
        <f t="shared" si="55"/>
        <v>3</v>
      </c>
      <c r="O296" s="204">
        <f t="shared" si="51"/>
        <v>22</v>
      </c>
      <c r="Q296" s="245">
        <f t="shared" si="56"/>
        <v>55</v>
      </c>
      <c r="R296" s="246">
        <f t="shared" si="56"/>
        <v>3</v>
      </c>
      <c r="S296" s="204">
        <f t="shared" si="48"/>
        <v>22</v>
      </c>
      <c r="T296" s="245">
        <f t="shared" si="56"/>
        <v>55</v>
      </c>
      <c r="U296" s="246">
        <f t="shared" si="56"/>
        <v>3</v>
      </c>
      <c r="V296" s="204">
        <f t="shared" si="49"/>
        <v>22</v>
      </c>
      <c r="W296" s="245">
        <f t="shared" si="56"/>
        <v>55</v>
      </c>
      <c r="X296" s="246">
        <f t="shared" si="56"/>
        <v>3</v>
      </c>
      <c r="Y296" s="204">
        <f t="shared" si="50"/>
        <v>22</v>
      </c>
    </row>
    <row r="297" spans="12:25" x14ac:dyDescent="0.25">
      <c r="L297" s="38">
        <f t="shared" si="53"/>
        <v>52962</v>
      </c>
      <c r="M297" s="245">
        <f t="shared" si="54"/>
        <v>55</v>
      </c>
      <c r="N297" s="246">
        <f t="shared" si="55"/>
        <v>3</v>
      </c>
      <c r="O297" s="204">
        <f t="shared" si="51"/>
        <v>22</v>
      </c>
      <c r="Q297" s="245">
        <f t="shared" si="56"/>
        <v>55</v>
      </c>
      <c r="R297" s="246">
        <f t="shared" si="56"/>
        <v>3</v>
      </c>
      <c r="S297" s="204">
        <f t="shared" si="48"/>
        <v>22</v>
      </c>
      <c r="T297" s="245">
        <f t="shared" si="56"/>
        <v>55</v>
      </c>
      <c r="U297" s="246">
        <f t="shared" si="56"/>
        <v>3</v>
      </c>
      <c r="V297" s="204">
        <f t="shared" si="49"/>
        <v>22</v>
      </c>
      <c r="W297" s="245">
        <f t="shared" si="56"/>
        <v>55</v>
      </c>
      <c r="X297" s="246">
        <f t="shared" si="56"/>
        <v>3</v>
      </c>
      <c r="Y297" s="204">
        <f t="shared" si="50"/>
        <v>22</v>
      </c>
    </row>
    <row r="298" spans="12:25" x14ac:dyDescent="0.25">
      <c r="L298" s="38">
        <f t="shared" si="53"/>
        <v>52993</v>
      </c>
      <c r="M298" s="245">
        <f t="shared" si="54"/>
        <v>55</v>
      </c>
      <c r="N298" s="246">
        <f t="shared" si="55"/>
        <v>3</v>
      </c>
      <c r="O298" s="204">
        <f t="shared" si="51"/>
        <v>22</v>
      </c>
      <c r="Q298" s="245">
        <f t="shared" si="56"/>
        <v>55</v>
      </c>
      <c r="R298" s="246">
        <f t="shared" si="56"/>
        <v>3</v>
      </c>
      <c r="S298" s="204">
        <f t="shared" si="48"/>
        <v>22</v>
      </c>
      <c r="T298" s="245">
        <f t="shared" si="56"/>
        <v>55</v>
      </c>
      <c r="U298" s="246">
        <f t="shared" si="56"/>
        <v>3</v>
      </c>
      <c r="V298" s="204">
        <f t="shared" si="49"/>
        <v>22</v>
      </c>
      <c r="W298" s="245">
        <f t="shared" si="56"/>
        <v>55</v>
      </c>
      <c r="X298" s="246">
        <f t="shared" si="56"/>
        <v>3</v>
      </c>
      <c r="Y298" s="204">
        <f t="shared" si="50"/>
        <v>22</v>
      </c>
    </row>
    <row r="299" spans="12:25" x14ac:dyDescent="0.25">
      <c r="L299" s="38">
        <f t="shared" si="53"/>
        <v>53021</v>
      </c>
      <c r="M299" s="245">
        <f t="shared" si="54"/>
        <v>55</v>
      </c>
      <c r="N299" s="246">
        <f t="shared" si="55"/>
        <v>3</v>
      </c>
      <c r="O299" s="204">
        <f t="shared" si="51"/>
        <v>22</v>
      </c>
      <c r="Q299" s="245">
        <f t="shared" ref="Q299:X314" si="57">Q298</f>
        <v>55</v>
      </c>
      <c r="R299" s="246">
        <f t="shared" si="57"/>
        <v>3</v>
      </c>
      <c r="S299" s="204">
        <f t="shared" si="48"/>
        <v>22</v>
      </c>
      <c r="T299" s="245">
        <f t="shared" si="57"/>
        <v>55</v>
      </c>
      <c r="U299" s="246">
        <f t="shared" si="57"/>
        <v>3</v>
      </c>
      <c r="V299" s="204">
        <f t="shared" si="49"/>
        <v>22</v>
      </c>
      <c r="W299" s="245">
        <f t="shared" si="57"/>
        <v>55</v>
      </c>
      <c r="X299" s="246">
        <f t="shared" si="57"/>
        <v>3</v>
      </c>
      <c r="Y299" s="204">
        <f t="shared" si="50"/>
        <v>22</v>
      </c>
    </row>
    <row r="300" spans="12:25" x14ac:dyDescent="0.25">
      <c r="L300" s="38">
        <f t="shared" si="53"/>
        <v>53052</v>
      </c>
      <c r="M300" s="245">
        <f t="shared" si="54"/>
        <v>55</v>
      </c>
      <c r="N300" s="246">
        <f t="shared" si="55"/>
        <v>3</v>
      </c>
      <c r="O300" s="204">
        <f t="shared" si="51"/>
        <v>22</v>
      </c>
      <c r="Q300" s="245">
        <f t="shared" si="57"/>
        <v>55</v>
      </c>
      <c r="R300" s="246">
        <f t="shared" si="57"/>
        <v>3</v>
      </c>
      <c r="S300" s="204">
        <f t="shared" si="48"/>
        <v>22</v>
      </c>
      <c r="T300" s="245">
        <f t="shared" si="57"/>
        <v>55</v>
      </c>
      <c r="U300" s="246">
        <f t="shared" si="57"/>
        <v>3</v>
      </c>
      <c r="V300" s="204">
        <f t="shared" si="49"/>
        <v>22</v>
      </c>
      <c r="W300" s="245">
        <f t="shared" si="57"/>
        <v>55</v>
      </c>
      <c r="X300" s="246">
        <f t="shared" si="57"/>
        <v>3</v>
      </c>
      <c r="Y300" s="204">
        <f t="shared" si="50"/>
        <v>22</v>
      </c>
    </row>
    <row r="301" spans="12:25" x14ac:dyDescent="0.25">
      <c r="L301" s="38">
        <f t="shared" si="53"/>
        <v>53082</v>
      </c>
      <c r="M301" s="245">
        <f t="shared" si="54"/>
        <v>55</v>
      </c>
      <c r="N301" s="246">
        <f t="shared" si="55"/>
        <v>3</v>
      </c>
      <c r="O301" s="204">
        <f t="shared" si="51"/>
        <v>22</v>
      </c>
      <c r="Q301" s="245">
        <f t="shared" si="57"/>
        <v>55</v>
      </c>
      <c r="R301" s="246">
        <f t="shared" si="57"/>
        <v>3</v>
      </c>
      <c r="S301" s="204">
        <f t="shared" si="48"/>
        <v>22</v>
      </c>
      <c r="T301" s="245">
        <f t="shared" si="57"/>
        <v>55</v>
      </c>
      <c r="U301" s="246">
        <f t="shared" si="57"/>
        <v>3</v>
      </c>
      <c r="V301" s="204">
        <f t="shared" si="49"/>
        <v>22</v>
      </c>
      <c r="W301" s="245">
        <f t="shared" si="57"/>
        <v>55</v>
      </c>
      <c r="X301" s="246">
        <f t="shared" si="57"/>
        <v>3</v>
      </c>
      <c r="Y301" s="204">
        <f t="shared" si="50"/>
        <v>22</v>
      </c>
    </row>
    <row r="302" spans="12:25" x14ac:dyDescent="0.25">
      <c r="L302" s="38">
        <f t="shared" si="53"/>
        <v>53113</v>
      </c>
      <c r="M302" s="245">
        <f t="shared" si="54"/>
        <v>55</v>
      </c>
      <c r="N302" s="246">
        <f t="shared" si="55"/>
        <v>3</v>
      </c>
      <c r="O302" s="204">
        <f t="shared" si="51"/>
        <v>22</v>
      </c>
      <c r="Q302" s="245">
        <f t="shared" si="57"/>
        <v>55</v>
      </c>
      <c r="R302" s="246">
        <f t="shared" si="57"/>
        <v>3</v>
      </c>
      <c r="S302" s="204">
        <f t="shared" si="48"/>
        <v>22</v>
      </c>
      <c r="T302" s="245">
        <f t="shared" si="57"/>
        <v>55</v>
      </c>
      <c r="U302" s="246">
        <f t="shared" si="57"/>
        <v>3</v>
      </c>
      <c r="V302" s="204">
        <f t="shared" si="49"/>
        <v>22</v>
      </c>
      <c r="W302" s="245">
        <f t="shared" si="57"/>
        <v>55</v>
      </c>
      <c r="X302" s="246">
        <f t="shared" si="57"/>
        <v>3</v>
      </c>
      <c r="Y302" s="204">
        <f t="shared" si="50"/>
        <v>22</v>
      </c>
    </row>
    <row r="303" spans="12:25" x14ac:dyDescent="0.25">
      <c r="L303" s="38">
        <f t="shared" si="53"/>
        <v>53143</v>
      </c>
      <c r="M303" s="245">
        <f t="shared" si="54"/>
        <v>55</v>
      </c>
      <c r="N303" s="246">
        <f t="shared" si="55"/>
        <v>3</v>
      </c>
      <c r="O303" s="204">
        <f t="shared" si="51"/>
        <v>22</v>
      </c>
      <c r="Q303" s="245">
        <f t="shared" si="57"/>
        <v>55</v>
      </c>
      <c r="R303" s="246">
        <f t="shared" si="57"/>
        <v>3</v>
      </c>
      <c r="S303" s="204">
        <f t="shared" si="48"/>
        <v>22</v>
      </c>
      <c r="T303" s="245">
        <f t="shared" si="57"/>
        <v>55</v>
      </c>
      <c r="U303" s="246">
        <f t="shared" si="57"/>
        <v>3</v>
      </c>
      <c r="V303" s="204">
        <f t="shared" si="49"/>
        <v>22</v>
      </c>
      <c r="W303" s="245">
        <f t="shared" si="57"/>
        <v>55</v>
      </c>
      <c r="X303" s="246">
        <f t="shared" si="57"/>
        <v>3</v>
      </c>
      <c r="Y303" s="204">
        <f t="shared" si="50"/>
        <v>22</v>
      </c>
    </row>
    <row r="304" spans="12:25" x14ac:dyDescent="0.25">
      <c r="L304" s="38">
        <f t="shared" si="53"/>
        <v>53174</v>
      </c>
      <c r="M304" s="245">
        <f t="shared" si="54"/>
        <v>55</v>
      </c>
      <c r="N304" s="246">
        <f t="shared" si="55"/>
        <v>3</v>
      </c>
      <c r="O304" s="204">
        <f t="shared" si="51"/>
        <v>22</v>
      </c>
      <c r="Q304" s="245">
        <f t="shared" si="57"/>
        <v>55</v>
      </c>
      <c r="R304" s="246">
        <f t="shared" si="57"/>
        <v>3</v>
      </c>
      <c r="S304" s="204">
        <f t="shared" si="48"/>
        <v>22</v>
      </c>
      <c r="T304" s="245">
        <f t="shared" si="57"/>
        <v>55</v>
      </c>
      <c r="U304" s="246">
        <f t="shared" si="57"/>
        <v>3</v>
      </c>
      <c r="V304" s="204">
        <f t="shared" si="49"/>
        <v>22</v>
      </c>
      <c r="W304" s="245">
        <f t="shared" si="57"/>
        <v>55</v>
      </c>
      <c r="X304" s="246">
        <f t="shared" si="57"/>
        <v>3</v>
      </c>
      <c r="Y304" s="204">
        <f t="shared" si="50"/>
        <v>22</v>
      </c>
    </row>
    <row r="305" spans="12:25" x14ac:dyDescent="0.25">
      <c r="L305" s="38">
        <f t="shared" si="53"/>
        <v>53205</v>
      </c>
      <c r="M305" s="245">
        <f t="shared" si="54"/>
        <v>55</v>
      </c>
      <c r="N305" s="246">
        <f t="shared" si="55"/>
        <v>3</v>
      </c>
      <c r="O305" s="204">
        <f t="shared" si="51"/>
        <v>22</v>
      </c>
      <c r="Q305" s="245">
        <f t="shared" si="57"/>
        <v>55</v>
      </c>
      <c r="R305" s="246">
        <f t="shared" si="57"/>
        <v>3</v>
      </c>
      <c r="S305" s="204">
        <f t="shared" si="48"/>
        <v>22</v>
      </c>
      <c r="T305" s="245">
        <f t="shared" si="57"/>
        <v>55</v>
      </c>
      <c r="U305" s="246">
        <f t="shared" si="57"/>
        <v>3</v>
      </c>
      <c r="V305" s="204">
        <f t="shared" si="49"/>
        <v>22</v>
      </c>
      <c r="W305" s="245">
        <f t="shared" si="57"/>
        <v>55</v>
      </c>
      <c r="X305" s="246">
        <f t="shared" si="57"/>
        <v>3</v>
      </c>
      <c r="Y305" s="204">
        <f t="shared" si="50"/>
        <v>22</v>
      </c>
    </row>
    <row r="306" spans="12:25" x14ac:dyDescent="0.25">
      <c r="L306" s="38">
        <f t="shared" si="53"/>
        <v>53235</v>
      </c>
      <c r="M306" s="245">
        <f t="shared" si="54"/>
        <v>55</v>
      </c>
      <c r="N306" s="246">
        <f t="shared" si="55"/>
        <v>3</v>
      </c>
      <c r="O306" s="204">
        <f t="shared" si="51"/>
        <v>22</v>
      </c>
      <c r="Q306" s="245">
        <f t="shared" si="57"/>
        <v>55</v>
      </c>
      <c r="R306" s="246">
        <f t="shared" si="57"/>
        <v>3</v>
      </c>
      <c r="S306" s="204">
        <f t="shared" si="48"/>
        <v>22</v>
      </c>
      <c r="T306" s="245">
        <f t="shared" si="57"/>
        <v>55</v>
      </c>
      <c r="U306" s="246">
        <f t="shared" si="57"/>
        <v>3</v>
      </c>
      <c r="V306" s="204">
        <f t="shared" si="49"/>
        <v>22</v>
      </c>
      <c r="W306" s="245">
        <f t="shared" si="57"/>
        <v>55</v>
      </c>
      <c r="X306" s="246">
        <f t="shared" si="57"/>
        <v>3</v>
      </c>
      <c r="Y306" s="204">
        <f t="shared" si="50"/>
        <v>22</v>
      </c>
    </row>
    <row r="307" spans="12:25" x14ac:dyDescent="0.25">
      <c r="L307" s="38">
        <f t="shared" si="53"/>
        <v>53266</v>
      </c>
      <c r="M307" s="245">
        <f t="shared" si="54"/>
        <v>55</v>
      </c>
      <c r="N307" s="246">
        <f t="shared" si="55"/>
        <v>3</v>
      </c>
      <c r="O307" s="204">
        <f t="shared" si="51"/>
        <v>22</v>
      </c>
      <c r="Q307" s="245">
        <f t="shared" si="57"/>
        <v>55</v>
      </c>
      <c r="R307" s="246">
        <f t="shared" si="57"/>
        <v>3</v>
      </c>
      <c r="S307" s="204">
        <f t="shared" si="48"/>
        <v>22</v>
      </c>
      <c r="T307" s="245">
        <f t="shared" si="57"/>
        <v>55</v>
      </c>
      <c r="U307" s="246">
        <f t="shared" si="57"/>
        <v>3</v>
      </c>
      <c r="V307" s="204">
        <f t="shared" si="49"/>
        <v>22</v>
      </c>
      <c r="W307" s="245">
        <f t="shared" si="57"/>
        <v>55</v>
      </c>
      <c r="X307" s="246">
        <f t="shared" si="57"/>
        <v>3</v>
      </c>
      <c r="Y307" s="204">
        <f t="shared" si="50"/>
        <v>22</v>
      </c>
    </row>
    <row r="308" spans="12:25" x14ac:dyDescent="0.25">
      <c r="L308" s="38">
        <f t="shared" si="53"/>
        <v>53296</v>
      </c>
      <c r="M308" s="245">
        <f t="shared" si="54"/>
        <v>55</v>
      </c>
      <c r="N308" s="246">
        <f t="shared" si="55"/>
        <v>3</v>
      </c>
      <c r="O308" s="204">
        <f t="shared" si="51"/>
        <v>22</v>
      </c>
      <c r="Q308" s="245">
        <f t="shared" si="57"/>
        <v>55</v>
      </c>
      <c r="R308" s="246">
        <f t="shared" si="57"/>
        <v>3</v>
      </c>
      <c r="S308" s="204">
        <f t="shared" si="48"/>
        <v>22</v>
      </c>
      <c r="T308" s="245">
        <f t="shared" si="57"/>
        <v>55</v>
      </c>
      <c r="U308" s="246">
        <f t="shared" si="57"/>
        <v>3</v>
      </c>
      <c r="V308" s="204">
        <f t="shared" si="49"/>
        <v>22</v>
      </c>
      <c r="W308" s="245">
        <f t="shared" si="57"/>
        <v>55</v>
      </c>
      <c r="X308" s="246">
        <f t="shared" si="57"/>
        <v>3</v>
      </c>
      <c r="Y308" s="204">
        <f t="shared" si="50"/>
        <v>22</v>
      </c>
    </row>
    <row r="309" spans="12:25" x14ac:dyDescent="0.25">
      <c r="L309" s="38">
        <f t="shared" si="53"/>
        <v>53327</v>
      </c>
      <c r="M309" s="245">
        <f t="shared" si="54"/>
        <v>55</v>
      </c>
      <c r="N309" s="246">
        <f t="shared" si="55"/>
        <v>3</v>
      </c>
      <c r="O309" s="204">
        <f t="shared" si="51"/>
        <v>22</v>
      </c>
      <c r="Q309" s="245">
        <f t="shared" si="57"/>
        <v>55</v>
      </c>
      <c r="R309" s="246">
        <f t="shared" si="57"/>
        <v>3</v>
      </c>
      <c r="S309" s="204">
        <f t="shared" si="48"/>
        <v>22</v>
      </c>
      <c r="T309" s="245">
        <f t="shared" si="57"/>
        <v>55</v>
      </c>
      <c r="U309" s="246">
        <f t="shared" si="57"/>
        <v>3</v>
      </c>
      <c r="V309" s="204">
        <f t="shared" si="49"/>
        <v>22</v>
      </c>
      <c r="W309" s="245">
        <f t="shared" si="57"/>
        <v>55</v>
      </c>
      <c r="X309" s="246">
        <f t="shared" si="57"/>
        <v>3</v>
      </c>
      <c r="Y309" s="204">
        <f t="shared" si="50"/>
        <v>22</v>
      </c>
    </row>
    <row r="310" spans="12:25" x14ac:dyDescent="0.25">
      <c r="L310" s="38">
        <f t="shared" si="53"/>
        <v>53358</v>
      </c>
      <c r="M310" s="245">
        <f t="shared" si="54"/>
        <v>55</v>
      </c>
      <c r="N310" s="246">
        <f t="shared" si="55"/>
        <v>3</v>
      </c>
      <c r="O310" s="204">
        <f t="shared" si="51"/>
        <v>22</v>
      </c>
      <c r="Q310" s="245">
        <f t="shared" si="57"/>
        <v>55</v>
      </c>
      <c r="R310" s="246">
        <f t="shared" si="57"/>
        <v>3</v>
      </c>
      <c r="S310" s="204">
        <f t="shared" si="48"/>
        <v>22</v>
      </c>
      <c r="T310" s="245">
        <f t="shared" si="57"/>
        <v>55</v>
      </c>
      <c r="U310" s="246">
        <f t="shared" si="57"/>
        <v>3</v>
      </c>
      <c r="V310" s="204">
        <f t="shared" si="49"/>
        <v>22</v>
      </c>
      <c r="W310" s="245">
        <f t="shared" si="57"/>
        <v>55</v>
      </c>
      <c r="X310" s="246">
        <f t="shared" si="57"/>
        <v>3</v>
      </c>
      <c r="Y310" s="204">
        <f t="shared" si="50"/>
        <v>22</v>
      </c>
    </row>
    <row r="311" spans="12:25" x14ac:dyDescent="0.25">
      <c r="L311" s="38">
        <f t="shared" si="53"/>
        <v>53386</v>
      </c>
      <c r="M311" s="245">
        <f t="shared" si="54"/>
        <v>55</v>
      </c>
      <c r="N311" s="246">
        <f t="shared" si="55"/>
        <v>3</v>
      </c>
      <c r="O311" s="204">
        <f t="shared" si="51"/>
        <v>22</v>
      </c>
      <c r="Q311" s="245">
        <f t="shared" si="57"/>
        <v>55</v>
      </c>
      <c r="R311" s="246">
        <f t="shared" si="57"/>
        <v>3</v>
      </c>
      <c r="S311" s="204">
        <f t="shared" si="48"/>
        <v>22</v>
      </c>
      <c r="T311" s="245">
        <f t="shared" si="57"/>
        <v>55</v>
      </c>
      <c r="U311" s="246">
        <f t="shared" si="57"/>
        <v>3</v>
      </c>
      <c r="V311" s="204">
        <f t="shared" si="49"/>
        <v>22</v>
      </c>
      <c r="W311" s="245">
        <f t="shared" si="57"/>
        <v>55</v>
      </c>
      <c r="X311" s="246">
        <f t="shared" si="57"/>
        <v>3</v>
      </c>
      <c r="Y311" s="204">
        <f t="shared" si="50"/>
        <v>22</v>
      </c>
    </row>
    <row r="312" spans="12:25" x14ac:dyDescent="0.25">
      <c r="L312" s="38">
        <f t="shared" si="53"/>
        <v>53417</v>
      </c>
      <c r="M312" s="245">
        <f t="shared" si="54"/>
        <v>55</v>
      </c>
      <c r="N312" s="246">
        <f t="shared" si="55"/>
        <v>3</v>
      </c>
      <c r="O312" s="204">
        <f t="shared" si="51"/>
        <v>22</v>
      </c>
      <c r="Q312" s="245">
        <f t="shared" si="57"/>
        <v>55</v>
      </c>
      <c r="R312" s="246">
        <f t="shared" si="57"/>
        <v>3</v>
      </c>
      <c r="S312" s="204">
        <f t="shared" si="48"/>
        <v>22</v>
      </c>
      <c r="T312" s="245">
        <f t="shared" si="57"/>
        <v>55</v>
      </c>
      <c r="U312" s="246">
        <f t="shared" si="57"/>
        <v>3</v>
      </c>
      <c r="V312" s="204">
        <f t="shared" si="49"/>
        <v>22</v>
      </c>
      <c r="W312" s="245">
        <f t="shared" si="57"/>
        <v>55</v>
      </c>
      <c r="X312" s="246">
        <f t="shared" si="57"/>
        <v>3</v>
      </c>
      <c r="Y312" s="204">
        <f t="shared" si="50"/>
        <v>22</v>
      </c>
    </row>
    <row r="313" spans="12:25" x14ac:dyDescent="0.25">
      <c r="L313" s="38">
        <f t="shared" si="53"/>
        <v>53447</v>
      </c>
      <c r="M313" s="245">
        <f t="shared" si="54"/>
        <v>55</v>
      </c>
      <c r="N313" s="246">
        <f t="shared" si="55"/>
        <v>3</v>
      </c>
      <c r="O313" s="204">
        <f t="shared" si="51"/>
        <v>22</v>
      </c>
      <c r="Q313" s="245">
        <f t="shared" si="57"/>
        <v>55</v>
      </c>
      <c r="R313" s="246">
        <f t="shared" si="57"/>
        <v>3</v>
      </c>
      <c r="S313" s="204">
        <f t="shared" si="48"/>
        <v>22</v>
      </c>
      <c r="T313" s="245">
        <f t="shared" si="57"/>
        <v>55</v>
      </c>
      <c r="U313" s="246">
        <f t="shared" si="57"/>
        <v>3</v>
      </c>
      <c r="V313" s="204">
        <f t="shared" si="49"/>
        <v>22</v>
      </c>
      <c r="W313" s="245">
        <f t="shared" si="57"/>
        <v>55</v>
      </c>
      <c r="X313" s="246">
        <f t="shared" si="57"/>
        <v>3</v>
      </c>
      <c r="Y313" s="204">
        <f t="shared" si="50"/>
        <v>22</v>
      </c>
    </row>
    <row r="314" spans="12:25" x14ac:dyDescent="0.25">
      <c r="L314" s="38">
        <f t="shared" si="53"/>
        <v>53478</v>
      </c>
      <c r="M314" s="245">
        <f t="shared" si="54"/>
        <v>55</v>
      </c>
      <c r="N314" s="246">
        <f t="shared" si="55"/>
        <v>3</v>
      </c>
      <c r="O314" s="204">
        <f t="shared" si="51"/>
        <v>22</v>
      </c>
      <c r="Q314" s="245">
        <f t="shared" si="57"/>
        <v>55</v>
      </c>
      <c r="R314" s="246">
        <f t="shared" si="57"/>
        <v>3</v>
      </c>
      <c r="S314" s="204">
        <f t="shared" si="48"/>
        <v>22</v>
      </c>
      <c r="T314" s="245">
        <f t="shared" si="57"/>
        <v>55</v>
      </c>
      <c r="U314" s="246">
        <f t="shared" si="57"/>
        <v>3</v>
      </c>
      <c r="V314" s="204">
        <f t="shared" si="49"/>
        <v>22</v>
      </c>
      <c r="W314" s="245">
        <f t="shared" si="57"/>
        <v>55</v>
      </c>
      <c r="X314" s="246">
        <f t="shared" si="57"/>
        <v>3</v>
      </c>
      <c r="Y314" s="204">
        <f t="shared" si="50"/>
        <v>22</v>
      </c>
    </row>
    <row r="315" spans="12:25" x14ac:dyDescent="0.25">
      <c r="L315" s="38">
        <f t="shared" si="53"/>
        <v>53508</v>
      </c>
      <c r="M315" s="245">
        <f t="shared" si="54"/>
        <v>55</v>
      </c>
      <c r="N315" s="246">
        <f t="shared" si="55"/>
        <v>3</v>
      </c>
      <c r="O315" s="204">
        <f t="shared" si="51"/>
        <v>22</v>
      </c>
      <c r="Q315" s="245">
        <f t="shared" ref="Q315:X330" si="58">Q314</f>
        <v>55</v>
      </c>
      <c r="R315" s="246">
        <f t="shared" si="58"/>
        <v>3</v>
      </c>
      <c r="S315" s="204">
        <f t="shared" si="48"/>
        <v>22</v>
      </c>
      <c r="T315" s="245">
        <f t="shared" si="58"/>
        <v>55</v>
      </c>
      <c r="U315" s="246">
        <f t="shared" si="58"/>
        <v>3</v>
      </c>
      <c r="V315" s="204">
        <f t="shared" si="49"/>
        <v>22</v>
      </c>
      <c r="W315" s="245">
        <f t="shared" si="58"/>
        <v>55</v>
      </c>
      <c r="X315" s="246">
        <f t="shared" si="58"/>
        <v>3</v>
      </c>
      <c r="Y315" s="204">
        <f t="shared" si="50"/>
        <v>22</v>
      </c>
    </row>
    <row r="316" spans="12:25" x14ac:dyDescent="0.25">
      <c r="L316" s="38">
        <f t="shared" si="53"/>
        <v>53539</v>
      </c>
      <c r="M316" s="245">
        <f t="shared" si="54"/>
        <v>55</v>
      </c>
      <c r="N316" s="246">
        <f t="shared" si="55"/>
        <v>3</v>
      </c>
      <c r="O316" s="204">
        <f t="shared" si="51"/>
        <v>22</v>
      </c>
      <c r="Q316" s="245">
        <f t="shared" si="58"/>
        <v>55</v>
      </c>
      <c r="R316" s="246">
        <f t="shared" si="58"/>
        <v>3</v>
      </c>
      <c r="S316" s="204">
        <f t="shared" si="48"/>
        <v>22</v>
      </c>
      <c r="T316" s="245">
        <f t="shared" si="58"/>
        <v>55</v>
      </c>
      <c r="U316" s="246">
        <f t="shared" si="58"/>
        <v>3</v>
      </c>
      <c r="V316" s="204">
        <f t="shared" si="49"/>
        <v>22</v>
      </c>
      <c r="W316" s="245">
        <f t="shared" si="58"/>
        <v>55</v>
      </c>
      <c r="X316" s="246">
        <f t="shared" si="58"/>
        <v>3</v>
      </c>
      <c r="Y316" s="204">
        <f t="shared" si="50"/>
        <v>22</v>
      </c>
    </row>
    <row r="317" spans="12:25" x14ac:dyDescent="0.25">
      <c r="L317" s="38">
        <f t="shared" si="53"/>
        <v>53570</v>
      </c>
      <c r="M317" s="245">
        <f t="shared" si="54"/>
        <v>55</v>
      </c>
      <c r="N317" s="246">
        <f t="shared" si="55"/>
        <v>3</v>
      </c>
      <c r="O317" s="204">
        <f t="shared" si="51"/>
        <v>22</v>
      </c>
      <c r="Q317" s="245">
        <f t="shared" si="58"/>
        <v>55</v>
      </c>
      <c r="R317" s="246">
        <f t="shared" si="58"/>
        <v>3</v>
      </c>
      <c r="S317" s="204">
        <f t="shared" si="48"/>
        <v>22</v>
      </c>
      <c r="T317" s="245">
        <f t="shared" si="58"/>
        <v>55</v>
      </c>
      <c r="U317" s="246">
        <f t="shared" si="58"/>
        <v>3</v>
      </c>
      <c r="V317" s="204">
        <f t="shared" si="49"/>
        <v>22</v>
      </c>
      <c r="W317" s="245">
        <f t="shared" si="58"/>
        <v>55</v>
      </c>
      <c r="X317" s="246">
        <f t="shared" si="58"/>
        <v>3</v>
      </c>
      <c r="Y317" s="204">
        <f t="shared" si="50"/>
        <v>22</v>
      </c>
    </row>
    <row r="318" spans="12:25" x14ac:dyDescent="0.25">
      <c r="L318" s="38">
        <f t="shared" si="53"/>
        <v>53600</v>
      </c>
      <c r="M318" s="245">
        <f t="shared" si="54"/>
        <v>55</v>
      </c>
      <c r="N318" s="246">
        <f t="shared" si="55"/>
        <v>3</v>
      </c>
      <c r="O318" s="204">
        <f t="shared" si="51"/>
        <v>22</v>
      </c>
      <c r="Q318" s="245">
        <f t="shared" si="58"/>
        <v>55</v>
      </c>
      <c r="R318" s="246">
        <f t="shared" si="58"/>
        <v>3</v>
      </c>
      <c r="S318" s="204">
        <f t="shared" si="48"/>
        <v>22</v>
      </c>
      <c r="T318" s="245">
        <f t="shared" si="58"/>
        <v>55</v>
      </c>
      <c r="U318" s="246">
        <f t="shared" si="58"/>
        <v>3</v>
      </c>
      <c r="V318" s="204">
        <f t="shared" si="49"/>
        <v>22</v>
      </c>
      <c r="W318" s="245">
        <f t="shared" si="58"/>
        <v>55</v>
      </c>
      <c r="X318" s="246">
        <f t="shared" si="58"/>
        <v>3</v>
      </c>
      <c r="Y318" s="204">
        <f t="shared" si="50"/>
        <v>22</v>
      </c>
    </row>
    <row r="319" spans="12:25" x14ac:dyDescent="0.25">
      <c r="L319" s="38">
        <f t="shared" si="53"/>
        <v>53631</v>
      </c>
      <c r="M319" s="245">
        <f t="shared" si="54"/>
        <v>55</v>
      </c>
      <c r="N319" s="246">
        <f t="shared" si="55"/>
        <v>3</v>
      </c>
      <c r="O319" s="204">
        <f t="shared" si="51"/>
        <v>22</v>
      </c>
      <c r="Q319" s="245">
        <f t="shared" si="58"/>
        <v>55</v>
      </c>
      <c r="R319" s="246">
        <f t="shared" si="58"/>
        <v>3</v>
      </c>
      <c r="S319" s="204">
        <f t="shared" si="48"/>
        <v>22</v>
      </c>
      <c r="T319" s="245">
        <f t="shared" si="58"/>
        <v>55</v>
      </c>
      <c r="U319" s="246">
        <f t="shared" si="58"/>
        <v>3</v>
      </c>
      <c r="V319" s="204">
        <f t="shared" si="49"/>
        <v>22</v>
      </c>
      <c r="W319" s="245">
        <f t="shared" si="58"/>
        <v>55</v>
      </c>
      <c r="X319" s="246">
        <f t="shared" si="58"/>
        <v>3</v>
      </c>
      <c r="Y319" s="204">
        <f t="shared" si="50"/>
        <v>22</v>
      </c>
    </row>
    <row r="320" spans="12:25" x14ac:dyDescent="0.25">
      <c r="L320" s="38">
        <f t="shared" si="53"/>
        <v>53661</v>
      </c>
      <c r="M320" s="245">
        <f t="shared" si="54"/>
        <v>55</v>
      </c>
      <c r="N320" s="246">
        <f t="shared" si="55"/>
        <v>3</v>
      </c>
      <c r="O320" s="204">
        <f t="shared" si="51"/>
        <v>22</v>
      </c>
      <c r="Q320" s="245">
        <f t="shared" si="58"/>
        <v>55</v>
      </c>
      <c r="R320" s="246">
        <f t="shared" si="58"/>
        <v>3</v>
      </c>
      <c r="S320" s="204">
        <f t="shared" si="48"/>
        <v>22</v>
      </c>
      <c r="T320" s="245">
        <f t="shared" si="58"/>
        <v>55</v>
      </c>
      <c r="U320" s="246">
        <f t="shared" si="58"/>
        <v>3</v>
      </c>
      <c r="V320" s="204">
        <f t="shared" si="49"/>
        <v>22</v>
      </c>
      <c r="W320" s="245">
        <f t="shared" si="58"/>
        <v>55</v>
      </c>
      <c r="X320" s="246">
        <f t="shared" si="58"/>
        <v>3</v>
      </c>
      <c r="Y320" s="204">
        <f t="shared" si="50"/>
        <v>22</v>
      </c>
    </row>
    <row r="321" spans="12:25" x14ac:dyDescent="0.25">
      <c r="L321" s="38">
        <f t="shared" si="53"/>
        <v>53692</v>
      </c>
      <c r="M321" s="245">
        <f t="shared" si="54"/>
        <v>55</v>
      </c>
      <c r="N321" s="246">
        <f t="shared" si="55"/>
        <v>3</v>
      </c>
      <c r="O321" s="204">
        <f t="shared" si="51"/>
        <v>22</v>
      </c>
      <c r="Q321" s="245">
        <f t="shared" si="58"/>
        <v>55</v>
      </c>
      <c r="R321" s="246">
        <f t="shared" si="58"/>
        <v>3</v>
      </c>
      <c r="S321" s="204">
        <f t="shared" si="48"/>
        <v>22</v>
      </c>
      <c r="T321" s="245">
        <f t="shared" si="58"/>
        <v>55</v>
      </c>
      <c r="U321" s="246">
        <f t="shared" si="58"/>
        <v>3</v>
      </c>
      <c r="V321" s="204">
        <f t="shared" si="49"/>
        <v>22</v>
      </c>
      <c r="W321" s="245">
        <f t="shared" si="58"/>
        <v>55</v>
      </c>
      <c r="X321" s="246">
        <f t="shared" si="58"/>
        <v>3</v>
      </c>
      <c r="Y321" s="204">
        <f t="shared" si="50"/>
        <v>22</v>
      </c>
    </row>
    <row r="322" spans="12:25" x14ac:dyDescent="0.25">
      <c r="L322" s="38">
        <f t="shared" si="53"/>
        <v>53723</v>
      </c>
      <c r="M322" s="245">
        <f t="shared" si="54"/>
        <v>55</v>
      </c>
      <c r="N322" s="246">
        <f t="shared" si="55"/>
        <v>3</v>
      </c>
      <c r="O322" s="204">
        <f t="shared" si="51"/>
        <v>22</v>
      </c>
      <c r="Q322" s="245">
        <f t="shared" si="58"/>
        <v>55</v>
      </c>
      <c r="R322" s="246">
        <f t="shared" si="58"/>
        <v>3</v>
      </c>
      <c r="S322" s="204">
        <f t="shared" si="48"/>
        <v>22</v>
      </c>
      <c r="T322" s="245">
        <f t="shared" si="58"/>
        <v>55</v>
      </c>
      <c r="U322" s="246">
        <f t="shared" si="58"/>
        <v>3</v>
      </c>
      <c r="V322" s="204">
        <f t="shared" si="49"/>
        <v>22</v>
      </c>
      <c r="W322" s="245">
        <f t="shared" si="58"/>
        <v>55</v>
      </c>
      <c r="X322" s="246">
        <f t="shared" si="58"/>
        <v>3</v>
      </c>
      <c r="Y322" s="204">
        <f t="shared" si="50"/>
        <v>22</v>
      </c>
    </row>
    <row r="323" spans="12:25" x14ac:dyDescent="0.25">
      <c r="L323" s="38">
        <f t="shared" si="53"/>
        <v>53751</v>
      </c>
      <c r="M323" s="245">
        <f t="shared" si="54"/>
        <v>55</v>
      </c>
      <c r="N323" s="246">
        <f t="shared" si="55"/>
        <v>3</v>
      </c>
      <c r="O323" s="204">
        <f t="shared" si="51"/>
        <v>22</v>
      </c>
      <c r="Q323" s="245">
        <f t="shared" si="58"/>
        <v>55</v>
      </c>
      <c r="R323" s="246">
        <f t="shared" si="58"/>
        <v>3</v>
      </c>
      <c r="S323" s="204">
        <f t="shared" si="48"/>
        <v>22</v>
      </c>
      <c r="T323" s="245">
        <f t="shared" si="58"/>
        <v>55</v>
      </c>
      <c r="U323" s="246">
        <f t="shared" si="58"/>
        <v>3</v>
      </c>
      <c r="V323" s="204">
        <f t="shared" si="49"/>
        <v>22</v>
      </c>
      <c r="W323" s="245">
        <f t="shared" si="58"/>
        <v>55</v>
      </c>
      <c r="X323" s="246">
        <f t="shared" si="58"/>
        <v>3</v>
      </c>
      <c r="Y323" s="204">
        <f t="shared" si="50"/>
        <v>22</v>
      </c>
    </row>
    <row r="324" spans="12:25" x14ac:dyDescent="0.25">
      <c r="L324" s="38">
        <f t="shared" si="53"/>
        <v>53782</v>
      </c>
      <c r="M324" s="245">
        <f t="shared" si="54"/>
        <v>55</v>
      </c>
      <c r="N324" s="246">
        <f t="shared" si="55"/>
        <v>3</v>
      </c>
      <c r="O324" s="204">
        <f t="shared" si="51"/>
        <v>22</v>
      </c>
      <c r="Q324" s="245">
        <f t="shared" si="58"/>
        <v>55</v>
      </c>
      <c r="R324" s="246">
        <f t="shared" si="58"/>
        <v>3</v>
      </c>
      <c r="S324" s="204">
        <f t="shared" si="48"/>
        <v>22</v>
      </c>
      <c r="T324" s="245">
        <f t="shared" si="58"/>
        <v>55</v>
      </c>
      <c r="U324" s="246">
        <f t="shared" si="58"/>
        <v>3</v>
      </c>
      <c r="V324" s="204">
        <f t="shared" si="49"/>
        <v>22</v>
      </c>
      <c r="W324" s="245">
        <f t="shared" si="58"/>
        <v>55</v>
      </c>
      <c r="X324" s="246">
        <f t="shared" si="58"/>
        <v>3</v>
      </c>
      <c r="Y324" s="204">
        <f t="shared" si="50"/>
        <v>22</v>
      </c>
    </row>
    <row r="325" spans="12:25" x14ac:dyDescent="0.25">
      <c r="L325" s="38">
        <f t="shared" si="53"/>
        <v>53812</v>
      </c>
      <c r="M325" s="245">
        <f t="shared" si="54"/>
        <v>55</v>
      </c>
      <c r="N325" s="246">
        <f t="shared" si="55"/>
        <v>3</v>
      </c>
      <c r="O325" s="204">
        <f t="shared" si="51"/>
        <v>22</v>
      </c>
      <c r="Q325" s="245">
        <f t="shared" si="58"/>
        <v>55</v>
      </c>
      <c r="R325" s="246">
        <f t="shared" si="58"/>
        <v>3</v>
      </c>
      <c r="S325" s="204">
        <f t="shared" si="48"/>
        <v>22</v>
      </c>
      <c r="T325" s="245">
        <f t="shared" si="58"/>
        <v>55</v>
      </c>
      <c r="U325" s="246">
        <f t="shared" si="58"/>
        <v>3</v>
      </c>
      <c r="V325" s="204">
        <f t="shared" si="49"/>
        <v>22</v>
      </c>
      <c r="W325" s="245">
        <f t="shared" si="58"/>
        <v>55</v>
      </c>
      <c r="X325" s="246">
        <f t="shared" si="58"/>
        <v>3</v>
      </c>
      <c r="Y325" s="204">
        <f t="shared" si="50"/>
        <v>22</v>
      </c>
    </row>
    <row r="326" spans="12:25" x14ac:dyDescent="0.25">
      <c r="L326" s="38">
        <f t="shared" si="53"/>
        <v>53843</v>
      </c>
      <c r="M326" s="245">
        <f t="shared" si="54"/>
        <v>55</v>
      </c>
      <c r="N326" s="246">
        <f t="shared" si="55"/>
        <v>3</v>
      </c>
      <c r="O326" s="204">
        <f t="shared" si="51"/>
        <v>22</v>
      </c>
      <c r="Q326" s="245">
        <f t="shared" si="58"/>
        <v>55</v>
      </c>
      <c r="R326" s="246">
        <f t="shared" si="58"/>
        <v>3</v>
      </c>
      <c r="S326" s="204">
        <f t="shared" si="48"/>
        <v>22</v>
      </c>
      <c r="T326" s="245">
        <f t="shared" si="58"/>
        <v>55</v>
      </c>
      <c r="U326" s="246">
        <f t="shared" si="58"/>
        <v>3</v>
      </c>
      <c r="V326" s="204">
        <f t="shared" si="49"/>
        <v>22</v>
      </c>
      <c r="W326" s="245">
        <f t="shared" si="58"/>
        <v>55</v>
      </c>
      <c r="X326" s="246">
        <f t="shared" si="58"/>
        <v>3</v>
      </c>
      <c r="Y326" s="204">
        <f t="shared" si="50"/>
        <v>22</v>
      </c>
    </row>
    <row r="327" spans="12:25" x14ac:dyDescent="0.25">
      <c r="L327" s="38">
        <f t="shared" si="53"/>
        <v>53873</v>
      </c>
      <c r="M327" s="245">
        <f t="shared" si="54"/>
        <v>55</v>
      </c>
      <c r="N327" s="246">
        <f t="shared" si="55"/>
        <v>3</v>
      </c>
      <c r="O327" s="204">
        <f t="shared" si="51"/>
        <v>22</v>
      </c>
      <c r="Q327" s="245">
        <f t="shared" si="58"/>
        <v>55</v>
      </c>
      <c r="R327" s="246">
        <f t="shared" si="58"/>
        <v>3</v>
      </c>
      <c r="S327" s="204">
        <f t="shared" si="48"/>
        <v>22</v>
      </c>
      <c r="T327" s="245">
        <f t="shared" si="58"/>
        <v>55</v>
      </c>
      <c r="U327" s="246">
        <f t="shared" si="58"/>
        <v>3</v>
      </c>
      <c r="V327" s="204">
        <f t="shared" si="49"/>
        <v>22</v>
      </c>
      <c r="W327" s="245">
        <f t="shared" si="58"/>
        <v>55</v>
      </c>
      <c r="X327" s="246">
        <f t="shared" si="58"/>
        <v>3</v>
      </c>
      <c r="Y327" s="204">
        <f t="shared" si="50"/>
        <v>22</v>
      </c>
    </row>
    <row r="328" spans="12:25" x14ac:dyDescent="0.25">
      <c r="L328" s="38">
        <f t="shared" si="53"/>
        <v>53904</v>
      </c>
      <c r="M328" s="245">
        <f t="shared" si="54"/>
        <v>55</v>
      </c>
      <c r="N328" s="246">
        <f t="shared" si="55"/>
        <v>3</v>
      </c>
      <c r="O328" s="204">
        <f t="shared" si="51"/>
        <v>22</v>
      </c>
      <c r="Q328" s="245">
        <f t="shared" si="58"/>
        <v>55</v>
      </c>
      <c r="R328" s="246">
        <f t="shared" si="58"/>
        <v>3</v>
      </c>
      <c r="S328" s="204">
        <f t="shared" si="48"/>
        <v>22</v>
      </c>
      <c r="T328" s="245">
        <f t="shared" si="58"/>
        <v>55</v>
      </c>
      <c r="U328" s="246">
        <f t="shared" si="58"/>
        <v>3</v>
      </c>
      <c r="V328" s="204">
        <f t="shared" si="49"/>
        <v>22</v>
      </c>
      <c r="W328" s="245">
        <f t="shared" si="58"/>
        <v>55</v>
      </c>
      <c r="X328" s="246">
        <f t="shared" si="58"/>
        <v>3</v>
      </c>
      <c r="Y328" s="204">
        <f t="shared" si="50"/>
        <v>22</v>
      </c>
    </row>
    <row r="329" spans="12:25" x14ac:dyDescent="0.25">
      <c r="L329" s="38">
        <f t="shared" si="53"/>
        <v>53935</v>
      </c>
      <c r="M329" s="245">
        <f t="shared" si="54"/>
        <v>55</v>
      </c>
      <c r="N329" s="246">
        <f t="shared" si="55"/>
        <v>3</v>
      </c>
      <c r="O329" s="204">
        <f t="shared" si="51"/>
        <v>22</v>
      </c>
      <c r="Q329" s="245">
        <f t="shared" si="58"/>
        <v>55</v>
      </c>
      <c r="R329" s="246">
        <f t="shared" si="58"/>
        <v>3</v>
      </c>
      <c r="S329" s="204">
        <f t="shared" si="48"/>
        <v>22</v>
      </c>
      <c r="T329" s="245">
        <f t="shared" si="58"/>
        <v>55</v>
      </c>
      <c r="U329" s="246">
        <f t="shared" si="58"/>
        <v>3</v>
      </c>
      <c r="V329" s="204">
        <f t="shared" si="49"/>
        <v>22</v>
      </c>
      <c r="W329" s="245">
        <f t="shared" si="58"/>
        <v>55</v>
      </c>
      <c r="X329" s="246">
        <f t="shared" si="58"/>
        <v>3</v>
      </c>
      <c r="Y329" s="204">
        <f t="shared" si="50"/>
        <v>22</v>
      </c>
    </row>
    <row r="330" spans="12:25" x14ac:dyDescent="0.25">
      <c r="L330" s="38">
        <f t="shared" si="53"/>
        <v>53965</v>
      </c>
      <c r="M330" s="245">
        <f t="shared" si="54"/>
        <v>55</v>
      </c>
      <c r="N330" s="246">
        <f t="shared" si="55"/>
        <v>3</v>
      </c>
      <c r="O330" s="204">
        <f t="shared" si="51"/>
        <v>22</v>
      </c>
      <c r="Q330" s="245">
        <f t="shared" si="58"/>
        <v>55</v>
      </c>
      <c r="R330" s="246">
        <f t="shared" si="58"/>
        <v>3</v>
      </c>
      <c r="S330" s="204">
        <f t="shared" ref="S330:S369" si="59">(1+pdiff_ngl)*Q330</f>
        <v>22</v>
      </c>
      <c r="T330" s="245">
        <f t="shared" si="58"/>
        <v>55</v>
      </c>
      <c r="U330" s="246">
        <f t="shared" si="58"/>
        <v>3</v>
      </c>
      <c r="V330" s="204">
        <f t="shared" ref="V330:V369" si="60">(1+pdiff_ngl)*T330</f>
        <v>22</v>
      </c>
      <c r="W330" s="245">
        <f t="shared" si="58"/>
        <v>55</v>
      </c>
      <c r="X330" s="246">
        <f t="shared" si="58"/>
        <v>3</v>
      </c>
      <c r="Y330" s="204">
        <f t="shared" ref="Y330:Y369" si="61">(1+pdiff_ngl)*W330</f>
        <v>22</v>
      </c>
    </row>
    <row r="331" spans="12:25" x14ac:dyDescent="0.25">
      <c r="L331" s="38">
        <f t="shared" si="53"/>
        <v>53996</v>
      </c>
      <c r="M331" s="245">
        <f t="shared" si="54"/>
        <v>55</v>
      </c>
      <c r="N331" s="246">
        <f t="shared" si="55"/>
        <v>3</v>
      </c>
      <c r="O331" s="204">
        <f t="shared" ref="O331:O369" si="62">(1+pdiff_ngl)*mult_oilprice*M331</f>
        <v>22</v>
      </c>
      <c r="Q331" s="245">
        <f t="shared" ref="Q331:X346" si="63">Q330</f>
        <v>55</v>
      </c>
      <c r="R331" s="246">
        <f t="shared" si="63"/>
        <v>3</v>
      </c>
      <c r="S331" s="204">
        <f t="shared" si="59"/>
        <v>22</v>
      </c>
      <c r="T331" s="245">
        <f t="shared" si="63"/>
        <v>55</v>
      </c>
      <c r="U331" s="246">
        <f t="shared" si="63"/>
        <v>3</v>
      </c>
      <c r="V331" s="204">
        <f t="shared" si="60"/>
        <v>22</v>
      </c>
      <c r="W331" s="245">
        <f t="shared" si="63"/>
        <v>55</v>
      </c>
      <c r="X331" s="246">
        <f t="shared" si="63"/>
        <v>3</v>
      </c>
      <c r="Y331" s="204">
        <f t="shared" si="61"/>
        <v>22</v>
      </c>
    </row>
    <row r="332" spans="12:25" x14ac:dyDescent="0.25">
      <c r="L332" s="38">
        <f t="shared" ref="L332:L369" si="64">EOMONTH(L331,1)</f>
        <v>54026</v>
      </c>
      <c r="M332" s="245">
        <f t="shared" ref="M332:M369" si="65">M331</f>
        <v>55</v>
      </c>
      <c r="N332" s="246">
        <f t="shared" ref="N332:N369" si="66">N331</f>
        <v>3</v>
      </c>
      <c r="O332" s="204">
        <f t="shared" si="62"/>
        <v>22</v>
      </c>
      <c r="Q332" s="245">
        <f t="shared" si="63"/>
        <v>55</v>
      </c>
      <c r="R332" s="246">
        <f t="shared" si="63"/>
        <v>3</v>
      </c>
      <c r="S332" s="204">
        <f t="shared" si="59"/>
        <v>22</v>
      </c>
      <c r="T332" s="245">
        <f t="shared" si="63"/>
        <v>55</v>
      </c>
      <c r="U332" s="246">
        <f t="shared" si="63"/>
        <v>3</v>
      </c>
      <c r="V332" s="204">
        <f t="shared" si="60"/>
        <v>22</v>
      </c>
      <c r="W332" s="245">
        <f t="shared" si="63"/>
        <v>55</v>
      </c>
      <c r="X332" s="246">
        <f t="shared" si="63"/>
        <v>3</v>
      </c>
      <c r="Y332" s="204">
        <f t="shared" si="61"/>
        <v>22</v>
      </c>
    </row>
    <row r="333" spans="12:25" x14ac:dyDescent="0.25">
      <c r="L333" s="38">
        <f t="shared" si="64"/>
        <v>54057</v>
      </c>
      <c r="M333" s="245">
        <f t="shared" si="65"/>
        <v>55</v>
      </c>
      <c r="N333" s="246">
        <f t="shared" si="66"/>
        <v>3</v>
      </c>
      <c r="O333" s="204">
        <f t="shared" si="62"/>
        <v>22</v>
      </c>
      <c r="Q333" s="245">
        <f t="shared" si="63"/>
        <v>55</v>
      </c>
      <c r="R333" s="246">
        <f t="shared" si="63"/>
        <v>3</v>
      </c>
      <c r="S333" s="204">
        <f t="shared" si="59"/>
        <v>22</v>
      </c>
      <c r="T333" s="245">
        <f t="shared" si="63"/>
        <v>55</v>
      </c>
      <c r="U333" s="246">
        <f t="shared" si="63"/>
        <v>3</v>
      </c>
      <c r="V333" s="204">
        <f t="shared" si="60"/>
        <v>22</v>
      </c>
      <c r="W333" s="245">
        <f t="shared" si="63"/>
        <v>55</v>
      </c>
      <c r="X333" s="246">
        <f t="shared" si="63"/>
        <v>3</v>
      </c>
      <c r="Y333" s="204">
        <f t="shared" si="61"/>
        <v>22</v>
      </c>
    </row>
    <row r="334" spans="12:25" x14ac:dyDescent="0.25">
      <c r="L334" s="38">
        <f t="shared" si="64"/>
        <v>54088</v>
      </c>
      <c r="M334" s="245">
        <f t="shared" si="65"/>
        <v>55</v>
      </c>
      <c r="N334" s="246">
        <f t="shared" si="66"/>
        <v>3</v>
      </c>
      <c r="O334" s="204">
        <f t="shared" si="62"/>
        <v>22</v>
      </c>
      <c r="Q334" s="245">
        <f t="shared" si="63"/>
        <v>55</v>
      </c>
      <c r="R334" s="246">
        <f t="shared" si="63"/>
        <v>3</v>
      </c>
      <c r="S334" s="204">
        <f t="shared" si="59"/>
        <v>22</v>
      </c>
      <c r="T334" s="245">
        <f t="shared" si="63"/>
        <v>55</v>
      </c>
      <c r="U334" s="246">
        <f t="shared" si="63"/>
        <v>3</v>
      </c>
      <c r="V334" s="204">
        <f t="shared" si="60"/>
        <v>22</v>
      </c>
      <c r="W334" s="245">
        <f t="shared" si="63"/>
        <v>55</v>
      </c>
      <c r="X334" s="246">
        <f t="shared" si="63"/>
        <v>3</v>
      </c>
      <c r="Y334" s="204">
        <f t="shared" si="61"/>
        <v>22</v>
      </c>
    </row>
    <row r="335" spans="12:25" x14ac:dyDescent="0.25">
      <c r="L335" s="38">
        <f t="shared" si="64"/>
        <v>54117</v>
      </c>
      <c r="M335" s="245">
        <f t="shared" si="65"/>
        <v>55</v>
      </c>
      <c r="N335" s="246">
        <f t="shared" si="66"/>
        <v>3</v>
      </c>
      <c r="O335" s="204">
        <f t="shared" si="62"/>
        <v>22</v>
      </c>
      <c r="Q335" s="245">
        <f t="shared" si="63"/>
        <v>55</v>
      </c>
      <c r="R335" s="246">
        <f t="shared" si="63"/>
        <v>3</v>
      </c>
      <c r="S335" s="204">
        <f t="shared" si="59"/>
        <v>22</v>
      </c>
      <c r="T335" s="245">
        <f t="shared" si="63"/>
        <v>55</v>
      </c>
      <c r="U335" s="246">
        <f t="shared" si="63"/>
        <v>3</v>
      </c>
      <c r="V335" s="204">
        <f t="shared" si="60"/>
        <v>22</v>
      </c>
      <c r="W335" s="245">
        <f t="shared" si="63"/>
        <v>55</v>
      </c>
      <c r="X335" s="246">
        <f t="shared" si="63"/>
        <v>3</v>
      </c>
      <c r="Y335" s="204">
        <f t="shared" si="61"/>
        <v>22</v>
      </c>
    </row>
    <row r="336" spans="12:25" x14ac:dyDescent="0.25">
      <c r="L336" s="38">
        <f t="shared" si="64"/>
        <v>54148</v>
      </c>
      <c r="M336" s="245">
        <f t="shared" si="65"/>
        <v>55</v>
      </c>
      <c r="N336" s="246">
        <f t="shared" si="66"/>
        <v>3</v>
      </c>
      <c r="O336" s="204">
        <f t="shared" si="62"/>
        <v>22</v>
      </c>
      <c r="Q336" s="245">
        <f t="shared" si="63"/>
        <v>55</v>
      </c>
      <c r="R336" s="246">
        <f t="shared" si="63"/>
        <v>3</v>
      </c>
      <c r="S336" s="204">
        <f t="shared" si="59"/>
        <v>22</v>
      </c>
      <c r="T336" s="245">
        <f t="shared" si="63"/>
        <v>55</v>
      </c>
      <c r="U336" s="246">
        <f t="shared" si="63"/>
        <v>3</v>
      </c>
      <c r="V336" s="204">
        <f t="shared" si="60"/>
        <v>22</v>
      </c>
      <c r="W336" s="245">
        <f t="shared" si="63"/>
        <v>55</v>
      </c>
      <c r="X336" s="246">
        <f t="shared" si="63"/>
        <v>3</v>
      </c>
      <c r="Y336" s="204">
        <f t="shared" si="61"/>
        <v>22</v>
      </c>
    </row>
    <row r="337" spans="12:25" x14ac:dyDescent="0.25">
      <c r="L337" s="38">
        <f t="shared" si="64"/>
        <v>54178</v>
      </c>
      <c r="M337" s="245">
        <f t="shared" si="65"/>
        <v>55</v>
      </c>
      <c r="N337" s="246">
        <f t="shared" si="66"/>
        <v>3</v>
      </c>
      <c r="O337" s="204">
        <f t="shared" si="62"/>
        <v>22</v>
      </c>
      <c r="Q337" s="245">
        <f t="shared" si="63"/>
        <v>55</v>
      </c>
      <c r="R337" s="246">
        <f t="shared" si="63"/>
        <v>3</v>
      </c>
      <c r="S337" s="204">
        <f t="shared" si="59"/>
        <v>22</v>
      </c>
      <c r="T337" s="245">
        <f t="shared" si="63"/>
        <v>55</v>
      </c>
      <c r="U337" s="246">
        <f t="shared" si="63"/>
        <v>3</v>
      </c>
      <c r="V337" s="204">
        <f t="shared" si="60"/>
        <v>22</v>
      </c>
      <c r="W337" s="245">
        <f t="shared" si="63"/>
        <v>55</v>
      </c>
      <c r="X337" s="246">
        <f t="shared" si="63"/>
        <v>3</v>
      </c>
      <c r="Y337" s="204">
        <f t="shared" si="61"/>
        <v>22</v>
      </c>
    </row>
    <row r="338" spans="12:25" x14ac:dyDescent="0.25">
      <c r="L338" s="38">
        <f t="shared" si="64"/>
        <v>54209</v>
      </c>
      <c r="M338" s="245">
        <f t="shared" si="65"/>
        <v>55</v>
      </c>
      <c r="N338" s="246">
        <f t="shared" si="66"/>
        <v>3</v>
      </c>
      <c r="O338" s="204">
        <f t="shared" si="62"/>
        <v>22</v>
      </c>
      <c r="Q338" s="245">
        <f t="shared" si="63"/>
        <v>55</v>
      </c>
      <c r="R338" s="246">
        <f t="shared" si="63"/>
        <v>3</v>
      </c>
      <c r="S338" s="204">
        <f t="shared" si="59"/>
        <v>22</v>
      </c>
      <c r="T338" s="245">
        <f t="shared" si="63"/>
        <v>55</v>
      </c>
      <c r="U338" s="246">
        <f t="shared" si="63"/>
        <v>3</v>
      </c>
      <c r="V338" s="204">
        <f t="shared" si="60"/>
        <v>22</v>
      </c>
      <c r="W338" s="245">
        <f t="shared" si="63"/>
        <v>55</v>
      </c>
      <c r="X338" s="246">
        <f t="shared" si="63"/>
        <v>3</v>
      </c>
      <c r="Y338" s="204">
        <f t="shared" si="61"/>
        <v>22</v>
      </c>
    </row>
    <row r="339" spans="12:25" x14ac:dyDescent="0.25">
      <c r="L339" s="38">
        <f t="shared" si="64"/>
        <v>54239</v>
      </c>
      <c r="M339" s="245">
        <f t="shared" si="65"/>
        <v>55</v>
      </c>
      <c r="N339" s="246">
        <f t="shared" si="66"/>
        <v>3</v>
      </c>
      <c r="O339" s="204">
        <f t="shared" si="62"/>
        <v>22</v>
      </c>
      <c r="Q339" s="245">
        <f t="shared" si="63"/>
        <v>55</v>
      </c>
      <c r="R339" s="246">
        <f t="shared" si="63"/>
        <v>3</v>
      </c>
      <c r="S339" s="204">
        <f t="shared" si="59"/>
        <v>22</v>
      </c>
      <c r="T339" s="245">
        <f t="shared" si="63"/>
        <v>55</v>
      </c>
      <c r="U339" s="246">
        <f t="shared" si="63"/>
        <v>3</v>
      </c>
      <c r="V339" s="204">
        <f t="shared" si="60"/>
        <v>22</v>
      </c>
      <c r="W339" s="245">
        <f t="shared" si="63"/>
        <v>55</v>
      </c>
      <c r="X339" s="246">
        <f t="shared" si="63"/>
        <v>3</v>
      </c>
      <c r="Y339" s="204">
        <f t="shared" si="61"/>
        <v>22</v>
      </c>
    </row>
    <row r="340" spans="12:25" x14ac:dyDescent="0.25">
      <c r="L340" s="38">
        <f t="shared" si="64"/>
        <v>54270</v>
      </c>
      <c r="M340" s="245">
        <f t="shared" si="65"/>
        <v>55</v>
      </c>
      <c r="N340" s="246">
        <f t="shared" si="66"/>
        <v>3</v>
      </c>
      <c r="O340" s="204">
        <f t="shared" si="62"/>
        <v>22</v>
      </c>
      <c r="Q340" s="245">
        <f t="shared" si="63"/>
        <v>55</v>
      </c>
      <c r="R340" s="246">
        <f t="shared" si="63"/>
        <v>3</v>
      </c>
      <c r="S340" s="204">
        <f t="shared" si="59"/>
        <v>22</v>
      </c>
      <c r="T340" s="245">
        <f t="shared" si="63"/>
        <v>55</v>
      </c>
      <c r="U340" s="246">
        <f t="shared" si="63"/>
        <v>3</v>
      </c>
      <c r="V340" s="204">
        <f t="shared" si="60"/>
        <v>22</v>
      </c>
      <c r="W340" s="245">
        <f t="shared" si="63"/>
        <v>55</v>
      </c>
      <c r="X340" s="246">
        <f t="shared" si="63"/>
        <v>3</v>
      </c>
      <c r="Y340" s="204">
        <f t="shared" si="61"/>
        <v>22</v>
      </c>
    </row>
    <row r="341" spans="12:25" x14ac:dyDescent="0.25">
      <c r="L341" s="38">
        <f t="shared" si="64"/>
        <v>54301</v>
      </c>
      <c r="M341" s="245">
        <f t="shared" si="65"/>
        <v>55</v>
      </c>
      <c r="N341" s="246">
        <f t="shared" si="66"/>
        <v>3</v>
      </c>
      <c r="O341" s="204">
        <f t="shared" si="62"/>
        <v>22</v>
      </c>
      <c r="Q341" s="245">
        <f t="shared" si="63"/>
        <v>55</v>
      </c>
      <c r="R341" s="246">
        <f t="shared" si="63"/>
        <v>3</v>
      </c>
      <c r="S341" s="204">
        <f t="shared" si="59"/>
        <v>22</v>
      </c>
      <c r="T341" s="245">
        <f t="shared" si="63"/>
        <v>55</v>
      </c>
      <c r="U341" s="246">
        <f t="shared" si="63"/>
        <v>3</v>
      </c>
      <c r="V341" s="204">
        <f t="shared" si="60"/>
        <v>22</v>
      </c>
      <c r="W341" s="245">
        <f t="shared" si="63"/>
        <v>55</v>
      </c>
      <c r="X341" s="246">
        <f t="shared" si="63"/>
        <v>3</v>
      </c>
      <c r="Y341" s="204">
        <f t="shared" si="61"/>
        <v>22</v>
      </c>
    </row>
    <row r="342" spans="12:25" x14ac:dyDescent="0.25">
      <c r="L342" s="38">
        <f t="shared" si="64"/>
        <v>54331</v>
      </c>
      <c r="M342" s="245">
        <f t="shared" si="65"/>
        <v>55</v>
      </c>
      <c r="N342" s="246">
        <f t="shared" si="66"/>
        <v>3</v>
      </c>
      <c r="O342" s="204">
        <f t="shared" si="62"/>
        <v>22</v>
      </c>
      <c r="Q342" s="245">
        <f t="shared" si="63"/>
        <v>55</v>
      </c>
      <c r="R342" s="246">
        <f t="shared" si="63"/>
        <v>3</v>
      </c>
      <c r="S342" s="204">
        <f t="shared" si="59"/>
        <v>22</v>
      </c>
      <c r="T342" s="245">
        <f t="shared" si="63"/>
        <v>55</v>
      </c>
      <c r="U342" s="246">
        <f t="shared" si="63"/>
        <v>3</v>
      </c>
      <c r="V342" s="204">
        <f t="shared" si="60"/>
        <v>22</v>
      </c>
      <c r="W342" s="245">
        <f t="shared" si="63"/>
        <v>55</v>
      </c>
      <c r="X342" s="246">
        <f t="shared" si="63"/>
        <v>3</v>
      </c>
      <c r="Y342" s="204">
        <f t="shared" si="61"/>
        <v>22</v>
      </c>
    </row>
    <row r="343" spans="12:25" x14ac:dyDescent="0.25">
      <c r="L343" s="38">
        <f t="shared" si="64"/>
        <v>54362</v>
      </c>
      <c r="M343" s="245">
        <f t="shared" si="65"/>
        <v>55</v>
      </c>
      <c r="N343" s="246">
        <f t="shared" si="66"/>
        <v>3</v>
      </c>
      <c r="O343" s="204">
        <f t="shared" si="62"/>
        <v>22</v>
      </c>
      <c r="Q343" s="245">
        <f t="shared" si="63"/>
        <v>55</v>
      </c>
      <c r="R343" s="246">
        <f t="shared" si="63"/>
        <v>3</v>
      </c>
      <c r="S343" s="204">
        <f t="shared" si="59"/>
        <v>22</v>
      </c>
      <c r="T343" s="245">
        <f t="shared" si="63"/>
        <v>55</v>
      </c>
      <c r="U343" s="246">
        <f t="shared" si="63"/>
        <v>3</v>
      </c>
      <c r="V343" s="204">
        <f t="shared" si="60"/>
        <v>22</v>
      </c>
      <c r="W343" s="245">
        <f t="shared" si="63"/>
        <v>55</v>
      </c>
      <c r="X343" s="246">
        <f t="shared" si="63"/>
        <v>3</v>
      </c>
      <c r="Y343" s="204">
        <f t="shared" si="61"/>
        <v>22</v>
      </c>
    </row>
    <row r="344" spans="12:25" x14ac:dyDescent="0.25">
      <c r="L344" s="38">
        <f t="shared" si="64"/>
        <v>54392</v>
      </c>
      <c r="M344" s="245">
        <f t="shared" si="65"/>
        <v>55</v>
      </c>
      <c r="N344" s="246">
        <f t="shared" si="66"/>
        <v>3</v>
      </c>
      <c r="O344" s="204">
        <f t="shared" si="62"/>
        <v>22</v>
      </c>
      <c r="Q344" s="245">
        <f t="shared" si="63"/>
        <v>55</v>
      </c>
      <c r="R344" s="246">
        <f t="shared" si="63"/>
        <v>3</v>
      </c>
      <c r="S344" s="204">
        <f t="shared" si="59"/>
        <v>22</v>
      </c>
      <c r="T344" s="245">
        <f t="shared" si="63"/>
        <v>55</v>
      </c>
      <c r="U344" s="246">
        <f t="shared" si="63"/>
        <v>3</v>
      </c>
      <c r="V344" s="204">
        <f t="shared" si="60"/>
        <v>22</v>
      </c>
      <c r="W344" s="245">
        <f t="shared" si="63"/>
        <v>55</v>
      </c>
      <c r="X344" s="246">
        <f t="shared" si="63"/>
        <v>3</v>
      </c>
      <c r="Y344" s="204">
        <f t="shared" si="61"/>
        <v>22</v>
      </c>
    </row>
    <row r="345" spans="12:25" x14ac:dyDescent="0.25">
      <c r="L345" s="38">
        <f t="shared" si="64"/>
        <v>54423</v>
      </c>
      <c r="M345" s="245">
        <f t="shared" si="65"/>
        <v>55</v>
      </c>
      <c r="N345" s="246">
        <f t="shared" si="66"/>
        <v>3</v>
      </c>
      <c r="O345" s="204">
        <f t="shared" si="62"/>
        <v>22</v>
      </c>
      <c r="Q345" s="245">
        <f t="shared" si="63"/>
        <v>55</v>
      </c>
      <c r="R345" s="246">
        <f t="shared" si="63"/>
        <v>3</v>
      </c>
      <c r="S345" s="204">
        <f t="shared" si="59"/>
        <v>22</v>
      </c>
      <c r="T345" s="245">
        <f t="shared" si="63"/>
        <v>55</v>
      </c>
      <c r="U345" s="246">
        <f t="shared" si="63"/>
        <v>3</v>
      </c>
      <c r="V345" s="204">
        <f t="shared" si="60"/>
        <v>22</v>
      </c>
      <c r="W345" s="245">
        <f t="shared" si="63"/>
        <v>55</v>
      </c>
      <c r="X345" s="246">
        <f t="shared" si="63"/>
        <v>3</v>
      </c>
      <c r="Y345" s="204">
        <f t="shared" si="61"/>
        <v>22</v>
      </c>
    </row>
    <row r="346" spans="12:25" x14ac:dyDescent="0.25">
      <c r="L346" s="38">
        <f t="shared" si="64"/>
        <v>54454</v>
      </c>
      <c r="M346" s="245">
        <f t="shared" si="65"/>
        <v>55</v>
      </c>
      <c r="N346" s="246">
        <f t="shared" si="66"/>
        <v>3</v>
      </c>
      <c r="O346" s="204">
        <f t="shared" si="62"/>
        <v>22</v>
      </c>
      <c r="Q346" s="245">
        <f t="shared" si="63"/>
        <v>55</v>
      </c>
      <c r="R346" s="246">
        <f t="shared" si="63"/>
        <v>3</v>
      </c>
      <c r="S346" s="204">
        <f t="shared" si="59"/>
        <v>22</v>
      </c>
      <c r="T346" s="245">
        <f t="shared" si="63"/>
        <v>55</v>
      </c>
      <c r="U346" s="246">
        <f t="shared" si="63"/>
        <v>3</v>
      </c>
      <c r="V346" s="204">
        <f t="shared" si="60"/>
        <v>22</v>
      </c>
      <c r="W346" s="245">
        <f t="shared" si="63"/>
        <v>55</v>
      </c>
      <c r="X346" s="246">
        <f t="shared" si="63"/>
        <v>3</v>
      </c>
      <c r="Y346" s="204">
        <f t="shared" si="61"/>
        <v>22</v>
      </c>
    </row>
    <row r="347" spans="12:25" x14ac:dyDescent="0.25">
      <c r="L347" s="38">
        <f t="shared" si="64"/>
        <v>54482</v>
      </c>
      <c r="M347" s="245">
        <f t="shared" si="65"/>
        <v>55</v>
      </c>
      <c r="N347" s="246">
        <f t="shared" si="66"/>
        <v>3</v>
      </c>
      <c r="O347" s="204">
        <f t="shared" si="62"/>
        <v>22</v>
      </c>
      <c r="Q347" s="245">
        <f t="shared" ref="Q347:X362" si="67">Q346</f>
        <v>55</v>
      </c>
      <c r="R347" s="246">
        <f t="shared" si="67"/>
        <v>3</v>
      </c>
      <c r="S347" s="204">
        <f t="shared" si="59"/>
        <v>22</v>
      </c>
      <c r="T347" s="245">
        <f t="shared" si="67"/>
        <v>55</v>
      </c>
      <c r="U347" s="246">
        <f t="shared" si="67"/>
        <v>3</v>
      </c>
      <c r="V347" s="204">
        <f t="shared" si="60"/>
        <v>22</v>
      </c>
      <c r="W347" s="245">
        <f t="shared" si="67"/>
        <v>55</v>
      </c>
      <c r="X347" s="246">
        <f t="shared" si="67"/>
        <v>3</v>
      </c>
      <c r="Y347" s="204">
        <f t="shared" si="61"/>
        <v>22</v>
      </c>
    </row>
    <row r="348" spans="12:25" x14ac:dyDescent="0.25">
      <c r="L348" s="38">
        <f t="shared" si="64"/>
        <v>54513</v>
      </c>
      <c r="M348" s="245">
        <f t="shared" si="65"/>
        <v>55</v>
      </c>
      <c r="N348" s="246">
        <f t="shared" si="66"/>
        <v>3</v>
      </c>
      <c r="O348" s="204">
        <f t="shared" si="62"/>
        <v>22</v>
      </c>
      <c r="Q348" s="245">
        <f t="shared" si="67"/>
        <v>55</v>
      </c>
      <c r="R348" s="246">
        <f t="shared" si="67"/>
        <v>3</v>
      </c>
      <c r="S348" s="204">
        <f t="shared" si="59"/>
        <v>22</v>
      </c>
      <c r="T348" s="245">
        <f t="shared" si="67"/>
        <v>55</v>
      </c>
      <c r="U348" s="246">
        <f t="shared" si="67"/>
        <v>3</v>
      </c>
      <c r="V348" s="204">
        <f t="shared" si="60"/>
        <v>22</v>
      </c>
      <c r="W348" s="245">
        <f t="shared" si="67"/>
        <v>55</v>
      </c>
      <c r="X348" s="246">
        <f t="shared" si="67"/>
        <v>3</v>
      </c>
      <c r="Y348" s="204">
        <f t="shared" si="61"/>
        <v>22</v>
      </c>
    </row>
    <row r="349" spans="12:25" x14ac:dyDescent="0.25">
      <c r="L349" s="38">
        <f t="shared" si="64"/>
        <v>54543</v>
      </c>
      <c r="M349" s="245">
        <f t="shared" si="65"/>
        <v>55</v>
      </c>
      <c r="N349" s="246">
        <f t="shared" si="66"/>
        <v>3</v>
      </c>
      <c r="O349" s="204">
        <f t="shared" si="62"/>
        <v>22</v>
      </c>
      <c r="Q349" s="245">
        <f t="shared" si="67"/>
        <v>55</v>
      </c>
      <c r="R349" s="246">
        <f t="shared" si="67"/>
        <v>3</v>
      </c>
      <c r="S349" s="204">
        <f t="shared" si="59"/>
        <v>22</v>
      </c>
      <c r="T349" s="245">
        <f t="shared" si="67"/>
        <v>55</v>
      </c>
      <c r="U349" s="246">
        <f t="shared" si="67"/>
        <v>3</v>
      </c>
      <c r="V349" s="204">
        <f t="shared" si="60"/>
        <v>22</v>
      </c>
      <c r="W349" s="245">
        <f t="shared" si="67"/>
        <v>55</v>
      </c>
      <c r="X349" s="246">
        <f t="shared" si="67"/>
        <v>3</v>
      </c>
      <c r="Y349" s="204">
        <f t="shared" si="61"/>
        <v>22</v>
      </c>
    </row>
    <row r="350" spans="12:25" x14ac:dyDescent="0.25">
      <c r="L350" s="38">
        <f t="shared" si="64"/>
        <v>54574</v>
      </c>
      <c r="M350" s="245">
        <f t="shared" si="65"/>
        <v>55</v>
      </c>
      <c r="N350" s="246">
        <f t="shared" si="66"/>
        <v>3</v>
      </c>
      <c r="O350" s="204">
        <f t="shared" si="62"/>
        <v>22</v>
      </c>
      <c r="Q350" s="245">
        <f t="shared" si="67"/>
        <v>55</v>
      </c>
      <c r="R350" s="246">
        <f t="shared" si="67"/>
        <v>3</v>
      </c>
      <c r="S350" s="204">
        <f t="shared" si="59"/>
        <v>22</v>
      </c>
      <c r="T350" s="245">
        <f t="shared" si="67"/>
        <v>55</v>
      </c>
      <c r="U350" s="246">
        <f t="shared" si="67"/>
        <v>3</v>
      </c>
      <c r="V350" s="204">
        <f t="shared" si="60"/>
        <v>22</v>
      </c>
      <c r="W350" s="245">
        <f t="shared" si="67"/>
        <v>55</v>
      </c>
      <c r="X350" s="246">
        <f t="shared" si="67"/>
        <v>3</v>
      </c>
      <c r="Y350" s="204">
        <f t="shared" si="61"/>
        <v>22</v>
      </c>
    </row>
    <row r="351" spans="12:25" x14ac:dyDescent="0.25">
      <c r="L351" s="38">
        <f t="shared" si="64"/>
        <v>54604</v>
      </c>
      <c r="M351" s="245">
        <f t="shared" si="65"/>
        <v>55</v>
      </c>
      <c r="N351" s="246">
        <f t="shared" si="66"/>
        <v>3</v>
      </c>
      <c r="O351" s="204">
        <f t="shared" si="62"/>
        <v>22</v>
      </c>
      <c r="Q351" s="245">
        <f t="shared" si="67"/>
        <v>55</v>
      </c>
      <c r="R351" s="246">
        <f t="shared" si="67"/>
        <v>3</v>
      </c>
      <c r="S351" s="204">
        <f t="shared" si="59"/>
        <v>22</v>
      </c>
      <c r="T351" s="245">
        <f t="shared" si="67"/>
        <v>55</v>
      </c>
      <c r="U351" s="246">
        <f t="shared" si="67"/>
        <v>3</v>
      </c>
      <c r="V351" s="204">
        <f t="shared" si="60"/>
        <v>22</v>
      </c>
      <c r="W351" s="245">
        <f t="shared" si="67"/>
        <v>55</v>
      </c>
      <c r="X351" s="246">
        <f t="shared" si="67"/>
        <v>3</v>
      </c>
      <c r="Y351" s="204">
        <f t="shared" si="61"/>
        <v>22</v>
      </c>
    </row>
    <row r="352" spans="12:25" x14ac:dyDescent="0.25">
      <c r="L352" s="38">
        <f t="shared" si="64"/>
        <v>54635</v>
      </c>
      <c r="M352" s="245">
        <f t="shared" si="65"/>
        <v>55</v>
      </c>
      <c r="N352" s="246">
        <f t="shared" si="66"/>
        <v>3</v>
      </c>
      <c r="O352" s="204">
        <f t="shared" si="62"/>
        <v>22</v>
      </c>
      <c r="Q352" s="245">
        <f t="shared" si="67"/>
        <v>55</v>
      </c>
      <c r="R352" s="246">
        <f t="shared" si="67"/>
        <v>3</v>
      </c>
      <c r="S352" s="204">
        <f t="shared" si="59"/>
        <v>22</v>
      </c>
      <c r="T352" s="245">
        <f t="shared" si="67"/>
        <v>55</v>
      </c>
      <c r="U352" s="246">
        <f t="shared" si="67"/>
        <v>3</v>
      </c>
      <c r="V352" s="204">
        <f t="shared" si="60"/>
        <v>22</v>
      </c>
      <c r="W352" s="245">
        <f t="shared" si="67"/>
        <v>55</v>
      </c>
      <c r="X352" s="246">
        <f t="shared" si="67"/>
        <v>3</v>
      </c>
      <c r="Y352" s="204">
        <f t="shared" si="61"/>
        <v>22</v>
      </c>
    </row>
    <row r="353" spans="12:25" x14ac:dyDescent="0.25">
      <c r="L353" s="38">
        <f t="shared" si="64"/>
        <v>54666</v>
      </c>
      <c r="M353" s="245">
        <f t="shared" si="65"/>
        <v>55</v>
      </c>
      <c r="N353" s="246">
        <f t="shared" si="66"/>
        <v>3</v>
      </c>
      <c r="O353" s="204">
        <f t="shared" si="62"/>
        <v>22</v>
      </c>
      <c r="Q353" s="245">
        <f t="shared" si="67"/>
        <v>55</v>
      </c>
      <c r="R353" s="246">
        <f t="shared" si="67"/>
        <v>3</v>
      </c>
      <c r="S353" s="204">
        <f t="shared" si="59"/>
        <v>22</v>
      </c>
      <c r="T353" s="245">
        <f t="shared" si="67"/>
        <v>55</v>
      </c>
      <c r="U353" s="246">
        <f t="shared" si="67"/>
        <v>3</v>
      </c>
      <c r="V353" s="204">
        <f t="shared" si="60"/>
        <v>22</v>
      </c>
      <c r="W353" s="245">
        <f t="shared" si="67"/>
        <v>55</v>
      </c>
      <c r="X353" s="246">
        <f t="shared" si="67"/>
        <v>3</v>
      </c>
      <c r="Y353" s="204">
        <f t="shared" si="61"/>
        <v>22</v>
      </c>
    </row>
    <row r="354" spans="12:25" x14ac:dyDescent="0.25">
      <c r="L354" s="38">
        <f t="shared" si="64"/>
        <v>54696</v>
      </c>
      <c r="M354" s="245">
        <f t="shared" si="65"/>
        <v>55</v>
      </c>
      <c r="N354" s="246">
        <f t="shared" si="66"/>
        <v>3</v>
      </c>
      <c r="O354" s="204">
        <f t="shared" si="62"/>
        <v>22</v>
      </c>
      <c r="Q354" s="245">
        <f t="shared" si="67"/>
        <v>55</v>
      </c>
      <c r="R354" s="246">
        <f t="shared" si="67"/>
        <v>3</v>
      </c>
      <c r="S354" s="204">
        <f t="shared" si="59"/>
        <v>22</v>
      </c>
      <c r="T354" s="245">
        <f t="shared" si="67"/>
        <v>55</v>
      </c>
      <c r="U354" s="246">
        <f t="shared" si="67"/>
        <v>3</v>
      </c>
      <c r="V354" s="204">
        <f t="shared" si="60"/>
        <v>22</v>
      </c>
      <c r="W354" s="245">
        <f t="shared" si="67"/>
        <v>55</v>
      </c>
      <c r="X354" s="246">
        <f t="shared" si="67"/>
        <v>3</v>
      </c>
      <c r="Y354" s="204">
        <f t="shared" si="61"/>
        <v>22</v>
      </c>
    </row>
    <row r="355" spans="12:25" x14ac:dyDescent="0.25">
      <c r="L355" s="38">
        <f t="shared" si="64"/>
        <v>54727</v>
      </c>
      <c r="M355" s="245">
        <f t="shared" si="65"/>
        <v>55</v>
      </c>
      <c r="N355" s="246">
        <f t="shared" si="66"/>
        <v>3</v>
      </c>
      <c r="O355" s="204">
        <f t="shared" si="62"/>
        <v>22</v>
      </c>
      <c r="Q355" s="245">
        <f t="shared" si="67"/>
        <v>55</v>
      </c>
      <c r="R355" s="246">
        <f t="shared" si="67"/>
        <v>3</v>
      </c>
      <c r="S355" s="204">
        <f t="shared" si="59"/>
        <v>22</v>
      </c>
      <c r="T355" s="245">
        <f t="shared" si="67"/>
        <v>55</v>
      </c>
      <c r="U355" s="246">
        <f t="shared" si="67"/>
        <v>3</v>
      </c>
      <c r="V355" s="204">
        <f t="shared" si="60"/>
        <v>22</v>
      </c>
      <c r="W355" s="245">
        <f t="shared" si="67"/>
        <v>55</v>
      </c>
      <c r="X355" s="246">
        <f t="shared" si="67"/>
        <v>3</v>
      </c>
      <c r="Y355" s="204">
        <f t="shared" si="61"/>
        <v>22</v>
      </c>
    </row>
    <row r="356" spans="12:25" x14ac:dyDescent="0.25">
      <c r="L356" s="38">
        <f t="shared" si="64"/>
        <v>54757</v>
      </c>
      <c r="M356" s="245">
        <f t="shared" si="65"/>
        <v>55</v>
      </c>
      <c r="N356" s="246">
        <f t="shared" si="66"/>
        <v>3</v>
      </c>
      <c r="O356" s="204">
        <f t="shared" si="62"/>
        <v>22</v>
      </c>
      <c r="Q356" s="245">
        <f t="shared" si="67"/>
        <v>55</v>
      </c>
      <c r="R356" s="246">
        <f t="shared" si="67"/>
        <v>3</v>
      </c>
      <c r="S356" s="204">
        <f t="shared" si="59"/>
        <v>22</v>
      </c>
      <c r="T356" s="245">
        <f t="shared" si="67"/>
        <v>55</v>
      </c>
      <c r="U356" s="246">
        <f t="shared" si="67"/>
        <v>3</v>
      </c>
      <c r="V356" s="204">
        <f t="shared" si="60"/>
        <v>22</v>
      </c>
      <c r="W356" s="245">
        <f t="shared" si="67"/>
        <v>55</v>
      </c>
      <c r="X356" s="246">
        <f t="shared" si="67"/>
        <v>3</v>
      </c>
      <c r="Y356" s="204">
        <f t="shared" si="61"/>
        <v>22</v>
      </c>
    </row>
    <row r="357" spans="12:25" x14ac:dyDescent="0.25">
      <c r="L357" s="38">
        <f t="shared" si="64"/>
        <v>54788</v>
      </c>
      <c r="M357" s="245">
        <f t="shared" si="65"/>
        <v>55</v>
      </c>
      <c r="N357" s="246">
        <f t="shared" si="66"/>
        <v>3</v>
      </c>
      <c r="O357" s="204">
        <f t="shared" si="62"/>
        <v>22</v>
      </c>
      <c r="Q357" s="245">
        <f t="shared" si="67"/>
        <v>55</v>
      </c>
      <c r="R357" s="246">
        <f t="shared" si="67"/>
        <v>3</v>
      </c>
      <c r="S357" s="204">
        <f t="shared" si="59"/>
        <v>22</v>
      </c>
      <c r="T357" s="245">
        <f t="shared" si="67"/>
        <v>55</v>
      </c>
      <c r="U357" s="246">
        <f t="shared" si="67"/>
        <v>3</v>
      </c>
      <c r="V357" s="204">
        <f t="shared" si="60"/>
        <v>22</v>
      </c>
      <c r="W357" s="245">
        <f t="shared" si="67"/>
        <v>55</v>
      </c>
      <c r="X357" s="246">
        <f t="shared" si="67"/>
        <v>3</v>
      </c>
      <c r="Y357" s="204">
        <f t="shared" si="61"/>
        <v>22</v>
      </c>
    </row>
    <row r="358" spans="12:25" x14ac:dyDescent="0.25">
      <c r="L358" s="38">
        <f t="shared" si="64"/>
        <v>54819</v>
      </c>
      <c r="M358" s="245">
        <f t="shared" si="65"/>
        <v>55</v>
      </c>
      <c r="N358" s="246">
        <f t="shared" si="66"/>
        <v>3</v>
      </c>
      <c r="O358" s="204">
        <f t="shared" si="62"/>
        <v>22</v>
      </c>
      <c r="Q358" s="245">
        <f t="shared" si="67"/>
        <v>55</v>
      </c>
      <c r="R358" s="246">
        <f t="shared" si="67"/>
        <v>3</v>
      </c>
      <c r="S358" s="204">
        <f t="shared" si="59"/>
        <v>22</v>
      </c>
      <c r="T358" s="245">
        <f t="shared" si="67"/>
        <v>55</v>
      </c>
      <c r="U358" s="246">
        <f t="shared" si="67"/>
        <v>3</v>
      </c>
      <c r="V358" s="204">
        <f t="shared" si="60"/>
        <v>22</v>
      </c>
      <c r="W358" s="245">
        <f t="shared" si="67"/>
        <v>55</v>
      </c>
      <c r="X358" s="246">
        <f t="shared" si="67"/>
        <v>3</v>
      </c>
      <c r="Y358" s="204">
        <f t="shared" si="61"/>
        <v>22</v>
      </c>
    </row>
    <row r="359" spans="12:25" x14ac:dyDescent="0.25">
      <c r="L359" s="38">
        <f t="shared" si="64"/>
        <v>54847</v>
      </c>
      <c r="M359" s="245">
        <f t="shared" si="65"/>
        <v>55</v>
      </c>
      <c r="N359" s="246">
        <f t="shared" si="66"/>
        <v>3</v>
      </c>
      <c r="O359" s="204">
        <f t="shared" si="62"/>
        <v>22</v>
      </c>
      <c r="Q359" s="245">
        <f t="shared" si="67"/>
        <v>55</v>
      </c>
      <c r="R359" s="246">
        <f t="shared" si="67"/>
        <v>3</v>
      </c>
      <c r="S359" s="204">
        <f t="shared" si="59"/>
        <v>22</v>
      </c>
      <c r="T359" s="245">
        <f t="shared" si="67"/>
        <v>55</v>
      </c>
      <c r="U359" s="246">
        <f t="shared" si="67"/>
        <v>3</v>
      </c>
      <c r="V359" s="204">
        <f t="shared" si="60"/>
        <v>22</v>
      </c>
      <c r="W359" s="245">
        <f t="shared" si="67"/>
        <v>55</v>
      </c>
      <c r="X359" s="246">
        <f t="shared" si="67"/>
        <v>3</v>
      </c>
      <c r="Y359" s="204">
        <f t="shared" si="61"/>
        <v>22</v>
      </c>
    </row>
    <row r="360" spans="12:25" x14ac:dyDescent="0.25">
      <c r="L360" s="38">
        <f t="shared" si="64"/>
        <v>54878</v>
      </c>
      <c r="M360" s="245">
        <f t="shared" si="65"/>
        <v>55</v>
      </c>
      <c r="N360" s="246">
        <f t="shared" si="66"/>
        <v>3</v>
      </c>
      <c r="O360" s="204">
        <f t="shared" si="62"/>
        <v>22</v>
      </c>
      <c r="Q360" s="245">
        <f t="shared" si="67"/>
        <v>55</v>
      </c>
      <c r="R360" s="246">
        <f t="shared" si="67"/>
        <v>3</v>
      </c>
      <c r="S360" s="204">
        <f t="shared" si="59"/>
        <v>22</v>
      </c>
      <c r="T360" s="245">
        <f t="shared" si="67"/>
        <v>55</v>
      </c>
      <c r="U360" s="246">
        <f t="shared" si="67"/>
        <v>3</v>
      </c>
      <c r="V360" s="204">
        <f t="shared" si="60"/>
        <v>22</v>
      </c>
      <c r="W360" s="245">
        <f t="shared" si="67"/>
        <v>55</v>
      </c>
      <c r="X360" s="246">
        <f t="shared" si="67"/>
        <v>3</v>
      </c>
      <c r="Y360" s="204">
        <f t="shared" si="61"/>
        <v>22</v>
      </c>
    </row>
    <row r="361" spans="12:25" x14ac:dyDescent="0.25">
      <c r="L361" s="38">
        <f t="shared" si="64"/>
        <v>54908</v>
      </c>
      <c r="M361" s="245">
        <f t="shared" si="65"/>
        <v>55</v>
      </c>
      <c r="N361" s="246">
        <f t="shared" si="66"/>
        <v>3</v>
      </c>
      <c r="O361" s="204">
        <f t="shared" si="62"/>
        <v>22</v>
      </c>
      <c r="Q361" s="245">
        <f t="shared" si="67"/>
        <v>55</v>
      </c>
      <c r="R361" s="246">
        <f t="shared" si="67"/>
        <v>3</v>
      </c>
      <c r="S361" s="204">
        <f t="shared" si="59"/>
        <v>22</v>
      </c>
      <c r="T361" s="245">
        <f t="shared" si="67"/>
        <v>55</v>
      </c>
      <c r="U361" s="246">
        <f t="shared" si="67"/>
        <v>3</v>
      </c>
      <c r="V361" s="204">
        <f t="shared" si="60"/>
        <v>22</v>
      </c>
      <c r="W361" s="245">
        <f t="shared" si="67"/>
        <v>55</v>
      </c>
      <c r="X361" s="246">
        <f t="shared" si="67"/>
        <v>3</v>
      </c>
      <c r="Y361" s="204">
        <f t="shared" si="61"/>
        <v>22</v>
      </c>
    </row>
    <row r="362" spans="12:25" x14ac:dyDescent="0.25">
      <c r="L362" s="38">
        <f t="shared" si="64"/>
        <v>54939</v>
      </c>
      <c r="M362" s="245">
        <f t="shared" si="65"/>
        <v>55</v>
      </c>
      <c r="N362" s="246">
        <f t="shared" si="66"/>
        <v>3</v>
      </c>
      <c r="O362" s="204">
        <f t="shared" si="62"/>
        <v>22</v>
      </c>
      <c r="Q362" s="245">
        <f t="shared" si="67"/>
        <v>55</v>
      </c>
      <c r="R362" s="246">
        <f t="shared" si="67"/>
        <v>3</v>
      </c>
      <c r="S362" s="204">
        <f t="shared" si="59"/>
        <v>22</v>
      </c>
      <c r="T362" s="245">
        <f t="shared" si="67"/>
        <v>55</v>
      </c>
      <c r="U362" s="246">
        <f t="shared" si="67"/>
        <v>3</v>
      </c>
      <c r="V362" s="204">
        <f t="shared" si="60"/>
        <v>22</v>
      </c>
      <c r="W362" s="245">
        <f t="shared" si="67"/>
        <v>55</v>
      </c>
      <c r="X362" s="246">
        <f t="shared" si="67"/>
        <v>3</v>
      </c>
      <c r="Y362" s="204">
        <f t="shared" si="61"/>
        <v>22</v>
      </c>
    </row>
    <row r="363" spans="12:25" x14ac:dyDescent="0.25">
      <c r="L363" s="38">
        <f t="shared" si="64"/>
        <v>54969</v>
      </c>
      <c r="M363" s="245">
        <f t="shared" si="65"/>
        <v>55</v>
      </c>
      <c r="N363" s="246">
        <f t="shared" si="66"/>
        <v>3</v>
      </c>
      <c r="O363" s="204">
        <f t="shared" si="62"/>
        <v>22</v>
      </c>
      <c r="Q363" s="245">
        <f t="shared" ref="Q363:X369" si="68">Q362</f>
        <v>55</v>
      </c>
      <c r="R363" s="246">
        <f t="shared" si="68"/>
        <v>3</v>
      </c>
      <c r="S363" s="204">
        <f t="shared" si="59"/>
        <v>22</v>
      </c>
      <c r="T363" s="245">
        <f t="shared" si="68"/>
        <v>55</v>
      </c>
      <c r="U363" s="246">
        <f t="shared" si="68"/>
        <v>3</v>
      </c>
      <c r="V363" s="204">
        <f t="shared" si="60"/>
        <v>22</v>
      </c>
      <c r="W363" s="245">
        <f t="shared" si="68"/>
        <v>55</v>
      </c>
      <c r="X363" s="246">
        <f t="shared" si="68"/>
        <v>3</v>
      </c>
      <c r="Y363" s="204">
        <f t="shared" si="61"/>
        <v>22</v>
      </c>
    </row>
    <row r="364" spans="12:25" x14ac:dyDescent="0.25">
      <c r="L364" s="38">
        <f t="shared" si="64"/>
        <v>55000</v>
      </c>
      <c r="M364" s="245">
        <f t="shared" si="65"/>
        <v>55</v>
      </c>
      <c r="N364" s="246">
        <f t="shared" si="66"/>
        <v>3</v>
      </c>
      <c r="O364" s="204">
        <f t="shared" si="62"/>
        <v>22</v>
      </c>
      <c r="Q364" s="245">
        <f t="shared" si="68"/>
        <v>55</v>
      </c>
      <c r="R364" s="246">
        <f t="shared" si="68"/>
        <v>3</v>
      </c>
      <c r="S364" s="204">
        <f t="shared" si="59"/>
        <v>22</v>
      </c>
      <c r="T364" s="245">
        <f t="shared" si="68"/>
        <v>55</v>
      </c>
      <c r="U364" s="246">
        <f t="shared" si="68"/>
        <v>3</v>
      </c>
      <c r="V364" s="204">
        <f t="shared" si="60"/>
        <v>22</v>
      </c>
      <c r="W364" s="245">
        <f t="shared" si="68"/>
        <v>55</v>
      </c>
      <c r="X364" s="246">
        <f t="shared" si="68"/>
        <v>3</v>
      </c>
      <c r="Y364" s="204">
        <f t="shared" si="61"/>
        <v>22</v>
      </c>
    </row>
    <row r="365" spans="12:25" x14ac:dyDescent="0.25">
      <c r="L365" s="38">
        <f t="shared" si="64"/>
        <v>55031</v>
      </c>
      <c r="M365" s="245">
        <f t="shared" si="65"/>
        <v>55</v>
      </c>
      <c r="N365" s="246">
        <f t="shared" si="66"/>
        <v>3</v>
      </c>
      <c r="O365" s="204">
        <f t="shared" si="62"/>
        <v>22</v>
      </c>
      <c r="Q365" s="245">
        <f t="shared" si="68"/>
        <v>55</v>
      </c>
      <c r="R365" s="246">
        <f t="shared" si="68"/>
        <v>3</v>
      </c>
      <c r="S365" s="204">
        <f t="shared" si="59"/>
        <v>22</v>
      </c>
      <c r="T365" s="245">
        <f t="shared" si="68"/>
        <v>55</v>
      </c>
      <c r="U365" s="246">
        <f t="shared" si="68"/>
        <v>3</v>
      </c>
      <c r="V365" s="204">
        <f t="shared" si="60"/>
        <v>22</v>
      </c>
      <c r="W365" s="245">
        <f t="shared" si="68"/>
        <v>55</v>
      </c>
      <c r="X365" s="246">
        <f t="shared" si="68"/>
        <v>3</v>
      </c>
      <c r="Y365" s="204">
        <f t="shared" si="61"/>
        <v>22</v>
      </c>
    </row>
    <row r="366" spans="12:25" x14ac:dyDescent="0.25">
      <c r="L366" s="38">
        <f t="shared" si="64"/>
        <v>55061</v>
      </c>
      <c r="M366" s="245">
        <f t="shared" si="65"/>
        <v>55</v>
      </c>
      <c r="N366" s="246">
        <f t="shared" si="66"/>
        <v>3</v>
      </c>
      <c r="O366" s="204">
        <f t="shared" si="62"/>
        <v>22</v>
      </c>
      <c r="Q366" s="245">
        <f t="shared" si="68"/>
        <v>55</v>
      </c>
      <c r="R366" s="246">
        <f t="shared" si="68"/>
        <v>3</v>
      </c>
      <c r="S366" s="204">
        <f t="shared" si="59"/>
        <v>22</v>
      </c>
      <c r="T366" s="245">
        <f t="shared" si="68"/>
        <v>55</v>
      </c>
      <c r="U366" s="246">
        <f t="shared" si="68"/>
        <v>3</v>
      </c>
      <c r="V366" s="204">
        <f t="shared" si="60"/>
        <v>22</v>
      </c>
      <c r="W366" s="245">
        <f t="shared" si="68"/>
        <v>55</v>
      </c>
      <c r="X366" s="246">
        <f t="shared" si="68"/>
        <v>3</v>
      </c>
      <c r="Y366" s="204">
        <f t="shared" si="61"/>
        <v>22</v>
      </c>
    </row>
    <row r="367" spans="12:25" x14ac:dyDescent="0.25">
      <c r="L367" s="38">
        <f t="shared" si="64"/>
        <v>55092</v>
      </c>
      <c r="M367" s="245">
        <f t="shared" si="65"/>
        <v>55</v>
      </c>
      <c r="N367" s="246">
        <f t="shared" si="66"/>
        <v>3</v>
      </c>
      <c r="O367" s="204">
        <f t="shared" si="62"/>
        <v>22</v>
      </c>
      <c r="Q367" s="245">
        <f t="shared" si="68"/>
        <v>55</v>
      </c>
      <c r="R367" s="246">
        <f t="shared" si="68"/>
        <v>3</v>
      </c>
      <c r="S367" s="204">
        <f t="shared" si="59"/>
        <v>22</v>
      </c>
      <c r="T367" s="245">
        <f t="shared" si="68"/>
        <v>55</v>
      </c>
      <c r="U367" s="246">
        <f t="shared" si="68"/>
        <v>3</v>
      </c>
      <c r="V367" s="204">
        <f t="shared" si="60"/>
        <v>22</v>
      </c>
      <c r="W367" s="245">
        <f t="shared" si="68"/>
        <v>55</v>
      </c>
      <c r="X367" s="246">
        <f t="shared" si="68"/>
        <v>3</v>
      </c>
      <c r="Y367" s="204">
        <f t="shared" si="61"/>
        <v>22</v>
      </c>
    </row>
    <row r="368" spans="12:25" x14ac:dyDescent="0.25">
      <c r="L368" s="38">
        <f t="shared" si="64"/>
        <v>55122</v>
      </c>
      <c r="M368" s="245">
        <f t="shared" si="65"/>
        <v>55</v>
      </c>
      <c r="N368" s="246">
        <f t="shared" si="66"/>
        <v>3</v>
      </c>
      <c r="O368" s="204">
        <f t="shared" si="62"/>
        <v>22</v>
      </c>
      <c r="Q368" s="245">
        <f t="shared" si="68"/>
        <v>55</v>
      </c>
      <c r="R368" s="246">
        <f t="shared" si="68"/>
        <v>3</v>
      </c>
      <c r="S368" s="204">
        <f t="shared" si="59"/>
        <v>22</v>
      </c>
      <c r="T368" s="245">
        <f t="shared" si="68"/>
        <v>55</v>
      </c>
      <c r="U368" s="246">
        <f t="shared" si="68"/>
        <v>3</v>
      </c>
      <c r="V368" s="204">
        <f t="shared" si="60"/>
        <v>22</v>
      </c>
      <c r="W368" s="245">
        <f t="shared" si="68"/>
        <v>55</v>
      </c>
      <c r="X368" s="246">
        <f t="shared" si="68"/>
        <v>3</v>
      </c>
      <c r="Y368" s="204">
        <f t="shared" si="61"/>
        <v>22</v>
      </c>
    </row>
    <row r="369" spans="12:29" x14ac:dyDescent="0.25">
      <c r="L369" s="38">
        <f t="shared" si="64"/>
        <v>55153</v>
      </c>
      <c r="M369" s="245">
        <f t="shared" si="65"/>
        <v>55</v>
      </c>
      <c r="N369" s="246">
        <f t="shared" si="66"/>
        <v>3</v>
      </c>
      <c r="O369" s="204">
        <f t="shared" si="62"/>
        <v>22</v>
      </c>
      <c r="Q369" s="245">
        <f t="shared" si="68"/>
        <v>55</v>
      </c>
      <c r="R369" s="246">
        <f t="shared" si="68"/>
        <v>3</v>
      </c>
      <c r="S369" s="204">
        <f t="shared" si="59"/>
        <v>22</v>
      </c>
      <c r="T369" s="245">
        <f t="shared" si="68"/>
        <v>55</v>
      </c>
      <c r="U369" s="246">
        <f t="shared" si="68"/>
        <v>3</v>
      </c>
      <c r="V369" s="204">
        <f t="shared" si="60"/>
        <v>22</v>
      </c>
      <c r="W369" s="245">
        <f t="shared" si="68"/>
        <v>55</v>
      </c>
      <c r="X369" s="246">
        <f t="shared" si="68"/>
        <v>3</v>
      </c>
      <c r="Y369" s="204">
        <f t="shared" si="61"/>
        <v>22</v>
      </c>
    </row>
    <row r="370" spans="12:29" x14ac:dyDescent="0.25">
      <c r="L370" s="41" t="s">
        <v>18</v>
      </c>
      <c r="M370" s="149" t="s">
        <v>18</v>
      </c>
      <c r="N370" s="18" t="s">
        <v>18</v>
      </c>
      <c r="O370" s="18" t="s">
        <v>18</v>
      </c>
      <c r="Q370" s="149" t="s">
        <v>18</v>
      </c>
      <c r="R370" s="18" t="s">
        <v>18</v>
      </c>
      <c r="S370" s="18" t="s">
        <v>18</v>
      </c>
      <c r="T370" s="149" t="s">
        <v>18</v>
      </c>
      <c r="U370" s="18" t="s">
        <v>18</v>
      </c>
      <c r="V370" s="205" t="s">
        <v>18</v>
      </c>
      <c r="W370" s="149" t="s">
        <v>18</v>
      </c>
      <c r="X370" s="18" t="s">
        <v>18</v>
      </c>
      <c r="Y370" s="205" t="s">
        <v>18</v>
      </c>
    </row>
    <row r="371" spans="12:29" x14ac:dyDescent="0.25">
      <c r="Z371" s="18"/>
      <c r="AA371" s="18"/>
      <c r="AB371" s="18"/>
      <c r="AC371" s="18"/>
    </row>
    <row r="374" spans="12:29" x14ac:dyDescent="0.25">
      <c r="L374" s="38"/>
    </row>
    <row r="375" spans="12:29" x14ac:dyDescent="0.25">
      <c r="L375" s="38"/>
    </row>
    <row r="376" spans="12:29" x14ac:dyDescent="0.25">
      <c r="L376" s="38"/>
    </row>
    <row r="377" spans="12:29" x14ac:dyDescent="0.25">
      <c r="L377" s="38"/>
    </row>
    <row r="378" spans="12:29" x14ac:dyDescent="0.25">
      <c r="L378" s="38"/>
    </row>
    <row r="379" spans="12:29" x14ac:dyDescent="0.25">
      <c r="L379" s="38"/>
    </row>
    <row r="380" spans="12:29" x14ac:dyDescent="0.25">
      <c r="L380" s="38"/>
    </row>
    <row r="381" spans="12:29" x14ac:dyDescent="0.25">
      <c r="L381" s="38"/>
    </row>
    <row r="382" spans="12:29" x14ac:dyDescent="0.25">
      <c r="L382" s="38"/>
    </row>
    <row r="383" spans="12:29" x14ac:dyDescent="0.25">
      <c r="L383" s="38"/>
    </row>
    <row r="384" spans="12:29" x14ac:dyDescent="0.25">
      <c r="L384" s="38"/>
    </row>
    <row r="385" spans="12:12" x14ac:dyDescent="0.25">
      <c r="L385" s="38"/>
    </row>
    <row r="386" spans="12:12" x14ac:dyDescent="0.25">
      <c r="L386" s="38"/>
    </row>
    <row r="387" spans="12:12" x14ac:dyDescent="0.25">
      <c r="L387" s="38"/>
    </row>
    <row r="388" spans="12:12" x14ac:dyDescent="0.25">
      <c r="L388" s="38"/>
    </row>
    <row r="389" spans="12:12" x14ac:dyDescent="0.25">
      <c r="L389" s="38"/>
    </row>
    <row r="390" spans="12:12" x14ac:dyDescent="0.25">
      <c r="L390" s="38"/>
    </row>
    <row r="391" spans="12:12" x14ac:dyDescent="0.25">
      <c r="L391" s="38"/>
    </row>
    <row r="392" spans="12:12" x14ac:dyDescent="0.25">
      <c r="L392" s="38"/>
    </row>
    <row r="393" spans="12:12" x14ac:dyDescent="0.25">
      <c r="L393" s="38"/>
    </row>
    <row r="394" spans="12:12" x14ac:dyDescent="0.25">
      <c r="L394" s="38"/>
    </row>
    <row r="395" spans="12:12" x14ac:dyDescent="0.25">
      <c r="L395" s="38"/>
    </row>
    <row r="396" spans="12:12" x14ac:dyDescent="0.25">
      <c r="L396" s="38"/>
    </row>
    <row r="397" spans="12:12" x14ac:dyDescent="0.25">
      <c r="L397" s="38"/>
    </row>
    <row r="398" spans="12:12" x14ac:dyDescent="0.25">
      <c r="L398" s="38"/>
    </row>
    <row r="399" spans="12:12" x14ac:dyDescent="0.25">
      <c r="L399" s="38"/>
    </row>
    <row r="400" spans="12:12" x14ac:dyDescent="0.25">
      <c r="L400" s="38"/>
    </row>
    <row r="401" spans="12:12" x14ac:dyDescent="0.25">
      <c r="L401" s="38"/>
    </row>
    <row r="402" spans="12:12" x14ac:dyDescent="0.25">
      <c r="L402" s="38"/>
    </row>
    <row r="403" spans="12:12" x14ac:dyDescent="0.25">
      <c r="L403" s="38"/>
    </row>
    <row r="404" spans="12:12" x14ac:dyDescent="0.25">
      <c r="L404" s="38"/>
    </row>
    <row r="405" spans="12:12" x14ac:dyDescent="0.25">
      <c r="L405" s="38"/>
    </row>
    <row r="406" spans="12:12" x14ac:dyDescent="0.25">
      <c r="L406" s="38"/>
    </row>
    <row r="407" spans="12:12" x14ac:dyDescent="0.25">
      <c r="L407" s="38"/>
    </row>
    <row r="408" spans="12:12" x14ac:dyDescent="0.25">
      <c r="L408" s="38"/>
    </row>
    <row r="409" spans="12:12" x14ac:dyDescent="0.25">
      <c r="L409" s="38"/>
    </row>
    <row r="410" spans="12:12" x14ac:dyDescent="0.25">
      <c r="L410" s="38"/>
    </row>
    <row r="411" spans="12:12" x14ac:dyDescent="0.25">
      <c r="L411" s="38"/>
    </row>
    <row r="412" spans="12:12" x14ac:dyDescent="0.25">
      <c r="L412" s="38"/>
    </row>
    <row r="413" spans="12:12" x14ac:dyDescent="0.25">
      <c r="L413" s="38"/>
    </row>
    <row r="414" spans="12:12" x14ac:dyDescent="0.25">
      <c r="L414" s="38"/>
    </row>
    <row r="415" spans="12:12" x14ac:dyDescent="0.25">
      <c r="L415" s="38"/>
    </row>
    <row r="416" spans="12:12" x14ac:dyDescent="0.25">
      <c r="L416" s="38"/>
    </row>
    <row r="417" spans="12:12" x14ac:dyDescent="0.25">
      <c r="L417" s="38"/>
    </row>
    <row r="418" spans="12:12" x14ac:dyDescent="0.25">
      <c r="L418" s="38"/>
    </row>
    <row r="419" spans="12:12" x14ac:dyDescent="0.25">
      <c r="L419" s="38"/>
    </row>
    <row r="420" spans="12:12" x14ac:dyDescent="0.25">
      <c r="L420" s="38"/>
    </row>
    <row r="421" spans="12:12" x14ac:dyDescent="0.25">
      <c r="L421" s="38"/>
    </row>
    <row r="422" spans="12:12" x14ac:dyDescent="0.25">
      <c r="L422" s="38"/>
    </row>
    <row r="423" spans="12:12" x14ac:dyDescent="0.25">
      <c r="L423" s="38"/>
    </row>
    <row r="424" spans="12:12" x14ac:dyDescent="0.25">
      <c r="L424" s="38"/>
    </row>
    <row r="425" spans="12:12" x14ac:dyDescent="0.25">
      <c r="L425" s="38"/>
    </row>
    <row r="426" spans="12:12" x14ac:dyDescent="0.25">
      <c r="L426" s="38"/>
    </row>
    <row r="427" spans="12:12" x14ac:dyDescent="0.25">
      <c r="L427" s="38"/>
    </row>
    <row r="428" spans="12:12" x14ac:dyDescent="0.25">
      <c r="L428" s="38"/>
    </row>
    <row r="429" spans="12:12" x14ac:dyDescent="0.25">
      <c r="L429" s="38"/>
    </row>
  </sheetData>
  <sortState xmlns:xlrd2="http://schemas.microsoft.com/office/spreadsheetml/2017/richdata2" ref="B11:D78">
    <sortCondition descending="1" ref="D11:D78"/>
  </sortState>
  <customSheetViews>
    <customSheetView guid="{67117C0F-1B5D-4D89-8B0C-855EE265FFB6}" scale="70" showPageBreaks="1" showGridLines="0" fitToPage="1" printArea="1">
      <pageMargins left="0.7" right="0.7" top="0.75" bottom="0.75" header="0.3" footer="0.3"/>
      <printOptions horizontalCentered="1"/>
      <pageSetup scale="61" orientation="landscape" verticalDpi="0" r:id="rId1"/>
      <headerFooter>
        <oddFooter>&amp;L&amp;K01+047&amp;D,  &amp;T&amp;R&amp;K01+045 © AAPL 2018</oddFooter>
      </headerFooter>
    </customSheetView>
  </customSheetViews>
  <phoneticPr fontId="3" type="noConversion"/>
  <printOptions horizontalCentered="1"/>
  <pageMargins left="0.7" right="0.7" top="0.75" bottom="0.75" header="0.3" footer="0.3"/>
  <pageSetup scale="54" orientation="landscape" verticalDpi="0" r:id="rId2"/>
  <headerFooter>
    <oddFooter>&amp;L&amp;K01+047&amp;D,  &amp;T&amp;R&amp;K01+045 © AAPL 2018</odd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715CE-2065-43D3-B438-BDEA483FF1B0}">
  <sheetPr>
    <pageSetUpPr fitToPage="1"/>
  </sheetPr>
  <dimension ref="B1:AC51"/>
  <sheetViews>
    <sheetView showGridLines="0" zoomScale="68" zoomScaleNormal="68" workbookViewId="0">
      <selection activeCell="B8" sqref="B8:B37"/>
    </sheetView>
  </sheetViews>
  <sheetFormatPr defaultColWidth="11.125" defaultRowHeight="15.75" x14ac:dyDescent="0.25"/>
  <cols>
    <col min="1" max="1" width="3" style="6" customWidth="1"/>
    <col min="2" max="3" width="10.125" style="2" customWidth="1"/>
    <col min="4" max="4" width="11.25" style="2" customWidth="1"/>
    <col min="5" max="5" width="11.25" style="6" customWidth="1"/>
    <col min="6" max="6" width="11.25" style="6" hidden="1" customWidth="1"/>
    <col min="7" max="7" width="11.25" style="6" customWidth="1"/>
    <col min="8" max="10" width="11.125" style="6"/>
    <col min="11" max="13" width="7.375" style="6" customWidth="1"/>
    <col min="14" max="17" width="12.125" style="6" customWidth="1"/>
    <col min="18" max="19" width="11.125" style="6" customWidth="1"/>
    <col min="20" max="22" width="11.125" style="6"/>
    <col min="23" max="25" width="12.125" style="6" customWidth="1"/>
    <col min="26" max="28" width="11.125" style="6"/>
    <col min="29" max="29" width="13" style="6" bestFit="1" customWidth="1"/>
    <col min="30" max="16384" width="11.125" style="6"/>
  </cols>
  <sheetData>
    <row r="1" spans="2:25" ht="23.25" x14ac:dyDescent="0.35">
      <c r="B1" s="1" t="str">
        <f>assumptions!B2</f>
        <v>[Project Name]</v>
      </c>
      <c r="C1" s="1"/>
      <c r="O1" s="38"/>
      <c r="P1" s="38"/>
      <c r="Q1" s="80"/>
      <c r="Y1" s="148" t="str">
        <f>assumptions!B3</f>
        <v>[Subtitle 1, e.g. API number]</v>
      </c>
    </row>
    <row r="2" spans="2:25" s="7" customFormat="1" ht="18.75" x14ac:dyDescent="0.3">
      <c r="B2" s="5" t="s">
        <v>140</v>
      </c>
      <c r="C2" s="5"/>
      <c r="D2" s="3"/>
      <c r="Y2" s="148" t="str">
        <f>assumptions!B4</f>
        <v>[Subtitle 2, e.g. field and reservoir]</v>
      </c>
    </row>
    <row r="3" spans="2:25" s="7" customFormat="1" ht="18.75" x14ac:dyDescent="0.3">
      <c r="B3" s="5" t="str">
        <f>"as of "&amp; TEXT(as_of,"mm/dd/yyyy")</f>
        <v>as of 01/01/2021</v>
      </c>
      <c r="C3" s="5"/>
      <c r="D3" s="3"/>
      <c r="Y3" s="148" t="str">
        <f>assumptions!B5</f>
        <v>[Subtitle 3, e.g. county and state]</v>
      </c>
    </row>
    <row r="4" spans="2:25" s="7" customFormat="1" ht="18.75" x14ac:dyDescent="0.3">
      <c r="B4" s="5"/>
      <c r="Y4" s="148" t="str">
        <f>"Interests of "&amp;assumptions!$C$9</f>
        <v>Interests of [Partner 1]</v>
      </c>
    </row>
    <row r="5" spans="2:25" x14ac:dyDescent="0.25">
      <c r="B5" s="4"/>
      <c r="C5" s="127" t="s">
        <v>121</v>
      </c>
      <c r="D5" s="130">
        <f>'historical production'!D4</f>
        <v>40400.370099800006</v>
      </c>
      <c r="E5" s="130">
        <f>'historical production'!E4</f>
        <v>135923.20002599998</v>
      </c>
      <c r="F5" s="130">
        <f>'historical production'!F4</f>
        <v>24585.753216100002</v>
      </c>
      <c r="G5" s="130">
        <f>'historical production'!G4</f>
        <v>20388.480003809524</v>
      </c>
    </row>
    <row r="6" spans="2:25" x14ac:dyDescent="0.25">
      <c r="C6" s="4"/>
      <c r="D6" s="82" t="s">
        <v>89</v>
      </c>
      <c r="E6" s="82"/>
      <c r="F6" s="82"/>
      <c r="G6" s="82"/>
      <c r="H6" s="82" t="s">
        <v>90</v>
      </c>
      <c r="I6" s="82"/>
      <c r="J6" s="82"/>
      <c r="K6" s="82" t="s">
        <v>91</v>
      </c>
      <c r="L6" s="82"/>
      <c r="M6" s="82"/>
      <c r="N6" s="82" t="s">
        <v>95</v>
      </c>
      <c r="O6" s="82"/>
      <c r="P6" s="82" t="s">
        <v>95</v>
      </c>
      <c r="Q6" s="82"/>
      <c r="R6" s="82" t="s">
        <v>32</v>
      </c>
      <c r="S6" s="82"/>
    </row>
    <row r="7" spans="2:25" ht="48" thickBot="1" x14ac:dyDescent="0.3">
      <c r="B7" s="63" t="s">
        <v>88</v>
      </c>
      <c r="C7" s="15" t="s">
        <v>130</v>
      </c>
      <c r="D7" s="15" t="s">
        <v>19</v>
      </c>
      <c r="E7" s="15" t="s">
        <v>25</v>
      </c>
      <c r="F7" s="15" t="s">
        <v>26</v>
      </c>
      <c r="G7" s="15" t="s">
        <v>27</v>
      </c>
      <c r="H7" s="15" t="s">
        <v>19</v>
      </c>
      <c r="I7" s="15" t="s">
        <v>25</v>
      </c>
      <c r="J7" s="15" t="s">
        <v>103</v>
      </c>
      <c r="K7" s="15" t="s">
        <v>92</v>
      </c>
      <c r="L7" s="15" t="s">
        <v>93</v>
      </c>
      <c r="M7" s="15" t="s">
        <v>125</v>
      </c>
      <c r="N7" s="15" t="s">
        <v>7</v>
      </c>
      <c r="O7" s="15" t="s">
        <v>8</v>
      </c>
      <c r="P7" s="15" t="s">
        <v>141</v>
      </c>
      <c r="Q7" s="15" t="s">
        <v>16</v>
      </c>
      <c r="R7" s="15" t="s">
        <v>96</v>
      </c>
      <c r="S7" s="15" t="s">
        <v>97</v>
      </c>
      <c r="T7" s="15" t="s">
        <v>32</v>
      </c>
      <c r="U7" s="15" t="s">
        <v>71</v>
      </c>
      <c r="V7" s="15" t="s">
        <v>41</v>
      </c>
      <c r="W7" s="15" t="s">
        <v>44</v>
      </c>
      <c r="X7" s="15" t="s">
        <v>94</v>
      </c>
      <c r="Y7" s="15" t="s">
        <v>139</v>
      </c>
    </row>
    <row r="8" spans="2:25" x14ac:dyDescent="0.25">
      <c r="B8" s="77">
        <f>YEAR(as_of)</f>
        <v>2021</v>
      </c>
      <c r="C8" s="138">
        <f ca="1">IFERROR(AVERAGEIFS('monthly calculations (1)'!$D$6:$D$365,'monthly calculations (1)'!$C$6:$C$365,'output table (1)'!$B8,'monthly calculations (1)'!$AM$6:$AM$365, 1),0)</f>
        <v>1</v>
      </c>
      <c r="D8" s="93">
        <f ca="1">SUMIFS('monthly calculations (1)'!$E$6:$E$365,'monthly calculations (1)'!$C$6:$C$365,'output table (1)'!$B8,'monthly calculations (1)'!$AM$6:$AM$365, 1)</f>
        <v>10263.284327327909</v>
      </c>
      <c r="E8" s="11">
        <f ca="1">SUMIFS('monthly calculations (1)'!$F$6:$F$365,'monthly calculations (1)'!$C$6:$C$365,'output table (1)'!$B8,'monthly calculations (1)'!$AM$6:$AM$365, 1)</f>
        <v>44453.354847585353</v>
      </c>
      <c r="F8" s="11">
        <f ca="1">SUMIFS('monthly calculations (1)'!$G$6:$G$365,'monthly calculations (1)'!$C$6:$C$365,'output table (1)'!$B8,'monthly calculations (1)'!$AM$6:$AM$365, 1)</f>
        <v>6387.8662519585341</v>
      </c>
      <c r="G8" s="11">
        <f ca="1">SUMIFS('monthly calculations (1)'!$H$6:$H$365,'monthly calculations (1)'!$C$6:$C$365,'output table (1)'!$B8,'monthly calculations (1)'!$AM$6:$AM$365, 1)</f>
        <v>6668.0032271378041</v>
      </c>
      <c r="H8" s="11">
        <f ca="1">SUMIFS('monthly calculations (1)'!$K$6:$K$365,'monthly calculations (1)'!$C$6:$C$365,'output table (1)'!$B8,'monthly calculations (1)'!$AM$6:$AM$365, 1)</f>
        <v>7697.4632454959319</v>
      </c>
      <c r="I8" s="11">
        <f ca="1">SUMIFS('monthly calculations (1)'!$L$6:$L$365,'monthly calculations (1)'!$C$6:$C$365,'output table (1)'!$B8,'monthly calculations (1)'!$AM$6:$AM$365, 1)</f>
        <v>25005.012101766766</v>
      </c>
      <c r="J8" s="11">
        <f ca="1">SUMIFS('monthly calculations (1)'!$N$6:$N$365,'monthly calculations (1)'!$C$6:$C$365,'output table (1)'!$B8,'monthly calculations (1)'!$AM$6:$AM$365, 1)</f>
        <v>5001.0024203533521</v>
      </c>
      <c r="K8" s="90">
        <f ca="1">IFERROR(N8/H8,0)</f>
        <v>52.499999999999993</v>
      </c>
      <c r="L8" s="33">
        <f ca="1">IFERROR(O8/I8,0)</f>
        <v>2.3274999999999997</v>
      </c>
      <c r="M8" s="33">
        <f ca="1">IFERROR(Q8/J8,0)</f>
        <v>22.000000000000004</v>
      </c>
      <c r="N8" s="93">
        <f ca="1">SUMIFS('monthly calculations (1)'!$U$6:$U$365,'monthly calculations (1)'!$C$6:$C$365,'output table (1)'!$B8,'monthly calculations (1)'!$AM$6:$AM$365, 1)</f>
        <v>404116.82038853638</v>
      </c>
      <c r="O8" s="81">
        <f ca="1">SUMIFS('monthly calculations (1)'!$V$6:$V$365,'monthly calculations (1)'!$C$6:$C$365,'output table (1)'!$B8,'monthly calculations (1)'!$AM$6:$AM$365, 1)</f>
        <v>58199.165666862144</v>
      </c>
      <c r="P8" s="93">
        <f t="shared" ref="P8:P37" ca="1" si="0">O8+N8</f>
        <v>462315.98605539853</v>
      </c>
      <c r="Q8" s="81">
        <f ca="1">SUMIFS('monthly calculations (1)'!$W$6:$W$365,'monthly calculations (1)'!$C$6:$C$365,'output table (1)'!$B8,'monthly calculations (1)'!$AM$6:$AM$365, 1)</f>
        <v>110022.05324777376</v>
      </c>
      <c r="R8" s="81">
        <f ca="1">SUMIFS('monthly calculations (1)'!$AA$6:$AA$365,'monthly calculations (1)'!$C$6:$C$365,'output table (1)'!$B8,'monthly calculations (1)'!$AM$6:$AM$365, 1)</f>
        <v>72000</v>
      </c>
      <c r="S8" s="81">
        <f ca="1">SUMIFS('monthly calculations (1)'!$AE$6:$AE$365,'monthly calculations (1)'!$C$6:$C$365,'output table (1)'!$B8,'monthly calculations (1)'!$AM$6:$AM$365, 1)</f>
        <v>12775.732503917068</v>
      </c>
      <c r="T8" s="93">
        <f t="shared" ref="T8:T37" ca="1" si="1">S8+R8</f>
        <v>84775.732503917068</v>
      </c>
      <c r="U8" s="81">
        <f ca="1">SUMIF('monthly calculations (1)'!$C$6:$C$365,'output table (1)'!$B8,'monthly calculations (1)'!AH6:AH365)</f>
        <v>0</v>
      </c>
      <c r="V8" s="81">
        <f ca="1">SUMIFS('monthly calculations (1)'!$AK$6:$AK$365,'monthly calculations (1)'!$C$6:$C$365,'output table (1)'!$B8,'monthly calculations (1)'!$AM$6:$AM$365, 1)</f>
        <v>45514.416139049674</v>
      </c>
      <c r="W8" s="93">
        <f ca="1">SUMIFS('monthly calculations (1)'!$AL$6:$AL$365,'monthly calculations (1)'!$C$6:$C$365,'output table (1)'!$B8,'monthly calculations (1)'!$AM$6:$AM$365, 1)</f>
        <v>442047.89066020562</v>
      </c>
      <c r="X8" s="81">
        <f ca="1">OFFSET('monthly calculations (1)'!$AO$5,             MATCH(DATE($B8,12,1),   'monthly calculations (1)'!$B$6:$B$365,  0),                  0)</f>
        <v>442047.89066020562</v>
      </c>
      <c r="Y8" s="81">
        <f ca="1">OFFSET('monthly calculations (1)'!$AQ$5,             MATCH(DATE($B8,12,1),   'monthly calculations (1)'!$B$6:$B$365,  0),                  0)</f>
        <v>423468.18164360127</v>
      </c>
    </row>
    <row r="9" spans="2:25" x14ac:dyDescent="0.25">
      <c r="B9" s="77">
        <f>B8+1</f>
        <v>2022</v>
      </c>
      <c r="C9" s="138">
        <f ca="1">IFERROR(AVERAGEIFS('monthly calculations (1)'!$D$6:$D$365,'monthly calculations (1)'!$C$6:$C$365,'output table (1)'!$B9,'monthly calculations (1)'!$AM$6:$AM$365, 1),0)</f>
        <v>1</v>
      </c>
      <c r="D9" s="198">
        <f ca="1">SUMIFS('monthly calculations (1)'!$E$6:$E$365,'monthly calculations (1)'!$C$6:$C$365,'output table (1)'!$B9,'monthly calculations (1)'!$AM$6:$AM$365, 1)</f>
        <v>7915.3462395781607</v>
      </c>
      <c r="E9" s="11">
        <f ca="1">SUMIFS('monthly calculations (1)'!$F$6:$F$365,'monthly calculations (1)'!$C$6:$C$365,'output table (1)'!$B9,'monthly calculations (1)'!$AM$6:$AM$365, 1)</f>
        <v>36723.39454080406</v>
      </c>
      <c r="F9" s="11">
        <f ca="1">SUMIFS('monthly calculations (1)'!$G$6:$G$365,'monthly calculations (1)'!$C$6:$C$365,'output table (1)'!$B9,'monthly calculations (1)'!$AM$6:$AM$365, 1)</f>
        <v>4163.3282225302846</v>
      </c>
      <c r="G9" s="11">
        <f ca="1">SUMIFS('monthly calculations (1)'!$H$6:$H$365,'monthly calculations (1)'!$C$6:$C$365,'output table (1)'!$B9,'monthly calculations (1)'!$AM$6:$AM$365, 1)</f>
        <v>5508.5091811206075</v>
      </c>
      <c r="H9" s="11">
        <f ca="1">SUMIFS('monthly calculations (1)'!$K$6:$K$365,'monthly calculations (1)'!$C$6:$C$365,'output table (1)'!$B9,'monthly calculations (1)'!$AM$6:$AM$365, 1)</f>
        <v>5936.5096796836215</v>
      </c>
      <c r="I9" s="11">
        <f ca="1">SUMIFS('monthly calculations (1)'!$L$6:$L$365,'monthly calculations (1)'!$C$6:$C$365,'output table (1)'!$B9,'monthly calculations (1)'!$AM$6:$AM$365, 1)</f>
        <v>20656.909429202282</v>
      </c>
      <c r="J9" s="11">
        <f ca="1">SUMIFS('monthly calculations (1)'!$N$6:$N$365,'monthly calculations (1)'!$C$6:$C$365,'output table (1)'!$B9,'monthly calculations (1)'!$AM$6:$AM$365, 1)</f>
        <v>4131.3818858404566</v>
      </c>
      <c r="K9" s="91">
        <f t="shared" ref="K9:L37" ca="1" si="2">IFERROR(N9/H9,0)</f>
        <v>52.5</v>
      </c>
      <c r="L9" s="33">
        <f t="shared" ca="1" si="2"/>
        <v>2.3275000000000001</v>
      </c>
      <c r="M9" s="33">
        <f t="shared" ref="M9:M37" ca="1" si="3">IFERROR(Q9/J9,0)</f>
        <v>22.000000000000004</v>
      </c>
      <c r="N9" s="94">
        <f ca="1">SUMIFS('monthly calculations (1)'!$U$6:$U$365,'monthly calculations (1)'!$C$6:$C$365,'output table (1)'!$B9,'monthly calculations (1)'!$AM$6:$AM$365, 1)</f>
        <v>311666.75818339013</v>
      </c>
      <c r="O9" s="11">
        <f ca="1">SUMIFS('monthly calculations (1)'!$V$6:$V$365,'monthly calculations (1)'!$C$6:$C$365,'output table (1)'!$B9,'monthly calculations (1)'!$AM$6:$AM$365, 1)</f>
        <v>48078.956696468318</v>
      </c>
      <c r="P9" s="94">
        <f t="shared" ca="1" si="0"/>
        <v>359745.71487985842</v>
      </c>
      <c r="Q9" s="11">
        <f ca="1">SUMIFS('monthly calculations (1)'!$W$6:$W$365,'monthly calculations (1)'!$C$6:$C$365,'output table (1)'!$B9,'monthly calculations (1)'!$AM$6:$AM$365, 1)</f>
        <v>90890.401488490053</v>
      </c>
      <c r="R9" s="11">
        <f ca="1">SUMIFS('monthly calculations (1)'!$AA$6:$AA$365,'monthly calculations (1)'!$C$6:$C$365,'output table (1)'!$B9,'monthly calculations (1)'!$AM$6:$AM$365, 1)</f>
        <v>72000</v>
      </c>
      <c r="S9" s="11">
        <f ca="1">SUMIFS('monthly calculations (1)'!$AE$6:$AE$365,'monthly calculations (1)'!$C$6:$C$365,'output table (1)'!$B9,'monthly calculations (1)'!$AM$6:$AM$365, 1)</f>
        <v>8326.6564450605692</v>
      </c>
      <c r="T9" s="94">
        <f t="shared" ca="1" si="1"/>
        <v>80326.656445060566</v>
      </c>
      <c r="U9" s="11">
        <f ca="1">SUMIF('monthly calculations (1)'!$C$6:$C$365,'output table (1)'!$B9,'monthly calculations (1)'!AH7:AH366)</f>
        <v>0</v>
      </c>
      <c r="V9" s="11">
        <f ca="1">SUMIFS('monthly calculations (1)'!$AK$6:$AK$365,'monthly calculations (1)'!$C$6:$C$365,'output table (1)'!$B9,'monthly calculations (1)'!$AM$6:$AM$365, 1)</f>
        <v>36025.275649516538</v>
      </c>
      <c r="W9" s="94">
        <f ca="1">SUMIFS('monthly calculations (1)'!$AL$6:$AL$365,'monthly calculations (1)'!$C$6:$C$365,'output table (1)'!$B9,'monthly calculations (1)'!$AM$6:$AM$365, 1)</f>
        <v>334284.18427377136</v>
      </c>
      <c r="X9" s="11">
        <f ca="1">OFFSET('monthly calculations (1)'!$AO$5,             MATCH(DATE($B9,12,1),   'monthly calculations (1)'!$B$6:$B$365,  0),                  0)</f>
        <v>776332.07493397698</v>
      </c>
      <c r="Y9" s="11">
        <f ca="1">OFFSET('monthly calculations (1)'!$AQ$5,             MATCH(DATE($B9,12,1),   'monthly calculations (1)'!$B$6:$B$365,  0),                  0)</f>
        <v>713205.10028620926</v>
      </c>
    </row>
    <row r="10" spans="2:25" x14ac:dyDescent="0.25">
      <c r="B10" s="77">
        <f t="shared" ref="B10:B37" si="4">B9+1</f>
        <v>2023</v>
      </c>
      <c r="C10" s="138">
        <f ca="1">IFERROR(AVERAGEIFS('monthly calculations (1)'!$D$6:$D$365,'monthly calculations (1)'!$C$6:$C$365,'output table (1)'!$B10,'monthly calculations (1)'!$AM$6:$AM$365, 1),0)</f>
        <v>1</v>
      </c>
      <c r="D10" s="94">
        <f ca="1">SUMIFS('monthly calculations (1)'!$E$6:$E$365,'monthly calculations (1)'!$C$6:$C$365,'output table (1)'!$B10,'monthly calculations (1)'!$AM$6:$AM$365, 1)</f>
        <v>6444.1472889039296</v>
      </c>
      <c r="E10" s="11">
        <f ca="1">SUMIFS('monthly calculations (1)'!$F$6:$F$365,'monthly calculations (1)'!$C$6:$C$365,'output table (1)'!$B10,'monthly calculations (1)'!$AM$6:$AM$365, 1)</f>
        <v>31287.644946962144</v>
      </c>
      <c r="F10" s="11">
        <f ca="1">SUMIFS('monthly calculations (1)'!$G$6:$G$365,'monthly calculations (1)'!$C$6:$C$365,'output table (1)'!$B10,'monthly calculations (1)'!$AM$6:$AM$365, 1)</f>
        <v>2715.9552166443054</v>
      </c>
      <c r="G10" s="11">
        <f ca="1">SUMIFS('monthly calculations (1)'!$H$6:$H$365,'monthly calculations (1)'!$C$6:$C$365,'output table (1)'!$B10,'monthly calculations (1)'!$AM$6:$AM$365, 1)</f>
        <v>4693.1467420443205</v>
      </c>
      <c r="H10" s="11">
        <f ca="1">SUMIFS('monthly calculations (1)'!$K$6:$K$365,'monthly calculations (1)'!$C$6:$C$365,'output table (1)'!$B10,'monthly calculations (1)'!$AM$6:$AM$365, 1)</f>
        <v>4833.1104666779484</v>
      </c>
      <c r="I10" s="11">
        <f ca="1">SUMIFS('monthly calculations (1)'!$L$6:$L$365,'monthly calculations (1)'!$C$6:$C$365,'output table (1)'!$B10,'monthly calculations (1)'!$AM$6:$AM$365, 1)</f>
        <v>17599.300282666205</v>
      </c>
      <c r="J10" s="11">
        <f ca="1">SUMIFS('monthly calculations (1)'!$N$6:$N$365,'monthly calculations (1)'!$C$6:$C$365,'output table (1)'!$B10,'monthly calculations (1)'!$AM$6:$AM$365, 1)</f>
        <v>3519.8600565332404</v>
      </c>
      <c r="K10" s="91">
        <f t="shared" ca="1" si="2"/>
        <v>52.500000000000007</v>
      </c>
      <c r="L10" s="33">
        <f t="shared" ca="1" si="2"/>
        <v>2.3274999999999997</v>
      </c>
      <c r="M10" s="33">
        <f t="shared" ca="1" si="3"/>
        <v>22.000000000000004</v>
      </c>
      <c r="N10" s="94">
        <f ca="1">SUMIFS('monthly calculations (1)'!$U$6:$U$365,'monthly calculations (1)'!$C$6:$C$365,'output table (1)'!$B10,'monthly calculations (1)'!$AM$6:$AM$365, 1)</f>
        <v>253738.29950059231</v>
      </c>
      <c r="O10" s="11">
        <f ca="1">SUMIFS('monthly calculations (1)'!$V$6:$V$365,'monthly calculations (1)'!$C$6:$C$365,'output table (1)'!$B10,'monthly calculations (1)'!$AM$6:$AM$365, 1)</f>
        <v>40962.371407905586</v>
      </c>
      <c r="P10" s="94">
        <f t="shared" ca="1" si="0"/>
        <v>294700.67090849788</v>
      </c>
      <c r="Q10" s="11">
        <f ca="1">SUMIFS('monthly calculations (1)'!$W$6:$W$365,'monthly calculations (1)'!$C$6:$C$365,'output table (1)'!$B10,'monthly calculations (1)'!$AM$6:$AM$365, 1)</f>
        <v>77436.921243731296</v>
      </c>
      <c r="R10" s="11">
        <f ca="1">SUMIFS('monthly calculations (1)'!$AA$6:$AA$365,'monthly calculations (1)'!$C$6:$C$365,'output table (1)'!$B10,'monthly calculations (1)'!$AM$6:$AM$365, 1)</f>
        <v>72000</v>
      </c>
      <c r="S10" s="11">
        <f ca="1">SUMIFS('monthly calculations (1)'!$AE$6:$AE$365,'monthly calculations (1)'!$C$6:$C$365,'output table (1)'!$B10,'monthly calculations (1)'!$AM$6:$AM$365, 1)</f>
        <v>5431.9104332886109</v>
      </c>
      <c r="T10" s="94">
        <f t="shared" ca="1" si="1"/>
        <v>77431.910433288605</v>
      </c>
      <c r="U10" s="11">
        <f ca="1">SUMIF('monthly calculations (1)'!$C$6:$C$365,'output table (1)'!$B10,'monthly calculations (1)'!AH8:AH367)</f>
        <v>0</v>
      </c>
      <c r="V10" s="11">
        <f ca="1">SUMIFS('monthly calculations (1)'!$AK$6:$AK$365,'monthly calculations (1)'!$C$6:$C$365,'output table (1)'!$B10,'monthly calculations (1)'!$AM$6:$AM$365, 1)</f>
        <v>29855.348529705738</v>
      </c>
      <c r="W10" s="94">
        <f ca="1">SUMIFS('monthly calculations (1)'!$AL$6:$AL$365,'monthly calculations (1)'!$C$6:$C$365,'output table (1)'!$B10,'monthly calculations (1)'!$AM$6:$AM$365, 1)</f>
        <v>264850.33318923484</v>
      </c>
      <c r="X10" s="11">
        <f ca="1">OFFSET('monthly calculations (1)'!$AO$5,             MATCH(DATE($B10,12,1),   'monthly calculations (1)'!$B$6:$B$365,  0),                  0)</f>
        <v>1041182.4081232116</v>
      </c>
      <c r="Y10" s="11">
        <f ca="1">OFFSET('monthly calculations (1)'!$AQ$5,             MATCH(DATE($B10,12,1),   'monthly calculations (1)'!$B$6:$B$365,  0),                  0)</f>
        <v>920938.53736244747</v>
      </c>
    </row>
    <row r="11" spans="2:25" x14ac:dyDescent="0.25">
      <c r="B11" s="77">
        <f t="shared" si="4"/>
        <v>2024</v>
      </c>
      <c r="C11" s="138">
        <f ca="1">IFERROR(AVERAGEIFS('monthly calculations (1)'!$D$6:$D$365,'monthly calculations (1)'!$C$6:$C$365,'output table (1)'!$B11,'monthly calculations (1)'!$AM$6:$AM$365, 1),0)</f>
        <v>1</v>
      </c>
      <c r="D11" s="94">
        <f ca="1">SUMIFS('monthly calculations (1)'!$E$6:$E$365,'monthly calculations (1)'!$C$6:$C$365,'output table (1)'!$B11,'monthly calculations (1)'!$AM$6:$AM$365, 1)</f>
        <v>5448.9298887547202</v>
      </c>
      <c r="E11" s="11">
        <f ca="1">SUMIFS('monthly calculations (1)'!$F$6:$F$365,'monthly calculations (1)'!$C$6:$C$365,'output table (1)'!$B11,'monthly calculations (1)'!$AM$6:$AM$365, 1)</f>
        <v>27325.956133635467</v>
      </c>
      <c r="F11" s="11">
        <f ca="1">SUMIFS('monthly calculations (1)'!$G$6:$G$365,'monthly calculations (1)'!$C$6:$C$365,'output table (1)'!$B11,'monthly calculations (1)'!$AM$6:$AM$365, 1)</f>
        <v>1777.3551438789941</v>
      </c>
      <c r="G11" s="11">
        <f ca="1">SUMIFS('monthly calculations (1)'!$H$6:$H$365,'monthly calculations (1)'!$C$6:$C$365,'output table (1)'!$B11,'monthly calculations (1)'!$AM$6:$AM$365, 1)</f>
        <v>4098.8934200453214</v>
      </c>
      <c r="H11" s="11">
        <f ca="1">SUMIFS('monthly calculations (1)'!$K$6:$K$365,'monthly calculations (1)'!$C$6:$C$365,'output table (1)'!$B11,'monthly calculations (1)'!$AM$6:$AM$365, 1)</f>
        <v>4086.6974165660399</v>
      </c>
      <c r="I11" s="11">
        <f ca="1">SUMIFS('monthly calculations (1)'!$L$6:$L$365,'monthly calculations (1)'!$C$6:$C$365,'output table (1)'!$B11,'monthly calculations (1)'!$AM$6:$AM$365, 1)</f>
        <v>15370.850325169951</v>
      </c>
      <c r="J11" s="11">
        <f ca="1">SUMIFS('monthly calculations (1)'!$N$6:$N$365,'monthly calculations (1)'!$C$6:$C$365,'output table (1)'!$B11,'monthly calculations (1)'!$AM$6:$AM$365, 1)</f>
        <v>3074.1700650339908</v>
      </c>
      <c r="K11" s="91">
        <f t="shared" ca="1" si="2"/>
        <v>52.5</v>
      </c>
      <c r="L11" s="33">
        <f t="shared" ca="1" si="2"/>
        <v>2.3275000000000001</v>
      </c>
      <c r="M11" s="33">
        <f t="shared" ca="1" si="3"/>
        <v>21.999999999999996</v>
      </c>
      <c r="N11" s="94">
        <f ca="1">SUMIFS('monthly calculations (1)'!$U$6:$U$365,'monthly calculations (1)'!$C$6:$C$365,'output table (1)'!$B11,'monthly calculations (1)'!$AM$6:$AM$365, 1)</f>
        <v>214551.61436971711</v>
      </c>
      <c r="O11" s="11">
        <f ca="1">SUMIFS('monthly calculations (1)'!$V$6:$V$365,'monthly calculations (1)'!$C$6:$C$365,'output table (1)'!$B11,'monthly calculations (1)'!$AM$6:$AM$365, 1)</f>
        <v>35775.654131833064</v>
      </c>
      <c r="P11" s="94">
        <f t="shared" ca="1" si="0"/>
        <v>250327.26850155016</v>
      </c>
      <c r="Q11" s="11">
        <f ca="1">SUMIFS('monthly calculations (1)'!$W$6:$W$365,'monthly calculations (1)'!$C$6:$C$365,'output table (1)'!$B11,'monthly calculations (1)'!$AM$6:$AM$365, 1)</f>
        <v>67631.741430747788</v>
      </c>
      <c r="R11" s="11">
        <f ca="1">SUMIFS('monthly calculations (1)'!$AA$6:$AA$365,'monthly calculations (1)'!$C$6:$C$365,'output table (1)'!$B11,'monthly calculations (1)'!$AM$6:$AM$365, 1)</f>
        <v>72000</v>
      </c>
      <c r="S11" s="11">
        <f ca="1">SUMIFS('monthly calculations (1)'!$AE$6:$AE$365,'monthly calculations (1)'!$C$6:$C$365,'output table (1)'!$B11,'monthly calculations (1)'!$AM$6:$AM$365, 1)</f>
        <v>3554.7102877579882</v>
      </c>
      <c r="T11" s="94">
        <f t="shared" ca="1" si="1"/>
        <v>75554.710287757989</v>
      </c>
      <c r="U11" s="11">
        <f ca="1">SUMIF('monthly calculations (1)'!$C$6:$C$365,'output table (1)'!$B11,'monthly calculations (1)'!AH9:AH368)</f>
        <v>0</v>
      </c>
      <c r="V11" s="11">
        <f ca="1">SUMIFS('monthly calculations (1)'!$AK$6:$AK$365,'monthly calculations (1)'!$C$6:$C$365,'output table (1)'!$B11,'monthly calculations (1)'!$AM$6:$AM$365, 1)</f>
        <v>25573.904176508007</v>
      </c>
      <c r="W11" s="94">
        <f ca="1">SUMIFS('monthly calculations (1)'!$AL$6:$AL$365,'monthly calculations (1)'!$C$6:$C$365,'output table (1)'!$B11,'monthly calculations (1)'!$AM$6:$AM$365, 1)</f>
        <v>216830.39546803199</v>
      </c>
      <c r="X11" s="11">
        <f ca="1">OFFSET('monthly calculations (1)'!$AO$5,             MATCH(DATE($B11,12,1),   'monthly calculations (1)'!$B$6:$B$365,  0),                  0)</f>
        <v>1258012.8035912437</v>
      </c>
      <c r="Y11" s="11">
        <f ca="1">OFFSET('monthly calculations (1)'!$AQ$5,             MATCH(DATE($B11,12,1),   'monthly calculations (1)'!$B$6:$B$365,  0),                  0)</f>
        <v>1074877.6409715705</v>
      </c>
    </row>
    <row r="12" spans="2:25" s="76" customFormat="1" ht="23.25" customHeight="1" x14ac:dyDescent="0.25">
      <c r="B12" s="78">
        <f t="shared" si="4"/>
        <v>2025</v>
      </c>
      <c r="C12" s="139">
        <f ca="1">IFERROR(AVERAGEIFS('monthly calculations (1)'!$D$6:$D$365,'monthly calculations (1)'!$C$6:$C$365,'output table (1)'!$B12,'monthly calculations (1)'!$AM$6:$AM$365, 1),0)</f>
        <v>1</v>
      </c>
      <c r="D12" s="137">
        <f ca="1">SUMIFS('monthly calculations (1)'!$E$6:$E$365,'monthly calculations (1)'!$C$6:$C$365,'output table (1)'!$B12,'monthly calculations (1)'!$AM$6:$AM$365, 1)</f>
        <v>4697.8700924945706</v>
      </c>
      <c r="E12" s="134">
        <f ca="1">SUMIFS('monthly calculations (1)'!$F$6:$F$365,'monthly calculations (1)'!$C$6:$C$365,'output table (1)'!$B12,'monthly calculations (1)'!$AM$6:$AM$365, 1)</f>
        <v>24137.449561272431</v>
      </c>
      <c r="F12" s="134">
        <f ca="1">SUMIFS('monthly calculations (1)'!$G$6:$G$365,'monthly calculations (1)'!$C$6:$C$365,'output table (1)'!$B12,'monthly calculations (1)'!$AM$6:$AM$365, 1)</f>
        <v>1157.6187115749101</v>
      </c>
      <c r="G12" s="134">
        <f ca="1">SUMIFS('monthly calculations (1)'!$H$6:$H$365,'monthly calculations (1)'!$C$6:$C$365,'output table (1)'!$B12,'monthly calculations (1)'!$AM$6:$AM$365, 1)</f>
        <v>3620.617434190865</v>
      </c>
      <c r="H12" s="134">
        <f ca="1">SUMIFS('monthly calculations (1)'!$K$6:$K$365,'monthly calculations (1)'!$C$6:$C$365,'output table (1)'!$B12,'monthly calculations (1)'!$AM$6:$AM$365, 1)</f>
        <v>3523.4025693709277</v>
      </c>
      <c r="I12" s="134">
        <f ca="1">SUMIFS('monthly calculations (1)'!$L$6:$L$365,'monthly calculations (1)'!$C$6:$C$365,'output table (1)'!$B12,'monthly calculations (1)'!$AM$6:$AM$365, 1)</f>
        <v>13577.315378215742</v>
      </c>
      <c r="J12" s="134">
        <f ca="1">SUMIFS('monthly calculations (1)'!$N$6:$N$365,'monthly calculations (1)'!$C$6:$C$365,'output table (1)'!$B12,'monthly calculations (1)'!$AM$6:$AM$365, 1)</f>
        <v>2715.4630756431484</v>
      </c>
      <c r="K12" s="135">
        <f t="shared" ca="1" si="2"/>
        <v>52.499999999999993</v>
      </c>
      <c r="L12" s="136">
        <f t="shared" ca="1" si="2"/>
        <v>2.3275000000000001</v>
      </c>
      <c r="M12" s="136">
        <f t="shared" ca="1" si="3"/>
        <v>22.000000000000004</v>
      </c>
      <c r="N12" s="137">
        <f ca="1">SUMIFS('monthly calculations (1)'!$U$6:$U$365,'monthly calculations (1)'!$C$6:$C$365,'output table (1)'!$B12,'monthly calculations (1)'!$AM$6:$AM$365, 1)</f>
        <v>184978.63489197369</v>
      </c>
      <c r="O12" s="134">
        <f ca="1">SUMIFS('monthly calculations (1)'!$V$6:$V$365,'monthly calculations (1)'!$C$6:$C$365,'output table (1)'!$B12,'monthly calculations (1)'!$AM$6:$AM$365, 1)</f>
        <v>31601.201542797142</v>
      </c>
      <c r="P12" s="137">
        <f t="shared" ca="1" si="0"/>
        <v>216579.83643477084</v>
      </c>
      <c r="Q12" s="134">
        <f ca="1">SUMIFS('monthly calculations (1)'!$W$6:$W$365,'monthly calculations (1)'!$C$6:$C$365,'output table (1)'!$B12,'monthly calculations (1)'!$AM$6:$AM$365, 1)</f>
        <v>59740.187664149271</v>
      </c>
      <c r="R12" s="134">
        <f ca="1">SUMIFS('monthly calculations (1)'!$AA$6:$AA$365,'monthly calculations (1)'!$C$6:$C$365,'output table (1)'!$B12,'monthly calculations (1)'!$AM$6:$AM$365, 1)</f>
        <v>72000</v>
      </c>
      <c r="S12" s="134">
        <f ca="1">SUMIFS('monthly calculations (1)'!$AE$6:$AE$365,'monthly calculations (1)'!$C$6:$C$365,'output table (1)'!$B12,'monthly calculations (1)'!$AM$6:$AM$365, 1)</f>
        <v>2315.2374231498202</v>
      </c>
      <c r="T12" s="137">
        <f t="shared" ca="1" si="1"/>
        <v>74315.237423149825</v>
      </c>
      <c r="U12" s="134">
        <f ca="1">SUMIF('monthly calculations (1)'!$C$6:$C$365,'output table (1)'!$B12,'monthly calculations (1)'!AH10:AH369)</f>
        <v>0</v>
      </c>
      <c r="V12" s="134">
        <f ca="1">SUMIFS('monthly calculations (1)'!$AK$6:$AK$365,'monthly calculations (1)'!$C$6:$C$365,'output table (1)'!$B12,'monthly calculations (1)'!$AM$6:$AM$365, 1)</f>
        <v>22267.621998024777</v>
      </c>
      <c r="W12" s="137">
        <f ca="1">SUMIFS('monthly calculations (1)'!$AL$6:$AL$365,'monthly calculations (1)'!$C$6:$C$365,'output table (1)'!$B12,'monthly calculations (1)'!$AM$6:$AM$365, 1)</f>
        <v>179737.16467774555</v>
      </c>
      <c r="X12" s="134">
        <f ca="1">OFFSET('monthly calculations (1)'!$AO$5,             MATCH(DATE($B12,12,1),   'monthly calculations (1)'!$B$6:$B$365,  0),                  0)</f>
        <v>1437749.9682689891</v>
      </c>
      <c r="Y12" s="134">
        <f ca="1">OFFSET('monthly calculations (1)'!$AQ$5,             MATCH(DATE($B12,12,1),   'monthly calculations (1)'!$B$6:$B$365,  0),                  0)</f>
        <v>1190353.3989664486</v>
      </c>
    </row>
    <row r="13" spans="2:25" x14ac:dyDescent="0.25">
      <c r="B13" s="77">
        <f t="shared" si="4"/>
        <v>2026</v>
      </c>
      <c r="C13" s="138">
        <f ca="1">IFERROR(AVERAGEIFS('monthly calculations (1)'!$D$6:$D$365,'monthly calculations (1)'!$C$6:$C$365,'output table (1)'!$B13,'monthly calculations (1)'!$AM$6:$AM$365, 1),0)</f>
        <v>1</v>
      </c>
      <c r="D13" s="94">
        <f ca="1">SUMIFS('monthly calculations (1)'!$E$6:$E$365,'monthly calculations (1)'!$C$6:$C$365,'output table (1)'!$B13,'monthly calculations (1)'!$AM$6:$AM$365, 1)</f>
        <v>4138.3341354764125</v>
      </c>
      <c r="E13" s="11">
        <f ca="1">SUMIFS('monthly calculations (1)'!$F$6:$F$365,'monthly calculations (1)'!$C$6:$C$365,'output table (1)'!$B13,'monthly calculations (1)'!$AM$6:$AM$365, 1)</f>
        <v>21666.194369445853</v>
      </c>
      <c r="F13" s="11">
        <f ca="1">SUMIFS('monthly calculations (1)'!$G$6:$G$365,'monthly calculations (1)'!$C$6:$C$365,'output table (1)'!$B13,'monthly calculations (1)'!$AM$6:$AM$365, 1)</f>
        <v>757.23347193279858</v>
      </c>
      <c r="G13" s="11">
        <f ca="1">SUMIFS('monthly calculations (1)'!$H$6:$H$365,'monthly calculations (1)'!$C$6:$C$365,'output table (1)'!$B13,'monthly calculations (1)'!$AM$6:$AM$365, 1)</f>
        <v>3249.9291554168776</v>
      </c>
      <c r="H13" s="11">
        <f ca="1">SUMIFS('monthly calculations (1)'!$K$6:$K$365,'monthly calculations (1)'!$C$6:$C$365,'output table (1)'!$B13,'monthly calculations (1)'!$AM$6:$AM$365, 1)</f>
        <v>3103.7506016073085</v>
      </c>
      <c r="I13" s="11">
        <f ca="1">SUMIFS('monthly calculations (1)'!$L$6:$L$365,'monthly calculations (1)'!$C$6:$C$365,'output table (1)'!$B13,'monthly calculations (1)'!$AM$6:$AM$365, 1)</f>
        <v>12187.23433281329</v>
      </c>
      <c r="J13" s="11">
        <f ca="1">SUMIFS('monthly calculations (1)'!$N$6:$N$365,'monthly calculations (1)'!$C$6:$C$365,'output table (1)'!$B13,'monthly calculations (1)'!$AM$6:$AM$365, 1)</f>
        <v>2437.4468665626582</v>
      </c>
      <c r="K13" s="91">
        <f t="shared" ca="1" si="2"/>
        <v>52.500000000000007</v>
      </c>
      <c r="L13" s="33">
        <f t="shared" ca="1" si="2"/>
        <v>2.3274999999999997</v>
      </c>
      <c r="M13" s="33">
        <f t="shared" ca="1" si="3"/>
        <v>22.000000000000004</v>
      </c>
      <c r="N13" s="94">
        <f ca="1">SUMIFS('monthly calculations (1)'!$U$6:$U$365,'monthly calculations (1)'!$C$6:$C$365,'output table (1)'!$B13,'monthly calculations (1)'!$AM$6:$AM$365, 1)</f>
        <v>162946.90658438372</v>
      </c>
      <c r="O13" s="11">
        <f ca="1">SUMIFS('monthly calculations (1)'!$V$6:$V$365,'monthly calculations (1)'!$C$6:$C$365,'output table (1)'!$B13,'monthly calculations (1)'!$AM$6:$AM$365, 1)</f>
        <v>28365.78790962293</v>
      </c>
      <c r="P13" s="94">
        <f t="shared" ca="1" si="0"/>
        <v>191312.69449400663</v>
      </c>
      <c r="Q13" s="11">
        <f ca="1">SUMIFS('monthly calculations (1)'!$W$6:$W$365,'monthly calculations (1)'!$C$6:$C$365,'output table (1)'!$B13,'monthly calculations (1)'!$AM$6:$AM$365, 1)</f>
        <v>53623.831064378486</v>
      </c>
      <c r="R13" s="11">
        <f ca="1">SUMIFS('monthly calculations (1)'!$AA$6:$AA$365,'monthly calculations (1)'!$C$6:$C$365,'output table (1)'!$B13,'monthly calculations (1)'!$AM$6:$AM$365, 1)</f>
        <v>72000</v>
      </c>
      <c r="S13" s="11">
        <f ca="1">SUMIFS('monthly calculations (1)'!$AE$6:$AE$365,'monthly calculations (1)'!$C$6:$C$365,'output table (1)'!$B13,'monthly calculations (1)'!$AM$6:$AM$365, 1)</f>
        <v>1514.4669438655972</v>
      </c>
      <c r="T13" s="94">
        <f t="shared" ca="1" si="1"/>
        <v>73514.466943865598</v>
      </c>
      <c r="U13" s="11">
        <f ca="1">SUMIF('monthly calculations (1)'!$C$6:$C$365,'output table (1)'!$B13,'monthly calculations (1)'!AH11:AH370)</f>
        <v>0</v>
      </c>
      <c r="V13" s="11">
        <f ca="1">SUMIFS('monthly calculations (1)'!$AK$6:$AK$365,'monthly calculations (1)'!$C$6:$C$365,'output table (1)'!$B13,'monthly calculations (1)'!$AM$6:$AM$365, 1)</f>
        <v>19768.19226489139</v>
      </c>
      <c r="W13" s="94">
        <f ca="1">SUMIFS('monthly calculations (1)'!$AL$6:$AL$365,'monthly calculations (1)'!$C$6:$C$365,'output table (1)'!$B13,'monthly calculations (1)'!$AM$6:$AM$365, 1)</f>
        <v>151653.86634962817</v>
      </c>
      <c r="X13" s="11">
        <f ca="1">OFFSET('monthly calculations (1)'!$AO$5,             MATCH(DATE($B13,12,1),   'monthly calculations (1)'!$B$6:$B$365,  0),                  0)</f>
        <v>1589403.8346186168</v>
      </c>
      <c r="Y13" s="11">
        <f ca="1">OFFSET('monthly calculations (1)'!$AQ$5,             MATCH(DATE($B13,12,1),   'monthly calculations (1)'!$B$6:$B$365,  0),                  0)</f>
        <v>1278541.2965025562</v>
      </c>
    </row>
    <row r="14" spans="2:25" x14ac:dyDescent="0.25">
      <c r="B14" s="77">
        <f t="shared" si="4"/>
        <v>2027</v>
      </c>
      <c r="C14" s="138">
        <f ca="1">IFERROR(AVERAGEIFS('monthly calculations (1)'!$D$6:$D$365,'monthly calculations (1)'!$C$6:$C$365,'output table (1)'!$B14,'monthly calculations (1)'!$AM$6:$AM$365, 1),0)</f>
        <v>1</v>
      </c>
      <c r="D14" s="94">
        <f ca="1">SUMIFS('monthly calculations (1)'!$E$6:$E$365,'monthly calculations (1)'!$C$6:$C$365,'output table (1)'!$B14,'monthly calculations (1)'!$AM$6:$AM$365, 1)</f>
        <v>3698.009973942761</v>
      </c>
      <c r="E14" s="11">
        <f ca="1">SUMIFS('monthly calculations (1)'!$F$6:$F$365,'monthly calculations (1)'!$C$6:$C$365,'output table (1)'!$B14,'monthly calculations (1)'!$AM$6:$AM$365, 1)</f>
        <v>19654.295806466347</v>
      </c>
      <c r="F14" s="11">
        <f ca="1">SUMIFS('monthly calculations (1)'!$G$6:$G$365,'monthly calculations (1)'!$C$6:$C$365,'output table (1)'!$B14,'monthly calculations (1)'!$AM$6:$AM$365, 1)</f>
        <v>495.77482894465845</v>
      </c>
      <c r="G14" s="11">
        <f ca="1">SUMIFS('monthly calculations (1)'!$H$6:$H$365,'monthly calculations (1)'!$C$6:$C$365,'output table (1)'!$B14,'monthly calculations (1)'!$AM$6:$AM$365, 1)</f>
        <v>2948.1443709699511</v>
      </c>
      <c r="H14" s="11">
        <f ca="1">SUMIFS('monthly calculations (1)'!$K$6:$K$365,'monthly calculations (1)'!$C$6:$C$365,'output table (1)'!$B14,'monthly calculations (1)'!$AM$6:$AM$365, 1)</f>
        <v>2773.5074804570704</v>
      </c>
      <c r="I14" s="11">
        <f ca="1">SUMIFS('monthly calculations (1)'!$L$6:$L$365,'monthly calculations (1)'!$C$6:$C$365,'output table (1)'!$B14,'monthly calculations (1)'!$AM$6:$AM$365, 1)</f>
        <v>11055.54139113732</v>
      </c>
      <c r="J14" s="11">
        <f ca="1">SUMIFS('monthly calculations (1)'!$N$6:$N$365,'monthly calculations (1)'!$C$6:$C$365,'output table (1)'!$B14,'monthly calculations (1)'!$AM$6:$AM$365, 1)</f>
        <v>2211.1082782274639</v>
      </c>
      <c r="K14" s="91">
        <f t="shared" ca="1" si="2"/>
        <v>52.5</v>
      </c>
      <c r="L14" s="33">
        <f t="shared" ca="1" si="2"/>
        <v>2.3274999999999997</v>
      </c>
      <c r="M14" s="33">
        <f t="shared" ca="1" si="3"/>
        <v>21.999999999999996</v>
      </c>
      <c r="N14" s="94">
        <f ca="1">SUMIFS('monthly calculations (1)'!$U$6:$U$365,'monthly calculations (1)'!$C$6:$C$365,'output table (1)'!$B14,'monthly calculations (1)'!$AM$6:$AM$365, 1)</f>
        <v>145609.14272399619</v>
      </c>
      <c r="O14" s="11">
        <f ca="1">SUMIFS('monthly calculations (1)'!$V$6:$V$365,'monthly calculations (1)'!$C$6:$C$365,'output table (1)'!$B14,'monthly calculations (1)'!$AM$6:$AM$365, 1)</f>
        <v>25731.77258787211</v>
      </c>
      <c r="P14" s="94">
        <f t="shared" ca="1" si="0"/>
        <v>171340.9153118683</v>
      </c>
      <c r="Q14" s="11">
        <f ca="1">SUMIFS('monthly calculations (1)'!$W$6:$W$365,'monthly calculations (1)'!$C$6:$C$365,'output table (1)'!$B14,'monthly calculations (1)'!$AM$6:$AM$365, 1)</f>
        <v>48644.382121004201</v>
      </c>
      <c r="R14" s="11">
        <f ca="1">SUMIFS('monthly calculations (1)'!$AA$6:$AA$365,'monthly calculations (1)'!$C$6:$C$365,'output table (1)'!$B14,'monthly calculations (1)'!$AM$6:$AM$365, 1)</f>
        <v>72000</v>
      </c>
      <c r="S14" s="11">
        <f ca="1">SUMIFS('monthly calculations (1)'!$AE$6:$AE$365,'monthly calculations (1)'!$C$6:$C$365,'output table (1)'!$B14,'monthly calculations (1)'!$AM$6:$AM$365, 1)</f>
        <v>991.5496578893169</v>
      </c>
      <c r="T14" s="94">
        <f t="shared" ca="1" si="1"/>
        <v>72991.549657889322</v>
      </c>
      <c r="U14" s="11">
        <f ca="1">SUMIF('monthly calculations (1)'!$C$6:$C$365,'output table (1)'!$B14,'monthly calculations (1)'!AH12:AH371)</f>
        <v>0</v>
      </c>
      <c r="V14" s="11">
        <f ca="1">SUMIFS('monthly calculations (1)'!$AK$6:$AK$365,'monthly calculations (1)'!$C$6:$C$365,'output table (1)'!$B14,'monthly calculations (1)'!$AM$6:$AM$365, 1)</f>
        <v>17775.864604291361</v>
      </c>
      <c r="W14" s="94">
        <f ca="1">SUMIFS('monthly calculations (1)'!$AL$6:$AL$365,'monthly calculations (1)'!$C$6:$C$365,'output table (1)'!$B14,'monthly calculations (1)'!$AM$6:$AM$365, 1)</f>
        <v>129217.88317069183</v>
      </c>
      <c r="X14" s="11">
        <f ca="1">OFFSET('monthly calculations (1)'!$AO$5,             MATCH(DATE($B14,12,1),   'monthly calculations (1)'!$B$6:$B$365,  0),                  0)</f>
        <v>1718621.7177893084</v>
      </c>
      <c r="Y14" s="11">
        <f ca="1">OFFSET('monthly calculations (1)'!$AQ$5,             MATCH(DATE($B14,12,1),   'monthly calculations (1)'!$B$6:$B$365,  0),                  0)</f>
        <v>1346554.2598921449</v>
      </c>
    </row>
    <row r="15" spans="2:25" x14ac:dyDescent="0.25">
      <c r="B15" s="77">
        <f t="shared" si="4"/>
        <v>2028</v>
      </c>
      <c r="C15" s="138">
        <f ca="1">IFERROR(AVERAGEIFS('monthly calculations (1)'!$D$6:$D$365,'monthly calculations (1)'!$C$6:$C$365,'output table (1)'!$B15,'monthly calculations (1)'!$AM$6:$AM$365, 1),0)</f>
        <v>1</v>
      </c>
      <c r="D15" s="94">
        <f ca="1">SUMIFS('monthly calculations (1)'!$E$6:$E$365,'monthly calculations (1)'!$C$6:$C$365,'output table (1)'!$B15,'monthly calculations (1)'!$AM$6:$AM$365, 1)</f>
        <v>3351.2056917338541</v>
      </c>
      <c r="E15" s="11">
        <f ca="1">SUMIFS('monthly calculations (1)'!$F$6:$F$365,'monthly calculations (1)'!$C$6:$C$365,'output table (1)'!$B15,'monthly calculations (1)'!$AM$6:$AM$365, 1)</f>
        <v>18031.893186653411</v>
      </c>
      <c r="F15" s="11">
        <f ca="1">SUMIFS('monthly calculations (1)'!$G$6:$G$365,'monthly calculations (1)'!$C$6:$C$365,'output table (1)'!$B15,'monthly calculations (1)'!$AM$6:$AM$365, 1)</f>
        <v>325.61452113453345</v>
      </c>
      <c r="G15" s="11">
        <f ca="1">SUMIFS('monthly calculations (1)'!$H$6:$H$365,'monthly calculations (1)'!$C$6:$C$365,'output table (1)'!$B15,'monthly calculations (1)'!$AM$6:$AM$365, 1)</f>
        <v>2704.7839779980122</v>
      </c>
      <c r="H15" s="11">
        <f ca="1">SUMIFS('monthly calculations (1)'!$K$6:$K$365,'monthly calculations (1)'!$C$6:$C$365,'output table (1)'!$B15,'monthly calculations (1)'!$AM$6:$AM$365, 1)</f>
        <v>2513.4042688003906</v>
      </c>
      <c r="I15" s="11">
        <f ca="1">SUMIFS('monthly calculations (1)'!$L$6:$L$365,'monthly calculations (1)'!$C$6:$C$365,'output table (1)'!$B15,'monthly calculations (1)'!$AM$6:$AM$365, 1)</f>
        <v>10142.939917492546</v>
      </c>
      <c r="J15" s="11">
        <f ca="1">SUMIFS('monthly calculations (1)'!$N$6:$N$365,'monthly calculations (1)'!$C$6:$C$365,'output table (1)'!$B15,'monthly calculations (1)'!$AM$6:$AM$365, 1)</f>
        <v>2028.5879834985092</v>
      </c>
      <c r="K15" s="91">
        <f t="shared" ca="1" si="2"/>
        <v>52.5</v>
      </c>
      <c r="L15" s="33">
        <f t="shared" ca="1" si="2"/>
        <v>2.3275000000000001</v>
      </c>
      <c r="M15" s="33">
        <f t="shared" ca="1" si="3"/>
        <v>21.999999999999996</v>
      </c>
      <c r="N15" s="94">
        <f ca="1">SUMIFS('monthly calculations (1)'!$U$6:$U$365,'monthly calculations (1)'!$C$6:$C$365,'output table (1)'!$B15,'monthly calculations (1)'!$AM$6:$AM$365, 1)</f>
        <v>131953.72411202051</v>
      </c>
      <c r="O15" s="11">
        <f ca="1">SUMIFS('monthly calculations (1)'!$V$6:$V$365,'monthly calculations (1)'!$C$6:$C$365,'output table (1)'!$B15,'monthly calculations (1)'!$AM$6:$AM$365, 1)</f>
        <v>23607.6926579639</v>
      </c>
      <c r="P15" s="94">
        <f t="shared" ca="1" si="0"/>
        <v>155561.41676998441</v>
      </c>
      <c r="Q15" s="11">
        <f ca="1">SUMIFS('monthly calculations (1)'!$W$6:$W$365,'monthly calculations (1)'!$C$6:$C$365,'output table (1)'!$B15,'monthly calculations (1)'!$AM$6:$AM$365, 1)</f>
        <v>44628.935636967195</v>
      </c>
      <c r="R15" s="11">
        <f ca="1">SUMIFS('monthly calculations (1)'!$AA$6:$AA$365,'monthly calculations (1)'!$C$6:$C$365,'output table (1)'!$B15,'monthly calculations (1)'!$AM$6:$AM$365, 1)</f>
        <v>72000</v>
      </c>
      <c r="S15" s="11">
        <f ca="1">SUMIFS('monthly calculations (1)'!$AE$6:$AE$365,'monthly calculations (1)'!$C$6:$C$365,'output table (1)'!$B15,'monthly calculations (1)'!$AM$6:$AM$365, 1)</f>
        <v>651.22904226906689</v>
      </c>
      <c r="T15" s="94">
        <f t="shared" ca="1" si="1"/>
        <v>72651.229042269071</v>
      </c>
      <c r="U15" s="11">
        <f ca="1">SUMIF('monthly calculations (1)'!$C$6:$C$365,'output table (1)'!$B15,'monthly calculations (1)'!AH13:AH372)</f>
        <v>0</v>
      </c>
      <c r="V15" s="11">
        <f ca="1">SUMIFS('monthly calculations (1)'!$AK$6:$AK$365,'monthly calculations (1)'!$C$6:$C$365,'output table (1)'!$B15,'monthly calculations (1)'!$AM$6:$AM$365, 1)</f>
        <v>16192.377241446567</v>
      </c>
      <c r="W15" s="94">
        <f ca="1">SUMIFS('monthly calculations (1)'!$AL$6:$AL$365,'monthly calculations (1)'!$C$6:$C$365,'output table (1)'!$B15,'monthly calculations (1)'!$AM$6:$AM$365, 1)</f>
        <v>111346.74612323595</v>
      </c>
      <c r="X15" s="11">
        <f ca="1">OFFSET('monthly calculations (1)'!$AO$5,             MATCH(DATE($B15,12,1),   'monthly calculations (1)'!$B$6:$B$365,  0),                  0)</f>
        <v>1829968.4639125443</v>
      </c>
      <c r="Y15" s="11">
        <f ca="1">OFFSET('monthly calculations (1)'!$AQ$5,             MATCH(DATE($B15,12,1),   'monthly calculations (1)'!$B$6:$B$365,  0),                  0)</f>
        <v>1399611.356627451</v>
      </c>
    </row>
    <row r="16" spans="2:25" x14ac:dyDescent="0.25">
      <c r="B16" s="77">
        <f t="shared" si="4"/>
        <v>2029</v>
      </c>
      <c r="C16" s="138">
        <f ca="1">IFERROR(AVERAGEIFS('monthly calculations (1)'!$D$6:$D$365,'monthly calculations (1)'!$C$6:$C$365,'output table (1)'!$B16,'monthly calculations (1)'!$AM$6:$AM$365, 1),0)</f>
        <v>1</v>
      </c>
      <c r="D16" s="94">
        <f ca="1">SUMIFS('monthly calculations (1)'!$E$6:$E$365,'monthly calculations (1)'!$C$6:$C$365,'output table (1)'!$B16,'monthly calculations (1)'!$AM$6:$AM$365, 1)</f>
        <v>3048.5585953066889</v>
      </c>
      <c r="E16" s="11">
        <f ca="1">SUMIFS('monthly calculations (1)'!$F$6:$F$365,'monthly calculations (1)'!$C$6:$C$365,'output table (1)'!$B16,'monthly calculations (1)'!$AM$6:$AM$365, 1)</f>
        <v>16572.786475641162</v>
      </c>
      <c r="F16" s="11">
        <f ca="1">SUMIFS('monthly calculations (1)'!$G$6:$G$365,'monthly calculations (1)'!$C$6:$C$365,'output table (1)'!$B16,'monthly calculations (1)'!$AM$6:$AM$365, 1)</f>
        <v>212.84190493297433</v>
      </c>
      <c r="G16" s="11">
        <f ca="1">SUMIFS('monthly calculations (1)'!$H$6:$H$365,'monthly calculations (1)'!$C$6:$C$365,'output table (1)'!$B16,'monthly calculations (1)'!$AM$6:$AM$365, 1)</f>
        <v>2485.9179713461745</v>
      </c>
      <c r="H16" s="11">
        <f ca="1">SUMIFS('monthly calculations (1)'!$K$6:$K$365,'monthly calculations (1)'!$C$6:$C$365,'output table (1)'!$B16,'monthly calculations (1)'!$AM$6:$AM$365, 1)</f>
        <v>2286.418946480017</v>
      </c>
      <c r="I16" s="11">
        <f ca="1">SUMIFS('monthly calculations (1)'!$L$6:$L$365,'monthly calculations (1)'!$C$6:$C$365,'output table (1)'!$B16,'monthly calculations (1)'!$AM$6:$AM$365, 1)</f>
        <v>9322.1923925481533</v>
      </c>
      <c r="J16" s="11">
        <f ca="1">SUMIFS('monthly calculations (1)'!$N$6:$N$365,'monthly calculations (1)'!$C$6:$C$365,'output table (1)'!$B16,'monthly calculations (1)'!$AM$6:$AM$365, 1)</f>
        <v>1864.4384785096306</v>
      </c>
      <c r="K16" s="91">
        <f t="shared" ca="1" si="2"/>
        <v>52.499999999999986</v>
      </c>
      <c r="L16" s="33">
        <f t="shared" ca="1" si="2"/>
        <v>2.3275000000000001</v>
      </c>
      <c r="M16" s="33">
        <f t="shared" ca="1" si="3"/>
        <v>22</v>
      </c>
      <c r="N16" s="94">
        <f ca="1">SUMIFS('monthly calculations (1)'!$U$6:$U$365,'monthly calculations (1)'!$C$6:$C$365,'output table (1)'!$B16,'monthly calculations (1)'!$AM$6:$AM$365, 1)</f>
        <v>120036.99469020087</v>
      </c>
      <c r="O16" s="11">
        <f ca="1">SUMIFS('monthly calculations (1)'!$V$6:$V$365,'monthly calculations (1)'!$C$6:$C$365,'output table (1)'!$B16,'monthly calculations (1)'!$AM$6:$AM$365, 1)</f>
        <v>21697.402793655827</v>
      </c>
      <c r="P16" s="94">
        <f t="shared" ca="1" si="0"/>
        <v>141734.39748385671</v>
      </c>
      <c r="Q16" s="11">
        <f ca="1">SUMIFS('monthly calculations (1)'!$W$6:$W$365,'monthly calculations (1)'!$C$6:$C$365,'output table (1)'!$B16,'monthly calculations (1)'!$AM$6:$AM$365, 1)</f>
        <v>41017.646527211873</v>
      </c>
      <c r="R16" s="11">
        <f ca="1">SUMIFS('monthly calculations (1)'!$AA$6:$AA$365,'monthly calculations (1)'!$C$6:$C$365,'output table (1)'!$B16,'monthly calculations (1)'!$AM$6:$AM$365, 1)</f>
        <v>72000</v>
      </c>
      <c r="S16" s="11">
        <f ca="1">SUMIFS('monthly calculations (1)'!$AE$6:$AE$365,'monthly calculations (1)'!$C$6:$C$365,'output table (1)'!$B16,'monthly calculations (1)'!$AM$6:$AM$365, 1)</f>
        <v>425.68380986594866</v>
      </c>
      <c r="T16" s="94">
        <f t="shared" ca="1" si="1"/>
        <v>72425.68380986595</v>
      </c>
      <c r="U16" s="11">
        <f ca="1">SUMIF('monthly calculations (1)'!$C$6:$C$365,'output table (1)'!$B16,'monthly calculations (1)'!AH14:AH373)</f>
        <v>0</v>
      </c>
      <c r="V16" s="11">
        <f ca="1">SUMIFS('monthly calculations (1)'!$AK$6:$AK$365,'monthly calculations (1)'!$C$6:$C$365,'output table (1)'!$B16,'monthly calculations (1)'!$AM$6:$AM$365, 1)</f>
        <v>14794.131555091033</v>
      </c>
      <c r="W16" s="94">
        <f ca="1">SUMIFS('monthly calculations (1)'!$AL$6:$AL$365,'monthly calculations (1)'!$C$6:$C$365,'output table (1)'!$B16,'monthly calculations (1)'!$AM$6:$AM$365, 1)</f>
        <v>95532.228646111587</v>
      </c>
      <c r="X16" s="11">
        <f ca="1">OFFSET('monthly calculations (1)'!$AO$5,             MATCH(DATE($B16,12,1),   'monthly calculations (1)'!$B$6:$B$365,  0),                  0)</f>
        <v>1925500.692558656</v>
      </c>
      <c r="Y16" s="11">
        <f ca="1">OFFSET('monthly calculations (1)'!$AQ$5,             MATCH(DATE($B16,12,1),   'monthly calculations (1)'!$B$6:$B$365,  0),                  0)</f>
        <v>1440808.5611446546</v>
      </c>
    </row>
    <row r="17" spans="2:25" s="76" customFormat="1" ht="23.25" customHeight="1" x14ac:dyDescent="0.25">
      <c r="B17" s="78">
        <f t="shared" si="4"/>
        <v>2030</v>
      </c>
      <c r="C17" s="139">
        <f ca="1">IFERROR(AVERAGEIFS('monthly calculations (1)'!$D$6:$D$365,'monthly calculations (1)'!$C$6:$C$365,'output table (1)'!$B17,'monthly calculations (1)'!$AM$6:$AM$365, 1),0)</f>
        <v>1</v>
      </c>
      <c r="D17" s="137">
        <f ca="1">SUMIFS('monthly calculations (1)'!$E$6:$E$365,'monthly calculations (1)'!$C$6:$C$365,'output table (1)'!$B17,'monthly calculations (1)'!$AM$6:$AM$365, 1)</f>
        <v>2800.3953124860705</v>
      </c>
      <c r="E17" s="134">
        <f ca="1">SUMIFS('monthly calculations (1)'!$F$6:$F$365,'monthly calculations (1)'!$C$6:$C$365,'output table (1)'!$B17,'monthly calculations (1)'!$AM$6:$AM$365, 1)</f>
        <v>15369.717260458674</v>
      </c>
      <c r="F17" s="134">
        <f ca="1">SUMIFS('monthly calculations (1)'!$G$6:$G$365,'monthly calculations (1)'!$C$6:$C$365,'output table (1)'!$B17,'monthly calculations (1)'!$AM$6:$AM$365, 1)</f>
        <v>139.72503236109711</v>
      </c>
      <c r="G17" s="134">
        <f ca="1">SUMIFS('monthly calculations (1)'!$H$6:$H$365,'monthly calculations (1)'!$C$6:$C$365,'output table (1)'!$B17,'monthly calculations (1)'!$AM$6:$AM$365, 1)</f>
        <v>2305.4575890688011</v>
      </c>
      <c r="H17" s="134">
        <f ca="1">SUMIFS('monthly calculations (1)'!$K$6:$K$365,'monthly calculations (1)'!$C$6:$C$365,'output table (1)'!$B17,'monthly calculations (1)'!$AM$6:$AM$365, 1)</f>
        <v>2100.2964843645532</v>
      </c>
      <c r="I17" s="134">
        <f ca="1">SUMIFS('monthly calculations (1)'!$L$6:$L$365,'monthly calculations (1)'!$C$6:$C$365,'output table (1)'!$B17,'monthly calculations (1)'!$AM$6:$AM$365, 1)</f>
        <v>8645.4659590080064</v>
      </c>
      <c r="J17" s="134">
        <f ca="1">SUMIFS('monthly calculations (1)'!$N$6:$N$365,'monthly calculations (1)'!$C$6:$C$365,'output table (1)'!$B17,'monthly calculations (1)'!$AM$6:$AM$365, 1)</f>
        <v>1729.0931918016013</v>
      </c>
      <c r="K17" s="135">
        <f t="shared" ca="1" si="2"/>
        <v>52.5</v>
      </c>
      <c r="L17" s="136">
        <f t="shared" ca="1" si="2"/>
        <v>2.3274999999999997</v>
      </c>
      <c r="M17" s="136">
        <f t="shared" ca="1" si="3"/>
        <v>21.999999999999996</v>
      </c>
      <c r="N17" s="137">
        <f ca="1">SUMIFS('monthly calculations (1)'!$U$6:$U$365,'monthly calculations (1)'!$C$6:$C$365,'output table (1)'!$B17,'monthly calculations (1)'!$AM$6:$AM$365, 1)</f>
        <v>110265.56542913904</v>
      </c>
      <c r="O17" s="134">
        <f ca="1">SUMIFS('monthly calculations (1)'!$V$6:$V$365,'monthly calculations (1)'!$C$6:$C$365,'output table (1)'!$B17,'monthly calculations (1)'!$AM$6:$AM$365, 1)</f>
        <v>20122.322019591131</v>
      </c>
      <c r="P17" s="137">
        <f t="shared" ca="1" si="0"/>
        <v>130387.88744873017</v>
      </c>
      <c r="Q17" s="134">
        <f ca="1">SUMIFS('monthly calculations (1)'!$W$6:$W$365,'monthly calculations (1)'!$C$6:$C$365,'output table (1)'!$B17,'monthly calculations (1)'!$AM$6:$AM$365, 1)</f>
        <v>38040.050219635224</v>
      </c>
      <c r="R17" s="134">
        <f ca="1">SUMIFS('monthly calculations (1)'!$AA$6:$AA$365,'monthly calculations (1)'!$C$6:$C$365,'output table (1)'!$B17,'monthly calculations (1)'!$AM$6:$AM$365, 1)</f>
        <v>72000</v>
      </c>
      <c r="S17" s="134">
        <f ca="1">SUMIFS('monthly calculations (1)'!$AE$6:$AE$365,'monthly calculations (1)'!$C$6:$C$365,'output table (1)'!$B17,'monthly calculations (1)'!$AM$6:$AM$365, 1)</f>
        <v>279.45006472219421</v>
      </c>
      <c r="T17" s="137">
        <f t="shared" ca="1" si="1"/>
        <v>72279.450064722201</v>
      </c>
      <c r="U17" s="134">
        <f ca="1">SUMIF('monthly calculations (1)'!$C$6:$C$365,'output table (1)'!$B17,'monthly calculations (1)'!AH15:AH374)</f>
        <v>0</v>
      </c>
      <c r="V17" s="134">
        <f ca="1">SUMIFS('monthly calculations (1)'!$AK$6:$AK$365,'monthly calculations (1)'!$C$6:$C$365,'output table (1)'!$B17,'monthly calculations (1)'!$AM$6:$AM$365, 1)</f>
        <v>13645.092369391507</v>
      </c>
      <c r="W17" s="137">
        <f ca="1">SUMIFS('monthly calculations (1)'!$AL$6:$AL$365,'monthly calculations (1)'!$C$6:$C$365,'output table (1)'!$B17,'monthly calculations (1)'!$AM$6:$AM$365, 1)</f>
        <v>82503.3952342517</v>
      </c>
      <c r="X17" s="134">
        <f ca="1">OFFSET('monthly calculations (1)'!$AO$5,             MATCH(DATE($B17,12,1),   'monthly calculations (1)'!$B$6:$B$365,  0),                  0)</f>
        <v>2008004.0877929081</v>
      </c>
      <c r="Y17" s="134">
        <f ca="1">OFFSET('monthly calculations (1)'!$AQ$5,             MATCH(DATE($B17,12,1),   'monthly calculations (1)'!$B$6:$B$365,  0),                  0)</f>
        <v>1473014.3756198734</v>
      </c>
    </row>
    <row r="18" spans="2:25" x14ac:dyDescent="0.25">
      <c r="B18" s="77">
        <f t="shared" si="4"/>
        <v>2031</v>
      </c>
      <c r="C18" s="138">
        <f ca="1">IFERROR(AVERAGEIFS('monthly calculations (1)'!$D$6:$D$365,'monthly calculations (1)'!$C$6:$C$365,'output table (1)'!$B18,'monthly calculations (1)'!$AM$6:$AM$365, 1),0)</f>
        <v>1</v>
      </c>
      <c r="D18" s="94">
        <f ca="1">SUMIFS('monthly calculations (1)'!$E$6:$E$365,'monthly calculations (1)'!$C$6:$C$365,'output table (1)'!$B18,'monthly calculations (1)'!$AM$6:$AM$365, 1)</f>
        <v>2576.3629485409579</v>
      </c>
      <c r="E18" s="11">
        <f ca="1">SUMIFS('monthly calculations (1)'!$F$6:$F$365,'monthly calculations (1)'!$C$6:$C$365,'output table (1)'!$B18,'monthly calculations (1)'!$AM$6:$AM$365, 1)</f>
        <v>14329.556934969365</v>
      </c>
      <c r="F18" s="11">
        <f ca="1">SUMIFS('monthly calculations (1)'!$G$6:$G$365,'monthly calculations (1)'!$C$6:$C$365,'output table (1)'!$B18,'monthly calculations (1)'!$AM$6:$AM$365, 1)</f>
        <v>91.806866168235857</v>
      </c>
      <c r="G18" s="11">
        <f ca="1">SUMIFS('monthly calculations (1)'!$H$6:$H$365,'monthly calculations (1)'!$C$6:$C$365,'output table (1)'!$B18,'monthly calculations (1)'!$AM$6:$AM$365, 1)</f>
        <v>2149.4335402454039</v>
      </c>
      <c r="H18" s="11">
        <f ca="1">SUMIFS('monthly calculations (1)'!$K$6:$K$365,'monthly calculations (1)'!$C$6:$C$365,'output table (1)'!$B18,'monthly calculations (1)'!$AM$6:$AM$365, 1)</f>
        <v>1932.2722114057178</v>
      </c>
      <c r="I18" s="11">
        <f ca="1">SUMIFS('monthly calculations (1)'!$L$6:$L$365,'monthly calculations (1)'!$C$6:$C$365,'output table (1)'!$B18,'monthly calculations (1)'!$AM$6:$AM$365, 1)</f>
        <v>8060.3757759202654</v>
      </c>
      <c r="J18" s="11">
        <f ca="1">SUMIFS('monthly calculations (1)'!$N$6:$N$365,'monthly calculations (1)'!$C$6:$C$365,'output table (1)'!$B18,'monthly calculations (1)'!$AM$6:$AM$365, 1)</f>
        <v>1612.0751551840535</v>
      </c>
      <c r="K18" s="91">
        <f t="shared" ca="1" si="2"/>
        <v>52.5</v>
      </c>
      <c r="L18" s="33">
        <f t="shared" ca="1" si="2"/>
        <v>2.3275000000000006</v>
      </c>
      <c r="M18" s="33">
        <f t="shared" ca="1" si="3"/>
        <v>21.999999999999996</v>
      </c>
      <c r="N18" s="94">
        <f ca="1">SUMIFS('monthly calculations (1)'!$U$6:$U$365,'monthly calculations (1)'!$C$6:$C$365,'output table (1)'!$B18,'monthly calculations (1)'!$AM$6:$AM$365, 1)</f>
        <v>101444.29109880018</v>
      </c>
      <c r="O18" s="11">
        <f ca="1">SUMIFS('monthly calculations (1)'!$V$6:$V$365,'monthly calculations (1)'!$C$6:$C$365,'output table (1)'!$B18,'monthly calculations (1)'!$AM$6:$AM$365, 1)</f>
        <v>18760.524618454423</v>
      </c>
      <c r="P18" s="94">
        <f t="shared" ca="1" si="0"/>
        <v>120204.81571725461</v>
      </c>
      <c r="Q18" s="11">
        <f ca="1">SUMIFS('monthly calculations (1)'!$W$6:$W$365,'monthly calculations (1)'!$C$6:$C$365,'output table (1)'!$B18,'monthly calculations (1)'!$AM$6:$AM$365, 1)</f>
        <v>35465.653414049171</v>
      </c>
      <c r="R18" s="11">
        <f ca="1">SUMIFS('monthly calculations (1)'!$AA$6:$AA$365,'monthly calculations (1)'!$C$6:$C$365,'output table (1)'!$B18,'monthly calculations (1)'!$AM$6:$AM$365, 1)</f>
        <v>72000</v>
      </c>
      <c r="S18" s="11">
        <f ca="1">SUMIFS('monthly calculations (1)'!$AE$6:$AE$365,'monthly calculations (1)'!$C$6:$C$365,'output table (1)'!$B18,'monthly calculations (1)'!$AM$6:$AM$365, 1)</f>
        <v>183.61373233647171</v>
      </c>
      <c r="T18" s="94">
        <f t="shared" ca="1" si="1"/>
        <v>72183.613732336467</v>
      </c>
      <c r="U18" s="11">
        <f ca="1">SUMIF('monthly calculations (1)'!$C$6:$C$365,'output table (1)'!$B18,'monthly calculations (1)'!AH16:AH375)</f>
        <v>0</v>
      </c>
      <c r="V18" s="11">
        <f ca="1">SUMIFS('monthly calculations (1)'!$AK$6:$AK$365,'monthly calculations (1)'!$C$6:$C$365,'output table (1)'!$B18,'monthly calculations (1)'!$AM$6:$AM$365, 1)</f>
        <v>12625.162471265174</v>
      </c>
      <c r="W18" s="94">
        <f ca="1">SUMIFS('monthly calculations (1)'!$AL$6:$AL$365,'monthly calculations (1)'!$C$6:$C$365,'output table (1)'!$B18,'monthly calculations (1)'!$AM$6:$AM$365, 1)</f>
        <v>70861.692927702155</v>
      </c>
      <c r="X18" s="11">
        <f ca="1">OFFSET('monthly calculations (1)'!$AO$5,             MATCH(DATE($B18,12,1),   'monthly calculations (1)'!$B$6:$B$365,  0),                  0)</f>
        <v>2078865.7807206104</v>
      </c>
      <c r="Y18" s="11">
        <f ca="1">OFFSET('monthly calculations (1)'!$AQ$5,             MATCH(DATE($B18,12,1),   'monthly calculations (1)'!$B$6:$B$365,  0),                  0)</f>
        <v>1498054.7284267056</v>
      </c>
    </row>
    <row r="19" spans="2:25" x14ac:dyDescent="0.25">
      <c r="B19" s="77">
        <f t="shared" si="4"/>
        <v>2032</v>
      </c>
      <c r="C19" s="138">
        <f ca="1">IFERROR(AVERAGEIFS('monthly calculations (1)'!$D$6:$D$365,'monthly calculations (1)'!$C$6:$C$365,'output table (1)'!$B19,'monthly calculations (1)'!$AM$6:$AM$365, 1),0)</f>
        <v>1</v>
      </c>
      <c r="D19" s="94">
        <f ca="1">SUMIFS('monthly calculations (1)'!$E$6:$E$365,'monthly calculations (1)'!$C$6:$C$365,'output table (1)'!$B19,'monthly calculations (1)'!$AM$6:$AM$365, 1)</f>
        <v>2376.5003704941682</v>
      </c>
      <c r="E19" s="11">
        <f ca="1">SUMIFS('monthly calculations (1)'!$F$6:$F$365,'monthly calculations (1)'!$C$6:$C$365,'output table (1)'!$B19,'monthly calculations (1)'!$AM$6:$AM$365, 1)</f>
        <v>13457.653819367006</v>
      </c>
      <c r="F19" s="11">
        <f ca="1">SUMIFS('monthly calculations (1)'!$G$6:$G$365,'monthly calculations (1)'!$C$6:$C$365,'output table (1)'!$B19,'monthly calculations (1)'!$AM$6:$AM$365, 1)</f>
        <v>60.511209580044522</v>
      </c>
      <c r="G19" s="11">
        <f ca="1">SUMIFS('monthly calculations (1)'!$H$6:$H$365,'monthly calculations (1)'!$C$6:$C$365,'output table (1)'!$B19,'monthly calculations (1)'!$AM$6:$AM$365, 1)</f>
        <v>2018.6480729050509</v>
      </c>
      <c r="H19" s="11">
        <f ca="1">SUMIFS('monthly calculations (1)'!$K$6:$K$365,'monthly calculations (1)'!$C$6:$C$365,'output table (1)'!$B19,'monthly calculations (1)'!$AM$6:$AM$365, 1)</f>
        <v>1782.3752778706262</v>
      </c>
      <c r="I19" s="11">
        <f ca="1">SUMIFS('monthly calculations (1)'!$L$6:$L$365,'monthly calculations (1)'!$C$6:$C$365,'output table (1)'!$B19,'monthly calculations (1)'!$AM$6:$AM$365, 1)</f>
        <v>7569.9302733939403</v>
      </c>
      <c r="J19" s="11">
        <f ca="1">SUMIFS('monthly calculations (1)'!$N$6:$N$365,'monthly calculations (1)'!$C$6:$C$365,'output table (1)'!$B19,'monthly calculations (1)'!$AM$6:$AM$365, 1)</f>
        <v>1513.9860546787877</v>
      </c>
      <c r="K19" s="91">
        <f t="shared" ca="1" si="2"/>
        <v>52.499999999999993</v>
      </c>
      <c r="L19" s="33">
        <f t="shared" ca="1" si="2"/>
        <v>2.3274999999999997</v>
      </c>
      <c r="M19" s="33">
        <f t="shared" ca="1" si="3"/>
        <v>22.000000000000004</v>
      </c>
      <c r="N19" s="94">
        <f ca="1">SUMIFS('monthly calculations (1)'!$U$6:$U$365,'monthly calculations (1)'!$C$6:$C$365,'output table (1)'!$B19,'monthly calculations (1)'!$AM$6:$AM$365, 1)</f>
        <v>93574.702088207865</v>
      </c>
      <c r="O19" s="11">
        <f ca="1">SUMIFS('monthly calculations (1)'!$V$6:$V$365,'monthly calculations (1)'!$C$6:$C$365,'output table (1)'!$B19,'monthly calculations (1)'!$AM$6:$AM$365, 1)</f>
        <v>17619.012711324394</v>
      </c>
      <c r="P19" s="94">
        <f t="shared" ca="1" si="0"/>
        <v>111193.71479953226</v>
      </c>
      <c r="Q19" s="11">
        <f ca="1">SUMIFS('monthly calculations (1)'!$W$6:$W$365,'monthly calculations (1)'!$C$6:$C$365,'output table (1)'!$B19,'monthly calculations (1)'!$AM$6:$AM$365, 1)</f>
        <v>33307.693202933333</v>
      </c>
      <c r="R19" s="11">
        <f ca="1">SUMIFS('monthly calculations (1)'!$AA$6:$AA$365,'monthly calculations (1)'!$C$6:$C$365,'output table (1)'!$B19,'monthly calculations (1)'!$AM$6:$AM$365, 1)</f>
        <v>72000</v>
      </c>
      <c r="S19" s="11">
        <f ca="1">SUMIFS('monthly calculations (1)'!$AE$6:$AE$365,'monthly calculations (1)'!$C$6:$C$365,'output table (1)'!$B19,'monthly calculations (1)'!$AM$6:$AM$365, 1)</f>
        <v>121.02241916008904</v>
      </c>
      <c r="T19" s="94">
        <f t="shared" ca="1" si="1"/>
        <v>72121.022419160086</v>
      </c>
      <c r="U19" s="11">
        <f ca="1">SUMIF('monthly calculations (1)'!$C$6:$C$365,'output table (1)'!$B19,'monthly calculations (1)'!AH17:AH376)</f>
        <v>0</v>
      </c>
      <c r="V19" s="11">
        <f ca="1">SUMIFS('monthly calculations (1)'!$AK$6:$AK$365,'monthly calculations (1)'!$C$6:$C$365,'output table (1)'!$B19,'monthly calculations (1)'!$AM$6:$AM$365, 1)</f>
        <v>11736.474439688531</v>
      </c>
      <c r="W19" s="94">
        <f ca="1">SUMIFS('monthly calculations (1)'!$AL$6:$AL$365,'monthly calculations (1)'!$C$6:$C$365,'output table (1)'!$B19,'monthly calculations (1)'!$AM$6:$AM$365, 1)</f>
        <v>60643.911143616991</v>
      </c>
      <c r="X19" s="11">
        <f ca="1">OFFSET('monthly calculations (1)'!$AO$5,             MATCH(DATE($B19,12,1),   'monthly calculations (1)'!$B$6:$B$365,  0),                  0)</f>
        <v>2139509.6918642279</v>
      </c>
      <c r="Y19" s="11">
        <f ca="1">OFFSET('monthly calculations (1)'!$AQ$5,             MATCH(DATE($B19,12,1),   'monthly calculations (1)'!$B$6:$B$365,  0),                  0)</f>
        <v>1517458.5266579227</v>
      </c>
    </row>
    <row r="20" spans="2:25" x14ac:dyDescent="0.25">
      <c r="B20" s="77">
        <f t="shared" si="4"/>
        <v>2033</v>
      </c>
      <c r="C20" s="138">
        <f ca="1">IFERROR(AVERAGEIFS('monthly calculations (1)'!$D$6:$D$365,'monthly calculations (1)'!$C$6:$C$365,'output table (1)'!$B20,'monthly calculations (1)'!$AM$6:$AM$365, 1),0)</f>
        <v>1</v>
      </c>
      <c r="D20" s="94">
        <f ca="1">SUMIFS('monthly calculations (1)'!$E$6:$E$365,'monthly calculations (1)'!$C$6:$C$365,'output table (1)'!$B20,'monthly calculations (1)'!$AM$6:$AM$365, 1)</f>
        <v>2180.1355065728658</v>
      </c>
      <c r="E20" s="11">
        <f ca="1">SUMIFS('monthly calculations (1)'!$F$6:$F$365,'monthly calculations (1)'!$C$6:$C$365,'output table (1)'!$B20,'monthly calculations (1)'!$AM$6:$AM$365, 1)</f>
        <v>12615.675160844821</v>
      </c>
      <c r="F20" s="11">
        <f ca="1">SUMIFS('monthly calculations (1)'!$G$6:$G$365,'monthly calculations (1)'!$C$6:$C$365,'output table (1)'!$B20,'monthly calculations (1)'!$AM$6:$AM$365, 1)</f>
        <v>39.694021500561199</v>
      </c>
      <c r="G20" s="11">
        <f ca="1">SUMIFS('monthly calculations (1)'!$H$6:$H$365,'monthly calculations (1)'!$C$6:$C$365,'output table (1)'!$B20,'monthly calculations (1)'!$AM$6:$AM$365, 1)</f>
        <v>1892.351274126723</v>
      </c>
      <c r="H20" s="11">
        <f ca="1">SUMIFS('monthly calculations (1)'!$K$6:$K$365,'monthly calculations (1)'!$C$6:$C$365,'output table (1)'!$B20,'monthly calculations (1)'!$AM$6:$AM$365, 1)</f>
        <v>1635.1016299296489</v>
      </c>
      <c r="I20" s="11">
        <f ca="1">SUMIFS('monthly calculations (1)'!$L$6:$L$365,'monthly calculations (1)'!$C$6:$C$365,'output table (1)'!$B20,'monthly calculations (1)'!$AM$6:$AM$365, 1)</f>
        <v>7096.3172779752113</v>
      </c>
      <c r="J20" s="11">
        <f ca="1">SUMIFS('monthly calculations (1)'!$N$6:$N$365,'monthly calculations (1)'!$C$6:$C$365,'output table (1)'!$B20,'monthly calculations (1)'!$AM$6:$AM$365, 1)</f>
        <v>1419.2634555950422</v>
      </c>
      <c r="K20" s="91">
        <f t="shared" ca="1" si="2"/>
        <v>52.500000000000007</v>
      </c>
      <c r="L20" s="33">
        <f t="shared" ca="1" si="2"/>
        <v>2.3275000000000001</v>
      </c>
      <c r="M20" s="33">
        <f t="shared" ca="1" si="3"/>
        <v>22.000000000000004</v>
      </c>
      <c r="N20" s="94">
        <f ca="1">SUMIFS('monthly calculations (1)'!$U$6:$U$365,'monthly calculations (1)'!$C$6:$C$365,'output table (1)'!$B20,'monthly calculations (1)'!$AM$6:$AM$365, 1)</f>
        <v>85842.835571306583</v>
      </c>
      <c r="O20" s="11">
        <f ca="1">SUMIFS('monthly calculations (1)'!$V$6:$V$365,'monthly calculations (1)'!$C$6:$C$365,'output table (1)'!$B20,'monthly calculations (1)'!$AM$6:$AM$365, 1)</f>
        <v>16516.678464487304</v>
      </c>
      <c r="P20" s="94">
        <f t="shared" ca="1" si="0"/>
        <v>102359.51403579389</v>
      </c>
      <c r="Q20" s="11">
        <f ca="1">SUMIFS('monthly calculations (1)'!$W$6:$W$365,'monthly calculations (1)'!$C$6:$C$365,'output table (1)'!$B20,'monthly calculations (1)'!$AM$6:$AM$365, 1)</f>
        <v>31223.79602309093</v>
      </c>
      <c r="R20" s="11">
        <f ca="1">SUMIFS('monthly calculations (1)'!$AA$6:$AA$365,'monthly calculations (1)'!$C$6:$C$365,'output table (1)'!$B20,'monthly calculations (1)'!$AM$6:$AM$365, 1)</f>
        <v>72000</v>
      </c>
      <c r="S20" s="11">
        <f ca="1">SUMIFS('monthly calculations (1)'!$AE$6:$AE$365,'monthly calculations (1)'!$C$6:$C$365,'output table (1)'!$B20,'monthly calculations (1)'!$AM$6:$AM$365, 1)</f>
        <v>79.388043001122398</v>
      </c>
      <c r="T20" s="94">
        <f t="shared" ca="1" si="1"/>
        <v>72079.38804300112</v>
      </c>
      <c r="U20" s="11">
        <f ca="1">SUMIF('monthly calculations (1)'!$C$6:$C$365,'output table (1)'!$B20,'monthly calculations (1)'!AH18:AH377)</f>
        <v>0</v>
      </c>
      <c r="V20" s="11">
        <f ca="1">SUMIFS('monthly calculations (1)'!$AK$6:$AK$365,'monthly calculations (1)'!$C$6:$C$365,'output table (1)'!$B20,'monthly calculations (1)'!$AM$6:$AM$365, 1)</f>
        <v>10868.888774320591</v>
      </c>
      <c r="W20" s="94">
        <f ca="1">SUMIFS('monthly calculations (1)'!$AL$6:$AL$365,'monthly calculations (1)'!$C$6:$C$365,'output table (1)'!$B20,'monthly calculations (1)'!$AM$6:$AM$365, 1)</f>
        <v>50635.033241563106</v>
      </c>
      <c r="X20" s="11">
        <f ca="1">OFFSET('monthly calculations (1)'!$AO$5,             MATCH(DATE($B20,12,1),   'monthly calculations (1)'!$B$6:$B$365,  0),                  0)</f>
        <v>2190144.7251057909</v>
      </c>
      <c r="Y20" s="11">
        <f ca="1">OFFSET('monthly calculations (1)'!$AQ$5,             MATCH(DATE($B20,12,1),   'monthly calculations (1)'!$B$6:$B$365,  0),                  0)</f>
        <v>1532122.0494386812</v>
      </c>
    </row>
    <row r="21" spans="2:25" x14ac:dyDescent="0.25">
      <c r="B21" s="77">
        <f t="shared" si="4"/>
        <v>2034</v>
      </c>
      <c r="C21" s="138">
        <f ca="1">IFERROR(AVERAGEIFS('monthly calculations (1)'!$D$6:$D$365,'monthly calculations (1)'!$C$6:$C$365,'output table (1)'!$B21,'monthly calculations (1)'!$AM$6:$AM$365, 1),0)</f>
        <v>1</v>
      </c>
      <c r="D21" s="94">
        <f ca="1">SUMIFS('monthly calculations (1)'!$E$6:$E$365,'monthly calculations (1)'!$C$6:$C$365,'output table (1)'!$B21,'monthly calculations (1)'!$AM$6:$AM$365, 1)</f>
        <v>2005.7246660470362</v>
      </c>
      <c r="E21" s="11">
        <f ca="1">SUMIFS('monthly calculations (1)'!$F$6:$F$365,'monthly calculations (1)'!$C$6:$C$365,'output table (1)'!$B21,'monthly calculations (1)'!$AM$6:$AM$365, 1)</f>
        <v>11858.734651194132</v>
      </c>
      <c r="F21" s="11">
        <f ca="1">SUMIFS('monthly calculations (1)'!$G$6:$G$365,'monthly calculations (1)'!$C$6:$C$365,'output table (1)'!$B21,'monthly calculations (1)'!$AM$6:$AM$365, 1)</f>
        <v>26.149841115178763</v>
      </c>
      <c r="G21" s="11">
        <f ca="1">SUMIFS('monthly calculations (1)'!$H$6:$H$365,'monthly calculations (1)'!$C$6:$C$365,'output table (1)'!$B21,'monthly calculations (1)'!$AM$6:$AM$365, 1)</f>
        <v>1778.8101976791195</v>
      </c>
      <c r="H21" s="11">
        <f ca="1">SUMIFS('monthly calculations (1)'!$K$6:$K$365,'monthly calculations (1)'!$C$6:$C$365,'output table (1)'!$B21,'monthly calculations (1)'!$AM$6:$AM$365, 1)</f>
        <v>1504.2934995352771</v>
      </c>
      <c r="I21" s="11">
        <f ca="1">SUMIFS('monthly calculations (1)'!$L$6:$L$365,'monthly calculations (1)'!$C$6:$C$365,'output table (1)'!$B21,'monthly calculations (1)'!$AM$6:$AM$365, 1)</f>
        <v>6670.5382412966992</v>
      </c>
      <c r="J21" s="11">
        <f ca="1">SUMIFS('monthly calculations (1)'!$N$6:$N$365,'monthly calculations (1)'!$C$6:$C$365,'output table (1)'!$B21,'monthly calculations (1)'!$AM$6:$AM$365, 1)</f>
        <v>1334.1076482593398</v>
      </c>
      <c r="K21" s="91">
        <f t="shared" ca="1" si="2"/>
        <v>52.500000000000007</v>
      </c>
      <c r="L21" s="33">
        <f t="shared" ca="1" si="2"/>
        <v>2.3275000000000001</v>
      </c>
      <c r="M21" s="33">
        <f t="shared" ca="1" si="3"/>
        <v>21.999999999999993</v>
      </c>
      <c r="N21" s="94">
        <f ca="1">SUMIFS('monthly calculations (1)'!$U$6:$U$365,'monthly calculations (1)'!$C$6:$C$365,'output table (1)'!$B21,'monthly calculations (1)'!$AM$6:$AM$365, 1)</f>
        <v>78975.408725602058</v>
      </c>
      <c r="O21" s="11">
        <f ca="1">SUMIFS('monthly calculations (1)'!$V$6:$V$365,'monthly calculations (1)'!$C$6:$C$365,'output table (1)'!$B21,'monthly calculations (1)'!$AM$6:$AM$365, 1)</f>
        <v>15525.677756618068</v>
      </c>
      <c r="P21" s="94">
        <f t="shared" ca="1" si="0"/>
        <v>94501.086482220126</v>
      </c>
      <c r="Q21" s="11">
        <f ca="1">SUMIFS('monthly calculations (1)'!$W$6:$W$365,'monthly calculations (1)'!$C$6:$C$365,'output table (1)'!$B21,'monthly calculations (1)'!$AM$6:$AM$365, 1)</f>
        <v>29350.368261705469</v>
      </c>
      <c r="R21" s="11">
        <f ca="1">SUMIFS('monthly calculations (1)'!$AA$6:$AA$365,'monthly calculations (1)'!$C$6:$C$365,'output table (1)'!$B21,'monthly calculations (1)'!$AM$6:$AM$365, 1)</f>
        <v>72000</v>
      </c>
      <c r="S21" s="11">
        <f ca="1">SUMIFS('monthly calculations (1)'!$AE$6:$AE$365,'monthly calculations (1)'!$C$6:$C$365,'output table (1)'!$B21,'monthly calculations (1)'!$AM$6:$AM$365, 1)</f>
        <v>52.299682230357526</v>
      </c>
      <c r="T21" s="94">
        <f t="shared" ca="1" si="1"/>
        <v>72052.299682230354</v>
      </c>
      <c r="U21" s="11">
        <f ca="1">SUMIF('monthly calculations (1)'!$C$6:$C$365,'output table (1)'!$B21,'monthly calculations (1)'!AH19:AH378)</f>
        <v>0</v>
      </c>
      <c r="V21" s="11">
        <f ca="1">SUMIFS('monthly calculations (1)'!$AK$6:$AK$365,'monthly calculations (1)'!$C$6:$C$365,'output table (1)'!$B21,'monthly calculations (1)'!$AM$6:$AM$365, 1)</f>
        <v>10094.8586213501</v>
      </c>
      <c r="W21" s="94">
        <f ca="1">SUMIFS('monthly calculations (1)'!$AL$6:$AL$365,'monthly calculations (1)'!$C$6:$C$365,'output table (1)'!$B21,'monthly calculations (1)'!$AM$6:$AM$365, 1)</f>
        <v>41704.296440345133</v>
      </c>
      <c r="X21" s="11">
        <f ca="1">OFFSET('monthly calculations (1)'!$AO$5,             MATCH(DATE($B21,12,1),   'monthly calculations (1)'!$B$6:$B$365,  0),                  0)</f>
        <v>2231849.0215461361</v>
      </c>
      <c r="Y21" s="11">
        <f ca="1">OFFSET('monthly calculations (1)'!$AQ$5,             MATCH(DATE($B21,12,1),   'monthly calculations (1)'!$B$6:$B$365,  0),                  0)</f>
        <v>1543055.8614841311</v>
      </c>
    </row>
    <row r="22" spans="2:25" s="76" customFormat="1" ht="23.25" customHeight="1" x14ac:dyDescent="0.25">
      <c r="B22" s="78">
        <f t="shared" si="4"/>
        <v>2035</v>
      </c>
      <c r="C22" s="139">
        <f ca="1">IFERROR(AVERAGEIFS('monthly calculations (1)'!$D$6:$D$365,'monthly calculations (1)'!$C$6:$C$365,'output table (1)'!$B22,'monthly calculations (1)'!$AM$6:$AM$365, 1),0)</f>
        <v>1</v>
      </c>
      <c r="D22" s="137">
        <f ca="1">SUMIFS('monthly calculations (1)'!$E$6:$E$365,'monthly calculations (1)'!$C$6:$C$365,'output table (1)'!$B22,'monthly calculations (1)'!$AM$6:$AM$365, 1)</f>
        <v>1845.2666927632736</v>
      </c>
      <c r="E22" s="134">
        <f ca="1">SUMIFS('monthly calculations (1)'!$F$6:$F$365,'monthly calculations (1)'!$C$6:$C$365,'output table (1)'!$B22,'monthly calculations (1)'!$AM$6:$AM$365, 1)</f>
        <v>11147.210572122482</v>
      </c>
      <c r="F22" s="134">
        <f ca="1">SUMIFS('monthly calculations (1)'!$G$6:$G$365,'monthly calculations (1)'!$C$6:$C$365,'output table (1)'!$B22,'monthly calculations (1)'!$AM$6:$AM$365, 1)</f>
        <v>17.242113140771718</v>
      </c>
      <c r="G22" s="134">
        <f ca="1">SUMIFS('monthly calculations (1)'!$H$6:$H$365,'monthly calculations (1)'!$C$6:$C$365,'output table (1)'!$B22,'monthly calculations (1)'!$AM$6:$AM$365, 1)</f>
        <v>1672.0815858183721</v>
      </c>
      <c r="H22" s="134">
        <f ca="1">SUMIFS('monthly calculations (1)'!$K$6:$K$365,'monthly calculations (1)'!$C$6:$C$365,'output table (1)'!$B22,'monthly calculations (1)'!$AM$6:$AM$365, 1)</f>
        <v>1383.9500195724554</v>
      </c>
      <c r="I22" s="134">
        <f ca="1">SUMIFS('monthly calculations (1)'!$L$6:$L$365,'monthly calculations (1)'!$C$6:$C$365,'output table (1)'!$B22,'monthly calculations (1)'!$AM$6:$AM$365, 1)</f>
        <v>6270.3059468188958</v>
      </c>
      <c r="J22" s="134">
        <f ca="1">SUMIFS('monthly calculations (1)'!$N$6:$N$365,'monthly calculations (1)'!$C$6:$C$365,'output table (1)'!$B22,'monthly calculations (1)'!$AM$6:$AM$365, 1)</f>
        <v>1254.0611893637792</v>
      </c>
      <c r="K22" s="135">
        <f t="shared" ca="1" si="2"/>
        <v>52.5</v>
      </c>
      <c r="L22" s="136">
        <f t="shared" ca="1" si="2"/>
        <v>2.3275000000000001</v>
      </c>
      <c r="M22" s="136">
        <f t="shared" ca="1" si="3"/>
        <v>22</v>
      </c>
      <c r="N22" s="137">
        <f ca="1">SUMIFS('monthly calculations (1)'!$U$6:$U$365,'monthly calculations (1)'!$C$6:$C$365,'output table (1)'!$B22,'monthly calculations (1)'!$AM$6:$AM$365, 1)</f>
        <v>72657.37602755391</v>
      </c>
      <c r="O22" s="134">
        <f ca="1">SUMIFS('monthly calculations (1)'!$V$6:$V$365,'monthly calculations (1)'!$C$6:$C$365,'output table (1)'!$B22,'monthly calculations (1)'!$AM$6:$AM$365, 1)</f>
        <v>14594.13709122098</v>
      </c>
      <c r="P22" s="137">
        <f t="shared" ca="1" si="0"/>
        <v>87251.513118774892</v>
      </c>
      <c r="Q22" s="134">
        <f ca="1">SUMIFS('monthly calculations (1)'!$W$6:$W$365,'monthly calculations (1)'!$C$6:$C$365,'output table (1)'!$B22,'monthly calculations (1)'!$AM$6:$AM$365, 1)</f>
        <v>27589.346166003143</v>
      </c>
      <c r="R22" s="134">
        <f ca="1">SUMIFS('monthly calculations (1)'!$AA$6:$AA$365,'monthly calculations (1)'!$C$6:$C$365,'output table (1)'!$B22,'monthly calculations (1)'!$AM$6:$AM$365, 1)</f>
        <v>72000</v>
      </c>
      <c r="S22" s="134">
        <f ca="1">SUMIFS('monthly calculations (1)'!$AE$6:$AE$365,'monthly calculations (1)'!$C$6:$C$365,'output table (1)'!$B22,'monthly calculations (1)'!$AM$6:$AM$365, 1)</f>
        <v>34.484226281543435</v>
      </c>
      <c r="T22" s="137">
        <f t="shared" ca="1" si="1"/>
        <v>72034.484226281536</v>
      </c>
      <c r="U22" s="134">
        <f ca="1">SUMIF('monthly calculations (1)'!$C$6:$C$365,'output table (1)'!$B22,'monthly calculations (1)'!AH20:AH379)</f>
        <v>0</v>
      </c>
      <c r="V22" s="134">
        <f ca="1">SUMIFS('monthly calculations (1)'!$AK$6:$AK$365,'monthly calculations (1)'!$C$6:$C$365,'output table (1)'!$B22,'monthly calculations (1)'!$AM$6:$AM$365, 1)</f>
        <v>9377.0220236787391</v>
      </c>
      <c r="W22" s="137">
        <f ca="1">SUMIFS('monthly calculations (1)'!$AL$6:$AL$365,'monthly calculations (1)'!$C$6:$C$365,'output table (1)'!$B22,'monthly calculations (1)'!$AM$6:$AM$365, 1)</f>
        <v>33429.353034817745</v>
      </c>
      <c r="X22" s="134">
        <f ca="1">OFFSET('monthly calculations (1)'!$AO$5,             MATCH(DATE($B22,12,1),   'monthly calculations (1)'!$B$6:$B$365,  0),                  0)</f>
        <v>2265278.3745809537</v>
      </c>
      <c r="Y22" s="134">
        <f ca="1">OFFSET('monthly calculations (1)'!$AQ$5,             MATCH(DATE($B22,12,1),   'monthly calculations (1)'!$B$6:$B$365,  0),                  0)</f>
        <v>1550990.8003330226</v>
      </c>
    </row>
    <row r="23" spans="2:25" x14ac:dyDescent="0.25">
      <c r="B23" s="77">
        <f t="shared" si="4"/>
        <v>2036</v>
      </c>
      <c r="C23" s="138">
        <f ca="1">IFERROR(AVERAGEIFS('monthly calculations (1)'!$D$6:$D$365,'monthly calculations (1)'!$C$6:$C$365,'output table (1)'!$B23,'monthly calculations (1)'!$AM$6:$AM$365, 1),0)</f>
        <v>1</v>
      </c>
      <c r="D23" s="94">
        <f ca="1">SUMIFS('monthly calculations (1)'!$E$6:$E$365,'monthly calculations (1)'!$C$6:$C$365,'output table (1)'!$B23,'monthly calculations (1)'!$AM$6:$AM$365, 1)</f>
        <v>1702.1192536152303</v>
      </c>
      <c r="E23" s="11">
        <f ca="1">SUMIFS('monthly calculations (1)'!$F$6:$F$365,'monthly calculations (1)'!$C$6:$C$365,'output table (1)'!$B23,'monthly calculations (1)'!$AM$6:$AM$365, 1)</f>
        <v>10506.270538245337</v>
      </c>
      <c r="F23" s="11">
        <f ca="1">SUMIFS('monthly calculations (1)'!$G$6:$G$365,'monthly calculations (1)'!$C$6:$C$365,'output table (1)'!$B23,'monthly calculations (1)'!$AM$6:$AM$365, 1)</f>
        <v>11.404254441187911</v>
      </c>
      <c r="G23" s="11">
        <f ca="1">SUMIFS('monthly calculations (1)'!$H$6:$H$365,'monthly calculations (1)'!$C$6:$C$365,'output table (1)'!$B23,'monthly calculations (1)'!$AM$6:$AM$365, 1)</f>
        <v>1575.9405807368003</v>
      </c>
      <c r="H23" s="11">
        <f ca="1">SUMIFS('monthly calculations (1)'!$K$6:$K$365,'monthly calculations (1)'!$C$6:$C$365,'output table (1)'!$B23,'monthly calculations (1)'!$AM$6:$AM$365, 1)</f>
        <v>1276.5894402114225</v>
      </c>
      <c r="I23" s="11">
        <f ca="1">SUMIFS('monthly calculations (1)'!$L$6:$L$365,'monthly calculations (1)'!$C$6:$C$365,'output table (1)'!$B23,'monthly calculations (1)'!$AM$6:$AM$365, 1)</f>
        <v>5909.7771777630014</v>
      </c>
      <c r="J23" s="11">
        <f ca="1">SUMIFS('monthly calculations (1)'!$N$6:$N$365,'monthly calculations (1)'!$C$6:$C$365,'output table (1)'!$B23,'monthly calculations (1)'!$AM$6:$AM$365, 1)</f>
        <v>1181.9554355526002</v>
      </c>
      <c r="K23" s="91">
        <f t="shared" ca="1" si="2"/>
        <v>52.5</v>
      </c>
      <c r="L23" s="33">
        <f t="shared" ca="1" si="2"/>
        <v>2.3275000000000001</v>
      </c>
      <c r="M23" s="33">
        <f t="shared" ca="1" si="3"/>
        <v>22</v>
      </c>
      <c r="N23" s="94">
        <f ca="1">SUMIFS('monthly calculations (1)'!$U$6:$U$365,'monthly calculations (1)'!$C$6:$C$365,'output table (1)'!$B23,'monthly calculations (1)'!$AM$6:$AM$365, 1)</f>
        <v>67020.945611099683</v>
      </c>
      <c r="O23" s="11">
        <f ca="1">SUMIFS('monthly calculations (1)'!$V$6:$V$365,'monthly calculations (1)'!$C$6:$C$365,'output table (1)'!$B23,'monthly calculations (1)'!$AM$6:$AM$365, 1)</f>
        <v>13755.006381243385</v>
      </c>
      <c r="P23" s="94">
        <f t="shared" ca="1" si="0"/>
        <v>80775.951992343063</v>
      </c>
      <c r="Q23" s="11">
        <f ca="1">SUMIFS('monthly calculations (1)'!$W$6:$W$365,'monthly calculations (1)'!$C$6:$C$365,'output table (1)'!$B23,'monthly calculations (1)'!$AM$6:$AM$365, 1)</f>
        <v>26003.019582157205</v>
      </c>
      <c r="R23" s="11">
        <f ca="1">SUMIFS('monthly calculations (1)'!$AA$6:$AA$365,'monthly calculations (1)'!$C$6:$C$365,'output table (1)'!$B23,'monthly calculations (1)'!$AM$6:$AM$365, 1)</f>
        <v>72000</v>
      </c>
      <c r="S23" s="11">
        <f ca="1">SUMIFS('monthly calculations (1)'!$AE$6:$AE$365,'monthly calculations (1)'!$C$6:$C$365,'output table (1)'!$B23,'monthly calculations (1)'!$AM$6:$AM$365, 1)</f>
        <v>22.808508882375822</v>
      </c>
      <c r="T23" s="94">
        <f t="shared" ca="1" si="1"/>
        <v>72022.808508882372</v>
      </c>
      <c r="U23" s="11">
        <f ca="1">SUMIF('monthly calculations (1)'!$C$6:$C$365,'output table (1)'!$B23,'monthly calculations (1)'!AH21:AH380)</f>
        <v>0</v>
      </c>
      <c r="V23" s="11">
        <f ca="1">SUMIFS('monthly calculations (1)'!$AK$6:$AK$365,'monthly calculations (1)'!$C$6:$C$365,'output table (1)'!$B23,'monthly calculations (1)'!$AM$6:$AM$365, 1)</f>
        <v>8734.289734728136</v>
      </c>
      <c r="W23" s="94">
        <f ca="1">SUMIFS('monthly calculations (1)'!$AL$6:$AL$365,'monthly calculations (1)'!$C$6:$C$365,'output table (1)'!$B23,'monthly calculations (1)'!$AM$6:$AM$365, 1)</f>
        <v>26021.873330889757</v>
      </c>
      <c r="X23" s="11">
        <f ca="1">OFFSET('monthly calculations (1)'!$AO$5,             MATCH(DATE($B23,12,1),   'monthly calculations (1)'!$B$6:$B$365,  0),                  0)</f>
        <v>2291300.2479118435</v>
      </c>
      <c r="Y23" s="11">
        <f ca="1">OFFSET('monthly calculations (1)'!$AQ$5,             MATCH(DATE($B23,12,1),   'monthly calculations (1)'!$B$6:$B$365,  0),                  0)</f>
        <v>1556585.5962326813</v>
      </c>
    </row>
    <row r="24" spans="2:25" x14ac:dyDescent="0.25">
      <c r="B24" s="77">
        <f t="shared" si="4"/>
        <v>2037</v>
      </c>
      <c r="C24" s="138">
        <f ca="1">IFERROR(AVERAGEIFS('monthly calculations (1)'!$D$6:$D$365,'monthly calculations (1)'!$C$6:$C$365,'output table (1)'!$B24,'monthly calculations (1)'!$AM$6:$AM$365, 1),0)</f>
        <v>1</v>
      </c>
      <c r="D24" s="94">
        <f ca="1">SUMIFS('monthly calculations (1)'!$E$6:$E$365,'monthly calculations (1)'!$C$6:$C$365,'output table (1)'!$B24,'monthly calculations (1)'!$AM$6:$AM$365, 1)</f>
        <v>1561.4769798904913</v>
      </c>
      <c r="E24" s="11">
        <f ca="1">SUMIFS('monthly calculations (1)'!$F$6:$F$365,'monthly calculations (1)'!$C$6:$C$365,'output table (1)'!$B24,'monthly calculations (1)'!$AM$6:$AM$365, 1)</f>
        <v>9848.0056698054832</v>
      </c>
      <c r="F24" s="11">
        <f ca="1">SUMIFS('monthly calculations (1)'!$G$6:$G$365,'monthly calculations (1)'!$C$6:$C$365,'output table (1)'!$B24,'monthly calculations (1)'!$AM$6:$AM$365, 1)</f>
        <v>7.5070023753346691</v>
      </c>
      <c r="G24" s="11">
        <f ca="1">SUMIFS('monthly calculations (1)'!$H$6:$H$365,'monthly calculations (1)'!$C$6:$C$365,'output table (1)'!$B24,'monthly calculations (1)'!$AM$6:$AM$365, 1)</f>
        <v>1477.2008504708224</v>
      </c>
      <c r="H24" s="11">
        <f ca="1">SUMIFS('monthly calculations (1)'!$K$6:$K$365,'monthly calculations (1)'!$C$6:$C$365,'output table (1)'!$B24,'monthly calculations (1)'!$AM$6:$AM$365, 1)</f>
        <v>1171.1077349178684</v>
      </c>
      <c r="I24" s="11">
        <f ca="1">SUMIFS('monthly calculations (1)'!$L$6:$L$365,'monthly calculations (1)'!$C$6:$C$365,'output table (1)'!$B24,'monthly calculations (1)'!$AM$6:$AM$365, 1)</f>
        <v>5539.5031892655843</v>
      </c>
      <c r="J24" s="11">
        <f ca="1">SUMIFS('monthly calculations (1)'!$N$6:$N$365,'monthly calculations (1)'!$C$6:$C$365,'output table (1)'!$B24,'monthly calculations (1)'!$AM$6:$AM$365, 1)</f>
        <v>1107.9006378531167</v>
      </c>
      <c r="K24" s="91">
        <f t="shared" ca="1" si="2"/>
        <v>52.5</v>
      </c>
      <c r="L24" s="33">
        <f t="shared" ca="1" si="2"/>
        <v>2.3274999999999997</v>
      </c>
      <c r="M24" s="33">
        <f t="shared" ca="1" si="3"/>
        <v>22</v>
      </c>
      <c r="N24" s="94">
        <f ca="1">SUMIFS('monthly calculations (1)'!$U$6:$U$365,'monthly calculations (1)'!$C$6:$C$365,'output table (1)'!$B24,'monthly calculations (1)'!$AM$6:$AM$365, 1)</f>
        <v>61483.156083188092</v>
      </c>
      <c r="O24" s="11">
        <f ca="1">SUMIFS('monthly calculations (1)'!$V$6:$V$365,'monthly calculations (1)'!$C$6:$C$365,'output table (1)'!$B24,'monthly calculations (1)'!$AM$6:$AM$365, 1)</f>
        <v>12893.193673015647</v>
      </c>
      <c r="P24" s="94">
        <f t="shared" ca="1" si="0"/>
        <v>74376.349756203737</v>
      </c>
      <c r="Q24" s="11">
        <f ca="1">SUMIFS('monthly calculations (1)'!$W$6:$W$365,'monthly calculations (1)'!$C$6:$C$365,'output table (1)'!$B24,'monthly calculations (1)'!$AM$6:$AM$365, 1)</f>
        <v>24373.814032768569</v>
      </c>
      <c r="R24" s="11">
        <f ca="1">SUMIFS('monthly calculations (1)'!$AA$6:$AA$365,'monthly calculations (1)'!$C$6:$C$365,'output table (1)'!$B24,'monthly calculations (1)'!$AM$6:$AM$365, 1)</f>
        <v>72000</v>
      </c>
      <c r="S24" s="11">
        <f ca="1">SUMIFS('monthly calculations (1)'!$AE$6:$AE$365,'monthly calculations (1)'!$C$6:$C$365,'output table (1)'!$B24,'monthly calculations (1)'!$AM$6:$AM$365, 1)</f>
        <v>15.014004750669338</v>
      </c>
      <c r="T24" s="94">
        <f t="shared" ca="1" si="1"/>
        <v>72015.014004750672</v>
      </c>
      <c r="U24" s="11">
        <f ca="1">SUMIF('monthly calculations (1)'!$C$6:$C$365,'output table (1)'!$B24,'monthly calculations (1)'!AH22:AH381)</f>
        <v>0</v>
      </c>
      <c r="V24" s="11">
        <f ca="1">SUMIFS('monthly calculations (1)'!$AK$6:$AK$365,'monthly calculations (1)'!$C$6:$C$365,'output table (1)'!$B24,'monthly calculations (1)'!$AM$6:$AM$365, 1)</f>
        <v>8092.0048524847762</v>
      </c>
      <c r="W24" s="94">
        <f ca="1">SUMIFS('monthly calculations (1)'!$AL$6:$AL$365,'monthly calculations (1)'!$C$6:$C$365,'output table (1)'!$B24,'monthly calculations (1)'!$AM$6:$AM$365, 1)</f>
        <v>18643.144931736864</v>
      </c>
      <c r="X24" s="11">
        <f ca="1">OFFSET('monthly calculations (1)'!$AO$5,             MATCH(DATE($B24,12,1),   'monthly calculations (1)'!$B$6:$B$365,  0),                  0)</f>
        <v>2309943.3928435808</v>
      </c>
      <c r="Y24" s="11">
        <f ca="1">OFFSET('monthly calculations (1)'!$AQ$5,             MATCH(DATE($B24,12,1),   'monthly calculations (1)'!$B$6:$B$365,  0),                  0)</f>
        <v>1560214.1391047256</v>
      </c>
    </row>
    <row r="25" spans="2:25" x14ac:dyDescent="0.25">
      <c r="B25" s="77">
        <f t="shared" si="4"/>
        <v>2038</v>
      </c>
      <c r="C25" s="138">
        <f ca="1">IFERROR(AVERAGEIFS('monthly calculations (1)'!$D$6:$D$365,'monthly calculations (1)'!$C$6:$C$365,'output table (1)'!$B25,'monthly calculations (1)'!$AM$6:$AM$365, 1),0)</f>
        <v>1</v>
      </c>
      <c r="D25" s="94">
        <f ca="1">SUMIFS('monthly calculations (1)'!$E$6:$E$365,'monthly calculations (1)'!$C$6:$C$365,'output table (1)'!$B25,'monthly calculations (1)'!$AM$6:$AM$365, 1)</f>
        <v>1436.5588214992522</v>
      </c>
      <c r="E25" s="11">
        <f ca="1">SUMIFS('monthly calculations (1)'!$F$6:$F$365,'monthly calculations (1)'!$C$6:$C$365,'output table (1)'!$B25,'monthly calculations (1)'!$AM$6:$AM$365, 1)</f>
        <v>9257.1253296171544</v>
      </c>
      <c r="F25" s="11">
        <f ca="1">SUMIFS('monthly calculations (1)'!$G$6:$G$365,'monthly calculations (1)'!$C$6:$C$365,'output table (1)'!$B25,'monthly calculations (1)'!$AM$6:$AM$365, 1)</f>
        <v>4.9626320902431829</v>
      </c>
      <c r="G25" s="11">
        <f ca="1">SUMIFS('monthly calculations (1)'!$H$6:$H$365,'monthly calculations (1)'!$C$6:$C$365,'output table (1)'!$B25,'monthly calculations (1)'!$AM$6:$AM$365, 1)</f>
        <v>1388.568799442573</v>
      </c>
      <c r="H25" s="11">
        <f ca="1">SUMIFS('monthly calculations (1)'!$K$6:$K$365,'monthly calculations (1)'!$C$6:$C$365,'output table (1)'!$B25,'monthly calculations (1)'!$AM$6:$AM$365, 1)</f>
        <v>1077.4191161244391</v>
      </c>
      <c r="I25" s="11">
        <f ca="1">SUMIFS('monthly calculations (1)'!$L$6:$L$365,'monthly calculations (1)'!$C$6:$C$365,'output table (1)'!$B25,'monthly calculations (1)'!$AM$6:$AM$365, 1)</f>
        <v>5207.1329979096481</v>
      </c>
      <c r="J25" s="11">
        <f ca="1">SUMIFS('monthly calculations (1)'!$N$6:$N$365,'monthly calculations (1)'!$C$6:$C$365,'output table (1)'!$B25,'monthly calculations (1)'!$AM$6:$AM$365, 1)</f>
        <v>1041.4265995819298</v>
      </c>
      <c r="K25" s="91">
        <f t="shared" ca="1" si="2"/>
        <v>52.5</v>
      </c>
      <c r="L25" s="33">
        <f t="shared" ca="1" si="2"/>
        <v>2.3275000000000001</v>
      </c>
      <c r="M25" s="33">
        <f t="shared" ca="1" si="3"/>
        <v>21.999999999999996</v>
      </c>
      <c r="N25" s="94">
        <f ca="1">SUMIFS('monthly calculations (1)'!$U$6:$U$365,'monthly calculations (1)'!$C$6:$C$365,'output table (1)'!$B25,'monthly calculations (1)'!$AM$6:$AM$365, 1)</f>
        <v>56564.503596533053</v>
      </c>
      <c r="O25" s="11">
        <f ca="1">SUMIFS('monthly calculations (1)'!$V$6:$V$365,'monthly calculations (1)'!$C$6:$C$365,'output table (1)'!$B25,'monthly calculations (1)'!$AM$6:$AM$365, 1)</f>
        <v>12119.602052634706</v>
      </c>
      <c r="P25" s="94">
        <f t="shared" ca="1" si="0"/>
        <v>68684.105649167759</v>
      </c>
      <c r="Q25" s="11">
        <f ca="1">SUMIFS('monthly calculations (1)'!$W$6:$W$365,'monthly calculations (1)'!$C$6:$C$365,'output table (1)'!$B25,'monthly calculations (1)'!$AM$6:$AM$365, 1)</f>
        <v>22911.385190802452</v>
      </c>
      <c r="R25" s="11">
        <f ca="1">SUMIFS('monthly calculations (1)'!$AA$6:$AA$365,'monthly calculations (1)'!$C$6:$C$365,'output table (1)'!$B25,'monthly calculations (1)'!$AM$6:$AM$365, 1)</f>
        <v>72000</v>
      </c>
      <c r="S25" s="11">
        <f ca="1">SUMIFS('monthly calculations (1)'!$AE$6:$AE$365,'monthly calculations (1)'!$C$6:$C$365,'output table (1)'!$B25,'monthly calculations (1)'!$AM$6:$AM$365, 1)</f>
        <v>9.9252641804863657</v>
      </c>
      <c r="T25" s="94">
        <f t="shared" ca="1" si="1"/>
        <v>72009.925264180492</v>
      </c>
      <c r="U25" s="11">
        <f ca="1">SUMIF('monthly calculations (1)'!$C$6:$C$365,'output table (1)'!$B25,'monthly calculations (1)'!AH23:AH382)</f>
        <v>0</v>
      </c>
      <c r="V25" s="11">
        <f ca="1">SUMIFS('monthly calculations (1)'!$AK$6:$AK$365,'monthly calculations (1)'!$C$6:$C$365,'output table (1)'!$B25,'monthly calculations (1)'!$AM$6:$AM$365, 1)</f>
        <v>7519.1784796975617</v>
      </c>
      <c r="W25" s="94">
        <f ca="1">SUMIFS('monthly calculations (1)'!$AL$6:$AL$365,'monthly calculations (1)'!$C$6:$C$365,'output table (1)'!$B25,'monthly calculations (1)'!$AM$6:$AM$365, 1)</f>
        <v>12066.387096092159</v>
      </c>
      <c r="X25" s="11">
        <f ca="1">OFFSET('monthly calculations (1)'!$AO$5,             MATCH(DATE($B25,12,1),   'monthly calculations (1)'!$B$6:$B$365,  0),                  0)</f>
        <v>2322009.7799396729</v>
      </c>
      <c r="Y25" s="11">
        <f ca="1">OFFSET('monthly calculations (1)'!$AQ$5,             MATCH(DATE($B25,12,1),   'monthly calculations (1)'!$B$6:$B$365,  0),                  0)</f>
        <v>1562341.8166250095</v>
      </c>
    </row>
    <row r="26" spans="2:25" x14ac:dyDescent="0.25">
      <c r="B26" s="77">
        <f t="shared" si="4"/>
        <v>2039</v>
      </c>
      <c r="C26" s="138">
        <f ca="1">IFERROR(AVERAGEIFS('monthly calculations (1)'!$D$6:$D$365,'monthly calculations (1)'!$C$6:$C$365,'output table (1)'!$B26,'monthly calculations (1)'!$AM$6:$AM$365, 1),0)</f>
        <v>1</v>
      </c>
      <c r="D26" s="94">
        <f ca="1">SUMIFS('monthly calculations (1)'!$E$6:$E$365,'monthly calculations (1)'!$C$6:$C$365,'output table (1)'!$B26,'monthly calculations (1)'!$AM$6:$AM$365, 1)</f>
        <v>1321.634115779312</v>
      </c>
      <c r="E26" s="11">
        <f ca="1">SUMIFS('monthly calculations (1)'!$F$6:$F$365,'monthly calculations (1)'!$C$6:$C$365,'output table (1)'!$B26,'monthly calculations (1)'!$AM$6:$AM$365, 1)</f>
        <v>8701.6978098401214</v>
      </c>
      <c r="F26" s="11">
        <f ca="1">SUMIFS('monthly calculations (1)'!$G$6:$G$365,'monthly calculations (1)'!$C$6:$C$365,'output table (1)'!$B26,'monthly calculations (1)'!$AM$6:$AM$365, 1)</f>
        <v>3.2834383438492054</v>
      </c>
      <c r="G26" s="11">
        <f ca="1">SUMIFS('monthly calculations (1)'!$H$6:$H$365,'monthly calculations (1)'!$C$6:$C$365,'output table (1)'!$B26,'monthly calculations (1)'!$AM$6:$AM$365, 1)</f>
        <v>1305.2546714760188</v>
      </c>
      <c r="H26" s="11">
        <f ca="1">SUMIFS('monthly calculations (1)'!$K$6:$K$365,'monthly calculations (1)'!$C$6:$C$365,'output table (1)'!$B26,'monthly calculations (1)'!$AM$6:$AM$365, 1)</f>
        <v>991.22558683448392</v>
      </c>
      <c r="I26" s="11">
        <f ca="1">SUMIFS('monthly calculations (1)'!$L$6:$L$365,'monthly calculations (1)'!$C$6:$C$365,'output table (1)'!$B26,'monthly calculations (1)'!$AM$6:$AM$365, 1)</f>
        <v>4894.7050180350689</v>
      </c>
      <c r="J26" s="11">
        <f ca="1">SUMIFS('monthly calculations (1)'!$N$6:$N$365,'monthly calculations (1)'!$C$6:$C$365,'output table (1)'!$B26,'monthly calculations (1)'!$AM$6:$AM$365, 1)</f>
        <v>978.94100360701384</v>
      </c>
      <c r="K26" s="91">
        <f t="shared" ca="1" si="2"/>
        <v>52.500000000000007</v>
      </c>
      <c r="L26" s="33">
        <f t="shared" ca="1" si="2"/>
        <v>2.3275000000000001</v>
      </c>
      <c r="M26" s="33">
        <f t="shared" ca="1" si="3"/>
        <v>22.000000000000004</v>
      </c>
      <c r="N26" s="94">
        <f ca="1">SUMIFS('monthly calculations (1)'!$U$6:$U$365,'monthly calculations (1)'!$C$6:$C$365,'output table (1)'!$B26,'monthly calculations (1)'!$AM$6:$AM$365, 1)</f>
        <v>52039.343308810414</v>
      </c>
      <c r="O26" s="11">
        <f ca="1">SUMIFS('monthly calculations (1)'!$V$6:$V$365,'monthly calculations (1)'!$C$6:$C$365,'output table (1)'!$B26,'monthly calculations (1)'!$AM$6:$AM$365, 1)</f>
        <v>11392.425929476623</v>
      </c>
      <c r="P26" s="94">
        <f t="shared" ca="1" si="0"/>
        <v>63431.769238287037</v>
      </c>
      <c r="Q26" s="11">
        <f ca="1">SUMIFS('monthly calculations (1)'!$W$6:$W$365,'monthly calculations (1)'!$C$6:$C$365,'output table (1)'!$B26,'monthly calculations (1)'!$AM$6:$AM$365, 1)</f>
        <v>21536.702079354309</v>
      </c>
      <c r="R26" s="11">
        <f ca="1">SUMIFS('monthly calculations (1)'!$AA$6:$AA$365,'monthly calculations (1)'!$C$6:$C$365,'output table (1)'!$B26,'monthly calculations (1)'!$AM$6:$AM$365, 1)</f>
        <v>72000</v>
      </c>
      <c r="S26" s="11">
        <f ca="1">SUMIFS('monthly calculations (1)'!$AE$6:$AE$365,'monthly calculations (1)'!$C$6:$C$365,'output table (1)'!$B26,'monthly calculations (1)'!$AM$6:$AM$365, 1)</f>
        <v>6.5668766876984108</v>
      </c>
      <c r="T26" s="94">
        <f t="shared" ca="1" si="1"/>
        <v>72006.566876687692</v>
      </c>
      <c r="U26" s="11">
        <f ca="1">SUMIF('monthly calculations (1)'!$C$6:$C$365,'output table (1)'!$B26,'monthly calculations (1)'!AH24:AH383)</f>
        <v>0</v>
      </c>
      <c r="V26" s="11">
        <f ca="1">SUMIFS('monthly calculations (1)'!$AK$6:$AK$365,'monthly calculations (1)'!$C$6:$C$365,'output table (1)'!$B26,'monthly calculations (1)'!$AM$6:$AM$365, 1)</f>
        <v>6987.7061758086311</v>
      </c>
      <c r="W26" s="94">
        <f ca="1">SUMIFS('monthly calculations (1)'!$AL$6:$AL$365,'monthly calculations (1)'!$C$6:$C$365,'output table (1)'!$B26,'monthly calculations (1)'!$AM$6:$AM$365, 1)</f>
        <v>5974.1982651450089</v>
      </c>
      <c r="X26" s="11">
        <f ca="1">OFFSET('monthly calculations (1)'!$AO$5,             MATCH(DATE($B26,12,1),   'monthly calculations (1)'!$B$6:$B$365,  0),                  0)</f>
        <v>2327983.978204818</v>
      </c>
      <c r="Y26" s="11">
        <f ca="1">OFFSET('monthly calculations (1)'!$AQ$5,             MATCH(DATE($B26,12,1),   'monthly calculations (1)'!$B$6:$B$365,  0),                  0)</f>
        <v>1563297.7156920643</v>
      </c>
    </row>
    <row r="27" spans="2:25" s="76" customFormat="1" ht="23.25" customHeight="1" x14ac:dyDescent="0.25">
      <c r="B27" s="78">
        <f t="shared" si="4"/>
        <v>2040</v>
      </c>
      <c r="C27" s="139">
        <f ca="1">IFERROR(AVERAGEIFS('monthly calculations (1)'!$D$6:$D$365,'monthly calculations (1)'!$C$6:$C$365,'output table (1)'!$B27,'monthly calculations (1)'!$AM$6:$AM$365, 1),0)</f>
        <v>1</v>
      </c>
      <c r="D27" s="137">
        <f ca="1">SUMIFS('monthly calculations (1)'!$E$6:$E$365,'monthly calculations (1)'!$C$6:$C$365,'output table (1)'!$B27,'monthly calculations (1)'!$AM$6:$AM$365, 1)</f>
        <v>724.87233852781856</v>
      </c>
      <c r="E27" s="134">
        <f ca="1">SUMIFS('monthly calculations (1)'!$F$6:$F$365,'monthly calculations (1)'!$C$6:$C$365,'output table (1)'!$B27,'monthly calculations (1)'!$AM$6:$AM$365, 1)</f>
        <v>4867.1615114506858</v>
      </c>
      <c r="F27" s="134">
        <f ca="1">SUMIFS('monthly calculations (1)'!$G$6:$G$365,'monthly calculations (1)'!$C$6:$C$365,'output table (1)'!$B27,'monthly calculations (1)'!$AM$6:$AM$365, 1)</f>
        <v>1.3321373678143718</v>
      </c>
      <c r="G27" s="134">
        <f ca="1">SUMIFS('monthly calculations (1)'!$H$6:$H$365,'monthly calculations (1)'!$C$6:$C$365,'output table (1)'!$B27,'monthly calculations (1)'!$AM$6:$AM$365, 1)</f>
        <v>730.07422671760287</v>
      </c>
      <c r="H27" s="134">
        <f ca="1">SUMIFS('monthly calculations (1)'!$K$6:$K$365,'monthly calculations (1)'!$C$6:$C$365,'output table (1)'!$B27,'monthly calculations (1)'!$AM$6:$AM$365, 1)</f>
        <v>543.6542538958638</v>
      </c>
      <c r="I27" s="134">
        <f ca="1">SUMIFS('monthly calculations (1)'!$L$6:$L$365,'monthly calculations (1)'!$C$6:$C$365,'output table (1)'!$B27,'monthly calculations (1)'!$AM$6:$AM$365, 1)</f>
        <v>2737.7783501910108</v>
      </c>
      <c r="J27" s="134">
        <f ca="1">SUMIFS('monthly calculations (1)'!$N$6:$N$365,'monthly calculations (1)'!$C$6:$C$365,'output table (1)'!$B27,'monthly calculations (1)'!$AM$6:$AM$365, 1)</f>
        <v>547.55567003820204</v>
      </c>
      <c r="K27" s="135">
        <f t="shared" ca="1" si="2"/>
        <v>52.5</v>
      </c>
      <c r="L27" s="136">
        <f t="shared" ca="1" si="2"/>
        <v>2.3275000000000001</v>
      </c>
      <c r="M27" s="136">
        <f t="shared" ca="1" si="3"/>
        <v>22</v>
      </c>
      <c r="N27" s="137">
        <f ca="1">SUMIFS('monthly calculations (1)'!$U$6:$U$365,'monthly calculations (1)'!$C$6:$C$365,'output table (1)'!$B27,'monthly calculations (1)'!$AM$6:$AM$365, 1)</f>
        <v>28541.848329532851</v>
      </c>
      <c r="O27" s="134">
        <f ca="1">SUMIFS('monthly calculations (1)'!$V$6:$V$365,'monthly calculations (1)'!$C$6:$C$365,'output table (1)'!$B27,'monthly calculations (1)'!$AM$6:$AM$365, 1)</f>
        <v>6372.1791100695782</v>
      </c>
      <c r="P27" s="137">
        <f t="shared" ca="1" si="0"/>
        <v>34914.027439602432</v>
      </c>
      <c r="Q27" s="134">
        <f ca="1">SUMIFS('monthly calculations (1)'!$W$6:$W$365,'monthly calculations (1)'!$C$6:$C$365,'output table (1)'!$B27,'monthly calculations (1)'!$AM$6:$AM$365, 1)</f>
        <v>12046.224740840446</v>
      </c>
      <c r="R27" s="134">
        <f ca="1">SUMIFS('monthly calculations (1)'!$AA$6:$AA$365,'monthly calculations (1)'!$C$6:$C$365,'output table (1)'!$B27,'monthly calculations (1)'!$AM$6:$AM$365, 1)</f>
        <v>42000</v>
      </c>
      <c r="S27" s="134">
        <f ca="1">SUMIFS('monthly calculations (1)'!$AE$6:$AE$365,'monthly calculations (1)'!$C$6:$C$365,'output table (1)'!$B27,'monthly calculations (1)'!$AM$6:$AM$365, 1)</f>
        <v>2.6642747356287435</v>
      </c>
      <c r="T27" s="137">
        <f t="shared" ca="1" si="1"/>
        <v>42002.664274735631</v>
      </c>
      <c r="U27" s="134">
        <f ca="1">SUMIF('monthly calculations (1)'!$C$6:$C$365,'output table (1)'!$B27,'monthly calculations (1)'!AH25:AH384)</f>
        <v>0</v>
      </c>
      <c r="V27" s="134">
        <f ca="1">SUMIFS('monthly calculations (1)'!$AK$6:$AK$365,'monthly calculations (1)'!$C$6:$C$365,'output table (1)'!$B27,'monthly calculations (1)'!$AM$6:$AM$365, 1)</f>
        <v>3868.3116164878347</v>
      </c>
      <c r="W27" s="137">
        <f ca="1">SUMIFS('monthly calculations (1)'!$AL$6:$AL$365,'monthly calculations (1)'!$C$6:$C$365,'output table (1)'!$B27,'monthly calculations (1)'!$AM$6:$AM$365, 1)</f>
        <v>1089.2762892194105</v>
      </c>
      <c r="X27" s="134">
        <f ca="1">OFFSET('monthly calculations (1)'!$AO$5,             MATCH(DATE($B27,12,1),   'monthly calculations (1)'!$B$6:$B$365,  0),                  0)</f>
        <v>2329073.2544940379</v>
      </c>
      <c r="Y27" s="134">
        <f ca="1">OFFSET('monthly calculations (1)'!$AQ$5,             MATCH(DATE($B27,12,1),   'monthly calculations (1)'!$B$6:$B$365,  0),                  0)</f>
        <v>1563458.398389671</v>
      </c>
    </row>
    <row r="28" spans="2:25" x14ac:dyDescent="0.25">
      <c r="B28" s="77">
        <f t="shared" si="4"/>
        <v>2041</v>
      </c>
      <c r="C28" s="138">
        <f ca="1">IFERROR(AVERAGEIFS('monthly calculations (1)'!$D$6:$D$365,'monthly calculations (1)'!$C$6:$C$365,'output table (1)'!$B28,'monthly calculations (1)'!$AM$6:$AM$365, 1),0)</f>
        <v>0</v>
      </c>
      <c r="D28" s="94">
        <f ca="1">SUMIFS('monthly calculations (1)'!$E$6:$E$365,'monthly calculations (1)'!$C$6:$C$365,'output table (1)'!$B28,'monthly calculations (1)'!$AM$6:$AM$365, 1)</f>
        <v>0</v>
      </c>
      <c r="E28" s="11">
        <f ca="1">SUMIFS('monthly calculations (1)'!$F$6:$F$365,'monthly calculations (1)'!$C$6:$C$365,'output table (1)'!$B28,'monthly calculations (1)'!$AM$6:$AM$365, 1)</f>
        <v>0</v>
      </c>
      <c r="F28" s="11">
        <f ca="1">SUMIFS('monthly calculations (1)'!$G$6:$G$365,'monthly calculations (1)'!$C$6:$C$365,'output table (1)'!$B28,'monthly calculations (1)'!$AM$6:$AM$365, 1)</f>
        <v>0</v>
      </c>
      <c r="G28" s="11">
        <f ca="1">SUMIFS('monthly calculations (1)'!$H$6:$H$365,'monthly calculations (1)'!$C$6:$C$365,'output table (1)'!$B28,'monthly calculations (1)'!$AM$6:$AM$365, 1)</f>
        <v>0</v>
      </c>
      <c r="H28" s="11">
        <f ca="1">SUMIFS('monthly calculations (1)'!$K$6:$K$365,'monthly calculations (1)'!$C$6:$C$365,'output table (1)'!$B28,'monthly calculations (1)'!$AM$6:$AM$365, 1)</f>
        <v>0</v>
      </c>
      <c r="I28" s="11">
        <f ca="1">SUMIFS('monthly calculations (1)'!$L$6:$L$365,'monthly calculations (1)'!$C$6:$C$365,'output table (1)'!$B28,'monthly calculations (1)'!$AM$6:$AM$365, 1)</f>
        <v>0</v>
      </c>
      <c r="J28" s="11">
        <f ca="1">SUMIFS('monthly calculations (1)'!$N$6:$N$365,'monthly calculations (1)'!$C$6:$C$365,'output table (1)'!$B28,'monthly calculations (1)'!$AM$6:$AM$365, 1)</f>
        <v>0</v>
      </c>
      <c r="K28" s="91">
        <f t="shared" ca="1" si="2"/>
        <v>0</v>
      </c>
      <c r="L28" s="33">
        <f t="shared" ca="1" si="2"/>
        <v>0</v>
      </c>
      <c r="M28" s="33">
        <f t="shared" ca="1" si="3"/>
        <v>0</v>
      </c>
      <c r="N28" s="94">
        <f ca="1">SUMIFS('monthly calculations (1)'!$U$6:$U$365,'monthly calculations (1)'!$C$6:$C$365,'output table (1)'!$B28,'monthly calculations (1)'!$AM$6:$AM$365, 1)</f>
        <v>0</v>
      </c>
      <c r="O28" s="11">
        <f ca="1">SUMIFS('monthly calculations (1)'!$V$6:$V$365,'monthly calculations (1)'!$C$6:$C$365,'output table (1)'!$B28,'monthly calculations (1)'!$AM$6:$AM$365, 1)</f>
        <v>0</v>
      </c>
      <c r="P28" s="94">
        <f t="shared" ca="1" si="0"/>
        <v>0</v>
      </c>
      <c r="Q28" s="11">
        <f ca="1">SUMIFS('monthly calculations (1)'!$W$6:$W$365,'monthly calculations (1)'!$C$6:$C$365,'output table (1)'!$B28,'monthly calculations (1)'!$AM$6:$AM$365, 1)</f>
        <v>0</v>
      </c>
      <c r="R28" s="11">
        <f ca="1">SUMIFS('monthly calculations (1)'!$AA$6:$AA$365,'monthly calculations (1)'!$C$6:$C$365,'output table (1)'!$B28,'monthly calculations (1)'!$AM$6:$AM$365, 1)</f>
        <v>0</v>
      </c>
      <c r="S28" s="11">
        <f ca="1">SUMIFS('monthly calculations (1)'!$AE$6:$AE$365,'monthly calculations (1)'!$C$6:$C$365,'output table (1)'!$B28,'monthly calculations (1)'!$AM$6:$AM$365, 1)</f>
        <v>0</v>
      </c>
      <c r="T28" s="94">
        <f t="shared" ca="1" si="1"/>
        <v>0</v>
      </c>
      <c r="U28" s="11">
        <f ca="1">SUMIF('monthly calculations (1)'!$C$6:$C$365,'output table (1)'!$B28,'monthly calculations (1)'!AH26:AH385)</f>
        <v>0</v>
      </c>
      <c r="V28" s="11">
        <f ca="1">SUMIFS('monthly calculations (1)'!$AK$6:$AK$365,'monthly calculations (1)'!$C$6:$C$365,'output table (1)'!$B28,'monthly calculations (1)'!$AM$6:$AM$365, 1)</f>
        <v>0</v>
      </c>
      <c r="W28" s="94">
        <f ca="1">SUMIFS('monthly calculations (1)'!$AL$6:$AL$365,'monthly calculations (1)'!$C$6:$C$365,'output table (1)'!$B28,'monthly calculations (1)'!$AM$6:$AM$365, 1)</f>
        <v>0</v>
      </c>
      <c r="X28" s="11">
        <f ca="1">OFFSET('monthly calculations (1)'!$AO$5,             MATCH(DATE($B28,12,1),   'monthly calculations (1)'!$B$6:$B$365,  0),                  0)</f>
        <v>2329073.2544940379</v>
      </c>
      <c r="Y28" s="11">
        <f ca="1">OFFSET('monthly calculations (1)'!$AQ$5,             MATCH(DATE($B28,12,1),   'monthly calculations (1)'!$B$6:$B$365,  0),                  0)</f>
        <v>1563458.398389671</v>
      </c>
    </row>
    <row r="29" spans="2:25" x14ac:dyDescent="0.25">
      <c r="B29" s="77">
        <f t="shared" si="4"/>
        <v>2042</v>
      </c>
      <c r="C29" s="138">
        <f ca="1">IFERROR(AVERAGEIFS('monthly calculations (1)'!$D$6:$D$365,'monthly calculations (1)'!$C$6:$C$365,'output table (1)'!$B29,'monthly calculations (1)'!$AM$6:$AM$365, 1),0)</f>
        <v>0</v>
      </c>
      <c r="D29" s="94">
        <f ca="1">SUMIFS('monthly calculations (1)'!$E$6:$E$365,'monthly calculations (1)'!$C$6:$C$365,'output table (1)'!$B29,'monthly calculations (1)'!$AM$6:$AM$365, 1)</f>
        <v>0</v>
      </c>
      <c r="E29" s="11">
        <f ca="1">SUMIFS('monthly calculations (1)'!$F$6:$F$365,'monthly calculations (1)'!$C$6:$C$365,'output table (1)'!$B29,'monthly calculations (1)'!$AM$6:$AM$365, 1)</f>
        <v>0</v>
      </c>
      <c r="F29" s="11">
        <f ca="1">SUMIFS('monthly calculations (1)'!$G$6:$G$365,'monthly calculations (1)'!$C$6:$C$365,'output table (1)'!$B29,'monthly calculations (1)'!$AM$6:$AM$365, 1)</f>
        <v>0</v>
      </c>
      <c r="G29" s="11">
        <f ca="1">SUMIFS('monthly calculations (1)'!$H$6:$H$365,'monthly calculations (1)'!$C$6:$C$365,'output table (1)'!$B29,'monthly calculations (1)'!$AM$6:$AM$365, 1)</f>
        <v>0</v>
      </c>
      <c r="H29" s="11">
        <f ca="1">SUMIFS('monthly calculations (1)'!$K$6:$K$365,'monthly calculations (1)'!$C$6:$C$365,'output table (1)'!$B29,'monthly calculations (1)'!$AM$6:$AM$365, 1)</f>
        <v>0</v>
      </c>
      <c r="I29" s="11">
        <f ca="1">SUMIFS('monthly calculations (1)'!$L$6:$L$365,'monthly calculations (1)'!$C$6:$C$365,'output table (1)'!$B29,'monthly calculations (1)'!$AM$6:$AM$365, 1)</f>
        <v>0</v>
      </c>
      <c r="J29" s="11">
        <f ca="1">SUMIFS('monthly calculations (1)'!$N$6:$N$365,'monthly calculations (1)'!$C$6:$C$365,'output table (1)'!$B29,'monthly calculations (1)'!$AM$6:$AM$365, 1)</f>
        <v>0</v>
      </c>
      <c r="K29" s="91">
        <f t="shared" ca="1" si="2"/>
        <v>0</v>
      </c>
      <c r="L29" s="33">
        <f t="shared" ca="1" si="2"/>
        <v>0</v>
      </c>
      <c r="M29" s="33">
        <f t="shared" ca="1" si="3"/>
        <v>0</v>
      </c>
      <c r="N29" s="94">
        <f ca="1">SUMIFS('monthly calculations (1)'!$U$6:$U$365,'monthly calculations (1)'!$C$6:$C$365,'output table (1)'!$B29,'monthly calculations (1)'!$AM$6:$AM$365, 1)</f>
        <v>0</v>
      </c>
      <c r="O29" s="11">
        <f ca="1">SUMIFS('monthly calculations (1)'!$V$6:$V$365,'monthly calculations (1)'!$C$6:$C$365,'output table (1)'!$B29,'monthly calculations (1)'!$AM$6:$AM$365, 1)</f>
        <v>0</v>
      </c>
      <c r="P29" s="94">
        <f t="shared" ca="1" si="0"/>
        <v>0</v>
      </c>
      <c r="Q29" s="11">
        <f ca="1">SUMIFS('monthly calculations (1)'!$W$6:$W$365,'monthly calculations (1)'!$C$6:$C$365,'output table (1)'!$B29,'monthly calculations (1)'!$AM$6:$AM$365, 1)</f>
        <v>0</v>
      </c>
      <c r="R29" s="11">
        <f ca="1">SUMIFS('monthly calculations (1)'!$AA$6:$AA$365,'monthly calculations (1)'!$C$6:$C$365,'output table (1)'!$B29,'monthly calculations (1)'!$AM$6:$AM$365, 1)</f>
        <v>0</v>
      </c>
      <c r="S29" s="11">
        <f ca="1">SUMIFS('monthly calculations (1)'!$AE$6:$AE$365,'monthly calculations (1)'!$C$6:$C$365,'output table (1)'!$B29,'monthly calculations (1)'!$AM$6:$AM$365, 1)</f>
        <v>0</v>
      </c>
      <c r="T29" s="94">
        <f t="shared" ca="1" si="1"/>
        <v>0</v>
      </c>
      <c r="U29" s="11">
        <f ca="1">SUMIF('monthly calculations (1)'!$C$6:$C$365,'output table (1)'!$B29,'monthly calculations (1)'!AH27:AH386)</f>
        <v>0</v>
      </c>
      <c r="V29" s="11">
        <f ca="1">SUMIFS('monthly calculations (1)'!$AK$6:$AK$365,'monthly calculations (1)'!$C$6:$C$365,'output table (1)'!$B29,'monthly calculations (1)'!$AM$6:$AM$365, 1)</f>
        <v>0</v>
      </c>
      <c r="W29" s="94">
        <f ca="1">SUMIFS('monthly calculations (1)'!$AL$6:$AL$365,'monthly calculations (1)'!$C$6:$C$365,'output table (1)'!$B29,'monthly calculations (1)'!$AM$6:$AM$365, 1)</f>
        <v>0</v>
      </c>
      <c r="X29" s="11">
        <f ca="1">OFFSET('monthly calculations (1)'!$AO$5,             MATCH(DATE($B29,12,1),   'monthly calculations (1)'!$B$6:$B$365,  0),                  0)</f>
        <v>2329073.2544940379</v>
      </c>
      <c r="Y29" s="11">
        <f ca="1">OFFSET('monthly calculations (1)'!$AQ$5,             MATCH(DATE($B29,12,1),   'monthly calculations (1)'!$B$6:$B$365,  0),                  0)</f>
        <v>1563458.398389671</v>
      </c>
    </row>
    <row r="30" spans="2:25" x14ac:dyDescent="0.25">
      <c r="B30" s="77">
        <f t="shared" si="4"/>
        <v>2043</v>
      </c>
      <c r="C30" s="138">
        <f ca="1">IFERROR(AVERAGEIFS('monthly calculations (1)'!$D$6:$D$365,'monthly calculations (1)'!$C$6:$C$365,'output table (1)'!$B30,'monthly calculations (1)'!$AM$6:$AM$365, 1),0)</f>
        <v>0</v>
      </c>
      <c r="D30" s="94">
        <f ca="1">SUMIFS('monthly calculations (1)'!$E$6:$E$365,'monthly calculations (1)'!$C$6:$C$365,'output table (1)'!$B30,'monthly calculations (1)'!$AM$6:$AM$365, 1)</f>
        <v>0</v>
      </c>
      <c r="E30" s="11">
        <f ca="1">SUMIFS('monthly calculations (1)'!$F$6:$F$365,'monthly calculations (1)'!$C$6:$C$365,'output table (1)'!$B30,'monthly calculations (1)'!$AM$6:$AM$365, 1)</f>
        <v>0</v>
      </c>
      <c r="F30" s="11">
        <f ca="1">SUMIFS('monthly calculations (1)'!$G$6:$G$365,'monthly calculations (1)'!$C$6:$C$365,'output table (1)'!$B30,'monthly calculations (1)'!$AM$6:$AM$365, 1)</f>
        <v>0</v>
      </c>
      <c r="G30" s="11">
        <f ca="1">SUMIFS('monthly calculations (1)'!$H$6:$H$365,'monthly calculations (1)'!$C$6:$C$365,'output table (1)'!$B30,'monthly calculations (1)'!$AM$6:$AM$365, 1)</f>
        <v>0</v>
      </c>
      <c r="H30" s="11">
        <f ca="1">SUMIFS('monthly calculations (1)'!$K$6:$K$365,'monthly calculations (1)'!$C$6:$C$365,'output table (1)'!$B30,'monthly calculations (1)'!$AM$6:$AM$365, 1)</f>
        <v>0</v>
      </c>
      <c r="I30" s="11">
        <f ca="1">SUMIFS('monthly calculations (1)'!$L$6:$L$365,'monthly calculations (1)'!$C$6:$C$365,'output table (1)'!$B30,'monthly calculations (1)'!$AM$6:$AM$365, 1)</f>
        <v>0</v>
      </c>
      <c r="J30" s="11">
        <f ca="1">SUMIFS('monthly calculations (1)'!$N$6:$N$365,'monthly calculations (1)'!$C$6:$C$365,'output table (1)'!$B30,'monthly calculations (1)'!$AM$6:$AM$365, 1)</f>
        <v>0</v>
      </c>
      <c r="K30" s="91">
        <f t="shared" ca="1" si="2"/>
        <v>0</v>
      </c>
      <c r="L30" s="33">
        <f t="shared" ca="1" si="2"/>
        <v>0</v>
      </c>
      <c r="M30" s="33">
        <f t="shared" ca="1" si="3"/>
        <v>0</v>
      </c>
      <c r="N30" s="94">
        <f ca="1">SUMIFS('monthly calculations (1)'!$U$6:$U$365,'monthly calculations (1)'!$C$6:$C$365,'output table (1)'!$B30,'monthly calculations (1)'!$AM$6:$AM$365, 1)</f>
        <v>0</v>
      </c>
      <c r="O30" s="11">
        <f ca="1">SUMIFS('monthly calculations (1)'!$V$6:$V$365,'monthly calculations (1)'!$C$6:$C$365,'output table (1)'!$B30,'monthly calculations (1)'!$AM$6:$AM$365, 1)</f>
        <v>0</v>
      </c>
      <c r="P30" s="94">
        <f t="shared" ca="1" si="0"/>
        <v>0</v>
      </c>
      <c r="Q30" s="11">
        <f ca="1">SUMIFS('monthly calculations (1)'!$W$6:$W$365,'monthly calculations (1)'!$C$6:$C$365,'output table (1)'!$B30,'monthly calculations (1)'!$AM$6:$AM$365, 1)</f>
        <v>0</v>
      </c>
      <c r="R30" s="11">
        <f ca="1">SUMIFS('monthly calculations (1)'!$AA$6:$AA$365,'monthly calculations (1)'!$C$6:$C$365,'output table (1)'!$B30,'monthly calculations (1)'!$AM$6:$AM$365, 1)</f>
        <v>0</v>
      </c>
      <c r="S30" s="11">
        <f ca="1">SUMIFS('monthly calculations (1)'!$AE$6:$AE$365,'monthly calculations (1)'!$C$6:$C$365,'output table (1)'!$B30,'monthly calculations (1)'!$AM$6:$AM$365, 1)</f>
        <v>0</v>
      </c>
      <c r="T30" s="94">
        <f t="shared" ca="1" si="1"/>
        <v>0</v>
      </c>
      <c r="U30" s="11">
        <f ca="1">SUMIF('monthly calculations (1)'!$C$6:$C$365,'output table (1)'!$B30,'monthly calculations (1)'!AH28:AH387)</f>
        <v>0</v>
      </c>
      <c r="V30" s="11">
        <f ca="1">SUMIFS('monthly calculations (1)'!$AK$6:$AK$365,'monthly calculations (1)'!$C$6:$C$365,'output table (1)'!$B30,'monthly calculations (1)'!$AM$6:$AM$365, 1)</f>
        <v>0</v>
      </c>
      <c r="W30" s="94">
        <f ca="1">SUMIFS('monthly calculations (1)'!$AL$6:$AL$365,'monthly calculations (1)'!$C$6:$C$365,'output table (1)'!$B30,'monthly calculations (1)'!$AM$6:$AM$365, 1)</f>
        <v>0</v>
      </c>
      <c r="X30" s="11">
        <f ca="1">OFFSET('monthly calculations (1)'!$AO$5,             MATCH(DATE($B30,12,1),   'monthly calculations (1)'!$B$6:$B$365,  0),                  0)</f>
        <v>2329073.2544940379</v>
      </c>
      <c r="Y30" s="11">
        <f ca="1">OFFSET('monthly calculations (1)'!$AQ$5,             MATCH(DATE($B30,12,1),   'monthly calculations (1)'!$B$6:$B$365,  0),                  0)</f>
        <v>1563458.398389671</v>
      </c>
    </row>
    <row r="31" spans="2:25" x14ac:dyDescent="0.25">
      <c r="B31" s="77">
        <f t="shared" si="4"/>
        <v>2044</v>
      </c>
      <c r="C31" s="138">
        <f ca="1">IFERROR(AVERAGEIFS('monthly calculations (1)'!$D$6:$D$365,'monthly calculations (1)'!$C$6:$C$365,'output table (1)'!$B31,'monthly calculations (1)'!$AM$6:$AM$365, 1),0)</f>
        <v>0</v>
      </c>
      <c r="D31" s="94">
        <f ca="1">SUMIFS('monthly calculations (1)'!$E$6:$E$365,'monthly calculations (1)'!$C$6:$C$365,'output table (1)'!$B31,'monthly calculations (1)'!$AM$6:$AM$365, 1)</f>
        <v>0</v>
      </c>
      <c r="E31" s="11">
        <f ca="1">SUMIFS('monthly calculations (1)'!$F$6:$F$365,'monthly calculations (1)'!$C$6:$C$365,'output table (1)'!$B31,'monthly calculations (1)'!$AM$6:$AM$365, 1)</f>
        <v>0</v>
      </c>
      <c r="F31" s="11">
        <f ca="1">SUMIFS('monthly calculations (1)'!$G$6:$G$365,'monthly calculations (1)'!$C$6:$C$365,'output table (1)'!$B31,'monthly calculations (1)'!$AM$6:$AM$365, 1)</f>
        <v>0</v>
      </c>
      <c r="G31" s="11">
        <f ca="1">SUMIFS('monthly calculations (1)'!$H$6:$H$365,'monthly calculations (1)'!$C$6:$C$365,'output table (1)'!$B31,'monthly calculations (1)'!$AM$6:$AM$365, 1)</f>
        <v>0</v>
      </c>
      <c r="H31" s="11">
        <f ca="1">SUMIFS('monthly calculations (1)'!$K$6:$K$365,'monthly calculations (1)'!$C$6:$C$365,'output table (1)'!$B31,'monthly calculations (1)'!$AM$6:$AM$365, 1)</f>
        <v>0</v>
      </c>
      <c r="I31" s="11">
        <f ca="1">SUMIFS('monthly calculations (1)'!$L$6:$L$365,'monthly calculations (1)'!$C$6:$C$365,'output table (1)'!$B31,'monthly calculations (1)'!$AM$6:$AM$365, 1)</f>
        <v>0</v>
      </c>
      <c r="J31" s="11">
        <f ca="1">SUMIFS('monthly calculations (1)'!$N$6:$N$365,'monthly calculations (1)'!$C$6:$C$365,'output table (1)'!$B31,'monthly calculations (1)'!$AM$6:$AM$365, 1)</f>
        <v>0</v>
      </c>
      <c r="K31" s="91">
        <f t="shared" ca="1" si="2"/>
        <v>0</v>
      </c>
      <c r="L31" s="33">
        <f t="shared" ca="1" si="2"/>
        <v>0</v>
      </c>
      <c r="M31" s="33">
        <f t="shared" ca="1" si="3"/>
        <v>0</v>
      </c>
      <c r="N31" s="94">
        <f ca="1">SUMIFS('monthly calculations (1)'!$U$6:$U$365,'monthly calculations (1)'!$C$6:$C$365,'output table (1)'!$B31,'monthly calculations (1)'!$AM$6:$AM$365, 1)</f>
        <v>0</v>
      </c>
      <c r="O31" s="11">
        <f ca="1">SUMIFS('monthly calculations (1)'!$V$6:$V$365,'monthly calculations (1)'!$C$6:$C$365,'output table (1)'!$B31,'monthly calculations (1)'!$AM$6:$AM$365, 1)</f>
        <v>0</v>
      </c>
      <c r="P31" s="94">
        <f t="shared" ca="1" si="0"/>
        <v>0</v>
      </c>
      <c r="Q31" s="11">
        <f ca="1">SUMIFS('monthly calculations (1)'!$W$6:$W$365,'monthly calculations (1)'!$C$6:$C$365,'output table (1)'!$B31,'monthly calculations (1)'!$AM$6:$AM$365, 1)</f>
        <v>0</v>
      </c>
      <c r="R31" s="11">
        <f ca="1">SUMIFS('monthly calculations (1)'!$AA$6:$AA$365,'monthly calculations (1)'!$C$6:$C$365,'output table (1)'!$B31,'monthly calculations (1)'!$AM$6:$AM$365, 1)</f>
        <v>0</v>
      </c>
      <c r="S31" s="11">
        <f ca="1">SUMIFS('monthly calculations (1)'!$AE$6:$AE$365,'monthly calculations (1)'!$C$6:$C$365,'output table (1)'!$B31,'monthly calculations (1)'!$AM$6:$AM$365, 1)</f>
        <v>0</v>
      </c>
      <c r="T31" s="94">
        <f t="shared" ca="1" si="1"/>
        <v>0</v>
      </c>
      <c r="U31" s="11">
        <f ca="1">SUMIF('monthly calculations (1)'!$C$6:$C$365,'output table (1)'!$B31,'monthly calculations (1)'!AH29:AH388)</f>
        <v>0</v>
      </c>
      <c r="V31" s="11">
        <f ca="1">SUMIFS('monthly calculations (1)'!$AK$6:$AK$365,'monthly calculations (1)'!$C$6:$C$365,'output table (1)'!$B31,'monthly calculations (1)'!$AM$6:$AM$365, 1)</f>
        <v>0</v>
      </c>
      <c r="W31" s="94">
        <f ca="1">SUMIFS('monthly calculations (1)'!$AL$6:$AL$365,'monthly calculations (1)'!$C$6:$C$365,'output table (1)'!$B31,'monthly calculations (1)'!$AM$6:$AM$365, 1)</f>
        <v>0</v>
      </c>
      <c r="X31" s="11">
        <f ca="1">OFFSET('monthly calculations (1)'!$AO$5,             MATCH(DATE($B31,12,1),   'monthly calculations (1)'!$B$6:$B$365,  0),                  0)</f>
        <v>2329073.2544940379</v>
      </c>
      <c r="Y31" s="11">
        <f ca="1">OFFSET('monthly calculations (1)'!$AQ$5,             MATCH(DATE($B31,12,1),   'monthly calculations (1)'!$B$6:$B$365,  0),                  0)</f>
        <v>1563458.398389671</v>
      </c>
    </row>
    <row r="32" spans="2:25" s="76" customFormat="1" ht="23.25" customHeight="1" x14ac:dyDescent="0.25">
      <c r="B32" s="78">
        <f t="shared" si="4"/>
        <v>2045</v>
      </c>
      <c r="C32" s="139">
        <f ca="1">IFERROR(AVERAGEIFS('monthly calculations (1)'!$D$6:$D$365,'monthly calculations (1)'!$C$6:$C$365,'output table (1)'!$B32,'monthly calculations (1)'!$AM$6:$AM$365, 1),0)</f>
        <v>0</v>
      </c>
      <c r="D32" s="137">
        <f ca="1">SUMIFS('monthly calculations (1)'!$E$6:$E$365,'monthly calculations (1)'!$C$6:$C$365,'output table (1)'!$B32,'monthly calculations (1)'!$AM$6:$AM$365, 1)</f>
        <v>0</v>
      </c>
      <c r="E32" s="134">
        <f ca="1">SUMIFS('monthly calculations (1)'!$F$6:$F$365,'monthly calculations (1)'!$C$6:$C$365,'output table (1)'!$B32,'monthly calculations (1)'!$AM$6:$AM$365, 1)</f>
        <v>0</v>
      </c>
      <c r="F32" s="134">
        <f ca="1">SUMIFS('monthly calculations (1)'!$G$6:$G$365,'monthly calculations (1)'!$C$6:$C$365,'output table (1)'!$B32,'monthly calculations (1)'!$AM$6:$AM$365, 1)</f>
        <v>0</v>
      </c>
      <c r="G32" s="134">
        <f ca="1">SUMIFS('monthly calculations (1)'!$H$6:$H$365,'monthly calculations (1)'!$C$6:$C$365,'output table (1)'!$B32,'monthly calculations (1)'!$AM$6:$AM$365, 1)</f>
        <v>0</v>
      </c>
      <c r="H32" s="134">
        <f ca="1">SUMIFS('monthly calculations (1)'!$K$6:$K$365,'monthly calculations (1)'!$C$6:$C$365,'output table (1)'!$B32,'monthly calculations (1)'!$AM$6:$AM$365, 1)</f>
        <v>0</v>
      </c>
      <c r="I32" s="134">
        <f ca="1">SUMIFS('monthly calculations (1)'!$L$6:$L$365,'monthly calculations (1)'!$C$6:$C$365,'output table (1)'!$B32,'monthly calculations (1)'!$AM$6:$AM$365, 1)</f>
        <v>0</v>
      </c>
      <c r="J32" s="134">
        <f ca="1">SUMIFS('monthly calculations (1)'!$N$6:$N$365,'monthly calculations (1)'!$C$6:$C$365,'output table (1)'!$B32,'monthly calculations (1)'!$AM$6:$AM$365, 1)</f>
        <v>0</v>
      </c>
      <c r="K32" s="135">
        <f t="shared" ca="1" si="2"/>
        <v>0</v>
      </c>
      <c r="L32" s="136">
        <f t="shared" ca="1" si="2"/>
        <v>0</v>
      </c>
      <c r="M32" s="136">
        <f t="shared" ca="1" si="3"/>
        <v>0</v>
      </c>
      <c r="N32" s="137">
        <f ca="1">SUMIFS('monthly calculations (1)'!$U$6:$U$365,'monthly calculations (1)'!$C$6:$C$365,'output table (1)'!$B32,'monthly calculations (1)'!$AM$6:$AM$365, 1)</f>
        <v>0</v>
      </c>
      <c r="O32" s="134">
        <f ca="1">SUMIFS('monthly calculations (1)'!$V$6:$V$365,'monthly calculations (1)'!$C$6:$C$365,'output table (1)'!$B32,'monthly calculations (1)'!$AM$6:$AM$365, 1)</f>
        <v>0</v>
      </c>
      <c r="P32" s="137">
        <f t="shared" ca="1" si="0"/>
        <v>0</v>
      </c>
      <c r="Q32" s="134">
        <f ca="1">SUMIFS('monthly calculations (1)'!$W$6:$W$365,'monthly calculations (1)'!$C$6:$C$365,'output table (1)'!$B32,'monthly calculations (1)'!$AM$6:$AM$365, 1)</f>
        <v>0</v>
      </c>
      <c r="R32" s="134">
        <f ca="1">SUMIFS('monthly calculations (1)'!$AA$6:$AA$365,'monthly calculations (1)'!$C$6:$C$365,'output table (1)'!$B32,'monthly calculations (1)'!$AM$6:$AM$365, 1)</f>
        <v>0</v>
      </c>
      <c r="S32" s="134">
        <f ca="1">SUMIFS('monthly calculations (1)'!$AE$6:$AE$365,'monthly calculations (1)'!$C$6:$C$365,'output table (1)'!$B32,'monthly calculations (1)'!$AM$6:$AM$365, 1)</f>
        <v>0</v>
      </c>
      <c r="T32" s="137">
        <f t="shared" ca="1" si="1"/>
        <v>0</v>
      </c>
      <c r="U32" s="134">
        <f ca="1">SUMIF('monthly calculations (1)'!$C$6:$C$365,'output table (1)'!$B32,'monthly calculations (1)'!AH30:AH389)</f>
        <v>0</v>
      </c>
      <c r="V32" s="134">
        <f ca="1">SUMIFS('monthly calculations (1)'!$AK$6:$AK$365,'monthly calculations (1)'!$C$6:$C$365,'output table (1)'!$B32,'monthly calculations (1)'!$AM$6:$AM$365, 1)</f>
        <v>0</v>
      </c>
      <c r="W32" s="137">
        <f ca="1">SUMIFS('monthly calculations (1)'!$AL$6:$AL$365,'monthly calculations (1)'!$C$6:$C$365,'output table (1)'!$B32,'monthly calculations (1)'!$AM$6:$AM$365, 1)</f>
        <v>0</v>
      </c>
      <c r="X32" s="134">
        <f ca="1">OFFSET('monthly calculations (1)'!$AO$5,             MATCH(DATE($B32,12,1),   'monthly calculations (1)'!$B$6:$B$365,  0),                  0)</f>
        <v>2329073.2544940379</v>
      </c>
      <c r="Y32" s="134">
        <f ca="1">OFFSET('monthly calculations (1)'!$AQ$5,             MATCH(DATE($B32,12,1),   'monthly calculations (1)'!$B$6:$B$365,  0),                  0)</f>
        <v>1563458.398389671</v>
      </c>
    </row>
    <row r="33" spans="2:29" x14ac:dyDescent="0.25">
      <c r="B33" s="77">
        <f t="shared" si="4"/>
        <v>2046</v>
      </c>
      <c r="C33" s="138">
        <f ca="1">IFERROR(AVERAGEIFS('monthly calculations (1)'!$D$6:$D$365,'monthly calculations (1)'!$C$6:$C$365,'output table (1)'!$B33,'monthly calculations (1)'!$AM$6:$AM$365, 1),0)</f>
        <v>0</v>
      </c>
      <c r="D33" s="94">
        <f ca="1">SUMIFS('monthly calculations (1)'!$E$6:$E$365,'monthly calculations (1)'!$C$6:$C$365,'output table (1)'!$B33,'monthly calculations (1)'!$AM$6:$AM$365, 1)</f>
        <v>0</v>
      </c>
      <c r="E33" s="11">
        <f ca="1">SUMIFS('monthly calculations (1)'!$F$6:$F$365,'monthly calculations (1)'!$C$6:$C$365,'output table (1)'!$B33,'monthly calculations (1)'!$AM$6:$AM$365, 1)</f>
        <v>0</v>
      </c>
      <c r="F33" s="11">
        <f ca="1">SUMIFS('monthly calculations (1)'!$G$6:$G$365,'monthly calculations (1)'!$C$6:$C$365,'output table (1)'!$B33,'monthly calculations (1)'!$AM$6:$AM$365, 1)</f>
        <v>0</v>
      </c>
      <c r="G33" s="11">
        <f ca="1">SUMIFS('monthly calculations (1)'!$H$6:$H$365,'monthly calculations (1)'!$C$6:$C$365,'output table (1)'!$B33,'monthly calculations (1)'!$AM$6:$AM$365, 1)</f>
        <v>0</v>
      </c>
      <c r="H33" s="11">
        <f ca="1">SUMIFS('monthly calculations (1)'!$K$6:$K$365,'monthly calculations (1)'!$C$6:$C$365,'output table (1)'!$B33,'monthly calculations (1)'!$AM$6:$AM$365, 1)</f>
        <v>0</v>
      </c>
      <c r="I33" s="11">
        <f ca="1">SUMIFS('monthly calculations (1)'!$L$6:$L$365,'monthly calculations (1)'!$C$6:$C$365,'output table (1)'!$B33,'monthly calculations (1)'!$AM$6:$AM$365, 1)</f>
        <v>0</v>
      </c>
      <c r="J33" s="11">
        <f ca="1">SUMIFS('monthly calculations (1)'!$N$6:$N$365,'monthly calculations (1)'!$C$6:$C$365,'output table (1)'!$B33,'monthly calculations (1)'!$AM$6:$AM$365, 1)</f>
        <v>0</v>
      </c>
      <c r="K33" s="91">
        <f t="shared" ca="1" si="2"/>
        <v>0</v>
      </c>
      <c r="L33" s="33">
        <f t="shared" ca="1" si="2"/>
        <v>0</v>
      </c>
      <c r="M33" s="33">
        <f t="shared" ca="1" si="3"/>
        <v>0</v>
      </c>
      <c r="N33" s="94">
        <f ca="1">SUMIFS('monthly calculations (1)'!$U$6:$U$365,'monthly calculations (1)'!$C$6:$C$365,'output table (1)'!$B33,'monthly calculations (1)'!$AM$6:$AM$365, 1)</f>
        <v>0</v>
      </c>
      <c r="O33" s="11">
        <f ca="1">SUMIFS('monthly calculations (1)'!$V$6:$V$365,'monthly calculations (1)'!$C$6:$C$365,'output table (1)'!$B33,'monthly calculations (1)'!$AM$6:$AM$365, 1)</f>
        <v>0</v>
      </c>
      <c r="P33" s="94">
        <f t="shared" ca="1" si="0"/>
        <v>0</v>
      </c>
      <c r="Q33" s="11">
        <f ca="1">SUMIFS('monthly calculations (1)'!$W$6:$W$365,'monthly calculations (1)'!$C$6:$C$365,'output table (1)'!$B33,'monthly calculations (1)'!$AM$6:$AM$365, 1)</f>
        <v>0</v>
      </c>
      <c r="R33" s="11">
        <f ca="1">SUMIFS('monthly calculations (1)'!$AA$6:$AA$365,'monthly calculations (1)'!$C$6:$C$365,'output table (1)'!$B33,'monthly calculations (1)'!$AM$6:$AM$365, 1)</f>
        <v>0</v>
      </c>
      <c r="S33" s="11">
        <f ca="1">SUMIFS('monthly calculations (1)'!$AE$6:$AE$365,'monthly calculations (1)'!$C$6:$C$365,'output table (1)'!$B33,'monthly calculations (1)'!$AM$6:$AM$365, 1)</f>
        <v>0</v>
      </c>
      <c r="T33" s="94">
        <f t="shared" ca="1" si="1"/>
        <v>0</v>
      </c>
      <c r="U33" s="11">
        <f ca="1">SUMIF('monthly calculations (1)'!$C$6:$C$365,'output table (1)'!$B33,'monthly calculations (1)'!AH31:AH390)</f>
        <v>0</v>
      </c>
      <c r="V33" s="11">
        <f ca="1">SUMIFS('monthly calculations (1)'!$AK$6:$AK$365,'monthly calculations (1)'!$C$6:$C$365,'output table (1)'!$B33,'monthly calculations (1)'!$AM$6:$AM$365, 1)</f>
        <v>0</v>
      </c>
      <c r="W33" s="94">
        <f ca="1">SUMIFS('monthly calculations (1)'!$AL$6:$AL$365,'monthly calculations (1)'!$C$6:$C$365,'output table (1)'!$B33,'monthly calculations (1)'!$AM$6:$AM$365, 1)</f>
        <v>0</v>
      </c>
      <c r="X33" s="11">
        <f ca="1">OFFSET('monthly calculations (1)'!$AO$5,             MATCH(DATE($B33,12,1),   'monthly calculations (1)'!$B$6:$B$365,  0),                  0)</f>
        <v>2329073.2544940379</v>
      </c>
      <c r="Y33" s="11">
        <f ca="1">OFFSET('monthly calculations (1)'!$AQ$5,             MATCH(DATE($B33,12,1),   'monthly calculations (1)'!$B$6:$B$365,  0),                  0)</f>
        <v>1563458.398389671</v>
      </c>
    </row>
    <row r="34" spans="2:29" x14ac:dyDescent="0.25">
      <c r="B34" s="77">
        <f t="shared" si="4"/>
        <v>2047</v>
      </c>
      <c r="C34" s="138">
        <f ca="1">IFERROR(AVERAGEIFS('monthly calculations (1)'!$D$6:$D$365,'monthly calculations (1)'!$C$6:$C$365,'output table (1)'!$B34,'monthly calculations (1)'!$AM$6:$AM$365, 1),0)</f>
        <v>0</v>
      </c>
      <c r="D34" s="94">
        <f ca="1">SUMIFS('monthly calculations (1)'!$E$6:$E$365,'monthly calculations (1)'!$C$6:$C$365,'output table (1)'!$B34,'monthly calculations (1)'!$AM$6:$AM$365, 1)</f>
        <v>0</v>
      </c>
      <c r="E34" s="11">
        <f ca="1">SUMIFS('monthly calculations (1)'!$F$6:$F$365,'monthly calculations (1)'!$C$6:$C$365,'output table (1)'!$B34,'monthly calculations (1)'!$AM$6:$AM$365, 1)</f>
        <v>0</v>
      </c>
      <c r="F34" s="11">
        <f ca="1">SUMIFS('monthly calculations (1)'!$G$6:$G$365,'monthly calculations (1)'!$C$6:$C$365,'output table (1)'!$B34,'monthly calculations (1)'!$AM$6:$AM$365, 1)</f>
        <v>0</v>
      </c>
      <c r="G34" s="11">
        <f ca="1">SUMIFS('monthly calculations (1)'!$H$6:$H$365,'monthly calculations (1)'!$C$6:$C$365,'output table (1)'!$B34,'monthly calculations (1)'!$AM$6:$AM$365, 1)</f>
        <v>0</v>
      </c>
      <c r="H34" s="11">
        <f ca="1">SUMIFS('monthly calculations (1)'!$K$6:$K$365,'monthly calculations (1)'!$C$6:$C$365,'output table (1)'!$B34,'monthly calculations (1)'!$AM$6:$AM$365, 1)</f>
        <v>0</v>
      </c>
      <c r="I34" s="11">
        <f ca="1">SUMIFS('monthly calculations (1)'!$L$6:$L$365,'monthly calculations (1)'!$C$6:$C$365,'output table (1)'!$B34,'monthly calculations (1)'!$AM$6:$AM$365, 1)</f>
        <v>0</v>
      </c>
      <c r="J34" s="11">
        <f ca="1">SUMIFS('monthly calculations (1)'!$N$6:$N$365,'monthly calculations (1)'!$C$6:$C$365,'output table (1)'!$B34,'monthly calculations (1)'!$AM$6:$AM$365, 1)</f>
        <v>0</v>
      </c>
      <c r="K34" s="91">
        <f t="shared" ca="1" si="2"/>
        <v>0</v>
      </c>
      <c r="L34" s="33">
        <f t="shared" ca="1" si="2"/>
        <v>0</v>
      </c>
      <c r="M34" s="33">
        <f t="shared" ca="1" si="3"/>
        <v>0</v>
      </c>
      <c r="N34" s="94">
        <f ca="1">SUMIFS('monthly calculations (1)'!$U$6:$U$365,'monthly calculations (1)'!$C$6:$C$365,'output table (1)'!$B34,'monthly calculations (1)'!$AM$6:$AM$365, 1)</f>
        <v>0</v>
      </c>
      <c r="O34" s="11">
        <f ca="1">SUMIFS('monthly calculations (1)'!$V$6:$V$365,'monthly calculations (1)'!$C$6:$C$365,'output table (1)'!$B34,'monthly calculations (1)'!$AM$6:$AM$365, 1)</f>
        <v>0</v>
      </c>
      <c r="P34" s="94">
        <f t="shared" ca="1" si="0"/>
        <v>0</v>
      </c>
      <c r="Q34" s="11">
        <f ca="1">SUMIFS('monthly calculations (1)'!$W$6:$W$365,'monthly calculations (1)'!$C$6:$C$365,'output table (1)'!$B34,'monthly calculations (1)'!$AM$6:$AM$365, 1)</f>
        <v>0</v>
      </c>
      <c r="R34" s="11">
        <f ca="1">SUMIFS('monthly calculations (1)'!$AA$6:$AA$365,'monthly calculations (1)'!$C$6:$C$365,'output table (1)'!$B34,'monthly calculations (1)'!$AM$6:$AM$365, 1)</f>
        <v>0</v>
      </c>
      <c r="S34" s="11">
        <f ca="1">SUMIFS('monthly calculations (1)'!$AE$6:$AE$365,'monthly calculations (1)'!$C$6:$C$365,'output table (1)'!$B34,'monthly calculations (1)'!$AM$6:$AM$365, 1)</f>
        <v>0</v>
      </c>
      <c r="T34" s="94">
        <f t="shared" ca="1" si="1"/>
        <v>0</v>
      </c>
      <c r="U34" s="11">
        <f ca="1">SUMIF('monthly calculations (1)'!$C$6:$C$365,'output table (1)'!$B34,'monthly calculations (1)'!AH32:AH391)</f>
        <v>0</v>
      </c>
      <c r="V34" s="11">
        <f ca="1">SUMIFS('monthly calculations (1)'!$AK$6:$AK$365,'monthly calculations (1)'!$C$6:$C$365,'output table (1)'!$B34,'monthly calculations (1)'!$AM$6:$AM$365, 1)</f>
        <v>0</v>
      </c>
      <c r="W34" s="94">
        <f ca="1">SUMIFS('monthly calculations (1)'!$AL$6:$AL$365,'monthly calculations (1)'!$C$6:$C$365,'output table (1)'!$B34,'monthly calculations (1)'!$AM$6:$AM$365, 1)</f>
        <v>0</v>
      </c>
      <c r="X34" s="11">
        <f ca="1">OFFSET('monthly calculations (1)'!$AO$5,             MATCH(DATE($B34,12,1),   'monthly calculations (1)'!$B$6:$B$365,  0),                  0)</f>
        <v>2329073.2544940379</v>
      </c>
      <c r="Y34" s="11">
        <f ca="1">OFFSET('monthly calculations (1)'!$AQ$5,             MATCH(DATE($B34,12,1),   'monthly calculations (1)'!$B$6:$B$365,  0),                  0)</f>
        <v>1563458.398389671</v>
      </c>
    </row>
    <row r="35" spans="2:29" x14ac:dyDescent="0.25">
      <c r="B35" s="77">
        <f t="shared" si="4"/>
        <v>2048</v>
      </c>
      <c r="C35" s="138">
        <f ca="1">IFERROR(AVERAGEIFS('monthly calculations (1)'!$D$6:$D$365,'monthly calculations (1)'!$C$6:$C$365,'output table (1)'!$B35,'monthly calculations (1)'!$AM$6:$AM$365, 1),0)</f>
        <v>0</v>
      </c>
      <c r="D35" s="94">
        <f ca="1">SUMIFS('monthly calculations (1)'!$E$6:$E$365,'monthly calculations (1)'!$C$6:$C$365,'output table (1)'!$B35,'monthly calculations (1)'!$AM$6:$AM$365, 1)</f>
        <v>0</v>
      </c>
      <c r="E35" s="11">
        <f ca="1">SUMIFS('monthly calculations (1)'!$F$6:$F$365,'monthly calculations (1)'!$C$6:$C$365,'output table (1)'!$B35,'monthly calculations (1)'!$AM$6:$AM$365, 1)</f>
        <v>0</v>
      </c>
      <c r="F35" s="11">
        <f ca="1">SUMIFS('monthly calculations (1)'!$G$6:$G$365,'monthly calculations (1)'!$C$6:$C$365,'output table (1)'!$B35,'monthly calculations (1)'!$AM$6:$AM$365, 1)</f>
        <v>0</v>
      </c>
      <c r="G35" s="11">
        <f ca="1">SUMIFS('monthly calculations (1)'!$H$6:$H$365,'monthly calculations (1)'!$C$6:$C$365,'output table (1)'!$B35,'monthly calculations (1)'!$AM$6:$AM$365, 1)</f>
        <v>0</v>
      </c>
      <c r="H35" s="11">
        <f ca="1">SUMIFS('monthly calculations (1)'!$K$6:$K$365,'monthly calculations (1)'!$C$6:$C$365,'output table (1)'!$B35,'monthly calculations (1)'!$AM$6:$AM$365, 1)</f>
        <v>0</v>
      </c>
      <c r="I35" s="11">
        <f ca="1">SUMIFS('monthly calculations (1)'!$L$6:$L$365,'monthly calculations (1)'!$C$6:$C$365,'output table (1)'!$B35,'monthly calculations (1)'!$AM$6:$AM$365, 1)</f>
        <v>0</v>
      </c>
      <c r="J35" s="11">
        <f ca="1">SUMIFS('monthly calculations (1)'!$N$6:$N$365,'monthly calculations (1)'!$C$6:$C$365,'output table (1)'!$B35,'monthly calculations (1)'!$AM$6:$AM$365, 1)</f>
        <v>0</v>
      </c>
      <c r="K35" s="91">
        <f t="shared" ca="1" si="2"/>
        <v>0</v>
      </c>
      <c r="L35" s="33">
        <f t="shared" ca="1" si="2"/>
        <v>0</v>
      </c>
      <c r="M35" s="33">
        <f t="shared" ca="1" si="3"/>
        <v>0</v>
      </c>
      <c r="N35" s="94">
        <f ca="1">SUMIFS('monthly calculations (1)'!$U$6:$U$365,'monthly calculations (1)'!$C$6:$C$365,'output table (1)'!$B35,'monthly calculations (1)'!$AM$6:$AM$365, 1)</f>
        <v>0</v>
      </c>
      <c r="O35" s="11">
        <f ca="1">SUMIFS('monthly calculations (1)'!$V$6:$V$365,'monthly calculations (1)'!$C$6:$C$365,'output table (1)'!$B35,'monthly calculations (1)'!$AM$6:$AM$365, 1)</f>
        <v>0</v>
      </c>
      <c r="P35" s="94">
        <f t="shared" ca="1" si="0"/>
        <v>0</v>
      </c>
      <c r="Q35" s="11">
        <f ca="1">SUMIFS('monthly calculations (1)'!$W$6:$W$365,'monthly calculations (1)'!$C$6:$C$365,'output table (1)'!$B35,'monthly calculations (1)'!$AM$6:$AM$365, 1)</f>
        <v>0</v>
      </c>
      <c r="R35" s="11">
        <f ca="1">SUMIFS('monthly calculations (1)'!$AA$6:$AA$365,'monthly calculations (1)'!$C$6:$C$365,'output table (1)'!$B35,'monthly calculations (1)'!$AM$6:$AM$365, 1)</f>
        <v>0</v>
      </c>
      <c r="S35" s="11">
        <f ca="1">SUMIFS('monthly calculations (1)'!$AE$6:$AE$365,'monthly calculations (1)'!$C$6:$C$365,'output table (1)'!$B35,'monthly calculations (1)'!$AM$6:$AM$365, 1)</f>
        <v>0</v>
      </c>
      <c r="T35" s="94">
        <f t="shared" ca="1" si="1"/>
        <v>0</v>
      </c>
      <c r="U35" s="11">
        <f ca="1">SUMIF('monthly calculations (1)'!$C$6:$C$365,'output table (1)'!$B35,'monthly calculations (1)'!AH33:AH392)</f>
        <v>0</v>
      </c>
      <c r="V35" s="11">
        <f ca="1">SUMIFS('monthly calculations (1)'!$AK$6:$AK$365,'monthly calculations (1)'!$C$6:$C$365,'output table (1)'!$B35,'monthly calculations (1)'!$AM$6:$AM$365, 1)</f>
        <v>0</v>
      </c>
      <c r="W35" s="94">
        <f ca="1">SUMIFS('monthly calculations (1)'!$AL$6:$AL$365,'monthly calculations (1)'!$C$6:$C$365,'output table (1)'!$B35,'monthly calculations (1)'!$AM$6:$AM$365, 1)</f>
        <v>0</v>
      </c>
      <c r="X35" s="11">
        <f ca="1">OFFSET('monthly calculations (1)'!$AO$5,             MATCH(DATE($B35,12,1),   'monthly calculations (1)'!$B$6:$B$365,  0),                  0)</f>
        <v>2329073.2544940379</v>
      </c>
      <c r="Y35" s="11">
        <f ca="1">OFFSET('monthly calculations (1)'!$AQ$5,             MATCH(DATE($B35,12,1),   'monthly calculations (1)'!$B$6:$B$365,  0),                  0)</f>
        <v>1563458.398389671</v>
      </c>
    </row>
    <row r="36" spans="2:29" x14ac:dyDescent="0.25">
      <c r="B36" s="77">
        <f t="shared" si="4"/>
        <v>2049</v>
      </c>
      <c r="C36" s="138">
        <f ca="1">IFERROR(AVERAGEIFS('monthly calculations (1)'!$D$6:$D$365,'monthly calculations (1)'!$C$6:$C$365,'output table (1)'!$B36,'monthly calculations (1)'!$AM$6:$AM$365, 1),0)</f>
        <v>0</v>
      </c>
      <c r="D36" s="94">
        <f ca="1">SUMIFS('monthly calculations (1)'!$E$6:$E$365,'monthly calculations (1)'!$C$6:$C$365,'output table (1)'!$B36,'monthly calculations (1)'!$AM$6:$AM$365, 1)</f>
        <v>0</v>
      </c>
      <c r="E36" s="11">
        <f ca="1">SUMIFS('monthly calculations (1)'!$F$6:$F$365,'monthly calculations (1)'!$C$6:$C$365,'output table (1)'!$B36,'monthly calculations (1)'!$AM$6:$AM$365, 1)</f>
        <v>0</v>
      </c>
      <c r="F36" s="11">
        <f ca="1">SUMIFS('monthly calculations (1)'!$G$6:$G$365,'monthly calculations (1)'!$C$6:$C$365,'output table (1)'!$B36,'monthly calculations (1)'!$AM$6:$AM$365, 1)</f>
        <v>0</v>
      </c>
      <c r="G36" s="11">
        <f ca="1">SUMIFS('monthly calculations (1)'!$H$6:$H$365,'monthly calculations (1)'!$C$6:$C$365,'output table (1)'!$B36,'monthly calculations (1)'!$AM$6:$AM$365, 1)</f>
        <v>0</v>
      </c>
      <c r="H36" s="11">
        <f ca="1">SUMIFS('monthly calculations (1)'!$K$6:$K$365,'monthly calculations (1)'!$C$6:$C$365,'output table (1)'!$B36,'monthly calculations (1)'!$AM$6:$AM$365, 1)</f>
        <v>0</v>
      </c>
      <c r="I36" s="11">
        <f ca="1">SUMIFS('monthly calculations (1)'!$L$6:$L$365,'monthly calculations (1)'!$C$6:$C$365,'output table (1)'!$B36,'monthly calculations (1)'!$AM$6:$AM$365, 1)</f>
        <v>0</v>
      </c>
      <c r="J36" s="11">
        <f ca="1">SUMIFS('monthly calculations (1)'!$N$6:$N$365,'monthly calculations (1)'!$C$6:$C$365,'output table (1)'!$B36,'monthly calculations (1)'!$AM$6:$AM$365, 1)</f>
        <v>0</v>
      </c>
      <c r="K36" s="91">
        <f t="shared" ca="1" si="2"/>
        <v>0</v>
      </c>
      <c r="L36" s="33">
        <f t="shared" ca="1" si="2"/>
        <v>0</v>
      </c>
      <c r="M36" s="33">
        <f t="shared" ca="1" si="3"/>
        <v>0</v>
      </c>
      <c r="N36" s="94">
        <f ca="1">SUMIFS('monthly calculations (1)'!$U$6:$U$365,'monthly calculations (1)'!$C$6:$C$365,'output table (1)'!$B36,'monthly calculations (1)'!$AM$6:$AM$365, 1)</f>
        <v>0</v>
      </c>
      <c r="O36" s="11">
        <f ca="1">SUMIFS('monthly calculations (1)'!$V$6:$V$365,'monthly calculations (1)'!$C$6:$C$365,'output table (1)'!$B36,'monthly calculations (1)'!$AM$6:$AM$365, 1)</f>
        <v>0</v>
      </c>
      <c r="P36" s="94">
        <f t="shared" ca="1" si="0"/>
        <v>0</v>
      </c>
      <c r="Q36" s="11">
        <f ca="1">SUMIFS('monthly calculations (1)'!$W$6:$W$365,'monthly calculations (1)'!$C$6:$C$365,'output table (1)'!$B36,'monthly calculations (1)'!$AM$6:$AM$365, 1)</f>
        <v>0</v>
      </c>
      <c r="R36" s="11">
        <f ca="1">SUMIFS('monthly calculations (1)'!$AA$6:$AA$365,'monthly calculations (1)'!$C$6:$C$365,'output table (1)'!$B36,'monthly calculations (1)'!$AM$6:$AM$365, 1)</f>
        <v>0</v>
      </c>
      <c r="S36" s="11">
        <f ca="1">SUMIFS('monthly calculations (1)'!$AE$6:$AE$365,'monthly calculations (1)'!$C$6:$C$365,'output table (1)'!$B36,'monthly calculations (1)'!$AM$6:$AM$365, 1)</f>
        <v>0</v>
      </c>
      <c r="T36" s="94">
        <f t="shared" ca="1" si="1"/>
        <v>0</v>
      </c>
      <c r="U36" s="11">
        <f>SUMIF('monthly calculations (1)'!$C$6:$C$365,'output table (1)'!$B36,'monthly calculations (1)'!AH34:AH393)</f>
        <v>0</v>
      </c>
      <c r="V36" s="11">
        <f ca="1">SUMIFS('monthly calculations (1)'!$AK$6:$AK$365,'monthly calculations (1)'!$C$6:$C$365,'output table (1)'!$B36,'monthly calculations (1)'!$AM$6:$AM$365, 1)</f>
        <v>0</v>
      </c>
      <c r="W36" s="94">
        <f ca="1">SUMIFS('monthly calculations (1)'!$AL$6:$AL$365,'monthly calculations (1)'!$C$6:$C$365,'output table (1)'!$B36,'monthly calculations (1)'!$AM$6:$AM$365, 1)</f>
        <v>0</v>
      </c>
      <c r="X36" s="11">
        <f ca="1">OFFSET('monthly calculations (1)'!$AO$5,             MATCH(DATE($B36,12,1),   'monthly calculations (1)'!$B$6:$B$365,  0),                  0)</f>
        <v>2329073.2544940379</v>
      </c>
      <c r="Y36" s="11">
        <f ca="1">OFFSET('monthly calculations (1)'!$AQ$5,             MATCH(DATE($B36,12,1),   'monthly calculations (1)'!$B$6:$B$365,  0),                  0)</f>
        <v>1563458.398389671</v>
      </c>
    </row>
    <row r="37" spans="2:29" ht="16.5" thickBot="1" x14ac:dyDescent="0.3">
      <c r="B37" s="83">
        <f t="shared" si="4"/>
        <v>2050</v>
      </c>
      <c r="C37" s="140">
        <f ca="1">IFERROR(AVERAGEIFS('monthly calculations (1)'!$D$6:$D$365,'monthly calculations (1)'!$C$6:$C$365,'output table (1)'!$B37,'monthly calculations (1)'!$AM$6:$AM$365, 1),0)</f>
        <v>0</v>
      </c>
      <c r="D37" s="95">
        <f ca="1">SUMIFS('monthly calculations (1)'!$E$6:$E$365,'monthly calculations (1)'!$C$6:$C$365,'output table (1)'!$B37,'monthly calculations (1)'!$AM$6:$AM$365, 1)</f>
        <v>0</v>
      </c>
      <c r="E37" s="84">
        <f ca="1">SUMIFS('monthly calculations (1)'!$F$6:$F$365,'monthly calculations (1)'!$C$6:$C$365,'output table (1)'!$B37,'monthly calculations (1)'!$AM$6:$AM$365, 1)</f>
        <v>0</v>
      </c>
      <c r="F37" s="84">
        <f ca="1">SUMIFS('monthly calculations (1)'!$G$6:$G$365,'monthly calculations (1)'!$C$6:$C$365,'output table (1)'!$B37,'monthly calculations (1)'!$AM$6:$AM$365, 1)</f>
        <v>0</v>
      </c>
      <c r="G37" s="84">
        <f ca="1">SUMIFS('monthly calculations (1)'!$H$6:$H$365,'monthly calculations (1)'!$C$6:$C$365,'output table (1)'!$B37,'monthly calculations (1)'!$AM$6:$AM$365, 1)</f>
        <v>0</v>
      </c>
      <c r="H37" s="84">
        <f ca="1">SUMIFS('monthly calculations (1)'!$K$6:$K$365,'monthly calculations (1)'!$C$6:$C$365,'output table (1)'!$B37,'monthly calculations (1)'!$AM$6:$AM$365, 1)</f>
        <v>0</v>
      </c>
      <c r="I37" s="84">
        <f ca="1">SUMIFS('monthly calculations (1)'!$L$6:$L$365,'monthly calculations (1)'!$C$6:$C$365,'output table (1)'!$B37,'monthly calculations (1)'!$AM$6:$AM$365, 1)</f>
        <v>0</v>
      </c>
      <c r="J37" s="84">
        <f ca="1">SUMIFS('monthly calculations (1)'!$N$6:$N$365,'monthly calculations (1)'!$C$6:$C$365,'output table (1)'!$B37,'monthly calculations (1)'!$AM$6:$AM$365, 1)</f>
        <v>0</v>
      </c>
      <c r="K37" s="92">
        <f t="shared" ca="1" si="2"/>
        <v>0</v>
      </c>
      <c r="L37" s="85">
        <f t="shared" ca="1" si="2"/>
        <v>0</v>
      </c>
      <c r="M37" s="85">
        <f t="shared" ca="1" si="3"/>
        <v>0</v>
      </c>
      <c r="N37" s="95">
        <f ca="1">SUMIFS('monthly calculations (1)'!$U$6:$U$365,'monthly calculations (1)'!$C$6:$C$365,'output table (1)'!$B37,'monthly calculations (1)'!$AM$6:$AM$365, 1)</f>
        <v>0</v>
      </c>
      <c r="O37" s="84">
        <f ca="1">SUMIFS('monthly calculations (1)'!$V$6:$V$365,'monthly calculations (1)'!$C$6:$C$365,'output table (1)'!$B37,'monthly calculations (1)'!$AM$6:$AM$365, 1)</f>
        <v>0</v>
      </c>
      <c r="P37" s="95">
        <f t="shared" ca="1" si="0"/>
        <v>0</v>
      </c>
      <c r="Q37" s="84">
        <f ca="1">SUMIFS('monthly calculations (1)'!$W$6:$W$365,'monthly calculations (1)'!$C$6:$C$365,'output table (1)'!$B37,'monthly calculations (1)'!$AM$6:$AM$365, 1)</f>
        <v>0</v>
      </c>
      <c r="R37" s="84">
        <f ca="1">SUMIFS('monthly calculations (1)'!$AA$6:$AA$365,'monthly calculations (1)'!$C$6:$C$365,'output table (1)'!$B37,'monthly calculations (1)'!$AM$6:$AM$365, 1)</f>
        <v>0</v>
      </c>
      <c r="S37" s="84">
        <f ca="1">SUMIFS('monthly calculations (1)'!$AE$6:$AE$365,'monthly calculations (1)'!$C$6:$C$365,'output table (1)'!$B37,'monthly calculations (1)'!$AM$6:$AM$365, 1)</f>
        <v>0</v>
      </c>
      <c r="T37" s="95">
        <f t="shared" ca="1" si="1"/>
        <v>0</v>
      </c>
      <c r="U37" s="84">
        <f>SUMIF('monthly calculations (1)'!$C$6:$C$365,'output table (1)'!$B37,'monthly calculations (1)'!AH35:AH394)</f>
        <v>0</v>
      </c>
      <c r="V37" s="84">
        <f ca="1">SUMIFS('monthly calculations (1)'!$AK$6:$AK$365,'monthly calculations (1)'!$C$6:$C$365,'output table (1)'!$B37,'monthly calculations (1)'!$AM$6:$AM$365, 1)</f>
        <v>0</v>
      </c>
      <c r="W37" s="95">
        <f ca="1">SUMIFS('monthly calculations (1)'!$AL$6:$AL$365,'monthly calculations (1)'!$C$6:$C$365,'output table (1)'!$B37,'monthly calculations (1)'!$AM$6:$AM$365, 1)</f>
        <v>0</v>
      </c>
      <c r="X37" s="84">
        <f ca="1">OFFSET('monthly calculations (1)'!$AO$5,             MATCH(DATE($B37,12,1),   'monthly calculations (1)'!$B$6:$B$365,  0),                  0)</f>
        <v>2329073.2544940379</v>
      </c>
      <c r="Y37" s="84">
        <f ca="1">OFFSET('monthly calculations (1)'!$AQ$5,             MATCH(DATE($B37,12,1),   'monthly calculations (1)'!$B$6:$B$365,  0),                  0)</f>
        <v>1563458.398389671</v>
      </c>
    </row>
    <row r="38" spans="2:29" x14ac:dyDescent="0.25">
      <c r="B38" s="86" t="s">
        <v>122</v>
      </c>
      <c r="C38" s="87"/>
      <c r="D38" s="88">
        <f ca="1">SUM(D8:D37)</f>
        <v>69536.733239735462</v>
      </c>
      <c r="E38" s="88">
        <f t="shared" ref="E38:J38" ca="1" si="5">SUM(E8:E37)</f>
        <v>361811.7791263815</v>
      </c>
      <c r="F38" s="88">
        <f t="shared" ca="1" si="5"/>
        <v>18397.206822016309</v>
      </c>
      <c r="G38" s="88">
        <f t="shared" ca="1" si="5"/>
        <v>54271.766868957224</v>
      </c>
      <c r="H38" s="88">
        <f t="shared" ca="1" si="5"/>
        <v>52152.549929801608</v>
      </c>
      <c r="I38" s="88">
        <f t="shared" ca="1" si="5"/>
        <v>203519.12575858957</v>
      </c>
      <c r="J38" s="88">
        <f t="shared" ca="1" si="5"/>
        <v>40703.825151717909</v>
      </c>
      <c r="K38" s="89">
        <f t="shared" ref="K38:L38" ca="1" si="6">N38/H38</f>
        <v>52.500000000000007</v>
      </c>
      <c r="L38" s="89">
        <f t="shared" ca="1" si="6"/>
        <v>2.3275000000000001</v>
      </c>
      <c r="M38" s="89">
        <f t="shared" ref="M38" ca="1" si="7">Q38/J38</f>
        <v>22.000000000000011</v>
      </c>
      <c r="N38" s="88">
        <f t="shared" ref="N38:W38" ca="1" si="8">SUM(N8:N37)</f>
        <v>2738008.8713145847</v>
      </c>
      <c r="O38" s="88">
        <f t="shared" ca="1" si="8"/>
        <v>473690.76520311722</v>
      </c>
      <c r="P38" s="88">
        <f t="shared" ca="1" si="8"/>
        <v>3211699.6365177026</v>
      </c>
      <c r="Q38" s="88">
        <f t="shared" ca="1" si="8"/>
        <v>895484.15333779436</v>
      </c>
      <c r="R38" s="88">
        <f t="shared" ca="1" si="8"/>
        <v>1410000</v>
      </c>
      <c r="S38" s="88">
        <f t="shared" ca="1" si="8"/>
        <v>36794.413644032618</v>
      </c>
      <c r="T38" s="88">
        <f t="shared" ca="1" si="8"/>
        <v>1446794.4136440323</v>
      </c>
      <c r="U38" s="88">
        <f t="shared" ca="1" si="8"/>
        <v>0</v>
      </c>
      <c r="V38" s="88">
        <f t="shared" ca="1" si="8"/>
        <v>331316.12171742669</v>
      </c>
      <c r="W38" s="88">
        <f t="shared" ca="1" si="8"/>
        <v>2329073.254494037</v>
      </c>
      <c r="X38" s="189" t="str">
        <f>"PV "&amp;TEXT(disc_1,"##%")</f>
        <v>PV 10%</v>
      </c>
      <c r="Y38" s="191">
        <f ca="1">Y37</f>
        <v>1563458.398389671</v>
      </c>
    </row>
    <row r="39" spans="2:29" x14ac:dyDescent="0.25">
      <c r="B39" s="122" t="s">
        <v>123</v>
      </c>
      <c r="C39" s="141"/>
      <c r="D39" s="142">
        <f ca="1">D38+D5</f>
        <v>109937.10333953548</v>
      </c>
      <c r="E39" s="142">
        <f ca="1">E38+E5</f>
        <v>497734.97915238148</v>
      </c>
      <c r="F39" s="142">
        <f ca="1">F38+F5</f>
        <v>42982.960038116311</v>
      </c>
      <c r="G39" s="142">
        <f ca="1">G38+G5</f>
        <v>74660.246872766744</v>
      </c>
    </row>
    <row r="40" spans="2:29" x14ac:dyDescent="0.25">
      <c r="B40" s="10"/>
      <c r="C40" s="10"/>
      <c r="D40" s="11"/>
      <c r="E40" s="12"/>
      <c r="V40" s="189" t="s">
        <v>253</v>
      </c>
      <c r="W40" s="190">
        <f ca="1">ABS(MIN('monthly calculations (1)'!AO6:AO365))</f>
        <v>43425.884901228674</v>
      </c>
      <c r="X40" s="189" t="str">
        <f>"PV "&amp;TEXT(disc_2,"##%")</f>
        <v>PV 5%</v>
      </c>
      <c r="Y40" s="191">
        <f ca="1">NPV(disc_2/12,'monthly calculations (1)'!$AN$6:$AN$365)</f>
        <v>1866478.7394210144</v>
      </c>
    </row>
    <row r="41" spans="2:29" x14ac:dyDescent="0.25">
      <c r="B41" s="169"/>
      <c r="C41" s="170" t="s">
        <v>142</v>
      </c>
      <c r="D41" s="171"/>
      <c r="E41" s="172"/>
      <c r="F41" s="173"/>
      <c r="G41" s="174"/>
      <c r="H41" s="18" t="s">
        <v>50</v>
      </c>
      <c r="I41" s="179">
        <f>WI</f>
        <v>1</v>
      </c>
      <c r="J41" s="173"/>
      <c r="K41" s="175" t="s">
        <v>146</v>
      </c>
      <c r="L41" s="175"/>
      <c r="M41" s="175"/>
      <c r="N41" s="173"/>
      <c r="O41" s="173"/>
      <c r="P41" s="173"/>
      <c r="Q41" s="175" t="s">
        <v>32</v>
      </c>
      <c r="R41" s="175"/>
      <c r="S41" s="175"/>
      <c r="T41" s="175"/>
      <c r="V41" s="189" t="s">
        <v>199</v>
      </c>
      <c r="W41" s="192" t="str">
        <f ca="1">TEXT(IFERROR(MATCH(0,'monthly calculations (1)'!AO6:AO365)/12,"N/A"),"##.#")&amp;" yrs"</f>
        <v>N/A yrs</v>
      </c>
      <c r="X41" s="189" t="str">
        <f>"PV "&amp;TEXT(disc_3,"##%")</f>
        <v>PV 8%</v>
      </c>
      <c r="Y41" s="191">
        <f ca="1">NPV(disc_3/12,'monthly calculations (1)'!$AN$6:$AN$365)</f>
        <v>1663654.1045080503</v>
      </c>
      <c r="AC41" s="325"/>
    </row>
    <row r="42" spans="2:29" x14ac:dyDescent="0.25">
      <c r="B42" s="168"/>
      <c r="C42" s="176" t="s">
        <v>145</v>
      </c>
      <c r="D42" s="177">
        <f>qi_oil</f>
        <v>100</v>
      </c>
      <c r="E42" s="178">
        <f>qi_gas</f>
        <v>250</v>
      </c>
      <c r="F42" s="173"/>
      <c r="G42" s="173"/>
      <c r="H42" s="18" t="s">
        <v>66</v>
      </c>
      <c r="I42" s="179">
        <f>NRI</f>
        <v>0.75</v>
      </c>
      <c r="J42" s="18"/>
      <c r="K42" s="180">
        <f>pdiff_oil</f>
        <v>0</v>
      </c>
      <c r="L42" s="180">
        <f>pdiff_gas</f>
        <v>-0.1</v>
      </c>
      <c r="M42" s="180">
        <f>pdiff_ngl</f>
        <v>-0.6</v>
      </c>
      <c r="N42" s="173"/>
      <c r="O42" s="173"/>
      <c r="P42" s="173"/>
      <c r="Q42" s="181">
        <f>fixed_month</f>
        <v>1000</v>
      </c>
      <c r="R42" s="173"/>
      <c r="S42" s="173"/>
      <c r="T42" s="174" t="s">
        <v>151</v>
      </c>
      <c r="V42" s="189" t="s">
        <v>148</v>
      </c>
      <c r="W42" s="193">
        <f ca="1">IFERROR(MAX('monthly calculations (1)'!AO6:AO365)/'output table (1)'!W40 +1,"n/a")</f>
        <v>54.633294054720345</v>
      </c>
      <c r="X42" s="189" t="str">
        <f>"PV "&amp;TEXT(disc_4,"##%")</f>
        <v>PV 12%</v>
      </c>
      <c r="Y42" s="191">
        <f ca="1">NPV(disc_4/12,'monthly calculations (1)'!$AN$6:$AN$365)</f>
        <v>1451568.3268745826</v>
      </c>
      <c r="AC42" s="325"/>
    </row>
    <row r="43" spans="2:29" x14ac:dyDescent="0.25">
      <c r="B43" s="168"/>
      <c r="C43" s="176" t="s">
        <v>143</v>
      </c>
      <c r="D43" s="182">
        <f>assumptions!C17</f>
        <v>0.65</v>
      </c>
      <c r="E43" s="183">
        <f>assumptions!D17</f>
        <v>0.35</v>
      </c>
      <c r="F43" s="173"/>
      <c r="G43" s="173"/>
      <c r="H43" s="18" t="s">
        <v>235</v>
      </c>
      <c r="I43" s="320" t="e">
        <f ca="1">OFFSET( 'monthly calculations (1)'!B6, MATCH(1,'monthly calculations (1)'!AV6:AV365,0),0)</f>
        <v>#N/A</v>
      </c>
      <c r="J43" s="18"/>
      <c r="K43" s="184">
        <f>diff_oil</f>
        <v>-2.5</v>
      </c>
      <c r="L43" s="184">
        <f>diff_gas</f>
        <v>-0.25</v>
      </c>
      <c r="M43" s="173"/>
      <c r="N43" s="173"/>
      <c r="O43" s="173"/>
      <c r="P43" s="173"/>
      <c r="Q43" s="181">
        <f>fixed_well</f>
        <v>5000</v>
      </c>
      <c r="R43" s="173"/>
      <c r="S43" s="173"/>
      <c r="T43" s="174" t="s">
        <v>152</v>
      </c>
      <c r="V43" s="189" t="s">
        <v>149</v>
      </c>
      <c r="W43" s="193">
        <f ca="1">IFERROR(MAX('monthly calculations (1)'!AQ6:AQ365)/W40 +1,"n/a")</f>
        <v>37.002913975057197</v>
      </c>
      <c r="X43" s="189" t="str">
        <f>"PV "&amp;TEXT(disc_5,"##%")</f>
        <v>PV 15%</v>
      </c>
      <c r="Y43" s="191">
        <f ca="1">NPV(disc_5/12,'monthly calculations (1)'!$AN$6:$AN$365)</f>
        <v>1324633.2293690171</v>
      </c>
    </row>
    <row r="44" spans="2:29" x14ac:dyDescent="0.25">
      <c r="B44" s="168"/>
      <c r="C44" s="176" t="s">
        <v>9</v>
      </c>
      <c r="D44" s="185">
        <f>b_oil</f>
        <v>1</v>
      </c>
      <c r="E44" s="186">
        <f>b_gas</f>
        <v>1</v>
      </c>
      <c r="F44" s="173"/>
      <c r="G44" s="173"/>
      <c r="H44" s="18" t="s">
        <v>236</v>
      </c>
      <c r="I44" s="319" t="e">
        <f ca="1">TEXT( (I43-as_of )/365, "##.#") &amp; " yrs"</f>
        <v>#N/A</v>
      </c>
      <c r="J44" s="173"/>
      <c r="K44" s="318">
        <f>energy_residue</f>
        <v>950</v>
      </c>
      <c r="L44" s="318" t="s">
        <v>156</v>
      </c>
      <c r="M44" s="318"/>
      <c r="N44" s="173"/>
      <c r="O44" s="173"/>
      <c r="P44" s="173"/>
      <c r="Q44" s="184">
        <f>var_bo</f>
        <v>0</v>
      </c>
      <c r="R44" s="173"/>
      <c r="S44" s="173"/>
      <c r="T44" s="174" t="s">
        <v>153</v>
      </c>
      <c r="V44" s="189" t="s">
        <v>150</v>
      </c>
      <c r="W44" s="194" t="str">
        <f ca="1">IFERROR(IRR('monthly calculations (1)'!AN6:AN365)*12,"n/a")</f>
        <v>n/a</v>
      </c>
      <c r="X44" s="189" t="str">
        <f>"PV "&amp;TEXT(disc_6,"##%")</f>
        <v>PV 18%</v>
      </c>
      <c r="Y44" s="191">
        <f ca="1">NPV(disc_6/12,'monthly calculations (1)'!$AN$6:$AN$365)</f>
        <v>1218254.6812746129</v>
      </c>
    </row>
    <row r="45" spans="2:29" x14ac:dyDescent="0.25">
      <c r="B45" s="168"/>
      <c r="C45" s="176" t="s">
        <v>144</v>
      </c>
      <c r="D45" s="182">
        <f>assumptions!C19</f>
        <v>0.08</v>
      </c>
      <c r="E45" s="182">
        <f>assumptions!D19</f>
        <v>0.06</v>
      </c>
      <c r="F45" s="173"/>
      <c r="G45" s="173"/>
      <c r="H45" s="18" t="s">
        <v>237</v>
      </c>
      <c r="I45" s="179">
        <f>WI_APO</f>
        <v>1</v>
      </c>
      <c r="J45" s="173"/>
      <c r="L45" s="18" t="s">
        <v>157</v>
      </c>
      <c r="M45" s="183">
        <f>shrink_leaseuse+shrink_ngl</f>
        <v>0.25</v>
      </c>
      <c r="N45" s="173"/>
      <c r="O45" s="173"/>
      <c r="P45" s="173"/>
      <c r="Q45" s="184">
        <f>var_mcf</f>
        <v>0</v>
      </c>
      <c r="R45" s="173"/>
      <c r="S45" s="173"/>
      <c r="T45" s="174" t="s">
        <v>154</v>
      </c>
      <c r="V45" s="195" t="s">
        <v>159</v>
      </c>
      <c r="W45" s="196" t="str">
        <f ca="1">TEXT(SUM('monthly calculations (1)'!AM6:AM365)/12,"##.#") &amp; " yrs"</f>
        <v>19.6 yrs</v>
      </c>
      <c r="X45" s="189" t="str">
        <f>"PV "&amp;TEXT(disc_7,"##%")</f>
        <v>PV 20%</v>
      </c>
      <c r="Y45" s="191">
        <f ca="1">NPV(disc_7/12,'monthly calculations (1)'!$AN$6:$AN$365)</f>
        <v>1156498.8909117414</v>
      </c>
    </row>
    <row r="46" spans="2:29" x14ac:dyDescent="0.25">
      <c r="B46" s="168"/>
      <c r="C46" s="168"/>
      <c r="D46" s="187"/>
      <c r="E46" s="188"/>
      <c r="F46" s="173"/>
      <c r="G46" s="173"/>
      <c r="H46" s="18" t="s">
        <v>238</v>
      </c>
      <c r="I46" s="179">
        <f>NRI_APO</f>
        <v>0.75</v>
      </c>
      <c r="J46" s="173"/>
      <c r="L46" s="18" t="s">
        <v>158</v>
      </c>
      <c r="M46" s="173">
        <f>NGL_yield</f>
        <v>150</v>
      </c>
      <c r="N46" s="173"/>
      <c r="O46" s="173"/>
      <c r="P46" s="173"/>
      <c r="Q46" s="184">
        <f>var_bw</f>
        <v>2</v>
      </c>
      <c r="R46" s="173"/>
      <c r="S46" s="173"/>
      <c r="T46" s="174" t="s">
        <v>155</v>
      </c>
      <c r="V46" s="195" t="s">
        <v>160</v>
      </c>
      <c r="W46" s="197">
        <f ca="1">SUM('monthly calculations (1)'!AM6:AM365)*30.43 +as_of</f>
        <v>51348.05</v>
      </c>
      <c r="X46" s="189" t="str">
        <f>"PV "&amp;TEXT(disc_8,"##%")</f>
        <v>PV 25%</v>
      </c>
      <c r="Y46" s="191">
        <f ca="1">NPV(disc_8/12,'monthly calculations (1)'!$AN$6:$AN$365)</f>
        <v>1027001.1157608199</v>
      </c>
    </row>
    <row r="47" spans="2:29" x14ac:dyDescent="0.25">
      <c r="B47" s="10"/>
    </row>
    <row r="48" spans="2:29" x14ac:dyDescent="0.25">
      <c r="B48" s="10"/>
    </row>
    <row r="49" spans="2:5" x14ac:dyDescent="0.25">
      <c r="B49" s="10"/>
      <c r="C49" s="10"/>
      <c r="D49" s="11"/>
      <c r="E49" s="12"/>
    </row>
    <row r="50" spans="2:5" x14ac:dyDescent="0.25">
      <c r="B50" s="10"/>
      <c r="C50" s="10"/>
      <c r="D50" s="11"/>
      <c r="E50" s="12"/>
    </row>
    <row r="51" spans="2:5" x14ac:dyDescent="0.25">
      <c r="B51" s="10"/>
      <c r="C51" s="10"/>
      <c r="D51" s="11"/>
      <c r="E51" s="12"/>
    </row>
  </sheetData>
  <printOptions horizontalCentered="1"/>
  <pageMargins left="0.25" right="0.25" top="0.75" bottom="0.75" header="0.3" footer="0.3"/>
  <pageSetup scale="59" orientation="landscape" verticalDpi="0" r:id="rId1"/>
  <headerFooter>
    <oddFooter>&amp;L&amp;K01+047&amp;D,  &amp;T&amp;R&amp;K01+045 © AAPL 2018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D851D-3975-41AF-B018-8A567C2D2F12}">
  <sheetPr>
    <pageSetUpPr fitToPage="1"/>
  </sheetPr>
  <dimension ref="B1:AA51"/>
  <sheetViews>
    <sheetView showGridLines="0" zoomScale="68" zoomScaleNormal="68" workbookViewId="0"/>
  </sheetViews>
  <sheetFormatPr defaultColWidth="11.125" defaultRowHeight="15.75" x14ac:dyDescent="0.25"/>
  <cols>
    <col min="1" max="1" width="3" style="6" customWidth="1"/>
    <col min="2" max="3" width="10.125" style="2" customWidth="1"/>
    <col min="4" max="4" width="11.25" style="2" customWidth="1"/>
    <col min="5" max="5" width="11.25" style="6" customWidth="1"/>
    <col min="6" max="6" width="11.25" style="6" hidden="1" customWidth="1"/>
    <col min="7" max="7" width="11.25" style="6" customWidth="1"/>
    <col min="8" max="10" width="11.125" style="6"/>
    <col min="11" max="13" width="7.375" style="6" customWidth="1"/>
    <col min="14" max="15" width="12.125" style="6" hidden="1" customWidth="1"/>
    <col min="16" max="17" width="12.125" style="6" customWidth="1"/>
    <col min="18" max="19" width="0" style="6" hidden="1" customWidth="1"/>
    <col min="20" max="22" width="11.125" style="6"/>
    <col min="23" max="25" width="12.125" style="6" customWidth="1"/>
    <col min="26" max="16384" width="11.125" style="6"/>
  </cols>
  <sheetData>
    <row r="1" spans="2:27" ht="23.25" x14ac:dyDescent="0.35">
      <c r="B1" s="1" t="str">
        <f>assumptions!B2</f>
        <v>[Project Name]</v>
      </c>
      <c r="C1" s="1"/>
      <c r="O1" s="38"/>
      <c r="P1" s="38"/>
      <c r="Q1" s="80"/>
      <c r="Y1" s="148" t="str">
        <f>assumptions!B3</f>
        <v>[Subtitle 1, e.g. API number]</v>
      </c>
    </row>
    <row r="2" spans="2:27" s="7" customFormat="1" ht="18.75" x14ac:dyDescent="0.3">
      <c r="B2" s="5" t="s">
        <v>140</v>
      </c>
      <c r="C2" s="5"/>
      <c r="D2" s="3"/>
      <c r="Y2" s="148" t="str">
        <f>assumptions!B4</f>
        <v>[Subtitle 2, e.g. field and reservoir]</v>
      </c>
    </row>
    <row r="3" spans="2:27" s="7" customFormat="1" ht="18.75" x14ac:dyDescent="0.3">
      <c r="B3" s="5" t="str">
        <f>"as of "&amp; TEXT(as_of,"mm/dd/yyyy")</f>
        <v>as of 01/01/2021</v>
      </c>
      <c r="C3" s="5"/>
      <c r="D3" s="3"/>
      <c r="Y3" s="148" t="str">
        <f>assumptions!B5</f>
        <v>[Subtitle 3, e.g. county and state]</v>
      </c>
    </row>
    <row r="4" spans="2:27" s="7" customFormat="1" ht="18.75" x14ac:dyDescent="0.3">
      <c r="B4" s="5"/>
      <c r="Y4" s="148" t="str">
        <f>"Interests of "&amp;assumptions!$D$9</f>
        <v>Interests of [Partner 2]</v>
      </c>
    </row>
    <row r="5" spans="2:27" x14ac:dyDescent="0.25">
      <c r="B5" s="4"/>
      <c r="C5" s="127" t="s">
        <v>121</v>
      </c>
      <c r="D5" s="130">
        <f>'historical production'!D4</f>
        <v>40400.370099800006</v>
      </c>
      <c r="E5" s="130">
        <f>'historical production'!E4</f>
        <v>135923.20002599998</v>
      </c>
      <c r="F5" s="130">
        <f>'historical production'!F4</f>
        <v>24585.753216100002</v>
      </c>
      <c r="G5" s="130">
        <f>'historical production'!G4</f>
        <v>20388.480003809524</v>
      </c>
    </row>
    <row r="6" spans="2:27" x14ac:dyDescent="0.25">
      <c r="C6" s="4"/>
      <c r="D6" s="82" t="s">
        <v>89</v>
      </c>
      <c r="E6" s="82"/>
      <c r="F6" s="82"/>
      <c r="G6" s="82"/>
      <c r="H6" s="82" t="s">
        <v>90</v>
      </c>
      <c r="I6" s="82"/>
      <c r="J6" s="82"/>
      <c r="K6" s="82" t="s">
        <v>91</v>
      </c>
      <c r="L6" s="82"/>
      <c r="M6" s="82"/>
      <c r="N6" s="82" t="s">
        <v>95</v>
      </c>
      <c r="O6" s="82"/>
      <c r="P6" s="82" t="s">
        <v>95</v>
      </c>
      <c r="Q6" s="82"/>
      <c r="R6" s="82" t="s">
        <v>32</v>
      </c>
      <c r="S6" s="82"/>
    </row>
    <row r="7" spans="2:27" ht="48" thickBot="1" x14ac:dyDescent="0.3">
      <c r="B7" s="63" t="s">
        <v>88</v>
      </c>
      <c r="C7" s="15" t="s">
        <v>130</v>
      </c>
      <c r="D7" s="15" t="s">
        <v>19</v>
      </c>
      <c r="E7" s="15" t="s">
        <v>25</v>
      </c>
      <c r="F7" s="15" t="s">
        <v>26</v>
      </c>
      <c r="G7" s="15" t="s">
        <v>27</v>
      </c>
      <c r="H7" s="15" t="s">
        <v>19</v>
      </c>
      <c r="I7" s="15" t="s">
        <v>25</v>
      </c>
      <c r="J7" s="15" t="s">
        <v>103</v>
      </c>
      <c r="K7" s="15" t="s">
        <v>92</v>
      </c>
      <c r="L7" s="15" t="s">
        <v>93</v>
      </c>
      <c r="M7" s="15" t="s">
        <v>125</v>
      </c>
      <c r="N7" s="15" t="s">
        <v>7</v>
      </c>
      <c r="O7" s="15" t="s">
        <v>8</v>
      </c>
      <c r="P7" s="15" t="s">
        <v>141</v>
      </c>
      <c r="Q7" s="15" t="s">
        <v>16</v>
      </c>
      <c r="R7" s="15" t="s">
        <v>96</v>
      </c>
      <c r="S7" s="15" t="s">
        <v>97</v>
      </c>
      <c r="T7" s="15" t="s">
        <v>32</v>
      </c>
      <c r="U7" s="15" t="s">
        <v>71</v>
      </c>
      <c r="V7" s="15" t="s">
        <v>41</v>
      </c>
      <c r="W7" s="15" t="s">
        <v>44</v>
      </c>
      <c r="X7" s="15" t="s">
        <v>94</v>
      </c>
      <c r="Y7" s="15" t="s">
        <v>139</v>
      </c>
    </row>
    <row r="8" spans="2:27" x14ac:dyDescent="0.25">
      <c r="B8" s="77">
        <f>YEAR(as_of)</f>
        <v>2021</v>
      </c>
      <c r="C8" s="138">
        <f ca="1">IFERROR(AVERAGEIFS('monthly calculations (2)'!$D$6:$D$365,'monthly calculations (2)'!$C$6:$C$365,'output table (2)'!$B8,'monthly calculations (2)'!$AM$6:$AM$365, 1),0)</f>
        <v>1</v>
      </c>
      <c r="D8" s="93">
        <f ca="1">SUMIFS('monthly calculations (2)'!$E$6:$E$365,'monthly calculations (2)'!$C$6:$C$365,'output table (2)'!$B8,'monthly calculations (2)'!$AM$6:$AM$365, 1)</f>
        <v>10263.284327327909</v>
      </c>
      <c r="E8" s="11">
        <f ca="1">SUMIFS('monthly calculations (2)'!$F$6:$F$365,'monthly calculations (2)'!$C$6:$C$365,'output table (2)'!$B8,'monthly calculations (2)'!$AM$6:$AM$365, 1)</f>
        <v>44453.354847585353</v>
      </c>
      <c r="F8" s="11">
        <f ca="1">SUMIFS('monthly calculations (2)'!$G$6:$G$365,'monthly calculations (2)'!$C$6:$C$365,'output table (2)'!$B8,'monthly calculations (2)'!$AM$6:$AM$365, 1)</f>
        <v>6387.8662519585341</v>
      </c>
      <c r="G8" s="11">
        <f ca="1">SUMIFS('monthly calculations (2)'!$H$6:$H$365,'monthly calculations (2)'!$C$6:$C$365,'output table (2)'!$B8,'monthly calculations (2)'!$AM$6:$AM$365, 1)</f>
        <v>6668.0032271378041</v>
      </c>
      <c r="H8" s="11">
        <f ca="1">SUMIFS('monthly calculations (2)'!$K$6:$K$365,'monthly calculations (2)'!$C$6:$C$365,'output table (2)'!$B8,'monthly calculations (2)'!$AM$6:$AM$365, 1)</f>
        <v>2565.8210818319772</v>
      </c>
      <c r="I8" s="11">
        <f ca="1">SUMIFS('monthly calculations (2)'!$L$6:$L$365,'monthly calculations (2)'!$C$6:$C$365,'output table (2)'!$B8,'monthly calculations (2)'!$AM$6:$AM$365, 1)</f>
        <v>8335.0040339222542</v>
      </c>
      <c r="J8" s="11">
        <f ca="1">SUMIFS('monthly calculations (2)'!$N$6:$N$365,'monthly calculations (2)'!$C$6:$C$365,'output table (2)'!$B8,'monthly calculations (2)'!$AM$6:$AM$365, 1)</f>
        <v>1667.000806784451</v>
      </c>
      <c r="K8" s="90">
        <f ca="1">IFERROR(N8/H8,0)</f>
        <v>52.5</v>
      </c>
      <c r="L8" s="33">
        <f ca="1">IFERROR(O8/I8,0)</f>
        <v>2.3275000000000001</v>
      </c>
      <c r="M8" s="33">
        <f ca="1">IFERROR(Q8/J8,0)</f>
        <v>21.999999999999996</v>
      </c>
      <c r="N8" s="93">
        <f ca="1">SUMIFS('monthly calculations (2)'!$U$6:$U$365,'monthly calculations (2)'!$C$6:$C$365,'output table (2)'!$B8,'monthly calculations (2)'!$AM$6:$AM$365, 1)</f>
        <v>134705.60679617879</v>
      </c>
      <c r="O8" s="81">
        <f ca="1">SUMIFS('monthly calculations (2)'!$V$6:$V$365,'monthly calculations (2)'!$C$6:$C$365,'output table (2)'!$B8,'monthly calculations (2)'!$AM$6:$AM$365, 1)</f>
        <v>19399.721888954049</v>
      </c>
      <c r="P8" s="93">
        <f t="shared" ref="P8:P37" ca="1" si="0">O8+N8</f>
        <v>154105.32868513284</v>
      </c>
      <c r="Q8" s="81">
        <f ca="1">SUMIFS('monthly calculations (2)'!$W$6:$W$365,'monthly calculations (2)'!$C$6:$C$365,'output table (2)'!$B8,'monthly calculations (2)'!$AM$6:$AM$365, 1)</f>
        <v>36674.017749257917</v>
      </c>
      <c r="R8" s="81">
        <f ca="1">SUMIFS('monthly calculations (2)'!$AA$6:$AA$365,'monthly calculations (2)'!$C$6:$C$365,'output table (2)'!$B8,'monthly calculations (2)'!$AM$6:$AM$365, 1)</f>
        <v>0</v>
      </c>
      <c r="S8" s="81">
        <f ca="1">SUMIFS('monthly calculations (2)'!$AE$6:$AE$365,'monthly calculations (2)'!$C$6:$C$365,'output table (2)'!$B8,'monthly calculations (2)'!$AM$6:$AM$365, 1)</f>
        <v>0</v>
      </c>
      <c r="T8" s="93">
        <f t="shared" ref="T8:T37" ca="1" si="1">S8+R8</f>
        <v>0</v>
      </c>
      <c r="U8" s="81">
        <f ca="1">SUMIF('monthly calculations (2)'!$C$6:$C$365,'output table (2)'!$B8,'monthly calculations (2)'!AH6:AH365)</f>
        <v>0</v>
      </c>
      <c r="V8" s="81">
        <f ca="1">SUMIFS('monthly calculations (2)'!$AK$6:$AK$365,'monthly calculations (2)'!$C$6:$C$365,'output table (2)'!$B8,'monthly calculations (2)'!$AM$6:$AM$365, 1)</f>
        <v>15171.472046349892</v>
      </c>
      <c r="W8" s="93">
        <f ca="1">SUMIFS('monthly calculations (2)'!$AL$6:$AL$365,'monthly calculations (2)'!$C$6:$C$365,'output table (2)'!$B8,'monthly calculations (2)'!$AM$6:$AM$365, 1)</f>
        <v>175607.87438804086</v>
      </c>
      <c r="X8" s="81">
        <f ca="1">OFFSET('monthly calculations (2)'!$AO$5,             MATCH(DATE($B8,12,1),   'monthly calculations (2)'!$B$6:$B$365,  0),                  0)</f>
        <v>175607.87438804086</v>
      </c>
      <c r="Y8" s="81">
        <f ca="1">OFFSET('monthly calculations (2)'!$AQ$5,             MATCH(DATE($B8,12,1),   'monthly calculations (2)'!$B$6:$B$365,  0),                  0)</f>
        <v>168178.31697737525</v>
      </c>
    </row>
    <row r="9" spans="2:27" x14ac:dyDescent="0.25">
      <c r="B9" s="77">
        <f>B8+1</f>
        <v>2022</v>
      </c>
      <c r="C9" s="138">
        <f ca="1">IFERROR(AVERAGEIFS('monthly calculations (2)'!$D$6:$D$365,'monthly calculations (2)'!$C$6:$C$365,'output table (2)'!$B9,'monthly calculations (2)'!$AM$6:$AM$365, 1),0)</f>
        <v>1</v>
      </c>
      <c r="D9" s="198">
        <f ca="1">SUMIFS('monthly calculations (2)'!$E$6:$E$365,'monthly calculations (2)'!$C$6:$C$365,'output table (2)'!$B9,'monthly calculations (2)'!$AM$6:$AM$365, 1)</f>
        <v>7915.3462395781607</v>
      </c>
      <c r="E9" s="11">
        <f ca="1">SUMIFS('monthly calculations (2)'!$F$6:$F$365,'monthly calculations (2)'!$C$6:$C$365,'output table (2)'!$B9,'monthly calculations (2)'!$AM$6:$AM$365, 1)</f>
        <v>36723.39454080406</v>
      </c>
      <c r="F9" s="11">
        <f ca="1">SUMIFS('monthly calculations (2)'!$G$6:$G$365,'monthly calculations (2)'!$C$6:$C$365,'output table (2)'!$B9,'monthly calculations (2)'!$AM$6:$AM$365, 1)</f>
        <v>4163.3282225302846</v>
      </c>
      <c r="G9" s="11">
        <f ca="1">SUMIFS('monthly calculations (2)'!$H$6:$H$365,'monthly calculations (2)'!$C$6:$C$365,'output table (2)'!$B9,'monthly calculations (2)'!$AM$6:$AM$365, 1)</f>
        <v>5508.5091811206075</v>
      </c>
      <c r="H9" s="11">
        <f ca="1">SUMIFS('monthly calculations (2)'!$K$6:$K$365,'monthly calculations (2)'!$C$6:$C$365,'output table (2)'!$B9,'monthly calculations (2)'!$AM$6:$AM$365, 1)</f>
        <v>1978.8365598945402</v>
      </c>
      <c r="I9" s="11">
        <f ca="1">SUMIFS('monthly calculations (2)'!$L$6:$L$365,'monthly calculations (2)'!$C$6:$C$365,'output table (2)'!$B9,'monthly calculations (2)'!$AM$6:$AM$365, 1)</f>
        <v>6885.6364764007612</v>
      </c>
      <c r="J9" s="11">
        <f ca="1">SUMIFS('monthly calculations (2)'!$N$6:$N$365,'monthly calculations (2)'!$C$6:$C$365,'output table (2)'!$B9,'monthly calculations (2)'!$AM$6:$AM$365, 1)</f>
        <v>1377.1272952801519</v>
      </c>
      <c r="K9" s="91">
        <f t="shared" ref="K9:L37" ca="1" si="2">IFERROR(N9/H9,0)</f>
        <v>52.500000000000014</v>
      </c>
      <c r="L9" s="33">
        <f t="shared" ca="1" si="2"/>
        <v>2.3275000000000001</v>
      </c>
      <c r="M9" s="33">
        <f t="shared" ref="M9:M37" ca="1" si="3">IFERROR(Q9/J9,0)</f>
        <v>22.000000000000004</v>
      </c>
      <c r="N9" s="94">
        <f ca="1">SUMIFS('monthly calculations (2)'!$U$6:$U$365,'monthly calculations (2)'!$C$6:$C$365,'output table (2)'!$B9,'monthly calculations (2)'!$AM$6:$AM$365, 1)</f>
        <v>103888.91939446339</v>
      </c>
      <c r="O9" s="11">
        <f ca="1">SUMIFS('monthly calculations (2)'!$V$6:$V$365,'monthly calculations (2)'!$C$6:$C$365,'output table (2)'!$B9,'monthly calculations (2)'!$AM$6:$AM$365, 1)</f>
        <v>16026.318898822774</v>
      </c>
      <c r="P9" s="94">
        <f t="shared" ca="1" si="0"/>
        <v>119915.23829328617</v>
      </c>
      <c r="Q9" s="11">
        <f ca="1">SUMIFS('monthly calculations (2)'!$W$6:$W$365,'monthly calculations (2)'!$C$6:$C$365,'output table (2)'!$B9,'monthly calculations (2)'!$AM$6:$AM$365, 1)</f>
        <v>30296.800496163349</v>
      </c>
      <c r="R9" s="11">
        <f ca="1">SUMIFS('monthly calculations (2)'!$AA$6:$AA$365,'monthly calculations (2)'!$C$6:$C$365,'output table (2)'!$B9,'monthly calculations (2)'!$AM$6:$AM$365, 1)</f>
        <v>0</v>
      </c>
      <c r="S9" s="11">
        <f ca="1">SUMIFS('monthly calculations (2)'!$AE$6:$AE$365,'monthly calculations (2)'!$C$6:$C$365,'output table (2)'!$B9,'monthly calculations (2)'!$AM$6:$AM$365, 1)</f>
        <v>0</v>
      </c>
      <c r="T9" s="94">
        <f t="shared" ca="1" si="1"/>
        <v>0</v>
      </c>
      <c r="U9" s="11">
        <f ca="1">SUMIF('monthly calculations (2)'!$C$6:$C$365,'output table (2)'!$B9,'monthly calculations (2)'!AH7:AH366)</f>
        <v>0</v>
      </c>
      <c r="V9" s="11">
        <f ca="1">SUMIFS('monthly calculations (2)'!$AK$6:$AK$365,'monthly calculations (2)'!$C$6:$C$365,'output table (2)'!$B9,'monthly calculations (2)'!$AM$6:$AM$365, 1)</f>
        <v>12008.425216505511</v>
      </c>
      <c r="W9" s="94">
        <f ca="1">SUMIFS('monthly calculations (2)'!$AL$6:$AL$365,'monthly calculations (2)'!$C$6:$C$365,'output table (2)'!$B9,'monthly calculations (2)'!$AM$6:$AM$365, 1)</f>
        <v>138203.61357294398</v>
      </c>
      <c r="X9" s="11">
        <f ca="1">OFFSET('monthly calculations (2)'!$AO$5,             MATCH(DATE($B9,12,1),   'monthly calculations (2)'!$B$6:$B$365,  0),                  0)</f>
        <v>313811.48796098487</v>
      </c>
      <c r="Y9" s="11">
        <f ca="1">OFFSET('monthly calculations (2)'!$AQ$5,             MATCH(DATE($B9,12,1),   'monthly calculations (2)'!$B$6:$B$365,  0),                  0)</f>
        <v>287930.84005441552</v>
      </c>
      <c r="AA9" s="342"/>
    </row>
    <row r="10" spans="2:27" x14ac:dyDescent="0.25">
      <c r="B10" s="77">
        <f t="shared" ref="B10:B37" si="4">B9+1</f>
        <v>2023</v>
      </c>
      <c r="C10" s="138">
        <f ca="1">IFERROR(AVERAGEIFS('monthly calculations (2)'!$D$6:$D$365,'monthly calculations (2)'!$C$6:$C$365,'output table (2)'!$B10,'monthly calculations (2)'!$AM$6:$AM$365, 1),0)</f>
        <v>1</v>
      </c>
      <c r="D10" s="94">
        <f ca="1">SUMIFS('monthly calculations (2)'!$E$6:$E$365,'monthly calculations (2)'!$C$6:$C$365,'output table (2)'!$B10,'monthly calculations (2)'!$AM$6:$AM$365, 1)</f>
        <v>6444.1472889039296</v>
      </c>
      <c r="E10" s="11">
        <f ca="1">SUMIFS('monthly calculations (2)'!$F$6:$F$365,'monthly calculations (2)'!$C$6:$C$365,'output table (2)'!$B10,'monthly calculations (2)'!$AM$6:$AM$365, 1)</f>
        <v>31287.644946962144</v>
      </c>
      <c r="F10" s="11">
        <f ca="1">SUMIFS('monthly calculations (2)'!$G$6:$G$365,'monthly calculations (2)'!$C$6:$C$365,'output table (2)'!$B10,'monthly calculations (2)'!$AM$6:$AM$365, 1)</f>
        <v>2715.9552166443054</v>
      </c>
      <c r="G10" s="11">
        <f ca="1">SUMIFS('monthly calculations (2)'!$H$6:$H$365,'monthly calculations (2)'!$C$6:$C$365,'output table (2)'!$B10,'monthly calculations (2)'!$AM$6:$AM$365, 1)</f>
        <v>4693.1467420443205</v>
      </c>
      <c r="H10" s="11">
        <f ca="1">SUMIFS('monthly calculations (2)'!$K$6:$K$365,'monthly calculations (2)'!$C$6:$C$365,'output table (2)'!$B10,'monthly calculations (2)'!$AM$6:$AM$365, 1)</f>
        <v>1611.0368222259824</v>
      </c>
      <c r="I10" s="11">
        <f ca="1">SUMIFS('monthly calculations (2)'!$L$6:$L$365,'monthly calculations (2)'!$C$6:$C$365,'output table (2)'!$B10,'monthly calculations (2)'!$AM$6:$AM$365, 1)</f>
        <v>5866.4334275554011</v>
      </c>
      <c r="J10" s="11">
        <f ca="1">SUMIFS('monthly calculations (2)'!$N$6:$N$365,'monthly calculations (2)'!$C$6:$C$365,'output table (2)'!$B10,'monthly calculations (2)'!$AM$6:$AM$365, 1)</f>
        <v>1173.2866855110801</v>
      </c>
      <c r="K10" s="91">
        <f t="shared" ca="1" si="2"/>
        <v>52.500000000000014</v>
      </c>
      <c r="L10" s="33">
        <f t="shared" ca="1" si="2"/>
        <v>2.3275000000000001</v>
      </c>
      <c r="M10" s="33">
        <f t="shared" ca="1" si="3"/>
        <v>22.000000000000004</v>
      </c>
      <c r="N10" s="94">
        <f ca="1">SUMIFS('monthly calculations (2)'!$U$6:$U$365,'monthly calculations (2)'!$C$6:$C$365,'output table (2)'!$B10,'monthly calculations (2)'!$AM$6:$AM$365, 1)</f>
        <v>84579.433166864095</v>
      </c>
      <c r="O10" s="11">
        <f ca="1">SUMIFS('monthly calculations (2)'!$V$6:$V$365,'monthly calculations (2)'!$C$6:$C$365,'output table (2)'!$B10,'monthly calculations (2)'!$AM$6:$AM$365, 1)</f>
        <v>13654.123802635197</v>
      </c>
      <c r="P10" s="94">
        <f t="shared" ca="1" si="0"/>
        <v>98233.556969499288</v>
      </c>
      <c r="Q10" s="11">
        <f ca="1">SUMIFS('monthly calculations (2)'!$W$6:$W$365,'monthly calculations (2)'!$C$6:$C$365,'output table (2)'!$B10,'monthly calculations (2)'!$AM$6:$AM$365, 1)</f>
        <v>25812.307081243765</v>
      </c>
      <c r="R10" s="11">
        <f ca="1">SUMIFS('monthly calculations (2)'!$AA$6:$AA$365,'monthly calculations (2)'!$C$6:$C$365,'output table (2)'!$B10,'monthly calculations (2)'!$AM$6:$AM$365, 1)</f>
        <v>0</v>
      </c>
      <c r="S10" s="11">
        <f ca="1">SUMIFS('monthly calculations (2)'!$AE$6:$AE$365,'monthly calculations (2)'!$C$6:$C$365,'output table (2)'!$B10,'monthly calculations (2)'!$AM$6:$AM$365, 1)</f>
        <v>0</v>
      </c>
      <c r="T10" s="94">
        <f t="shared" ca="1" si="1"/>
        <v>0</v>
      </c>
      <c r="U10" s="11">
        <f ca="1">SUMIF('monthly calculations (2)'!$C$6:$C$365,'output table (2)'!$B10,'monthly calculations (2)'!AH8:AH367)</f>
        <v>0</v>
      </c>
      <c r="V10" s="11">
        <f ca="1">SUMIFS('monthly calculations (2)'!$AK$6:$AK$365,'monthly calculations (2)'!$C$6:$C$365,'output table (2)'!$B10,'monthly calculations (2)'!$AM$6:$AM$365, 1)</f>
        <v>9951.7828432352471</v>
      </c>
      <c r="W10" s="94">
        <f ca="1">SUMIFS('monthly calculations (2)'!$AL$6:$AL$365,'monthly calculations (2)'!$C$6:$C$365,'output table (2)'!$B10,'monthly calculations (2)'!$AM$6:$AM$365, 1)</f>
        <v>114094.0812075078</v>
      </c>
      <c r="X10" s="11">
        <f ca="1">OFFSET('monthly calculations (2)'!$AO$5,             MATCH(DATE($B10,12,1),   'monthly calculations (2)'!$B$6:$B$365,  0),                  0)</f>
        <v>427905.56916849263</v>
      </c>
      <c r="Y10" s="11">
        <f ca="1">OFFSET('monthly calculations (2)'!$AQ$5,             MATCH(DATE($B10,12,1),   'monthly calculations (2)'!$B$6:$B$365,  0),                  0)</f>
        <v>377394.11392409133</v>
      </c>
      <c r="AA10" s="342"/>
    </row>
    <row r="11" spans="2:27" x14ac:dyDescent="0.25">
      <c r="B11" s="77">
        <f t="shared" si="4"/>
        <v>2024</v>
      </c>
      <c r="C11" s="138">
        <f ca="1">IFERROR(AVERAGEIFS('monthly calculations (2)'!$D$6:$D$365,'monthly calculations (2)'!$C$6:$C$365,'output table (2)'!$B11,'monthly calculations (2)'!$AM$6:$AM$365, 1),0)</f>
        <v>1</v>
      </c>
      <c r="D11" s="94">
        <f ca="1">SUMIFS('monthly calculations (2)'!$E$6:$E$365,'monthly calculations (2)'!$C$6:$C$365,'output table (2)'!$B11,'monthly calculations (2)'!$AM$6:$AM$365, 1)</f>
        <v>5448.9298887547202</v>
      </c>
      <c r="E11" s="11">
        <f ca="1">SUMIFS('monthly calculations (2)'!$F$6:$F$365,'monthly calculations (2)'!$C$6:$C$365,'output table (2)'!$B11,'monthly calculations (2)'!$AM$6:$AM$365, 1)</f>
        <v>27325.956133635467</v>
      </c>
      <c r="F11" s="11">
        <f ca="1">SUMIFS('monthly calculations (2)'!$G$6:$G$365,'monthly calculations (2)'!$C$6:$C$365,'output table (2)'!$B11,'monthly calculations (2)'!$AM$6:$AM$365, 1)</f>
        <v>1777.3551438789941</v>
      </c>
      <c r="G11" s="11">
        <f ca="1">SUMIFS('monthly calculations (2)'!$H$6:$H$365,'monthly calculations (2)'!$C$6:$C$365,'output table (2)'!$B11,'monthly calculations (2)'!$AM$6:$AM$365, 1)</f>
        <v>4098.8934200453214</v>
      </c>
      <c r="H11" s="11">
        <f ca="1">SUMIFS('monthly calculations (2)'!$K$6:$K$365,'monthly calculations (2)'!$C$6:$C$365,'output table (2)'!$B11,'monthly calculations (2)'!$AM$6:$AM$365, 1)</f>
        <v>1362.23247218868</v>
      </c>
      <c r="I11" s="11">
        <f ca="1">SUMIFS('monthly calculations (2)'!$L$6:$L$365,'monthly calculations (2)'!$C$6:$C$365,'output table (2)'!$B11,'monthly calculations (2)'!$AM$6:$AM$365, 1)</f>
        <v>5123.616775056651</v>
      </c>
      <c r="J11" s="11">
        <f ca="1">SUMIFS('monthly calculations (2)'!$N$6:$N$365,'monthly calculations (2)'!$C$6:$C$365,'output table (2)'!$B11,'monthly calculations (2)'!$AM$6:$AM$365, 1)</f>
        <v>1024.7233550113303</v>
      </c>
      <c r="K11" s="91">
        <f t="shared" ca="1" si="2"/>
        <v>52.499999999999993</v>
      </c>
      <c r="L11" s="33">
        <f t="shared" ca="1" si="2"/>
        <v>2.3275000000000001</v>
      </c>
      <c r="M11" s="33">
        <f t="shared" ca="1" si="3"/>
        <v>21.999999999999996</v>
      </c>
      <c r="N11" s="94">
        <f ca="1">SUMIFS('monthly calculations (2)'!$U$6:$U$365,'monthly calculations (2)'!$C$6:$C$365,'output table (2)'!$B11,'monthly calculations (2)'!$AM$6:$AM$365, 1)</f>
        <v>71517.204789905692</v>
      </c>
      <c r="O11" s="11">
        <f ca="1">SUMIFS('monthly calculations (2)'!$V$6:$V$365,'monthly calculations (2)'!$C$6:$C$365,'output table (2)'!$B11,'monthly calculations (2)'!$AM$6:$AM$365, 1)</f>
        <v>11925.218043944356</v>
      </c>
      <c r="P11" s="94">
        <f t="shared" ca="1" si="0"/>
        <v>83442.422833850054</v>
      </c>
      <c r="Q11" s="11">
        <f ca="1">SUMIFS('monthly calculations (2)'!$W$6:$W$365,'monthly calculations (2)'!$C$6:$C$365,'output table (2)'!$B11,'monthly calculations (2)'!$AM$6:$AM$365, 1)</f>
        <v>22543.913810249265</v>
      </c>
      <c r="R11" s="11">
        <f ca="1">SUMIFS('monthly calculations (2)'!$AA$6:$AA$365,'monthly calculations (2)'!$C$6:$C$365,'output table (2)'!$B11,'monthly calculations (2)'!$AM$6:$AM$365, 1)</f>
        <v>0</v>
      </c>
      <c r="S11" s="11">
        <f ca="1">SUMIFS('monthly calculations (2)'!$AE$6:$AE$365,'monthly calculations (2)'!$C$6:$C$365,'output table (2)'!$B11,'monthly calculations (2)'!$AM$6:$AM$365, 1)</f>
        <v>0</v>
      </c>
      <c r="T11" s="94">
        <f t="shared" ca="1" si="1"/>
        <v>0</v>
      </c>
      <c r="U11" s="11">
        <f ca="1">SUMIF('monthly calculations (2)'!$C$6:$C$365,'output table (2)'!$B11,'monthly calculations (2)'!AH9:AH368)</f>
        <v>0</v>
      </c>
      <c r="V11" s="11">
        <f ca="1">SUMIFS('monthly calculations (2)'!$AK$6:$AK$365,'monthly calculations (2)'!$C$6:$C$365,'output table (2)'!$B11,'monthly calculations (2)'!$AM$6:$AM$365, 1)</f>
        <v>8524.6347255026667</v>
      </c>
      <c r="W11" s="94">
        <f ca="1">SUMIFS('monthly calculations (2)'!$AL$6:$AL$365,'monthly calculations (2)'!$C$6:$C$365,'output table (2)'!$B11,'monthly calculations (2)'!$AM$6:$AM$365, 1)</f>
        <v>97461.701918596664</v>
      </c>
      <c r="X11" s="11">
        <f ca="1">OFFSET('monthly calculations (2)'!$AO$5,             MATCH(DATE($B11,12,1),   'monthly calculations (2)'!$B$6:$B$365,  0),                  0)</f>
        <v>525367.27108708932</v>
      </c>
      <c r="Y11" s="11">
        <f ca="1">OFFSET('monthly calculations (2)'!$AQ$5,             MATCH(DATE($B11,12,1),   'monthly calculations (2)'!$B$6:$B$365,  0),                  0)</f>
        <v>446564.48435712373</v>
      </c>
      <c r="AA11" s="342"/>
    </row>
    <row r="12" spans="2:27" s="76" customFormat="1" ht="23.25" customHeight="1" x14ac:dyDescent="0.25">
      <c r="B12" s="78">
        <f t="shared" si="4"/>
        <v>2025</v>
      </c>
      <c r="C12" s="139">
        <f ca="1">IFERROR(AVERAGEIFS('monthly calculations (2)'!$D$6:$D$365,'monthly calculations (2)'!$C$6:$C$365,'output table (2)'!$B12,'monthly calculations (2)'!$AM$6:$AM$365, 1),0)</f>
        <v>1</v>
      </c>
      <c r="D12" s="137">
        <f ca="1">SUMIFS('monthly calculations (2)'!$E$6:$E$365,'monthly calculations (2)'!$C$6:$C$365,'output table (2)'!$B12,'monthly calculations (2)'!$AM$6:$AM$365, 1)</f>
        <v>4697.8700924945706</v>
      </c>
      <c r="E12" s="134">
        <f ca="1">SUMIFS('monthly calculations (2)'!$F$6:$F$365,'monthly calculations (2)'!$C$6:$C$365,'output table (2)'!$B12,'monthly calculations (2)'!$AM$6:$AM$365, 1)</f>
        <v>24137.449561272431</v>
      </c>
      <c r="F12" s="134">
        <f ca="1">SUMIFS('monthly calculations (2)'!$G$6:$G$365,'monthly calculations (2)'!$C$6:$C$365,'output table (2)'!$B12,'monthly calculations (2)'!$AM$6:$AM$365, 1)</f>
        <v>1157.6187115749101</v>
      </c>
      <c r="G12" s="134">
        <f ca="1">SUMIFS('monthly calculations (2)'!$H$6:$H$365,'monthly calculations (2)'!$C$6:$C$365,'output table (2)'!$B12,'monthly calculations (2)'!$AM$6:$AM$365, 1)</f>
        <v>3620.617434190865</v>
      </c>
      <c r="H12" s="134">
        <f ca="1">SUMIFS('monthly calculations (2)'!$K$6:$K$365,'monthly calculations (2)'!$C$6:$C$365,'output table (2)'!$B12,'monthly calculations (2)'!$AM$6:$AM$365, 1)</f>
        <v>1174.4675231236426</v>
      </c>
      <c r="I12" s="134">
        <f ca="1">SUMIFS('monthly calculations (2)'!$L$6:$L$365,'monthly calculations (2)'!$C$6:$C$365,'output table (2)'!$B12,'monthly calculations (2)'!$AM$6:$AM$365, 1)</f>
        <v>4525.7717927385802</v>
      </c>
      <c r="J12" s="134">
        <f ca="1">SUMIFS('monthly calculations (2)'!$N$6:$N$365,'monthly calculations (2)'!$C$6:$C$365,'output table (2)'!$B12,'monthly calculations (2)'!$AM$6:$AM$365, 1)</f>
        <v>905.15435854771624</v>
      </c>
      <c r="K12" s="135">
        <f t="shared" ca="1" si="2"/>
        <v>52.5</v>
      </c>
      <c r="L12" s="136">
        <f t="shared" ca="1" si="2"/>
        <v>2.327500000000001</v>
      </c>
      <c r="M12" s="136">
        <f t="shared" ca="1" si="3"/>
        <v>21.999999999999993</v>
      </c>
      <c r="N12" s="137">
        <f ca="1">SUMIFS('monthly calculations (2)'!$U$6:$U$365,'monthly calculations (2)'!$C$6:$C$365,'output table (2)'!$B12,'monthly calculations (2)'!$AM$6:$AM$365, 1)</f>
        <v>61659.54496399124</v>
      </c>
      <c r="O12" s="134">
        <f ca="1">SUMIFS('monthly calculations (2)'!$V$6:$V$365,'monthly calculations (2)'!$C$6:$C$365,'output table (2)'!$B12,'monthly calculations (2)'!$AM$6:$AM$365, 1)</f>
        <v>10533.733847599049</v>
      </c>
      <c r="P12" s="137">
        <f t="shared" ca="1" si="0"/>
        <v>72193.278811590295</v>
      </c>
      <c r="Q12" s="134">
        <f ca="1">SUMIFS('monthly calculations (2)'!$W$6:$W$365,'monthly calculations (2)'!$C$6:$C$365,'output table (2)'!$B12,'monthly calculations (2)'!$AM$6:$AM$365, 1)</f>
        <v>19913.395888049752</v>
      </c>
      <c r="R12" s="134">
        <f ca="1">SUMIFS('monthly calculations (2)'!$AA$6:$AA$365,'monthly calculations (2)'!$C$6:$C$365,'output table (2)'!$B12,'monthly calculations (2)'!$AM$6:$AM$365, 1)</f>
        <v>0</v>
      </c>
      <c r="S12" s="134">
        <f ca="1">SUMIFS('monthly calculations (2)'!$AE$6:$AE$365,'monthly calculations (2)'!$C$6:$C$365,'output table (2)'!$B12,'monthly calculations (2)'!$AM$6:$AM$365, 1)</f>
        <v>0</v>
      </c>
      <c r="T12" s="137">
        <f t="shared" ca="1" si="1"/>
        <v>0</v>
      </c>
      <c r="U12" s="134">
        <f ca="1">SUMIF('monthly calculations (2)'!$C$6:$C$365,'output table (2)'!$B12,'monthly calculations (2)'!AH10:AH369)</f>
        <v>0</v>
      </c>
      <c r="V12" s="134">
        <f ca="1">SUMIFS('monthly calculations (2)'!$AK$6:$AK$365,'monthly calculations (2)'!$C$6:$C$365,'output table (2)'!$B12,'monthly calculations (2)'!$AM$6:$AM$365, 1)</f>
        <v>7422.540666008259</v>
      </c>
      <c r="W12" s="137">
        <f ca="1">SUMIFS('monthly calculations (2)'!$AL$6:$AL$365,'monthly calculations (2)'!$C$6:$C$365,'output table (2)'!$B12,'monthly calculations (2)'!$AM$6:$AM$365, 1)</f>
        <v>84684.134033631781</v>
      </c>
      <c r="X12" s="134">
        <f ca="1">OFFSET('monthly calculations (2)'!$AO$5,             MATCH(DATE($B12,12,1),   'monthly calculations (2)'!$B$6:$B$365,  0),                  0)</f>
        <v>610051.40512072109</v>
      </c>
      <c r="Y12" s="134">
        <f ca="1">OFFSET('monthly calculations (2)'!$AQ$5,             MATCH(DATE($B12,12,1),   'monthly calculations (2)'!$B$6:$B$365,  0),                  0)</f>
        <v>500954.98541528347</v>
      </c>
      <c r="AA12" s="342"/>
    </row>
    <row r="13" spans="2:27" x14ac:dyDescent="0.25">
      <c r="B13" s="77">
        <f t="shared" si="4"/>
        <v>2026</v>
      </c>
      <c r="C13" s="138">
        <f ca="1">IFERROR(AVERAGEIFS('monthly calculations (2)'!$D$6:$D$365,'monthly calculations (2)'!$C$6:$C$365,'output table (2)'!$B13,'monthly calculations (2)'!$AM$6:$AM$365, 1),0)</f>
        <v>1</v>
      </c>
      <c r="D13" s="94">
        <f ca="1">SUMIFS('monthly calculations (2)'!$E$6:$E$365,'monthly calculations (2)'!$C$6:$C$365,'output table (2)'!$B13,'monthly calculations (2)'!$AM$6:$AM$365, 1)</f>
        <v>4138.3341354764125</v>
      </c>
      <c r="E13" s="11">
        <f ca="1">SUMIFS('monthly calculations (2)'!$F$6:$F$365,'monthly calculations (2)'!$C$6:$C$365,'output table (2)'!$B13,'monthly calculations (2)'!$AM$6:$AM$365, 1)</f>
        <v>21666.194369445853</v>
      </c>
      <c r="F13" s="11">
        <f ca="1">SUMIFS('monthly calculations (2)'!$G$6:$G$365,'monthly calculations (2)'!$C$6:$C$365,'output table (2)'!$B13,'monthly calculations (2)'!$AM$6:$AM$365, 1)</f>
        <v>757.23347193279858</v>
      </c>
      <c r="G13" s="11">
        <f ca="1">SUMIFS('monthly calculations (2)'!$H$6:$H$365,'monthly calculations (2)'!$C$6:$C$365,'output table (2)'!$B13,'monthly calculations (2)'!$AM$6:$AM$365, 1)</f>
        <v>3249.9291554168776</v>
      </c>
      <c r="H13" s="11">
        <f ca="1">SUMIFS('monthly calculations (2)'!$K$6:$K$365,'monthly calculations (2)'!$C$6:$C$365,'output table (2)'!$B13,'monthly calculations (2)'!$AM$6:$AM$365, 1)</f>
        <v>1034.5835338691031</v>
      </c>
      <c r="I13" s="11">
        <f ca="1">SUMIFS('monthly calculations (2)'!$L$6:$L$365,'monthly calculations (2)'!$C$6:$C$365,'output table (2)'!$B13,'monthly calculations (2)'!$AM$6:$AM$365, 1)</f>
        <v>4062.4114442710966</v>
      </c>
      <c r="J13" s="11">
        <f ca="1">SUMIFS('monthly calculations (2)'!$N$6:$N$365,'monthly calculations (2)'!$C$6:$C$365,'output table (2)'!$B13,'monthly calculations (2)'!$AM$6:$AM$365, 1)</f>
        <v>812.48228885421941</v>
      </c>
      <c r="K13" s="91">
        <f t="shared" ca="1" si="2"/>
        <v>52.499999999999986</v>
      </c>
      <c r="L13" s="33">
        <f t="shared" ca="1" si="2"/>
        <v>2.3275000000000006</v>
      </c>
      <c r="M13" s="33">
        <f t="shared" ca="1" si="3"/>
        <v>21.999999999999996</v>
      </c>
      <c r="N13" s="94">
        <f ca="1">SUMIFS('monthly calculations (2)'!$U$6:$U$365,'monthly calculations (2)'!$C$6:$C$365,'output table (2)'!$B13,'monthly calculations (2)'!$AM$6:$AM$365, 1)</f>
        <v>54315.635528127896</v>
      </c>
      <c r="O13" s="11">
        <f ca="1">SUMIFS('monthly calculations (2)'!$V$6:$V$365,'monthly calculations (2)'!$C$6:$C$365,'output table (2)'!$B13,'monthly calculations (2)'!$AM$6:$AM$365, 1)</f>
        <v>9455.2626365409797</v>
      </c>
      <c r="P13" s="94">
        <f t="shared" ca="1" si="0"/>
        <v>63770.898164668877</v>
      </c>
      <c r="Q13" s="11">
        <f ca="1">SUMIFS('monthly calculations (2)'!$W$6:$W$365,'monthly calculations (2)'!$C$6:$C$365,'output table (2)'!$B13,'monthly calculations (2)'!$AM$6:$AM$365, 1)</f>
        <v>17874.610354792825</v>
      </c>
      <c r="R13" s="11">
        <f ca="1">SUMIFS('monthly calculations (2)'!$AA$6:$AA$365,'monthly calculations (2)'!$C$6:$C$365,'output table (2)'!$B13,'monthly calculations (2)'!$AM$6:$AM$365, 1)</f>
        <v>0</v>
      </c>
      <c r="S13" s="11">
        <f ca="1">SUMIFS('monthly calculations (2)'!$AE$6:$AE$365,'monthly calculations (2)'!$C$6:$C$365,'output table (2)'!$B13,'monthly calculations (2)'!$AM$6:$AM$365, 1)</f>
        <v>0</v>
      </c>
      <c r="T13" s="94">
        <f t="shared" ca="1" si="1"/>
        <v>0</v>
      </c>
      <c r="U13" s="11">
        <f ca="1">SUMIF('monthly calculations (2)'!$C$6:$C$365,'output table (2)'!$B13,'monthly calculations (2)'!AH11:AH370)</f>
        <v>0</v>
      </c>
      <c r="V13" s="11">
        <f ca="1">SUMIFS('monthly calculations (2)'!$AK$6:$AK$365,'monthly calculations (2)'!$C$6:$C$365,'output table (2)'!$B13,'monthly calculations (2)'!$AM$6:$AM$365, 1)</f>
        <v>6589.3974216304614</v>
      </c>
      <c r="W13" s="94">
        <f ca="1">SUMIFS('monthly calculations (2)'!$AL$6:$AL$365,'monthly calculations (2)'!$C$6:$C$365,'output table (2)'!$B13,'monthly calculations (2)'!$AM$6:$AM$365, 1)</f>
        <v>75056.11109783125</v>
      </c>
      <c r="X13" s="11">
        <f ca="1">OFFSET('monthly calculations (2)'!$AO$5,             MATCH(DATE($B13,12,1),   'monthly calculations (2)'!$B$6:$B$365,  0),                  0)</f>
        <v>685107.51621855213</v>
      </c>
      <c r="Y13" s="11">
        <f ca="1">OFFSET('monthly calculations (2)'!$AQ$5,             MATCH(DATE($B13,12,1),   'monthly calculations (2)'!$B$6:$B$365,  0),                  0)</f>
        <v>544586.9778744682</v>
      </c>
      <c r="AA13" s="342"/>
    </row>
    <row r="14" spans="2:27" x14ac:dyDescent="0.25">
      <c r="B14" s="77">
        <f t="shared" si="4"/>
        <v>2027</v>
      </c>
      <c r="C14" s="138">
        <f ca="1">IFERROR(AVERAGEIFS('monthly calculations (2)'!$D$6:$D$365,'monthly calculations (2)'!$C$6:$C$365,'output table (2)'!$B14,'monthly calculations (2)'!$AM$6:$AM$365, 1),0)</f>
        <v>1</v>
      </c>
      <c r="D14" s="94">
        <f ca="1">SUMIFS('monthly calculations (2)'!$E$6:$E$365,'monthly calculations (2)'!$C$6:$C$365,'output table (2)'!$B14,'monthly calculations (2)'!$AM$6:$AM$365, 1)</f>
        <v>3698.009973942761</v>
      </c>
      <c r="E14" s="11">
        <f ca="1">SUMIFS('monthly calculations (2)'!$F$6:$F$365,'monthly calculations (2)'!$C$6:$C$365,'output table (2)'!$B14,'monthly calculations (2)'!$AM$6:$AM$365, 1)</f>
        <v>19654.295806466347</v>
      </c>
      <c r="F14" s="11">
        <f ca="1">SUMIFS('monthly calculations (2)'!$G$6:$G$365,'monthly calculations (2)'!$C$6:$C$365,'output table (2)'!$B14,'monthly calculations (2)'!$AM$6:$AM$365, 1)</f>
        <v>495.77482894465845</v>
      </c>
      <c r="G14" s="11">
        <f ca="1">SUMIFS('monthly calculations (2)'!$H$6:$H$365,'monthly calculations (2)'!$C$6:$C$365,'output table (2)'!$B14,'monthly calculations (2)'!$AM$6:$AM$365, 1)</f>
        <v>2948.1443709699511</v>
      </c>
      <c r="H14" s="11">
        <f ca="1">SUMIFS('monthly calculations (2)'!$K$6:$K$365,'monthly calculations (2)'!$C$6:$C$365,'output table (2)'!$B14,'monthly calculations (2)'!$AM$6:$AM$365, 1)</f>
        <v>924.50249348569025</v>
      </c>
      <c r="I14" s="11">
        <f ca="1">SUMIFS('monthly calculations (2)'!$L$6:$L$365,'monthly calculations (2)'!$C$6:$C$365,'output table (2)'!$B14,'monthly calculations (2)'!$AM$6:$AM$365, 1)</f>
        <v>3685.1804637124396</v>
      </c>
      <c r="J14" s="11">
        <f ca="1">SUMIFS('monthly calculations (2)'!$N$6:$N$365,'monthly calculations (2)'!$C$6:$C$365,'output table (2)'!$B14,'monthly calculations (2)'!$AM$6:$AM$365, 1)</f>
        <v>737.03609274248777</v>
      </c>
      <c r="K14" s="91">
        <f t="shared" ca="1" si="2"/>
        <v>52.5</v>
      </c>
      <c r="L14" s="33">
        <f t="shared" ca="1" si="2"/>
        <v>2.3275000000000001</v>
      </c>
      <c r="M14" s="33">
        <f t="shared" ca="1" si="3"/>
        <v>22.000000000000004</v>
      </c>
      <c r="N14" s="94">
        <f ca="1">SUMIFS('monthly calculations (2)'!$U$6:$U$365,'monthly calculations (2)'!$C$6:$C$365,'output table (2)'!$B14,'monthly calculations (2)'!$AM$6:$AM$365, 1)</f>
        <v>48536.38090799874</v>
      </c>
      <c r="O14" s="11">
        <f ca="1">SUMIFS('monthly calculations (2)'!$V$6:$V$365,'monthly calculations (2)'!$C$6:$C$365,'output table (2)'!$B14,'monthly calculations (2)'!$AM$6:$AM$365, 1)</f>
        <v>8577.257529290704</v>
      </c>
      <c r="P14" s="94">
        <f t="shared" ca="1" si="0"/>
        <v>57113.638437289446</v>
      </c>
      <c r="Q14" s="11">
        <f ca="1">SUMIFS('monthly calculations (2)'!$W$6:$W$365,'monthly calculations (2)'!$C$6:$C$365,'output table (2)'!$B14,'monthly calculations (2)'!$AM$6:$AM$365, 1)</f>
        <v>16214.794040334735</v>
      </c>
      <c r="R14" s="11">
        <f ca="1">SUMIFS('monthly calculations (2)'!$AA$6:$AA$365,'monthly calculations (2)'!$C$6:$C$365,'output table (2)'!$B14,'monthly calculations (2)'!$AM$6:$AM$365, 1)</f>
        <v>0</v>
      </c>
      <c r="S14" s="11">
        <f ca="1">SUMIFS('monthly calculations (2)'!$AE$6:$AE$365,'monthly calculations (2)'!$C$6:$C$365,'output table (2)'!$B14,'monthly calculations (2)'!$AM$6:$AM$365, 1)</f>
        <v>0</v>
      </c>
      <c r="T14" s="94">
        <f t="shared" ca="1" si="1"/>
        <v>0</v>
      </c>
      <c r="U14" s="11">
        <f ca="1">SUMIF('monthly calculations (2)'!$C$6:$C$365,'output table (2)'!$B14,'monthly calculations (2)'!AH12:AH371)</f>
        <v>0</v>
      </c>
      <c r="V14" s="11">
        <f ca="1">SUMIFS('monthly calculations (2)'!$AK$6:$AK$365,'monthly calculations (2)'!$C$6:$C$365,'output table (2)'!$B14,'monthly calculations (2)'!$AM$6:$AM$365, 1)</f>
        <v>5925.2882014304541</v>
      </c>
      <c r="W14" s="94">
        <f ca="1">SUMIFS('monthly calculations (2)'!$AL$6:$AL$365,'monthly calculations (2)'!$C$6:$C$365,'output table (2)'!$B14,'monthly calculations (2)'!$AM$6:$AM$365, 1)</f>
        <v>67403.144276193707</v>
      </c>
      <c r="X14" s="11">
        <f ca="1">OFFSET('monthly calculations (2)'!$AO$5,             MATCH(DATE($B14,12,1),   'monthly calculations (2)'!$B$6:$B$365,  0),                  0)</f>
        <v>752510.66049474583</v>
      </c>
      <c r="Y14" s="11">
        <f ca="1">OFFSET('monthly calculations (2)'!$AQ$5,             MATCH(DATE($B14,12,1),   'monthly calculations (2)'!$B$6:$B$365,  0),                  0)</f>
        <v>580052.63575887016</v>
      </c>
      <c r="AA14" s="342"/>
    </row>
    <row r="15" spans="2:27" x14ac:dyDescent="0.25">
      <c r="B15" s="77">
        <f t="shared" si="4"/>
        <v>2028</v>
      </c>
      <c r="C15" s="138">
        <f ca="1">IFERROR(AVERAGEIFS('monthly calculations (2)'!$D$6:$D$365,'monthly calculations (2)'!$C$6:$C$365,'output table (2)'!$B15,'monthly calculations (2)'!$AM$6:$AM$365, 1),0)</f>
        <v>1</v>
      </c>
      <c r="D15" s="94">
        <f ca="1">SUMIFS('monthly calculations (2)'!$E$6:$E$365,'monthly calculations (2)'!$C$6:$C$365,'output table (2)'!$B15,'monthly calculations (2)'!$AM$6:$AM$365, 1)</f>
        <v>3351.2056917338541</v>
      </c>
      <c r="E15" s="11">
        <f ca="1">SUMIFS('monthly calculations (2)'!$F$6:$F$365,'monthly calculations (2)'!$C$6:$C$365,'output table (2)'!$B15,'monthly calculations (2)'!$AM$6:$AM$365, 1)</f>
        <v>18031.893186653411</v>
      </c>
      <c r="F15" s="11">
        <f ca="1">SUMIFS('monthly calculations (2)'!$G$6:$G$365,'monthly calculations (2)'!$C$6:$C$365,'output table (2)'!$B15,'monthly calculations (2)'!$AM$6:$AM$365, 1)</f>
        <v>325.61452113453345</v>
      </c>
      <c r="G15" s="11">
        <f ca="1">SUMIFS('monthly calculations (2)'!$H$6:$H$365,'monthly calculations (2)'!$C$6:$C$365,'output table (2)'!$B15,'monthly calculations (2)'!$AM$6:$AM$365, 1)</f>
        <v>2704.7839779980122</v>
      </c>
      <c r="H15" s="11">
        <f ca="1">SUMIFS('monthly calculations (2)'!$K$6:$K$365,'monthly calculations (2)'!$C$6:$C$365,'output table (2)'!$B15,'monthly calculations (2)'!$AM$6:$AM$365, 1)</f>
        <v>837.80142293346353</v>
      </c>
      <c r="I15" s="11">
        <f ca="1">SUMIFS('monthly calculations (2)'!$L$6:$L$365,'monthly calculations (2)'!$C$6:$C$365,'output table (2)'!$B15,'monthly calculations (2)'!$AM$6:$AM$365, 1)</f>
        <v>3380.9799724975151</v>
      </c>
      <c r="J15" s="11">
        <f ca="1">SUMIFS('monthly calculations (2)'!$N$6:$N$365,'monthly calculations (2)'!$C$6:$C$365,'output table (2)'!$B15,'monthly calculations (2)'!$AM$6:$AM$365, 1)</f>
        <v>676.19599449950306</v>
      </c>
      <c r="K15" s="91">
        <f t="shared" ca="1" si="2"/>
        <v>52.499999999999993</v>
      </c>
      <c r="L15" s="33">
        <f t="shared" ca="1" si="2"/>
        <v>2.3275000000000001</v>
      </c>
      <c r="M15" s="33">
        <f t="shared" ca="1" si="3"/>
        <v>21.999999999999996</v>
      </c>
      <c r="N15" s="94">
        <f ca="1">SUMIFS('monthly calculations (2)'!$U$6:$U$365,'monthly calculations (2)'!$C$6:$C$365,'output table (2)'!$B15,'monthly calculations (2)'!$AM$6:$AM$365, 1)</f>
        <v>43984.574704006831</v>
      </c>
      <c r="O15" s="11">
        <f ca="1">SUMIFS('monthly calculations (2)'!$V$6:$V$365,'monthly calculations (2)'!$C$6:$C$365,'output table (2)'!$B15,'monthly calculations (2)'!$AM$6:$AM$365, 1)</f>
        <v>7869.2308859879668</v>
      </c>
      <c r="P15" s="94">
        <f t="shared" ca="1" si="0"/>
        <v>51853.805589994794</v>
      </c>
      <c r="Q15" s="11">
        <f ca="1">SUMIFS('monthly calculations (2)'!$W$6:$W$365,'monthly calculations (2)'!$C$6:$C$365,'output table (2)'!$B15,'monthly calculations (2)'!$AM$6:$AM$365, 1)</f>
        <v>14876.311878989065</v>
      </c>
      <c r="R15" s="11">
        <f ca="1">SUMIFS('monthly calculations (2)'!$AA$6:$AA$365,'monthly calculations (2)'!$C$6:$C$365,'output table (2)'!$B15,'monthly calculations (2)'!$AM$6:$AM$365, 1)</f>
        <v>0</v>
      </c>
      <c r="S15" s="11">
        <f ca="1">SUMIFS('monthly calculations (2)'!$AE$6:$AE$365,'monthly calculations (2)'!$C$6:$C$365,'output table (2)'!$B15,'monthly calculations (2)'!$AM$6:$AM$365, 1)</f>
        <v>0</v>
      </c>
      <c r="T15" s="94">
        <f t="shared" ca="1" si="1"/>
        <v>0</v>
      </c>
      <c r="U15" s="11">
        <f ca="1">SUMIF('monthly calculations (2)'!$C$6:$C$365,'output table (2)'!$B15,'monthly calculations (2)'!AH13:AH372)</f>
        <v>0</v>
      </c>
      <c r="V15" s="11">
        <f ca="1">SUMIFS('monthly calculations (2)'!$AK$6:$AK$365,'monthly calculations (2)'!$C$6:$C$365,'output table (2)'!$B15,'monthly calculations (2)'!$AM$6:$AM$365, 1)</f>
        <v>5397.4590804821883</v>
      </c>
      <c r="W15" s="94">
        <f ca="1">SUMIFS('monthly calculations (2)'!$AL$6:$AL$365,'monthly calculations (2)'!$C$6:$C$365,'output table (2)'!$B15,'monthly calculations (2)'!$AM$6:$AM$365, 1)</f>
        <v>61332.658388501666</v>
      </c>
      <c r="X15" s="11">
        <f ca="1">OFFSET('monthly calculations (2)'!$AO$5,             MATCH(DATE($B15,12,1),   'monthly calculations (2)'!$B$6:$B$365,  0),                  0)</f>
        <v>813843.31888324756</v>
      </c>
      <c r="Y15" s="11">
        <f ca="1">OFFSET('monthly calculations (2)'!$AQ$5,             MATCH(DATE($B15,12,1),   'monthly calculations (2)'!$B$6:$B$365,  0),                  0)</f>
        <v>609266.06699757406</v>
      </c>
      <c r="AA15" s="342"/>
    </row>
    <row r="16" spans="2:27" x14ac:dyDescent="0.25">
      <c r="B16" s="77">
        <f t="shared" si="4"/>
        <v>2029</v>
      </c>
      <c r="C16" s="138">
        <f ca="1">IFERROR(AVERAGEIFS('monthly calculations (2)'!$D$6:$D$365,'monthly calculations (2)'!$C$6:$C$365,'output table (2)'!$B16,'monthly calculations (2)'!$AM$6:$AM$365, 1),0)</f>
        <v>1</v>
      </c>
      <c r="D16" s="94">
        <f ca="1">SUMIFS('monthly calculations (2)'!$E$6:$E$365,'monthly calculations (2)'!$C$6:$C$365,'output table (2)'!$B16,'monthly calculations (2)'!$AM$6:$AM$365, 1)</f>
        <v>3048.5585953066889</v>
      </c>
      <c r="E16" s="11">
        <f ca="1">SUMIFS('monthly calculations (2)'!$F$6:$F$365,'monthly calculations (2)'!$C$6:$C$365,'output table (2)'!$B16,'monthly calculations (2)'!$AM$6:$AM$365, 1)</f>
        <v>16572.786475641162</v>
      </c>
      <c r="F16" s="11">
        <f ca="1">SUMIFS('monthly calculations (2)'!$G$6:$G$365,'monthly calculations (2)'!$C$6:$C$365,'output table (2)'!$B16,'monthly calculations (2)'!$AM$6:$AM$365, 1)</f>
        <v>212.84190493297433</v>
      </c>
      <c r="G16" s="11">
        <f ca="1">SUMIFS('monthly calculations (2)'!$H$6:$H$365,'monthly calculations (2)'!$C$6:$C$365,'output table (2)'!$B16,'monthly calculations (2)'!$AM$6:$AM$365, 1)</f>
        <v>2485.9179713461745</v>
      </c>
      <c r="H16" s="11">
        <f ca="1">SUMIFS('monthly calculations (2)'!$K$6:$K$365,'monthly calculations (2)'!$C$6:$C$365,'output table (2)'!$B16,'monthly calculations (2)'!$AM$6:$AM$365, 1)</f>
        <v>762.13964882667221</v>
      </c>
      <c r="I16" s="11">
        <f ca="1">SUMIFS('monthly calculations (2)'!$L$6:$L$365,'monthly calculations (2)'!$C$6:$C$365,'output table (2)'!$B16,'monthly calculations (2)'!$AM$6:$AM$365, 1)</f>
        <v>3107.3974641827181</v>
      </c>
      <c r="J16" s="11">
        <f ca="1">SUMIFS('monthly calculations (2)'!$N$6:$N$365,'monthly calculations (2)'!$C$6:$C$365,'output table (2)'!$B16,'monthly calculations (2)'!$AM$6:$AM$365, 1)</f>
        <v>621.47949283654361</v>
      </c>
      <c r="K16" s="91">
        <f t="shared" ca="1" si="2"/>
        <v>52.500000000000014</v>
      </c>
      <c r="L16" s="33">
        <f t="shared" ca="1" si="2"/>
        <v>2.3275000000000001</v>
      </c>
      <c r="M16" s="33">
        <f t="shared" ca="1" si="3"/>
        <v>21.999999999999993</v>
      </c>
      <c r="N16" s="94">
        <f ca="1">SUMIFS('monthly calculations (2)'!$U$6:$U$365,'monthly calculations (2)'!$C$6:$C$365,'output table (2)'!$B16,'monthly calculations (2)'!$AM$6:$AM$365, 1)</f>
        <v>40012.331563400301</v>
      </c>
      <c r="O16" s="11">
        <f ca="1">SUMIFS('monthly calculations (2)'!$V$6:$V$365,'monthly calculations (2)'!$C$6:$C$365,'output table (2)'!$B16,'monthly calculations (2)'!$AM$6:$AM$365, 1)</f>
        <v>7232.4675978852765</v>
      </c>
      <c r="P16" s="94">
        <f t="shared" ca="1" si="0"/>
        <v>47244.799161285577</v>
      </c>
      <c r="Q16" s="11">
        <f ca="1">SUMIFS('monthly calculations (2)'!$W$6:$W$365,'monthly calculations (2)'!$C$6:$C$365,'output table (2)'!$B16,'monthly calculations (2)'!$AM$6:$AM$365, 1)</f>
        <v>13672.548842403956</v>
      </c>
      <c r="R16" s="11">
        <f ca="1">SUMIFS('monthly calculations (2)'!$AA$6:$AA$365,'monthly calculations (2)'!$C$6:$C$365,'output table (2)'!$B16,'monthly calculations (2)'!$AM$6:$AM$365, 1)</f>
        <v>0</v>
      </c>
      <c r="S16" s="11">
        <f ca="1">SUMIFS('monthly calculations (2)'!$AE$6:$AE$365,'monthly calculations (2)'!$C$6:$C$365,'output table (2)'!$B16,'monthly calculations (2)'!$AM$6:$AM$365, 1)</f>
        <v>0</v>
      </c>
      <c r="T16" s="94">
        <f t="shared" ca="1" si="1"/>
        <v>0</v>
      </c>
      <c r="U16" s="11">
        <f ca="1">SUMIF('monthly calculations (2)'!$C$6:$C$365,'output table (2)'!$B16,'monthly calculations (2)'!AH14:AH373)</f>
        <v>0</v>
      </c>
      <c r="V16" s="11">
        <f ca="1">SUMIFS('monthly calculations (2)'!$AK$6:$AK$365,'monthly calculations (2)'!$C$6:$C$365,'output table (2)'!$B16,'monthly calculations (2)'!$AM$6:$AM$365, 1)</f>
        <v>4931.3771850303456</v>
      </c>
      <c r="W16" s="94">
        <f ca="1">SUMIFS('monthly calculations (2)'!$AL$6:$AL$365,'monthly calculations (2)'!$C$6:$C$365,'output table (2)'!$B16,'monthly calculations (2)'!$AM$6:$AM$365, 1)</f>
        <v>55985.970818659174</v>
      </c>
      <c r="X16" s="11">
        <f ca="1">OFFSET('monthly calculations (2)'!$AO$5,             MATCH(DATE($B16,12,1),   'monthly calculations (2)'!$B$6:$B$365,  0),                  0)</f>
        <v>869829.28970190661</v>
      </c>
      <c r="Y16" s="11">
        <f ca="1">OFFSET('monthly calculations (2)'!$AQ$5,             MATCH(DATE($B16,12,1),   'monthly calculations (2)'!$B$6:$B$365,  0),                  0)</f>
        <v>633401.00391071243</v>
      </c>
      <c r="AA16" s="342"/>
    </row>
    <row r="17" spans="2:27" s="76" customFormat="1" ht="23.25" customHeight="1" x14ac:dyDescent="0.25">
      <c r="B17" s="78">
        <f t="shared" si="4"/>
        <v>2030</v>
      </c>
      <c r="C17" s="139">
        <f ca="1">IFERROR(AVERAGEIFS('monthly calculations (2)'!$D$6:$D$365,'monthly calculations (2)'!$C$6:$C$365,'output table (2)'!$B17,'monthly calculations (2)'!$AM$6:$AM$365, 1),0)</f>
        <v>1</v>
      </c>
      <c r="D17" s="137">
        <f ca="1">SUMIFS('monthly calculations (2)'!$E$6:$E$365,'monthly calculations (2)'!$C$6:$C$365,'output table (2)'!$B17,'monthly calculations (2)'!$AM$6:$AM$365, 1)</f>
        <v>2800.3953124860705</v>
      </c>
      <c r="E17" s="134">
        <f ca="1">SUMIFS('monthly calculations (2)'!$F$6:$F$365,'monthly calculations (2)'!$C$6:$C$365,'output table (2)'!$B17,'monthly calculations (2)'!$AM$6:$AM$365, 1)</f>
        <v>15369.717260458674</v>
      </c>
      <c r="F17" s="134">
        <f ca="1">SUMIFS('monthly calculations (2)'!$G$6:$G$365,'monthly calculations (2)'!$C$6:$C$365,'output table (2)'!$B17,'monthly calculations (2)'!$AM$6:$AM$365, 1)</f>
        <v>139.72503236109711</v>
      </c>
      <c r="G17" s="134">
        <f ca="1">SUMIFS('monthly calculations (2)'!$H$6:$H$365,'monthly calculations (2)'!$C$6:$C$365,'output table (2)'!$B17,'monthly calculations (2)'!$AM$6:$AM$365, 1)</f>
        <v>2305.4575890688011</v>
      </c>
      <c r="H17" s="134">
        <f ca="1">SUMIFS('monthly calculations (2)'!$K$6:$K$365,'monthly calculations (2)'!$C$6:$C$365,'output table (2)'!$B17,'monthly calculations (2)'!$AM$6:$AM$365, 1)</f>
        <v>700.09882812151761</v>
      </c>
      <c r="I17" s="134">
        <f ca="1">SUMIFS('monthly calculations (2)'!$L$6:$L$365,'monthly calculations (2)'!$C$6:$C$365,'output table (2)'!$B17,'monthly calculations (2)'!$AM$6:$AM$365, 1)</f>
        <v>2881.8219863360018</v>
      </c>
      <c r="J17" s="134">
        <f ca="1">SUMIFS('monthly calculations (2)'!$N$6:$N$365,'monthly calculations (2)'!$C$6:$C$365,'output table (2)'!$B17,'monthly calculations (2)'!$AM$6:$AM$365, 1)</f>
        <v>576.36439726720027</v>
      </c>
      <c r="K17" s="135">
        <f t="shared" ca="1" si="2"/>
        <v>52.499999999999993</v>
      </c>
      <c r="L17" s="136">
        <f t="shared" ca="1" si="2"/>
        <v>2.3275000000000001</v>
      </c>
      <c r="M17" s="136">
        <f t="shared" ca="1" si="3"/>
        <v>22.000000000000004</v>
      </c>
      <c r="N17" s="137">
        <f ca="1">SUMIFS('monthly calculations (2)'!$U$6:$U$365,'monthly calculations (2)'!$C$6:$C$365,'output table (2)'!$B17,'monthly calculations (2)'!$AM$6:$AM$365, 1)</f>
        <v>36755.18847637967</v>
      </c>
      <c r="O17" s="134">
        <f ca="1">SUMIFS('monthly calculations (2)'!$V$6:$V$365,'monthly calculations (2)'!$C$6:$C$365,'output table (2)'!$B17,'monthly calculations (2)'!$AM$6:$AM$365, 1)</f>
        <v>6707.4406731970448</v>
      </c>
      <c r="P17" s="137">
        <f t="shared" ca="1" si="0"/>
        <v>43462.629149576715</v>
      </c>
      <c r="Q17" s="134">
        <f ca="1">SUMIFS('monthly calculations (2)'!$W$6:$W$365,'monthly calculations (2)'!$C$6:$C$365,'output table (2)'!$B17,'monthly calculations (2)'!$AM$6:$AM$365, 1)</f>
        <v>12680.016739878409</v>
      </c>
      <c r="R17" s="134">
        <f ca="1">SUMIFS('monthly calculations (2)'!$AA$6:$AA$365,'monthly calculations (2)'!$C$6:$C$365,'output table (2)'!$B17,'monthly calculations (2)'!$AM$6:$AM$365, 1)</f>
        <v>0</v>
      </c>
      <c r="S17" s="134">
        <f ca="1">SUMIFS('monthly calculations (2)'!$AE$6:$AE$365,'monthly calculations (2)'!$C$6:$C$365,'output table (2)'!$B17,'monthly calculations (2)'!$AM$6:$AM$365, 1)</f>
        <v>0</v>
      </c>
      <c r="T17" s="137">
        <f t="shared" ca="1" si="1"/>
        <v>0</v>
      </c>
      <c r="U17" s="134">
        <f ca="1">SUMIF('monthly calculations (2)'!$C$6:$C$365,'output table (2)'!$B17,'monthly calculations (2)'!AH15:AH374)</f>
        <v>0</v>
      </c>
      <c r="V17" s="134">
        <f ca="1">SUMIFS('monthly calculations (2)'!$AK$6:$AK$365,'monthly calculations (2)'!$C$6:$C$365,'output table (2)'!$B17,'monthly calculations (2)'!$AM$6:$AM$365, 1)</f>
        <v>4548.3641231305019</v>
      </c>
      <c r="W17" s="137">
        <f ca="1">SUMIFS('monthly calculations (2)'!$AL$6:$AL$365,'monthly calculations (2)'!$C$6:$C$365,'output table (2)'!$B17,'monthly calculations (2)'!$AM$6:$AM$365, 1)</f>
        <v>51594.281766324624</v>
      </c>
      <c r="X17" s="134">
        <f ca="1">OFFSET('monthly calculations (2)'!$AO$5,             MATCH(DATE($B17,12,1),   'monthly calculations (2)'!$B$6:$B$365,  0),                  0)</f>
        <v>921423.57146823127</v>
      </c>
      <c r="Y17" s="134">
        <f ca="1">OFFSET('monthly calculations (2)'!$AQ$5,             MATCH(DATE($B17,12,1),   'monthly calculations (2)'!$B$6:$B$365,  0),                  0)</f>
        <v>653533.70553093439</v>
      </c>
      <c r="AA17" s="342"/>
    </row>
    <row r="18" spans="2:27" x14ac:dyDescent="0.25">
      <c r="B18" s="77">
        <f t="shared" si="4"/>
        <v>2031</v>
      </c>
      <c r="C18" s="138">
        <f ca="1">IFERROR(AVERAGEIFS('monthly calculations (2)'!$D$6:$D$365,'monthly calculations (2)'!$C$6:$C$365,'output table (2)'!$B18,'monthly calculations (2)'!$AM$6:$AM$365, 1),0)</f>
        <v>1</v>
      </c>
      <c r="D18" s="94">
        <f ca="1">SUMIFS('monthly calculations (2)'!$E$6:$E$365,'monthly calculations (2)'!$C$6:$C$365,'output table (2)'!$B18,'monthly calculations (2)'!$AM$6:$AM$365, 1)</f>
        <v>2576.3629485409579</v>
      </c>
      <c r="E18" s="11">
        <f ca="1">SUMIFS('monthly calculations (2)'!$F$6:$F$365,'monthly calculations (2)'!$C$6:$C$365,'output table (2)'!$B18,'monthly calculations (2)'!$AM$6:$AM$365, 1)</f>
        <v>14329.556934969365</v>
      </c>
      <c r="F18" s="11">
        <f ca="1">SUMIFS('monthly calculations (2)'!$G$6:$G$365,'monthly calculations (2)'!$C$6:$C$365,'output table (2)'!$B18,'monthly calculations (2)'!$AM$6:$AM$365, 1)</f>
        <v>91.806866168235857</v>
      </c>
      <c r="G18" s="11">
        <f ca="1">SUMIFS('monthly calculations (2)'!$H$6:$H$365,'monthly calculations (2)'!$C$6:$C$365,'output table (2)'!$B18,'monthly calculations (2)'!$AM$6:$AM$365, 1)</f>
        <v>2149.4335402454039</v>
      </c>
      <c r="H18" s="11">
        <f ca="1">SUMIFS('monthly calculations (2)'!$K$6:$K$365,'monthly calculations (2)'!$C$6:$C$365,'output table (2)'!$B18,'monthly calculations (2)'!$AM$6:$AM$365, 1)</f>
        <v>644.09073713523946</v>
      </c>
      <c r="I18" s="11">
        <f ca="1">SUMIFS('monthly calculations (2)'!$L$6:$L$365,'monthly calculations (2)'!$C$6:$C$365,'output table (2)'!$B18,'monthly calculations (2)'!$AM$6:$AM$365, 1)</f>
        <v>2686.7919253067553</v>
      </c>
      <c r="J18" s="11">
        <f ca="1">SUMIFS('monthly calculations (2)'!$N$6:$N$365,'monthly calculations (2)'!$C$6:$C$365,'output table (2)'!$B18,'monthly calculations (2)'!$AM$6:$AM$365, 1)</f>
        <v>537.35838506135099</v>
      </c>
      <c r="K18" s="91">
        <f t="shared" ca="1" si="2"/>
        <v>52.499999999999993</v>
      </c>
      <c r="L18" s="33">
        <f t="shared" ca="1" si="2"/>
        <v>2.3275000000000001</v>
      </c>
      <c r="M18" s="33">
        <f t="shared" ca="1" si="3"/>
        <v>22.000000000000004</v>
      </c>
      <c r="N18" s="94">
        <f ca="1">SUMIFS('monthly calculations (2)'!$U$6:$U$365,'monthly calculations (2)'!$C$6:$C$365,'output table (2)'!$B18,'monthly calculations (2)'!$AM$6:$AM$365, 1)</f>
        <v>33814.763699600066</v>
      </c>
      <c r="O18" s="11">
        <f ca="1">SUMIFS('monthly calculations (2)'!$V$6:$V$365,'monthly calculations (2)'!$C$6:$C$365,'output table (2)'!$B18,'monthly calculations (2)'!$AM$6:$AM$365, 1)</f>
        <v>6253.5082061514731</v>
      </c>
      <c r="P18" s="94">
        <f t="shared" ca="1" si="0"/>
        <v>40068.271905751535</v>
      </c>
      <c r="Q18" s="11">
        <f ca="1">SUMIFS('monthly calculations (2)'!$W$6:$W$365,'monthly calculations (2)'!$C$6:$C$365,'output table (2)'!$B18,'monthly calculations (2)'!$AM$6:$AM$365, 1)</f>
        <v>11821.884471349724</v>
      </c>
      <c r="R18" s="11">
        <f ca="1">SUMIFS('monthly calculations (2)'!$AA$6:$AA$365,'monthly calculations (2)'!$C$6:$C$365,'output table (2)'!$B18,'monthly calculations (2)'!$AM$6:$AM$365, 1)</f>
        <v>0</v>
      </c>
      <c r="S18" s="11">
        <f ca="1">SUMIFS('monthly calculations (2)'!$AE$6:$AE$365,'monthly calculations (2)'!$C$6:$C$365,'output table (2)'!$B18,'monthly calculations (2)'!$AM$6:$AM$365, 1)</f>
        <v>0</v>
      </c>
      <c r="T18" s="94">
        <f t="shared" ca="1" si="1"/>
        <v>0</v>
      </c>
      <c r="U18" s="11">
        <f ca="1">SUMIF('monthly calculations (2)'!$C$6:$C$365,'output table (2)'!$B18,'monthly calculations (2)'!AH16:AH375)</f>
        <v>0</v>
      </c>
      <c r="V18" s="11">
        <f ca="1">SUMIFS('monthly calculations (2)'!$AK$6:$AK$365,'monthly calculations (2)'!$C$6:$C$365,'output table (2)'!$B18,'monthly calculations (2)'!$AM$6:$AM$365, 1)</f>
        <v>4208.3874904217246</v>
      </c>
      <c r="W18" s="94">
        <f ca="1">SUMIFS('monthly calculations (2)'!$AL$6:$AL$365,'monthly calculations (2)'!$C$6:$C$365,'output table (2)'!$B18,'monthly calculations (2)'!$AM$6:$AM$365, 1)</f>
        <v>47681.768886679543</v>
      </c>
      <c r="X18" s="11">
        <f ca="1">OFFSET('monthly calculations (2)'!$AO$5,             MATCH(DATE($B18,12,1),   'monthly calculations (2)'!$B$6:$B$365,  0),                  0)</f>
        <v>969105.3403549107</v>
      </c>
      <c r="Y18" s="11">
        <f ca="1">OFFSET('monthly calculations (2)'!$AQ$5,             MATCH(DATE($B18,12,1),   'monthly calculations (2)'!$B$6:$B$365,  0),                  0)</f>
        <v>670375.84478018328</v>
      </c>
      <c r="AA18" s="342"/>
    </row>
    <row r="19" spans="2:27" x14ac:dyDescent="0.25">
      <c r="B19" s="77">
        <f t="shared" si="4"/>
        <v>2032</v>
      </c>
      <c r="C19" s="138">
        <f ca="1">IFERROR(AVERAGEIFS('monthly calculations (2)'!$D$6:$D$365,'monthly calculations (2)'!$C$6:$C$365,'output table (2)'!$B19,'monthly calculations (2)'!$AM$6:$AM$365, 1),0)</f>
        <v>1</v>
      </c>
      <c r="D19" s="94">
        <f ca="1">SUMIFS('monthly calculations (2)'!$E$6:$E$365,'monthly calculations (2)'!$C$6:$C$365,'output table (2)'!$B19,'monthly calculations (2)'!$AM$6:$AM$365, 1)</f>
        <v>2376.5003704941682</v>
      </c>
      <c r="E19" s="11">
        <f ca="1">SUMIFS('monthly calculations (2)'!$F$6:$F$365,'monthly calculations (2)'!$C$6:$C$365,'output table (2)'!$B19,'monthly calculations (2)'!$AM$6:$AM$365, 1)</f>
        <v>13457.653819367006</v>
      </c>
      <c r="F19" s="11">
        <f ca="1">SUMIFS('monthly calculations (2)'!$G$6:$G$365,'monthly calculations (2)'!$C$6:$C$365,'output table (2)'!$B19,'monthly calculations (2)'!$AM$6:$AM$365, 1)</f>
        <v>60.511209580044522</v>
      </c>
      <c r="G19" s="11">
        <f ca="1">SUMIFS('monthly calculations (2)'!$H$6:$H$365,'monthly calculations (2)'!$C$6:$C$365,'output table (2)'!$B19,'monthly calculations (2)'!$AM$6:$AM$365, 1)</f>
        <v>2018.6480729050509</v>
      </c>
      <c r="H19" s="11">
        <f ca="1">SUMIFS('monthly calculations (2)'!$K$6:$K$365,'monthly calculations (2)'!$C$6:$C$365,'output table (2)'!$B19,'monthly calculations (2)'!$AM$6:$AM$365, 1)</f>
        <v>594.12509262354206</v>
      </c>
      <c r="I19" s="11">
        <f ca="1">SUMIFS('monthly calculations (2)'!$L$6:$L$365,'monthly calculations (2)'!$C$6:$C$365,'output table (2)'!$B19,'monthly calculations (2)'!$AM$6:$AM$365, 1)</f>
        <v>2523.3100911313136</v>
      </c>
      <c r="J19" s="11">
        <f ca="1">SUMIFS('monthly calculations (2)'!$N$6:$N$365,'monthly calculations (2)'!$C$6:$C$365,'output table (2)'!$B19,'monthly calculations (2)'!$AM$6:$AM$365, 1)</f>
        <v>504.66201822626272</v>
      </c>
      <c r="K19" s="91">
        <f t="shared" ca="1" si="2"/>
        <v>52.5</v>
      </c>
      <c r="L19" s="33">
        <f t="shared" ca="1" si="2"/>
        <v>2.3275000000000001</v>
      </c>
      <c r="M19" s="33">
        <f t="shared" ca="1" si="3"/>
        <v>21.999999999999996</v>
      </c>
      <c r="N19" s="94">
        <f ca="1">SUMIFS('monthly calculations (2)'!$U$6:$U$365,'monthly calculations (2)'!$C$6:$C$365,'output table (2)'!$B19,'monthly calculations (2)'!$AM$6:$AM$365, 1)</f>
        <v>31191.567362735957</v>
      </c>
      <c r="O19" s="11">
        <f ca="1">SUMIFS('monthly calculations (2)'!$V$6:$V$365,'monthly calculations (2)'!$C$6:$C$365,'output table (2)'!$B19,'monthly calculations (2)'!$AM$6:$AM$365, 1)</f>
        <v>5873.0042371081327</v>
      </c>
      <c r="P19" s="94">
        <f t="shared" ca="1" si="0"/>
        <v>37064.571599844086</v>
      </c>
      <c r="Q19" s="11">
        <f ca="1">SUMIFS('monthly calculations (2)'!$W$6:$W$365,'monthly calculations (2)'!$C$6:$C$365,'output table (2)'!$B19,'monthly calculations (2)'!$AM$6:$AM$365, 1)</f>
        <v>11102.564400977779</v>
      </c>
      <c r="R19" s="11">
        <f ca="1">SUMIFS('monthly calculations (2)'!$AA$6:$AA$365,'monthly calculations (2)'!$C$6:$C$365,'output table (2)'!$B19,'monthly calculations (2)'!$AM$6:$AM$365, 1)</f>
        <v>0</v>
      </c>
      <c r="S19" s="11">
        <f ca="1">SUMIFS('monthly calculations (2)'!$AE$6:$AE$365,'monthly calculations (2)'!$C$6:$C$365,'output table (2)'!$B19,'monthly calculations (2)'!$AM$6:$AM$365, 1)</f>
        <v>0</v>
      </c>
      <c r="T19" s="94">
        <f t="shared" ca="1" si="1"/>
        <v>0</v>
      </c>
      <c r="U19" s="11">
        <f ca="1">SUMIF('monthly calculations (2)'!$C$6:$C$365,'output table (2)'!$B19,'monthly calculations (2)'!AH17:AH376)</f>
        <v>0</v>
      </c>
      <c r="V19" s="11">
        <f ca="1">SUMIFS('monthly calculations (2)'!$AK$6:$AK$365,'monthly calculations (2)'!$C$6:$C$365,'output table (2)'!$B19,'monthly calculations (2)'!$AM$6:$AM$365, 1)</f>
        <v>3912.1581465628442</v>
      </c>
      <c r="W19" s="94">
        <f ca="1">SUMIFS('monthly calculations (2)'!$AL$6:$AL$365,'monthly calculations (2)'!$C$6:$C$365,'output table (2)'!$B19,'monthly calculations (2)'!$AM$6:$AM$365, 1)</f>
        <v>44254.977854259021</v>
      </c>
      <c r="X19" s="11">
        <f ca="1">OFFSET('monthly calculations (2)'!$AO$5,             MATCH(DATE($B19,12,1),   'monthly calculations (2)'!$B$6:$B$365,  0),                  0)</f>
        <v>1013360.3182091695</v>
      </c>
      <c r="Y19" s="11">
        <f ca="1">OFFSET('monthly calculations (2)'!$AQ$5,             MATCH(DATE($B19,12,1),   'monthly calculations (2)'!$B$6:$B$365,  0),                  0)</f>
        <v>684527.19024228991</v>
      </c>
    </row>
    <row r="20" spans="2:27" x14ac:dyDescent="0.25">
      <c r="B20" s="77">
        <f t="shared" si="4"/>
        <v>2033</v>
      </c>
      <c r="C20" s="138">
        <f ca="1">IFERROR(AVERAGEIFS('monthly calculations (2)'!$D$6:$D$365,'monthly calculations (2)'!$C$6:$C$365,'output table (2)'!$B20,'monthly calculations (2)'!$AM$6:$AM$365, 1),0)</f>
        <v>1</v>
      </c>
      <c r="D20" s="94">
        <f ca="1">SUMIFS('monthly calculations (2)'!$E$6:$E$365,'monthly calculations (2)'!$C$6:$C$365,'output table (2)'!$B20,'monthly calculations (2)'!$AM$6:$AM$365, 1)</f>
        <v>2180.1355065728658</v>
      </c>
      <c r="E20" s="11">
        <f ca="1">SUMIFS('monthly calculations (2)'!$F$6:$F$365,'monthly calculations (2)'!$C$6:$C$365,'output table (2)'!$B20,'monthly calculations (2)'!$AM$6:$AM$365, 1)</f>
        <v>12615.675160844821</v>
      </c>
      <c r="F20" s="11">
        <f ca="1">SUMIFS('monthly calculations (2)'!$G$6:$G$365,'monthly calculations (2)'!$C$6:$C$365,'output table (2)'!$B20,'monthly calculations (2)'!$AM$6:$AM$365, 1)</f>
        <v>39.694021500561199</v>
      </c>
      <c r="G20" s="11">
        <f ca="1">SUMIFS('monthly calculations (2)'!$H$6:$H$365,'monthly calculations (2)'!$C$6:$C$365,'output table (2)'!$B20,'monthly calculations (2)'!$AM$6:$AM$365, 1)</f>
        <v>1892.351274126723</v>
      </c>
      <c r="H20" s="11">
        <f ca="1">SUMIFS('monthly calculations (2)'!$K$6:$K$365,'monthly calculations (2)'!$C$6:$C$365,'output table (2)'!$B20,'monthly calculations (2)'!$AM$6:$AM$365, 1)</f>
        <v>545.03387664321644</v>
      </c>
      <c r="I20" s="11">
        <f ca="1">SUMIFS('monthly calculations (2)'!$L$6:$L$365,'monthly calculations (2)'!$C$6:$C$365,'output table (2)'!$B20,'monthly calculations (2)'!$AM$6:$AM$365, 1)</f>
        <v>2365.4390926584038</v>
      </c>
      <c r="J20" s="11">
        <f ca="1">SUMIFS('monthly calculations (2)'!$N$6:$N$365,'monthly calculations (2)'!$C$6:$C$365,'output table (2)'!$B20,'monthly calculations (2)'!$AM$6:$AM$365, 1)</f>
        <v>473.08781853168074</v>
      </c>
      <c r="K20" s="91">
        <f t="shared" ca="1" si="2"/>
        <v>52.499999999999986</v>
      </c>
      <c r="L20" s="33">
        <f t="shared" ca="1" si="2"/>
        <v>2.3275000000000006</v>
      </c>
      <c r="M20" s="33">
        <f t="shared" ca="1" si="3"/>
        <v>22.000000000000004</v>
      </c>
      <c r="N20" s="94">
        <f ca="1">SUMIFS('monthly calculations (2)'!$U$6:$U$365,'monthly calculations (2)'!$C$6:$C$365,'output table (2)'!$B20,'monthly calculations (2)'!$AM$6:$AM$365, 1)</f>
        <v>28614.278523768855</v>
      </c>
      <c r="O20" s="11">
        <f ca="1">SUMIFS('monthly calculations (2)'!$V$6:$V$365,'monthly calculations (2)'!$C$6:$C$365,'output table (2)'!$B20,'monthly calculations (2)'!$AM$6:$AM$365, 1)</f>
        <v>5505.5594881624356</v>
      </c>
      <c r="P20" s="94">
        <f t="shared" ca="1" si="0"/>
        <v>34119.838011931293</v>
      </c>
      <c r="Q20" s="11">
        <f ca="1">SUMIFS('monthly calculations (2)'!$W$6:$W$365,'monthly calculations (2)'!$C$6:$C$365,'output table (2)'!$B20,'monthly calculations (2)'!$AM$6:$AM$365, 1)</f>
        <v>10407.932007696978</v>
      </c>
      <c r="R20" s="11">
        <f ca="1">SUMIFS('monthly calculations (2)'!$AA$6:$AA$365,'monthly calculations (2)'!$C$6:$C$365,'output table (2)'!$B20,'monthly calculations (2)'!$AM$6:$AM$365, 1)</f>
        <v>0</v>
      </c>
      <c r="S20" s="11">
        <f ca="1">SUMIFS('monthly calculations (2)'!$AE$6:$AE$365,'monthly calculations (2)'!$C$6:$C$365,'output table (2)'!$B20,'monthly calculations (2)'!$AM$6:$AM$365, 1)</f>
        <v>0</v>
      </c>
      <c r="T20" s="94">
        <f t="shared" ca="1" si="1"/>
        <v>0</v>
      </c>
      <c r="U20" s="11">
        <f ca="1">SUMIF('monthly calculations (2)'!$C$6:$C$365,'output table (2)'!$B20,'monthly calculations (2)'!AH18:AH377)</f>
        <v>0</v>
      </c>
      <c r="V20" s="11">
        <f ca="1">SUMIFS('monthly calculations (2)'!$AK$6:$AK$365,'monthly calculations (2)'!$C$6:$C$365,'output table (2)'!$B20,'monthly calculations (2)'!$AM$6:$AM$365, 1)</f>
        <v>3622.9629247735302</v>
      </c>
      <c r="W20" s="94">
        <f ca="1">SUMIFS('monthly calculations (2)'!$AL$6:$AL$365,'monthly calculations (2)'!$C$6:$C$365,'output table (2)'!$B20,'monthly calculations (2)'!$AM$6:$AM$365, 1)</f>
        <v>40904.807094854747</v>
      </c>
      <c r="X20" s="11">
        <f ca="1">OFFSET('monthly calculations (2)'!$AO$5,             MATCH(DATE($B20,12,1),   'monthly calculations (2)'!$B$6:$B$365,  0),                  0)</f>
        <v>1054265.1253040244</v>
      </c>
      <c r="Y20" s="11">
        <f ca="1">OFFSET('monthly calculations (2)'!$AQ$5,             MATCH(DATE($B20,12,1),   'monthly calculations (2)'!$B$6:$B$365,  0),                  0)</f>
        <v>696366.12245454511</v>
      </c>
    </row>
    <row r="21" spans="2:27" x14ac:dyDescent="0.25">
      <c r="B21" s="77">
        <f t="shared" si="4"/>
        <v>2034</v>
      </c>
      <c r="C21" s="138">
        <f ca="1">IFERROR(AVERAGEIFS('monthly calculations (2)'!$D$6:$D$365,'monthly calculations (2)'!$C$6:$C$365,'output table (2)'!$B21,'monthly calculations (2)'!$AM$6:$AM$365, 1),0)</f>
        <v>1</v>
      </c>
      <c r="D21" s="94">
        <f ca="1">SUMIFS('monthly calculations (2)'!$E$6:$E$365,'monthly calculations (2)'!$C$6:$C$365,'output table (2)'!$B21,'monthly calculations (2)'!$AM$6:$AM$365, 1)</f>
        <v>2005.7246660470362</v>
      </c>
      <c r="E21" s="11">
        <f ca="1">SUMIFS('monthly calculations (2)'!$F$6:$F$365,'monthly calculations (2)'!$C$6:$C$365,'output table (2)'!$B21,'monthly calculations (2)'!$AM$6:$AM$365, 1)</f>
        <v>11858.734651194132</v>
      </c>
      <c r="F21" s="11">
        <f ca="1">SUMIFS('monthly calculations (2)'!$G$6:$G$365,'monthly calculations (2)'!$C$6:$C$365,'output table (2)'!$B21,'monthly calculations (2)'!$AM$6:$AM$365, 1)</f>
        <v>26.149841115178763</v>
      </c>
      <c r="G21" s="11">
        <f ca="1">SUMIFS('monthly calculations (2)'!$H$6:$H$365,'monthly calculations (2)'!$C$6:$C$365,'output table (2)'!$B21,'monthly calculations (2)'!$AM$6:$AM$365, 1)</f>
        <v>1778.8101976791195</v>
      </c>
      <c r="H21" s="11">
        <f ca="1">SUMIFS('monthly calculations (2)'!$K$6:$K$365,'monthly calculations (2)'!$C$6:$C$365,'output table (2)'!$B21,'monthly calculations (2)'!$AM$6:$AM$365, 1)</f>
        <v>501.43116651175905</v>
      </c>
      <c r="I21" s="11">
        <f ca="1">SUMIFS('monthly calculations (2)'!$L$6:$L$365,'monthly calculations (2)'!$C$6:$C$365,'output table (2)'!$B21,'monthly calculations (2)'!$AM$6:$AM$365, 1)</f>
        <v>2223.5127470989</v>
      </c>
      <c r="J21" s="11">
        <f ca="1">SUMIFS('monthly calculations (2)'!$N$6:$N$365,'monthly calculations (2)'!$C$6:$C$365,'output table (2)'!$B21,'monthly calculations (2)'!$AM$6:$AM$365, 1)</f>
        <v>444.70254941977987</v>
      </c>
      <c r="K21" s="91">
        <f t="shared" ca="1" si="2"/>
        <v>52.500000000000007</v>
      </c>
      <c r="L21" s="33">
        <f t="shared" ca="1" si="2"/>
        <v>2.3274999999999997</v>
      </c>
      <c r="M21" s="33">
        <f t="shared" ca="1" si="3"/>
        <v>22</v>
      </c>
      <c r="N21" s="94">
        <f ca="1">SUMIFS('monthly calculations (2)'!$U$6:$U$365,'monthly calculations (2)'!$C$6:$C$365,'output table (2)'!$B21,'monthly calculations (2)'!$AM$6:$AM$365, 1)</f>
        <v>26325.136241867353</v>
      </c>
      <c r="O21" s="11">
        <f ca="1">SUMIFS('monthly calculations (2)'!$V$6:$V$365,'monthly calculations (2)'!$C$6:$C$365,'output table (2)'!$B21,'monthly calculations (2)'!$AM$6:$AM$365, 1)</f>
        <v>5175.2259188726894</v>
      </c>
      <c r="P21" s="94">
        <f t="shared" ca="1" si="0"/>
        <v>31500.362160740042</v>
      </c>
      <c r="Q21" s="11">
        <f ca="1">SUMIFS('monthly calculations (2)'!$W$6:$W$365,'monthly calculations (2)'!$C$6:$C$365,'output table (2)'!$B21,'monthly calculations (2)'!$AM$6:$AM$365, 1)</f>
        <v>9783.4560872351576</v>
      </c>
      <c r="R21" s="11">
        <f ca="1">SUMIFS('monthly calculations (2)'!$AA$6:$AA$365,'monthly calculations (2)'!$C$6:$C$365,'output table (2)'!$B21,'monthly calculations (2)'!$AM$6:$AM$365, 1)</f>
        <v>0</v>
      </c>
      <c r="S21" s="11">
        <f ca="1">SUMIFS('monthly calculations (2)'!$AE$6:$AE$365,'monthly calculations (2)'!$C$6:$C$365,'output table (2)'!$B21,'monthly calculations (2)'!$AM$6:$AM$365, 1)</f>
        <v>0</v>
      </c>
      <c r="T21" s="94">
        <f t="shared" ca="1" si="1"/>
        <v>0</v>
      </c>
      <c r="U21" s="11">
        <f ca="1">SUMIF('monthly calculations (2)'!$C$6:$C$365,'output table (2)'!$B21,'monthly calculations (2)'!AH19:AH378)</f>
        <v>0</v>
      </c>
      <c r="V21" s="11">
        <f ca="1">SUMIFS('monthly calculations (2)'!$AK$6:$AK$365,'monthly calculations (2)'!$C$6:$C$365,'output table (2)'!$B21,'monthly calculations (2)'!$AM$6:$AM$365, 1)</f>
        <v>3364.9528737833671</v>
      </c>
      <c r="W21" s="94">
        <f ca="1">SUMIFS('monthly calculations (2)'!$AL$6:$AL$365,'monthly calculations (2)'!$C$6:$C$365,'output table (2)'!$B21,'monthly calculations (2)'!$AM$6:$AM$365, 1)</f>
        <v>37918.865374191832</v>
      </c>
      <c r="X21" s="11">
        <f ca="1">OFFSET('monthly calculations (2)'!$AO$5,             MATCH(DATE($B21,12,1),   'monthly calculations (2)'!$B$6:$B$365,  0),                  0)</f>
        <v>1092183.9906782161</v>
      </c>
      <c r="Y21" s="11">
        <f ca="1">OFFSET('monthly calculations (2)'!$AQ$5,             MATCH(DATE($B21,12,1),   'monthly calculations (2)'!$B$6:$B$365,  0),                  0)</f>
        <v>706300.56839123019</v>
      </c>
    </row>
    <row r="22" spans="2:27" s="76" customFormat="1" ht="23.25" customHeight="1" x14ac:dyDescent="0.25">
      <c r="B22" s="78">
        <f t="shared" si="4"/>
        <v>2035</v>
      </c>
      <c r="C22" s="139">
        <f ca="1">IFERROR(AVERAGEIFS('monthly calculations (2)'!$D$6:$D$365,'monthly calculations (2)'!$C$6:$C$365,'output table (2)'!$B22,'monthly calculations (2)'!$AM$6:$AM$365, 1),0)</f>
        <v>1</v>
      </c>
      <c r="D22" s="137">
        <f ca="1">SUMIFS('monthly calculations (2)'!$E$6:$E$365,'monthly calculations (2)'!$C$6:$C$365,'output table (2)'!$B22,'monthly calculations (2)'!$AM$6:$AM$365, 1)</f>
        <v>1845.2666927632736</v>
      </c>
      <c r="E22" s="134">
        <f ca="1">SUMIFS('monthly calculations (2)'!$F$6:$F$365,'monthly calculations (2)'!$C$6:$C$365,'output table (2)'!$B22,'monthly calculations (2)'!$AM$6:$AM$365, 1)</f>
        <v>11147.210572122482</v>
      </c>
      <c r="F22" s="134">
        <f ca="1">SUMIFS('monthly calculations (2)'!$G$6:$G$365,'monthly calculations (2)'!$C$6:$C$365,'output table (2)'!$B22,'monthly calculations (2)'!$AM$6:$AM$365, 1)</f>
        <v>17.242113140771718</v>
      </c>
      <c r="G22" s="134">
        <f ca="1">SUMIFS('monthly calculations (2)'!$H$6:$H$365,'monthly calculations (2)'!$C$6:$C$365,'output table (2)'!$B22,'monthly calculations (2)'!$AM$6:$AM$365, 1)</f>
        <v>1672.0815858183721</v>
      </c>
      <c r="H22" s="134">
        <f ca="1">SUMIFS('monthly calculations (2)'!$K$6:$K$365,'monthly calculations (2)'!$C$6:$C$365,'output table (2)'!$B22,'monthly calculations (2)'!$AM$6:$AM$365, 1)</f>
        <v>461.31667319081839</v>
      </c>
      <c r="I22" s="134">
        <f ca="1">SUMIFS('monthly calculations (2)'!$L$6:$L$365,'monthly calculations (2)'!$C$6:$C$365,'output table (2)'!$B22,'monthly calculations (2)'!$AM$6:$AM$365, 1)</f>
        <v>2090.1019822729654</v>
      </c>
      <c r="J22" s="134">
        <f ca="1">SUMIFS('monthly calculations (2)'!$N$6:$N$365,'monthly calculations (2)'!$C$6:$C$365,'output table (2)'!$B22,'monthly calculations (2)'!$AM$6:$AM$365, 1)</f>
        <v>418.02039645459303</v>
      </c>
      <c r="K22" s="135">
        <f t="shared" ca="1" si="2"/>
        <v>52.500000000000014</v>
      </c>
      <c r="L22" s="136">
        <f t="shared" ca="1" si="2"/>
        <v>2.3275000000000001</v>
      </c>
      <c r="M22" s="136">
        <f t="shared" ca="1" si="3"/>
        <v>22.000000000000004</v>
      </c>
      <c r="N22" s="137">
        <f ca="1">SUMIFS('monthly calculations (2)'!$U$6:$U$365,'monthly calculations (2)'!$C$6:$C$365,'output table (2)'!$B22,'monthly calculations (2)'!$AM$6:$AM$365, 1)</f>
        <v>24219.125342517971</v>
      </c>
      <c r="O22" s="134">
        <f ca="1">SUMIFS('monthly calculations (2)'!$V$6:$V$365,'monthly calculations (2)'!$C$6:$C$365,'output table (2)'!$B22,'monthly calculations (2)'!$AM$6:$AM$365, 1)</f>
        <v>4864.7123637403274</v>
      </c>
      <c r="P22" s="137">
        <f t="shared" ca="1" si="0"/>
        <v>29083.837706258299</v>
      </c>
      <c r="Q22" s="134">
        <f ca="1">SUMIFS('monthly calculations (2)'!$W$6:$W$365,'monthly calculations (2)'!$C$6:$C$365,'output table (2)'!$B22,'monthly calculations (2)'!$AM$6:$AM$365, 1)</f>
        <v>9196.4487220010487</v>
      </c>
      <c r="R22" s="134">
        <f ca="1">SUMIFS('monthly calculations (2)'!$AA$6:$AA$365,'monthly calculations (2)'!$C$6:$C$365,'output table (2)'!$B22,'monthly calculations (2)'!$AM$6:$AM$365, 1)</f>
        <v>0</v>
      </c>
      <c r="S22" s="134">
        <f ca="1">SUMIFS('monthly calculations (2)'!$AE$6:$AE$365,'monthly calculations (2)'!$C$6:$C$365,'output table (2)'!$B22,'monthly calculations (2)'!$AM$6:$AM$365, 1)</f>
        <v>0</v>
      </c>
      <c r="T22" s="137">
        <f t="shared" ca="1" si="1"/>
        <v>0</v>
      </c>
      <c r="U22" s="134">
        <f ca="1">SUMIF('monthly calculations (2)'!$C$6:$C$365,'output table (2)'!$B22,'monthly calculations (2)'!AH20:AH379)</f>
        <v>0</v>
      </c>
      <c r="V22" s="134">
        <f ca="1">SUMIFS('monthly calculations (2)'!$AK$6:$AK$365,'monthly calculations (2)'!$C$6:$C$365,'output table (2)'!$B22,'monthly calculations (2)'!$AM$6:$AM$365, 1)</f>
        <v>3125.6740078929133</v>
      </c>
      <c r="W22" s="137">
        <f ca="1">SUMIFS('monthly calculations (2)'!$AL$6:$AL$365,'monthly calculations (2)'!$C$6:$C$365,'output table (2)'!$B22,'monthly calculations (2)'!$AM$6:$AM$365, 1)</f>
        <v>35154.612420366429</v>
      </c>
      <c r="X22" s="134">
        <f ca="1">OFFSET('monthly calculations (2)'!$AO$5,             MATCH(DATE($B22,12,1),   'monthly calculations (2)'!$B$6:$B$365,  0),                  0)</f>
        <v>1127338.6030985829</v>
      </c>
      <c r="Y22" s="134">
        <f ca="1">OFFSET('monthly calculations (2)'!$AQ$5,             MATCH(DATE($B22,12,1),   'monthly calculations (2)'!$B$6:$B$365,  0),                  0)</f>
        <v>714637.77877608687</v>
      </c>
    </row>
    <row r="23" spans="2:27" x14ac:dyDescent="0.25">
      <c r="B23" s="77">
        <f t="shared" si="4"/>
        <v>2036</v>
      </c>
      <c r="C23" s="138">
        <f ca="1">IFERROR(AVERAGEIFS('monthly calculations (2)'!$D$6:$D$365,'monthly calculations (2)'!$C$6:$C$365,'output table (2)'!$B23,'monthly calculations (2)'!$AM$6:$AM$365, 1),0)</f>
        <v>1</v>
      </c>
      <c r="D23" s="94">
        <f ca="1">SUMIFS('monthly calculations (2)'!$E$6:$E$365,'monthly calculations (2)'!$C$6:$C$365,'output table (2)'!$B23,'monthly calculations (2)'!$AM$6:$AM$365, 1)</f>
        <v>1702.1192536152303</v>
      </c>
      <c r="E23" s="11">
        <f ca="1">SUMIFS('monthly calculations (2)'!$F$6:$F$365,'monthly calculations (2)'!$C$6:$C$365,'output table (2)'!$B23,'monthly calculations (2)'!$AM$6:$AM$365, 1)</f>
        <v>10506.270538245337</v>
      </c>
      <c r="F23" s="11">
        <f ca="1">SUMIFS('monthly calculations (2)'!$G$6:$G$365,'monthly calculations (2)'!$C$6:$C$365,'output table (2)'!$B23,'monthly calculations (2)'!$AM$6:$AM$365, 1)</f>
        <v>11.404254441187911</v>
      </c>
      <c r="G23" s="11">
        <f ca="1">SUMIFS('monthly calculations (2)'!$H$6:$H$365,'monthly calculations (2)'!$C$6:$C$365,'output table (2)'!$B23,'monthly calculations (2)'!$AM$6:$AM$365, 1)</f>
        <v>1575.9405807368003</v>
      </c>
      <c r="H23" s="11">
        <f ca="1">SUMIFS('monthly calculations (2)'!$K$6:$K$365,'monthly calculations (2)'!$C$6:$C$365,'output table (2)'!$B23,'monthly calculations (2)'!$AM$6:$AM$365, 1)</f>
        <v>425.52981340380757</v>
      </c>
      <c r="I23" s="11">
        <f ca="1">SUMIFS('monthly calculations (2)'!$L$6:$L$365,'monthly calculations (2)'!$C$6:$C$365,'output table (2)'!$B23,'monthly calculations (2)'!$AM$6:$AM$365, 1)</f>
        <v>1969.9257259210001</v>
      </c>
      <c r="J23" s="11">
        <f ca="1">SUMIFS('monthly calculations (2)'!$N$6:$N$365,'monthly calculations (2)'!$C$6:$C$365,'output table (2)'!$B23,'monthly calculations (2)'!$AM$6:$AM$365, 1)</f>
        <v>393.98514518420006</v>
      </c>
      <c r="K23" s="91">
        <f t="shared" ca="1" si="2"/>
        <v>52.499999999999993</v>
      </c>
      <c r="L23" s="33">
        <f t="shared" ca="1" si="2"/>
        <v>2.327500000000001</v>
      </c>
      <c r="M23" s="33">
        <f t="shared" ca="1" si="3"/>
        <v>21.999999999999996</v>
      </c>
      <c r="N23" s="94">
        <f ca="1">SUMIFS('monthly calculations (2)'!$U$6:$U$365,'monthly calculations (2)'!$C$6:$C$365,'output table (2)'!$B23,'monthly calculations (2)'!$AM$6:$AM$365, 1)</f>
        <v>22340.315203699894</v>
      </c>
      <c r="O23" s="11">
        <f ca="1">SUMIFS('monthly calculations (2)'!$V$6:$V$365,'monthly calculations (2)'!$C$6:$C$365,'output table (2)'!$B23,'monthly calculations (2)'!$AM$6:$AM$365, 1)</f>
        <v>4585.0021270811294</v>
      </c>
      <c r="P23" s="94">
        <f t="shared" ca="1" si="0"/>
        <v>26925.317330781025</v>
      </c>
      <c r="Q23" s="11">
        <f ca="1">SUMIFS('monthly calculations (2)'!$W$6:$W$365,'monthly calculations (2)'!$C$6:$C$365,'output table (2)'!$B23,'monthly calculations (2)'!$AM$6:$AM$365, 1)</f>
        <v>8667.6731940524005</v>
      </c>
      <c r="R23" s="11">
        <f ca="1">SUMIFS('monthly calculations (2)'!$AA$6:$AA$365,'monthly calculations (2)'!$C$6:$C$365,'output table (2)'!$B23,'monthly calculations (2)'!$AM$6:$AM$365, 1)</f>
        <v>0</v>
      </c>
      <c r="S23" s="11">
        <f ca="1">SUMIFS('monthly calculations (2)'!$AE$6:$AE$365,'monthly calculations (2)'!$C$6:$C$365,'output table (2)'!$B23,'monthly calculations (2)'!$AM$6:$AM$365, 1)</f>
        <v>0</v>
      </c>
      <c r="T23" s="94">
        <f t="shared" ca="1" si="1"/>
        <v>0</v>
      </c>
      <c r="U23" s="11">
        <f ca="1">SUMIF('monthly calculations (2)'!$C$6:$C$365,'output table (2)'!$B23,'monthly calculations (2)'!AH21:AH380)</f>
        <v>0</v>
      </c>
      <c r="V23" s="11">
        <f ca="1">SUMIFS('monthly calculations (2)'!$AK$6:$AK$365,'monthly calculations (2)'!$C$6:$C$365,'output table (2)'!$B23,'monthly calculations (2)'!$AM$6:$AM$365, 1)</f>
        <v>2911.4299115760455</v>
      </c>
      <c r="W23" s="94">
        <f ca="1">SUMIFS('monthly calculations (2)'!$AL$6:$AL$365,'monthly calculations (2)'!$C$6:$C$365,'output table (2)'!$B23,'monthly calculations (2)'!$AM$6:$AM$365, 1)</f>
        <v>32681.560613257378</v>
      </c>
      <c r="X23" s="11">
        <f ca="1">OFFSET('monthly calculations (2)'!$AO$5,             MATCH(DATE($B23,12,1),   'monthly calculations (2)'!$B$6:$B$365,  0),                  0)</f>
        <v>1160020.1637118398</v>
      </c>
      <c r="Y23" s="11">
        <f ca="1">OFFSET('monthly calculations (2)'!$AQ$5,             MATCH(DATE($B23,12,1),   'monthly calculations (2)'!$B$6:$B$365,  0),                  0)</f>
        <v>721654.551127463</v>
      </c>
    </row>
    <row r="24" spans="2:27" x14ac:dyDescent="0.25">
      <c r="B24" s="77">
        <f t="shared" si="4"/>
        <v>2037</v>
      </c>
      <c r="C24" s="138">
        <f ca="1">IFERROR(AVERAGEIFS('monthly calculations (2)'!$D$6:$D$365,'monthly calculations (2)'!$C$6:$C$365,'output table (2)'!$B24,'monthly calculations (2)'!$AM$6:$AM$365, 1),0)</f>
        <v>1</v>
      </c>
      <c r="D24" s="94">
        <f ca="1">SUMIFS('monthly calculations (2)'!$E$6:$E$365,'monthly calculations (2)'!$C$6:$C$365,'output table (2)'!$B24,'monthly calculations (2)'!$AM$6:$AM$365, 1)</f>
        <v>1561.4769798904913</v>
      </c>
      <c r="E24" s="11">
        <f ca="1">SUMIFS('monthly calculations (2)'!$F$6:$F$365,'monthly calculations (2)'!$C$6:$C$365,'output table (2)'!$B24,'monthly calculations (2)'!$AM$6:$AM$365, 1)</f>
        <v>9848.0056698054832</v>
      </c>
      <c r="F24" s="11">
        <f ca="1">SUMIFS('monthly calculations (2)'!$G$6:$G$365,'monthly calculations (2)'!$C$6:$C$365,'output table (2)'!$B24,'monthly calculations (2)'!$AM$6:$AM$365, 1)</f>
        <v>7.5070023753346691</v>
      </c>
      <c r="G24" s="11">
        <f ca="1">SUMIFS('monthly calculations (2)'!$H$6:$H$365,'monthly calculations (2)'!$C$6:$C$365,'output table (2)'!$B24,'monthly calculations (2)'!$AM$6:$AM$365, 1)</f>
        <v>1477.2008504708224</v>
      </c>
      <c r="H24" s="11">
        <f ca="1">SUMIFS('monthly calculations (2)'!$K$6:$K$365,'monthly calculations (2)'!$C$6:$C$365,'output table (2)'!$B24,'monthly calculations (2)'!$AM$6:$AM$365, 1)</f>
        <v>390.36924497262282</v>
      </c>
      <c r="I24" s="11">
        <f ca="1">SUMIFS('monthly calculations (2)'!$L$6:$L$365,'monthly calculations (2)'!$C$6:$C$365,'output table (2)'!$B24,'monthly calculations (2)'!$AM$6:$AM$365, 1)</f>
        <v>1846.5010630885276</v>
      </c>
      <c r="J24" s="11">
        <f ca="1">SUMIFS('monthly calculations (2)'!$N$6:$N$365,'monthly calculations (2)'!$C$6:$C$365,'output table (2)'!$B24,'monthly calculations (2)'!$AM$6:$AM$365, 1)</f>
        <v>369.3002126177056</v>
      </c>
      <c r="K24" s="91">
        <f t="shared" ca="1" si="2"/>
        <v>52.5</v>
      </c>
      <c r="L24" s="33">
        <f t="shared" ca="1" si="2"/>
        <v>2.3275000000000001</v>
      </c>
      <c r="M24" s="33">
        <f t="shared" ca="1" si="3"/>
        <v>21.999999999999996</v>
      </c>
      <c r="N24" s="94">
        <f ca="1">SUMIFS('monthly calculations (2)'!$U$6:$U$365,'monthly calculations (2)'!$C$6:$C$365,'output table (2)'!$B24,'monthly calculations (2)'!$AM$6:$AM$365, 1)</f>
        <v>20494.385361062697</v>
      </c>
      <c r="O24" s="11">
        <f ca="1">SUMIFS('monthly calculations (2)'!$V$6:$V$365,'monthly calculations (2)'!$C$6:$C$365,'output table (2)'!$B24,'monthly calculations (2)'!$AM$6:$AM$365, 1)</f>
        <v>4297.7312243385486</v>
      </c>
      <c r="P24" s="94">
        <f t="shared" ca="1" si="0"/>
        <v>24792.116585401247</v>
      </c>
      <c r="Q24" s="11">
        <f ca="1">SUMIFS('monthly calculations (2)'!$W$6:$W$365,'monthly calculations (2)'!$C$6:$C$365,'output table (2)'!$B24,'monthly calculations (2)'!$AM$6:$AM$365, 1)</f>
        <v>8124.604677589522</v>
      </c>
      <c r="R24" s="11">
        <f ca="1">SUMIFS('monthly calculations (2)'!$AA$6:$AA$365,'monthly calculations (2)'!$C$6:$C$365,'output table (2)'!$B24,'monthly calculations (2)'!$AM$6:$AM$365, 1)</f>
        <v>0</v>
      </c>
      <c r="S24" s="11">
        <f ca="1">SUMIFS('monthly calculations (2)'!$AE$6:$AE$365,'monthly calculations (2)'!$C$6:$C$365,'output table (2)'!$B24,'monthly calculations (2)'!$AM$6:$AM$365, 1)</f>
        <v>0</v>
      </c>
      <c r="T24" s="94">
        <f t="shared" ca="1" si="1"/>
        <v>0</v>
      </c>
      <c r="U24" s="11">
        <f ca="1">SUMIF('monthly calculations (2)'!$C$6:$C$365,'output table (2)'!$B24,'monthly calculations (2)'!AH22:AH381)</f>
        <v>0</v>
      </c>
      <c r="V24" s="11">
        <f ca="1">SUMIFS('monthly calculations (2)'!$AK$6:$AK$365,'monthly calculations (2)'!$C$6:$C$365,'output table (2)'!$B24,'monthly calculations (2)'!$AM$6:$AM$365, 1)</f>
        <v>2697.3349508282586</v>
      </c>
      <c r="W24" s="94">
        <f ca="1">SUMIFS('monthly calculations (2)'!$AL$6:$AL$365,'monthly calculations (2)'!$C$6:$C$365,'output table (2)'!$B24,'monthly calculations (2)'!$AM$6:$AM$365, 1)</f>
        <v>30219.386312162511</v>
      </c>
      <c r="X24" s="11">
        <f ca="1">OFFSET('monthly calculations (2)'!$AO$5,             MATCH(DATE($B24,12,1),   'monthly calculations (2)'!$B$6:$B$365,  0),                  0)</f>
        <v>1190239.5500240023</v>
      </c>
      <c r="Y24" s="11">
        <f ca="1">OFFSET('monthly calculations (2)'!$AQ$5,             MATCH(DATE($B24,12,1),   'monthly calculations (2)'!$B$6:$B$365,  0),                  0)</f>
        <v>727527.06888355361</v>
      </c>
    </row>
    <row r="25" spans="2:27" x14ac:dyDescent="0.25">
      <c r="B25" s="77">
        <f t="shared" si="4"/>
        <v>2038</v>
      </c>
      <c r="C25" s="138">
        <f ca="1">IFERROR(AVERAGEIFS('monthly calculations (2)'!$D$6:$D$365,'monthly calculations (2)'!$C$6:$C$365,'output table (2)'!$B25,'monthly calculations (2)'!$AM$6:$AM$365, 1),0)</f>
        <v>1</v>
      </c>
      <c r="D25" s="94">
        <f ca="1">SUMIFS('monthly calculations (2)'!$E$6:$E$365,'monthly calculations (2)'!$C$6:$C$365,'output table (2)'!$B25,'monthly calculations (2)'!$AM$6:$AM$365, 1)</f>
        <v>1436.5588214992522</v>
      </c>
      <c r="E25" s="11">
        <f ca="1">SUMIFS('monthly calculations (2)'!$F$6:$F$365,'monthly calculations (2)'!$C$6:$C$365,'output table (2)'!$B25,'monthly calculations (2)'!$AM$6:$AM$365, 1)</f>
        <v>9257.1253296171544</v>
      </c>
      <c r="F25" s="11">
        <f ca="1">SUMIFS('monthly calculations (2)'!$G$6:$G$365,'monthly calculations (2)'!$C$6:$C$365,'output table (2)'!$B25,'monthly calculations (2)'!$AM$6:$AM$365, 1)</f>
        <v>4.9626320902431829</v>
      </c>
      <c r="G25" s="11">
        <f ca="1">SUMIFS('monthly calculations (2)'!$H$6:$H$365,'monthly calculations (2)'!$C$6:$C$365,'output table (2)'!$B25,'monthly calculations (2)'!$AM$6:$AM$365, 1)</f>
        <v>1388.568799442573</v>
      </c>
      <c r="H25" s="11">
        <f ca="1">SUMIFS('monthly calculations (2)'!$K$6:$K$365,'monthly calculations (2)'!$C$6:$C$365,'output table (2)'!$B25,'monthly calculations (2)'!$AM$6:$AM$365, 1)</f>
        <v>359.13970537481305</v>
      </c>
      <c r="I25" s="11">
        <f ca="1">SUMIFS('monthly calculations (2)'!$L$6:$L$365,'monthly calculations (2)'!$C$6:$C$365,'output table (2)'!$B25,'monthly calculations (2)'!$AM$6:$AM$365, 1)</f>
        <v>1735.7109993032163</v>
      </c>
      <c r="J25" s="11">
        <f ca="1">SUMIFS('monthly calculations (2)'!$N$6:$N$365,'monthly calculations (2)'!$C$6:$C$365,'output table (2)'!$B25,'monthly calculations (2)'!$AM$6:$AM$365, 1)</f>
        <v>347.14219986064325</v>
      </c>
      <c r="K25" s="91">
        <f t="shared" ca="1" si="2"/>
        <v>52.499999999999986</v>
      </c>
      <c r="L25" s="33">
        <f t="shared" ca="1" si="2"/>
        <v>2.3274999999999997</v>
      </c>
      <c r="M25" s="33">
        <f t="shared" ca="1" si="3"/>
        <v>21.999999999999996</v>
      </c>
      <c r="N25" s="94">
        <f ca="1">SUMIFS('monthly calculations (2)'!$U$6:$U$365,'monthly calculations (2)'!$C$6:$C$365,'output table (2)'!$B25,'monthly calculations (2)'!$AM$6:$AM$365, 1)</f>
        <v>18854.83453217768</v>
      </c>
      <c r="O25" s="11">
        <f ca="1">SUMIFS('monthly calculations (2)'!$V$6:$V$365,'monthly calculations (2)'!$C$6:$C$365,'output table (2)'!$B25,'monthly calculations (2)'!$AM$6:$AM$365, 1)</f>
        <v>4039.8673508782358</v>
      </c>
      <c r="P25" s="94">
        <f t="shared" ca="1" si="0"/>
        <v>22894.701883055917</v>
      </c>
      <c r="Q25" s="11">
        <f ca="1">SUMIFS('monthly calculations (2)'!$W$6:$W$365,'monthly calculations (2)'!$C$6:$C$365,'output table (2)'!$B25,'monthly calculations (2)'!$AM$6:$AM$365, 1)</f>
        <v>7637.1283969341503</v>
      </c>
      <c r="R25" s="11">
        <f ca="1">SUMIFS('monthly calculations (2)'!$AA$6:$AA$365,'monthly calculations (2)'!$C$6:$C$365,'output table (2)'!$B25,'monthly calculations (2)'!$AM$6:$AM$365, 1)</f>
        <v>0</v>
      </c>
      <c r="S25" s="11">
        <f ca="1">SUMIFS('monthly calculations (2)'!$AE$6:$AE$365,'monthly calculations (2)'!$C$6:$C$365,'output table (2)'!$B25,'monthly calculations (2)'!$AM$6:$AM$365, 1)</f>
        <v>0</v>
      </c>
      <c r="T25" s="94">
        <f t="shared" ca="1" si="1"/>
        <v>0</v>
      </c>
      <c r="U25" s="11">
        <f ca="1">SUMIF('monthly calculations (2)'!$C$6:$C$365,'output table (2)'!$B25,'monthly calculations (2)'!AH23:AH382)</f>
        <v>0</v>
      </c>
      <c r="V25" s="11">
        <f ca="1">SUMIFS('monthly calculations (2)'!$AK$6:$AK$365,'monthly calculations (2)'!$C$6:$C$365,'output table (2)'!$B25,'monthly calculations (2)'!$AM$6:$AM$365, 1)</f>
        <v>2506.3928265658542</v>
      </c>
      <c r="W25" s="94">
        <f ca="1">SUMIFS('monthly calculations (2)'!$AL$6:$AL$365,'monthly calculations (2)'!$C$6:$C$365,'output table (2)'!$B25,'monthly calculations (2)'!$AM$6:$AM$365, 1)</f>
        <v>28025.437453424216</v>
      </c>
      <c r="X25" s="11">
        <f ca="1">OFFSET('monthly calculations (2)'!$AO$5,             MATCH(DATE($B25,12,1),   'monthly calculations (2)'!$B$6:$B$365,  0),                  0)</f>
        <v>1218264.9874774267</v>
      </c>
      <c r="Y25" s="11">
        <f ca="1">OFFSET('monthly calculations (2)'!$AQ$5,             MATCH(DATE($B25,12,1),   'monthly calculations (2)'!$B$6:$B$365,  0),                  0)</f>
        <v>732457.00420188962</v>
      </c>
    </row>
    <row r="26" spans="2:27" x14ac:dyDescent="0.25">
      <c r="B26" s="77">
        <f t="shared" si="4"/>
        <v>2039</v>
      </c>
      <c r="C26" s="138">
        <f ca="1">IFERROR(AVERAGEIFS('monthly calculations (2)'!$D$6:$D$365,'monthly calculations (2)'!$C$6:$C$365,'output table (2)'!$B26,'monthly calculations (2)'!$AM$6:$AM$365, 1),0)</f>
        <v>1</v>
      </c>
      <c r="D26" s="94">
        <f ca="1">SUMIFS('monthly calculations (2)'!$E$6:$E$365,'monthly calculations (2)'!$C$6:$C$365,'output table (2)'!$B26,'monthly calculations (2)'!$AM$6:$AM$365, 1)</f>
        <v>1321.634115779312</v>
      </c>
      <c r="E26" s="11">
        <f ca="1">SUMIFS('monthly calculations (2)'!$F$6:$F$365,'monthly calculations (2)'!$C$6:$C$365,'output table (2)'!$B26,'monthly calculations (2)'!$AM$6:$AM$365, 1)</f>
        <v>8701.6978098401214</v>
      </c>
      <c r="F26" s="11">
        <f ca="1">SUMIFS('monthly calculations (2)'!$G$6:$G$365,'monthly calculations (2)'!$C$6:$C$365,'output table (2)'!$B26,'monthly calculations (2)'!$AM$6:$AM$365, 1)</f>
        <v>3.2834383438492054</v>
      </c>
      <c r="G26" s="11">
        <f ca="1">SUMIFS('monthly calculations (2)'!$H$6:$H$365,'monthly calculations (2)'!$C$6:$C$365,'output table (2)'!$B26,'monthly calculations (2)'!$AM$6:$AM$365, 1)</f>
        <v>1305.2546714760188</v>
      </c>
      <c r="H26" s="11">
        <f ca="1">SUMIFS('monthly calculations (2)'!$K$6:$K$365,'monthly calculations (2)'!$C$6:$C$365,'output table (2)'!$B26,'monthly calculations (2)'!$AM$6:$AM$365, 1)</f>
        <v>330.40852894482799</v>
      </c>
      <c r="I26" s="11">
        <f ca="1">SUMIFS('monthly calculations (2)'!$L$6:$L$365,'monthly calculations (2)'!$C$6:$C$365,'output table (2)'!$B26,'monthly calculations (2)'!$AM$6:$AM$365, 1)</f>
        <v>1631.5683393450229</v>
      </c>
      <c r="J26" s="11">
        <f ca="1">SUMIFS('monthly calculations (2)'!$N$6:$N$365,'monthly calculations (2)'!$C$6:$C$365,'output table (2)'!$B26,'monthly calculations (2)'!$AM$6:$AM$365, 1)</f>
        <v>326.31366786900469</v>
      </c>
      <c r="K26" s="91">
        <f t="shared" ca="1" si="2"/>
        <v>52.5</v>
      </c>
      <c r="L26" s="33">
        <f t="shared" ca="1" si="2"/>
        <v>2.3275000000000006</v>
      </c>
      <c r="M26" s="33">
        <f t="shared" ca="1" si="3"/>
        <v>21.999999999999996</v>
      </c>
      <c r="N26" s="94">
        <f ca="1">SUMIFS('monthly calculations (2)'!$U$6:$U$365,'monthly calculations (2)'!$C$6:$C$365,'output table (2)'!$B26,'monthly calculations (2)'!$AM$6:$AM$365, 1)</f>
        <v>17346.44776960347</v>
      </c>
      <c r="O26" s="11">
        <f ca="1">SUMIFS('monthly calculations (2)'!$V$6:$V$365,'monthly calculations (2)'!$C$6:$C$365,'output table (2)'!$B26,'monthly calculations (2)'!$AM$6:$AM$365, 1)</f>
        <v>3797.4753098255414</v>
      </c>
      <c r="P26" s="94">
        <f t="shared" ca="1" si="0"/>
        <v>21143.923079429012</v>
      </c>
      <c r="Q26" s="11">
        <f ca="1">SUMIFS('monthly calculations (2)'!$W$6:$W$365,'monthly calculations (2)'!$C$6:$C$365,'output table (2)'!$B26,'monthly calculations (2)'!$AM$6:$AM$365, 1)</f>
        <v>7178.900693118102</v>
      </c>
      <c r="R26" s="11">
        <f ca="1">SUMIFS('monthly calculations (2)'!$AA$6:$AA$365,'monthly calculations (2)'!$C$6:$C$365,'output table (2)'!$B26,'monthly calculations (2)'!$AM$6:$AM$365, 1)</f>
        <v>0</v>
      </c>
      <c r="S26" s="11">
        <f ca="1">SUMIFS('monthly calculations (2)'!$AE$6:$AE$365,'monthly calculations (2)'!$C$6:$C$365,'output table (2)'!$B26,'monthly calculations (2)'!$AM$6:$AM$365, 1)</f>
        <v>0</v>
      </c>
      <c r="T26" s="94">
        <f t="shared" ca="1" si="1"/>
        <v>0</v>
      </c>
      <c r="U26" s="11">
        <f ca="1">SUMIF('monthly calculations (2)'!$C$6:$C$365,'output table (2)'!$B26,'monthly calculations (2)'!AH24:AH383)</f>
        <v>0</v>
      </c>
      <c r="V26" s="11">
        <f ca="1">SUMIFS('monthly calculations (2)'!$AK$6:$AK$365,'monthly calculations (2)'!$C$6:$C$365,'output table (2)'!$B26,'monthly calculations (2)'!$AM$6:$AM$365, 1)</f>
        <v>2329.2353919362104</v>
      </c>
      <c r="W26" s="94">
        <f ca="1">SUMIFS('monthly calculations (2)'!$AL$6:$AL$365,'monthly calculations (2)'!$C$6:$C$365,'output table (2)'!$B26,'monthly calculations (2)'!$AM$6:$AM$365, 1)</f>
        <v>25993.588380610898</v>
      </c>
      <c r="X26" s="11">
        <f ca="1">OFFSET('monthly calculations (2)'!$AO$5,             MATCH(DATE($B26,12,1),   'monthly calculations (2)'!$B$6:$B$365,  0),                  0)</f>
        <v>1244258.5758580375</v>
      </c>
      <c r="Y26" s="11">
        <f ca="1">OFFSET('monthly calculations (2)'!$AQ$5,             MATCH(DATE($B26,12,1),   'monthly calculations (2)'!$B$6:$B$365,  0),                  0)</f>
        <v>736596.09715203627</v>
      </c>
    </row>
    <row r="27" spans="2:27" s="76" customFormat="1" ht="23.25" customHeight="1" x14ac:dyDescent="0.25">
      <c r="B27" s="78">
        <f t="shared" si="4"/>
        <v>2040</v>
      </c>
      <c r="C27" s="139">
        <f ca="1">IFERROR(AVERAGEIFS('monthly calculations (2)'!$D$6:$D$365,'monthly calculations (2)'!$C$6:$C$365,'output table (2)'!$B27,'monthly calculations (2)'!$AM$6:$AM$365, 1),0)</f>
        <v>1</v>
      </c>
      <c r="D27" s="137">
        <f ca="1">SUMIFS('monthly calculations (2)'!$E$6:$E$365,'monthly calculations (2)'!$C$6:$C$365,'output table (2)'!$B27,'monthly calculations (2)'!$AM$6:$AM$365, 1)</f>
        <v>724.87233852781856</v>
      </c>
      <c r="E27" s="134">
        <f ca="1">SUMIFS('monthly calculations (2)'!$F$6:$F$365,'monthly calculations (2)'!$C$6:$C$365,'output table (2)'!$B27,'monthly calculations (2)'!$AM$6:$AM$365, 1)</f>
        <v>4867.1615114506858</v>
      </c>
      <c r="F27" s="134">
        <f ca="1">SUMIFS('monthly calculations (2)'!$G$6:$G$365,'monthly calculations (2)'!$C$6:$C$365,'output table (2)'!$B27,'monthly calculations (2)'!$AM$6:$AM$365, 1)</f>
        <v>1.3321373678143718</v>
      </c>
      <c r="G27" s="134">
        <f ca="1">SUMIFS('monthly calculations (2)'!$H$6:$H$365,'monthly calculations (2)'!$C$6:$C$365,'output table (2)'!$B27,'monthly calculations (2)'!$AM$6:$AM$365, 1)</f>
        <v>730.07422671760287</v>
      </c>
      <c r="H27" s="134">
        <f ca="1">SUMIFS('monthly calculations (2)'!$K$6:$K$365,'monthly calculations (2)'!$C$6:$C$365,'output table (2)'!$B27,'monthly calculations (2)'!$AM$6:$AM$365, 1)</f>
        <v>181.21808463195464</v>
      </c>
      <c r="I27" s="134">
        <f ca="1">SUMIFS('monthly calculations (2)'!$L$6:$L$365,'monthly calculations (2)'!$C$6:$C$365,'output table (2)'!$B27,'monthly calculations (2)'!$AM$6:$AM$365, 1)</f>
        <v>912.59278339700336</v>
      </c>
      <c r="J27" s="134">
        <f ca="1">SUMIFS('monthly calculations (2)'!$N$6:$N$365,'monthly calculations (2)'!$C$6:$C$365,'output table (2)'!$B27,'monthly calculations (2)'!$AM$6:$AM$365, 1)</f>
        <v>182.51855667940072</v>
      </c>
      <c r="K27" s="135">
        <f t="shared" ca="1" si="2"/>
        <v>52.5</v>
      </c>
      <c r="L27" s="136">
        <f t="shared" ca="1" si="2"/>
        <v>2.3275000000000006</v>
      </c>
      <c r="M27" s="136">
        <f t="shared" ca="1" si="3"/>
        <v>22</v>
      </c>
      <c r="N27" s="137">
        <f ca="1">SUMIFS('monthly calculations (2)'!$U$6:$U$365,'monthly calculations (2)'!$C$6:$C$365,'output table (2)'!$B27,'monthly calculations (2)'!$AM$6:$AM$365, 1)</f>
        <v>9513.9494431776184</v>
      </c>
      <c r="O27" s="134">
        <f ca="1">SUMIFS('monthly calculations (2)'!$V$6:$V$365,'monthly calculations (2)'!$C$6:$C$365,'output table (2)'!$B27,'monthly calculations (2)'!$AM$6:$AM$365, 1)</f>
        <v>2124.0597033565259</v>
      </c>
      <c r="P27" s="137">
        <f t="shared" ca="1" si="0"/>
        <v>11638.009146534145</v>
      </c>
      <c r="Q27" s="134">
        <f ca="1">SUMIFS('monthly calculations (2)'!$W$6:$W$365,'monthly calculations (2)'!$C$6:$C$365,'output table (2)'!$B27,'monthly calculations (2)'!$AM$6:$AM$365, 1)</f>
        <v>4015.4082469468158</v>
      </c>
      <c r="R27" s="134">
        <f ca="1">SUMIFS('monthly calculations (2)'!$AA$6:$AA$365,'monthly calculations (2)'!$C$6:$C$365,'output table (2)'!$B27,'monthly calculations (2)'!$AM$6:$AM$365, 1)</f>
        <v>0</v>
      </c>
      <c r="S27" s="134">
        <f ca="1">SUMIFS('monthly calculations (2)'!$AE$6:$AE$365,'monthly calculations (2)'!$C$6:$C$365,'output table (2)'!$B27,'monthly calculations (2)'!$AM$6:$AM$365, 1)</f>
        <v>0</v>
      </c>
      <c r="T27" s="137">
        <f t="shared" ca="1" si="1"/>
        <v>0</v>
      </c>
      <c r="U27" s="134">
        <f ca="1">SUMIF('monthly calculations (2)'!$C$6:$C$365,'output table (2)'!$B27,'monthly calculations (2)'!AH25:AH384)</f>
        <v>0</v>
      </c>
      <c r="V27" s="134">
        <f ca="1">SUMIFS('monthly calculations (2)'!$AK$6:$AK$365,'monthly calculations (2)'!$C$6:$C$365,'output table (2)'!$B27,'monthly calculations (2)'!$AM$6:$AM$365, 1)</f>
        <v>1289.4372054959449</v>
      </c>
      <c r="W27" s="137">
        <f ca="1">SUMIFS('monthly calculations (2)'!$AL$6:$AL$365,'monthly calculations (2)'!$C$6:$C$365,'output table (2)'!$B27,'monthly calculations (2)'!$AM$6:$AM$365, 1)</f>
        <v>14363.980187985015</v>
      </c>
      <c r="X27" s="134">
        <f ca="1">OFFSET('monthly calculations (2)'!$AO$5,             MATCH(DATE($B27,12,1),   'monthly calculations (2)'!$B$6:$B$365,  0),                  0)</f>
        <v>1258622.5560460223</v>
      </c>
      <c r="Y27" s="134">
        <f ca="1">OFFSET('monthly calculations (2)'!$AQ$5,             MATCH(DATE($B27,12,1),   'monthly calculations (2)'!$B$6:$B$365,  0),                  0)</f>
        <v>738684.71897774923</v>
      </c>
    </row>
    <row r="28" spans="2:27" x14ac:dyDescent="0.25">
      <c r="B28" s="77">
        <f t="shared" si="4"/>
        <v>2041</v>
      </c>
      <c r="C28" s="138">
        <f ca="1">IFERROR(AVERAGEIFS('monthly calculations (2)'!$D$6:$D$365,'monthly calculations (2)'!$C$6:$C$365,'output table (2)'!$B28,'monthly calculations (2)'!$AM$6:$AM$365, 1),0)</f>
        <v>0</v>
      </c>
      <c r="D28" s="94">
        <f ca="1">SUMIFS('monthly calculations (2)'!$E$6:$E$365,'monthly calculations (2)'!$C$6:$C$365,'output table (2)'!$B28,'monthly calculations (2)'!$AM$6:$AM$365, 1)</f>
        <v>0</v>
      </c>
      <c r="E28" s="11">
        <f ca="1">SUMIFS('monthly calculations (2)'!$F$6:$F$365,'monthly calculations (2)'!$C$6:$C$365,'output table (2)'!$B28,'monthly calculations (2)'!$AM$6:$AM$365, 1)</f>
        <v>0</v>
      </c>
      <c r="F28" s="11">
        <f ca="1">SUMIFS('monthly calculations (2)'!$G$6:$G$365,'monthly calculations (2)'!$C$6:$C$365,'output table (2)'!$B28,'monthly calculations (2)'!$AM$6:$AM$365, 1)</f>
        <v>0</v>
      </c>
      <c r="G28" s="11">
        <f ca="1">SUMIFS('monthly calculations (2)'!$H$6:$H$365,'monthly calculations (2)'!$C$6:$C$365,'output table (2)'!$B28,'monthly calculations (2)'!$AM$6:$AM$365, 1)</f>
        <v>0</v>
      </c>
      <c r="H28" s="11">
        <f ca="1">SUMIFS('monthly calculations (2)'!$K$6:$K$365,'monthly calculations (2)'!$C$6:$C$365,'output table (2)'!$B28,'monthly calculations (2)'!$AM$6:$AM$365, 1)</f>
        <v>0</v>
      </c>
      <c r="I28" s="11">
        <f ca="1">SUMIFS('monthly calculations (2)'!$L$6:$L$365,'monthly calculations (2)'!$C$6:$C$365,'output table (2)'!$B28,'monthly calculations (2)'!$AM$6:$AM$365, 1)</f>
        <v>0</v>
      </c>
      <c r="J28" s="11">
        <f ca="1">SUMIFS('monthly calculations (2)'!$N$6:$N$365,'monthly calculations (2)'!$C$6:$C$365,'output table (2)'!$B28,'monthly calculations (2)'!$AM$6:$AM$365, 1)</f>
        <v>0</v>
      </c>
      <c r="K28" s="91">
        <f t="shared" ca="1" si="2"/>
        <v>0</v>
      </c>
      <c r="L28" s="33">
        <f t="shared" ca="1" si="2"/>
        <v>0</v>
      </c>
      <c r="M28" s="33">
        <f t="shared" ca="1" si="3"/>
        <v>0</v>
      </c>
      <c r="N28" s="94">
        <f ca="1">SUMIFS('monthly calculations (2)'!$U$6:$U$365,'monthly calculations (2)'!$C$6:$C$365,'output table (2)'!$B28,'monthly calculations (2)'!$AM$6:$AM$365, 1)</f>
        <v>0</v>
      </c>
      <c r="O28" s="11">
        <f ca="1">SUMIFS('monthly calculations (2)'!$V$6:$V$365,'monthly calculations (2)'!$C$6:$C$365,'output table (2)'!$B28,'monthly calculations (2)'!$AM$6:$AM$365, 1)</f>
        <v>0</v>
      </c>
      <c r="P28" s="94">
        <f t="shared" ca="1" si="0"/>
        <v>0</v>
      </c>
      <c r="Q28" s="11">
        <f ca="1">SUMIFS('monthly calculations (2)'!$W$6:$W$365,'monthly calculations (2)'!$C$6:$C$365,'output table (2)'!$B28,'monthly calculations (2)'!$AM$6:$AM$365, 1)</f>
        <v>0</v>
      </c>
      <c r="R28" s="11">
        <f ca="1">SUMIFS('monthly calculations (2)'!$AA$6:$AA$365,'monthly calculations (2)'!$C$6:$C$365,'output table (2)'!$B28,'monthly calculations (2)'!$AM$6:$AM$365, 1)</f>
        <v>0</v>
      </c>
      <c r="S28" s="11">
        <f ca="1">SUMIFS('monthly calculations (2)'!$AE$6:$AE$365,'monthly calculations (2)'!$C$6:$C$365,'output table (2)'!$B28,'monthly calculations (2)'!$AM$6:$AM$365, 1)</f>
        <v>0</v>
      </c>
      <c r="T28" s="94">
        <f t="shared" ca="1" si="1"/>
        <v>0</v>
      </c>
      <c r="U28" s="11">
        <f ca="1">SUMIF('monthly calculations (2)'!$C$6:$C$365,'output table (2)'!$B28,'monthly calculations (2)'!AH26:AH385)</f>
        <v>0</v>
      </c>
      <c r="V28" s="11">
        <f ca="1">SUMIFS('monthly calculations (2)'!$AK$6:$AK$365,'monthly calculations (2)'!$C$6:$C$365,'output table (2)'!$B28,'monthly calculations (2)'!$AM$6:$AM$365, 1)</f>
        <v>0</v>
      </c>
      <c r="W28" s="94">
        <f ca="1">SUMIFS('monthly calculations (2)'!$AL$6:$AL$365,'monthly calculations (2)'!$C$6:$C$365,'output table (2)'!$B28,'monthly calculations (2)'!$AM$6:$AM$365, 1)</f>
        <v>0</v>
      </c>
      <c r="X28" s="11">
        <f ca="1">OFFSET('monthly calculations (2)'!$AO$5,             MATCH(DATE($B28,12,1),   'monthly calculations (2)'!$B$6:$B$365,  0),                  0)</f>
        <v>1258622.5560460223</v>
      </c>
      <c r="Y28" s="11">
        <f ca="1">OFFSET('monthly calculations (2)'!$AQ$5,             MATCH(DATE($B28,12,1),   'monthly calculations (2)'!$B$6:$B$365,  0),                  0)</f>
        <v>738684.71897774923</v>
      </c>
    </row>
    <row r="29" spans="2:27" x14ac:dyDescent="0.25">
      <c r="B29" s="77">
        <f t="shared" si="4"/>
        <v>2042</v>
      </c>
      <c r="C29" s="138">
        <f ca="1">IFERROR(AVERAGEIFS('monthly calculations (2)'!$D$6:$D$365,'monthly calculations (2)'!$C$6:$C$365,'output table (2)'!$B29,'monthly calculations (2)'!$AM$6:$AM$365, 1),0)</f>
        <v>0</v>
      </c>
      <c r="D29" s="94">
        <f ca="1">SUMIFS('monthly calculations (2)'!$E$6:$E$365,'monthly calculations (2)'!$C$6:$C$365,'output table (2)'!$B29,'monthly calculations (2)'!$AM$6:$AM$365, 1)</f>
        <v>0</v>
      </c>
      <c r="E29" s="11">
        <f ca="1">SUMIFS('monthly calculations (2)'!$F$6:$F$365,'monthly calculations (2)'!$C$6:$C$365,'output table (2)'!$B29,'monthly calculations (2)'!$AM$6:$AM$365, 1)</f>
        <v>0</v>
      </c>
      <c r="F29" s="11">
        <f ca="1">SUMIFS('monthly calculations (2)'!$G$6:$G$365,'monthly calculations (2)'!$C$6:$C$365,'output table (2)'!$B29,'monthly calculations (2)'!$AM$6:$AM$365, 1)</f>
        <v>0</v>
      </c>
      <c r="G29" s="11">
        <f ca="1">SUMIFS('monthly calculations (2)'!$H$6:$H$365,'monthly calculations (2)'!$C$6:$C$365,'output table (2)'!$B29,'monthly calculations (2)'!$AM$6:$AM$365, 1)</f>
        <v>0</v>
      </c>
      <c r="H29" s="11">
        <f ca="1">SUMIFS('monthly calculations (2)'!$K$6:$K$365,'monthly calculations (2)'!$C$6:$C$365,'output table (2)'!$B29,'monthly calculations (2)'!$AM$6:$AM$365, 1)</f>
        <v>0</v>
      </c>
      <c r="I29" s="11">
        <f ca="1">SUMIFS('monthly calculations (2)'!$L$6:$L$365,'monthly calculations (2)'!$C$6:$C$365,'output table (2)'!$B29,'monthly calculations (2)'!$AM$6:$AM$365, 1)</f>
        <v>0</v>
      </c>
      <c r="J29" s="11">
        <f ca="1">SUMIFS('monthly calculations (2)'!$N$6:$N$365,'monthly calculations (2)'!$C$6:$C$365,'output table (2)'!$B29,'monthly calculations (2)'!$AM$6:$AM$365, 1)</f>
        <v>0</v>
      </c>
      <c r="K29" s="91">
        <f t="shared" ca="1" si="2"/>
        <v>0</v>
      </c>
      <c r="L29" s="33">
        <f t="shared" ca="1" si="2"/>
        <v>0</v>
      </c>
      <c r="M29" s="33">
        <f t="shared" ca="1" si="3"/>
        <v>0</v>
      </c>
      <c r="N29" s="94">
        <f ca="1">SUMIFS('monthly calculations (2)'!$U$6:$U$365,'monthly calculations (2)'!$C$6:$C$365,'output table (2)'!$B29,'monthly calculations (2)'!$AM$6:$AM$365, 1)</f>
        <v>0</v>
      </c>
      <c r="O29" s="11">
        <f ca="1">SUMIFS('monthly calculations (2)'!$V$6:$V$365,'monthly calculations (2)'!$C$6:$C$365,'output table (2)'!$B29,'monthly calculations (2)'!$AM$6:$AM$365, 1)</f>
        <v>0</v>
      </c>
      <c r="P29" s="94">
        <f t="shared" ca="1" si="0"/>
        <v>0</v>
      </c>
      <c r="Q29" s="11">
        <f ca="1">SUMIFS('monthly calculations (2)'!$W$6:$W$365,'monthly calculations (2)'!$C$6:$C$365,'output table (2)'!$B29,'monthly calculations (2)'!$AM$6:$AM$365, 1)</f>
        <v>0</v>
      </c>
      <c r="R29" s="11">
        <f ca="1">SUMIFS('monthly calculations (2)'!$AA$6:$AA$365,'monthly calculations (2)'!$C$6:$C$365,'output table (2)'!$B29,'monthly calculations (2)'!$AM$6:$AM$365, 1)</f>
        <v>0</v>
      </c>
      <c r="S29" s="11">
        <f ca="1">SUMIFS('monthly calculations (2)'!$AE$6:$AE$365,'monthly calculations (2)'!$C$6:$C$365,'output table (2)'!$B29,'monthly calculations (2)'!$AM$6:$AM$365, 1)</f>
        <v>0</v>
      </c>
      <c r="T29" s="94">
        <f t="shared" ca="1" si="1"/>
        <v>0</v>
      </c>
      <c r="U29" s="11">
        <f ca="1">SUMIF('monthly calculations (2)'!$C$6:$C$365,'output table (2)'!$B29,'monthly calculations (2)'!AH27:AH386)</f>
        <v>0</v>
      </c>
      <c r="V29" s="11">
        <f ca="1">SUMIFS('monthly calculations (2)'!$AK$6:$AK$365,'monthly calculations (2)'!$C$6:$C$365,'output table (2)'!$B29,'monthly calculations (2)'!$AM$6:$AM$365, 1)</f>
        <v>0</v>
      </c>
      <c r="W29" s="94">
        <f ca="1">SUMIFS('monthly calculations (2)'!$AL$6:$AL$365,'monthly calculations (2)'!$C$6:$C$365,'output table (2)'!$B29,'monthly calculations (2)'!$AM$6:$AM$365, 1)</f>
        <v>0</v>
      </c>
      <c r="X29" s="11">
        <f ca="1">OFFSET('monthly calculations (2)'!$AO$5,             MATCH(DATE($B29,12,1),   'monthly calculations (2)'!$B$6:$B$365,  0),                  0)</f>
        <v>1258622.5560460223</v>
      </c>
      <c r="Y29" s="11">
        <f ca="1">OFFSET('monthly calculations (2)'!$AQ$5,             MATCH(DATE($B29,12,1),   'monthly calculations (2)'!$B$6:$B$365,  0),                  0)</f>
        <v>738684.71897774923</v>
      </c>
    </row>
    <row r="30" spans="2:27" x14ac:dyDescent="0.25">
      <c r="B30" s="77">
        <f t="shared" si="4"/>
        <v>2043</v>
      </c>
      <c r="C30" s="138">
        <f ca="1">IFERROR(AVERAGEIFS('monthly calculations (2)'!$D$6:$D$365,'monthly calculations (2)'!$C$6:$C$365,'output table (2)'!$B30,'monthly calculations (2)'!$AM$6:$AM$365, 1),0)</f>
        <v>0</v>
      </c>
      <c r="D30" s="94">
        <f ca="1">SUMIFS('monthly calculations (2)'!$E$6:$E$365,'monthly calculations (2)'!$C$6:$C$365,'output table (2)'!$B30,'monthly calculations (2)'!$AM$6:$AM$365, 1)</f>
        <v>0</v>
      </c>
      <c r="E30" s="11">
        <f ca="1">SUMIFS('monthly calculations (2)'!$F$6:$F$365,'monthly calculations (2)'!$C$6:$C$365,'output table (2)'!$B30,'monthly calculations (2)'!$AM$6:$AM$365, 1)</f>
        <v>0</v>
      </c>
      <c r="F30" s="11">
        <f ca="1">SUMIFS('monthly calculations (2)'!$G$6:$G$365,'monthly calculations (2)'!$C$6:$C$365,'output table (2)'!$B30,'monthly calculations (2)'!$AM$6:$AM$365, 1)</f>
        <v>0</v>
      </c>
      <c r="G30" s="11">
        <f ca="1">SUMIFS('monthly calculations (2)'!$H$6:$H$365,'monthly calculations (2)'!$C$6:$C$365,'output table (2)'!$B30,'monthly calculations (2)'!$AM$6:$AM$365, 1)</f>
        <v>0</v>
      </c>
      <c r="H30" s="11">
        <f ca="1">SUMIFS('monthly calculations (2)'!$K$6:$K$365,'monthly calculations (2)'!$C$6:$C$365,'output table (2)'!$B30,'monthly calculations (2)'!$AM$6:$AM$365, 1)</f>
        <v>0</v>
      </c>
      <c r="I30" s="11">
        <f ca="1">SUMIFS('monthly calculations (2)'!$L$6:$L$365,'monthly calculations (2)'!$C$6:$C$365,'output table (2)'!$B30,'monthly calculations (2)'!$AM$6:$AM$365, 1)</f>
        <v>0</v>
      </c>
      <c r="J30" s="11">
        <f ca="1">SUMIFS('monthly calculations (2)'!$N$6:$N$365,'monthly calculations (2)'!$C$6:$C$365,'output table (2)'!$B30,'monthly calculations (2)'!$AM$6:$AM$365, 1)</f>
        <v>0</v>
      </c>
      <c r="K30" s="91">
        <f t="shared" ca="1" si="2"/>
        <v>0</v>
      </c>
      <c r="L30" s="33">
        <f t="shared" ca="1" si="2"/>
        <v>0</v>
      </c>
      <c r="M30" s="33">
        <f t="shared" ca="1" si="3"/>
        <v>0</v>
      </c>
      <c r="N30" s="94">
        <f ca="1">SUMIFS('monthly calculations (2)'!$U$6:$U$365,'monthly calculations (2)'!$C$6:$C$365,'output table (2)'!$B30,'monthly calculations (2)'!$AM$6:$AM$365, 1)</f>
        <v>0</v>
      </c>
      <c r="O30" s="11">
        <f ca="1">SUMIFS('monthly calculations (2)'!$V$6:$V$365,'monthly calculations (2)'!$C$6:$C$365,'output table (2)'!$B30,'monthly calculations (2)'!$AM$6:$AM$365, 1)</f>
        <v>0</v>
      </c>
      <c r="P30" s="94">
        <f t="shared" ca="1" si="0"/>
        <v>0</v>
      </c>
      <c r="Q30" s="11">
        <f ca="1">SUMIFS('monthly calculations (2)'!$W$6:$W$365,'monthly calculations (2)'!$C$6:$C$365,'output table (2)'!$B30,'monthly calculations (2)'!$AM$6:$AM$365, 1)</f>
        <v>0</v>
      </c>
      <c r="R30" s="11">
        <f ca="1">SUMIFS('monthly calculations (2)'!$AA$6:$AA$365,'monthly calculations (2)'!$C$6:$C$365,'output table (2)'!$B30,'monthly calculations (2)'!$AM$6:$AM$365, 1)</f>
        <v>0</v>
      </c>
      <c r="S30" s="11">
        <f ca="1">SUMIFS('monthly calculations (2)'!$AE$6:$AE$365,'monthly calculations (2)'!$C$6:$C$365,'output table (2)'!$B30,'monthly calculations (2)'!$AM$6:$AM$365, 1)</f>
        <v>0</v>
      </c>
      <c r="T30" s="94">
        <f t="shared" ca="1" si="1"/>
        <v>0</v>
      </c>
      <c r="U30" s="11">
        <f ca="1">SUMIF('monthly calculations (2)'!$C$6:$C$365,'output table (2)'!$B30,'monthly calculations (2)'!AH28:AH387)</f>
        <v>0</v>
      </c>
      <c r="V30" s="11">
        <f ca="1">SUMIFS('monthly calculations (2)'!$AK$6:$AK$365,'monthly calculations (2)'!$C$6:$C$365,'output table (2)'!$B30,'monthly calculations (2)'!$AM$6:$AM$365, 1)</f>
        <v>0</v>
      </c>
      <c r="W30" s="94">
        <f ca="1">SUMIFS('monthly calculations (2)'!$AL$6:$AL$365,'monthly calculations (2)'!$C$6:$C$365,'output table (2)'!$B30,'monthly calculations (2)'!$AM$6:$AM$365, 1)</f>
        <v>0</v>
      </c>
      <c r="X30" s="11">
        <f ca="1">OFFSET('monthly calculations (2)'!$AO$5,             MATCH(DATE($B30,12,1),   'monthly calculations (2)'!$B$6:$B$365,  0),                  0)</f>
        <v>1258622.5560460223</v>
      </c>
      <c r="Y30" s="11">
        <f ca="1">OFFSET('monthly calculations (2)'!$AQ$5,             MATCH(DATE($B30,12,1),   'monthly calculations (2)'!$B$6:$B$365,  0),                  0)</f>
        <v>738684.71897774923</v>
      </c>
    </row>
    <row r="31" spans="2:27" x14ac:dyDescent="0.25">
      <c r="B31" s="77">
        <f t="shared" si="4"/>
        <v>2044</v>
      </c>
      <c r="C31" s="138">
        <f ca="1">IFERROR(AVERAGEIFS('monthly calculations (2)'!$D$6:$D$365,'monthly calculations (2)'!$C$6:$C$365,'output table (2)'!$B31,'monthly calculations (2)'!$AM$6:$AM$365, 1),0)</f>
        <v>0</v>
      </c>
      <c r="D31" s="94">
        <f ca="1">SUMIFS('monthly calculations (2)'!$E$6:$E$365,'monthly calculations (2)'!$C$6:$C$365,'output table (2)'!$B31,'monthly calculations (2)'!$AM$6:$AM$365, 1)</f>
        <v>0</v>
      </c>
      <c r="E31" s="11">
        <f ca="1">SUMIFS('monthly calculations (2)'!$F$6:$F$365,'monthly calculations (2)'!$C$6:$C$365,'output table (2)'!$B31,'monthly calculations (2)'!$AM$6:$AM$365, 1)</f>
        <v>0</v>
      </c>
      <c r="F31" s="11">
        <f ca="1">SUMIFS('monthly calculations (2)'!$G$6:$G$365,'monthly calculations (2)'!$C$6:$C$365,'output table (2)'!$B31,'monthly calculations (2)'!$AM$6:$AM$365, 1)</f>
        <v>0</v>
      </c>
      <c r="G31" s="11">
        <f ca="1">SUMIFS('monthly calculations (2)'!$H$6:$H$365,'monthly calculations (2)'!$C$6:$C$365,'output table (2)'!$B31,'monthly calculations (2)'!$AM$6:$AM$365, 1)</f>
        <v>0</v>
      </c>
      <c r="H31" s="11">
        <f ca="1">SUMIFS('monthly calculations (2)'!$K$6:$K$365,'monthly calculations (2)'!$C$6:$C$365,'output table (2)'!$B31,'monthly calculations (2)'!$AM$6:$AM$365, 1)</f>
        <v>0</v>
      </c>
      <c r="I31" s="11">
        <f ca="1">SUMIFS('monthly calculations (2)'!$L$6:$L$365,'monthly calculations (2)'!$C$6:$C$365,'output table (2)'!$B31,'monthly calculations (2)'!$AM$6:$AM$365, 1)</f>
        <v>0</v>
      </c>
      <c r="J31" s="11">
        <f ca="1">SUMIFS('monthly calculations (2)'!$N$6:$N$365,'monthly calculations (2)'!$C$6:$C$365,'output table (2)'!$B31,'monthly calculations (2)'!$AM$6:$AM$365, 1)</f>
        <v>0</v>
      </c>
      <c r="K31" s="91">
        <f t="shared" ca="1" si="2"/>
        <v>0</v>
      </c>
      <c r="L31" s="33">
        <f t="shared" ca="1" si="2"/>
        <v>0</v>
      </c>
      <c r="M31" s="33">
        <f t="shared" ca="1" si="3"/>
        <v>0</v>
      </c>
      <c r="N31" s="94">
        <f ca="1">SUMIFS('monthly calculations (2)'!$U$6:$U$365,'monthly calculations (2)'!$C$6:$C$365,'output table (2)'!$B31,'monthly calculations (2)'!$AM$6:$AM$365, 1)</f>
        <v>0</v>
      </c>
      <c r="O31" s="11">
        <f ca="1">SUMIFS('monthly calculations (2)'!$V$6:$V$365,'monthly calculations (2)'!$C$6:$C$365,'output table (2)'!$B31,'monthly calculations (2)'!$AM$6:$AM$365, 1)</f>
        <v>0</v>
      </c>
      <c r="P31" s="94">
        <f t="shared" ca="1" si="0"/>
        <v>0</v>
      </c>
      <c r="Q31" s="11">
        <f ca="1">SUMIFS('monthly calculations (2)'!$W$6:$W$365,'monthly calculations (2)'!$C$6:$C$365,'output table (2)'!$B31,'monthly calculations (2)'!$AM$6:$AM$365, 1)</f>
        <v>0</v>
      </c>
      <c r="R31" s="11">
        <f ca="1">SUMIFS('monthly calculations (2)'!$AA$6:$AA$365,'monthly calculations (2)'!$C$6:$C$365,'output table (2)'!$B31,'monthly calculations (2)'!$AM$6:$AM$365, 1)</f>
        <v>0</v>
      </c>
      <c r="S31" s="11">
        <f ca="1">SUMIFS('monthly calculations (2)'!$AE$6:$AE$365,'monthly calculations (2)'!$C$6:$C$365,'output table (2)'!$B31,'monthly calculations (2)'!$AM$6:$AM$365, 1)</f>
        <v>0</v>
      </c>
      <c r="T31" s="94">
        <f t="shared" ca="1" si="1"/>
        <v>0</v>
      </c>
      <c r="U31" s="11">
        <f ca="1">SUMIF('monthly calculations (2)'!$C$6:$C$365,'output table (2)'!$B31,'monthly calculations (2)'!AH29:AH388)</f>
        <v>0</v>
      </c>
      <c r="V31" s="11">
        <f ca="1">SUMIFS('monthly calculations (2)'!$AK$6:$AK$365,'monthly calculations (2)'!$C$6:$C$365,'output table (2)'!$B31,'monthly calculations (2)'!$AM$6:$AM$365, 1)</f>
        <v>0</v>
      </c>
      <c r="W31" s="94">
        <f ca="1">SUMIFS('monthly calculations (2)'!$AL$6:$AL$365,'monthly calculations (2)'!$C$6:$C$365,'output table (2)'!$B31,'monthly calculations (2)'!$AM$6:$AM$365, 1)</f>
        <v>0</v>
      </c>
      <c r="X31" s="11">
        <f ca="1">OFFSET('monthly calculations (2)'!$AO$5,             MATCH(DATE($B31,12,1),   'monthly calculations (2)'!$B$6:$B$365,  0),                  0)</f>
        <v>1258622.5560460223</v>
      </c>
      <c r="Y31" s="11">
        <f ca="1">OFFSET('monthly calculations (2)'!$AQ$5,             MATCH(DATE($B31,12,1),   'monthly calculations (2)'!$B$6:$B$365,  0),                  0)</f>
        <v>738684.71897774923</v>
      </c>
    </row>
    <row r="32" spans="2:27" s="76" customFormat="1" ht="23.25" customHeight="1" x14ac:dyDescent="0.25">
      <c r="B32" s="78">
        <f t="shared" si="4"/>
        <v>2045</v>
      </c>
      <c r="C32" s="139">
        <f ca="1">IFERROR(AVERAGEIFS('monthly calculations (2)'!$D$6:$D$365,'monthly calculations (2)'!$C$6:$C$365,'output table (2)'!$B32,'monthly calculations (2)'!$AM$6:$AM$365, 1),0)</f>
        <v>0</v>
      </c>
      <c r="D32" s="137">
        <f ca="1">SUMIFS('monthly calculations (2)'!$E$6:$E$365,'monthly calculations (2)'!$C$6:$C$365,'output table (2)'!$B32,'monthly calculations (2)'!$AM$6:$AM$365, 1)</f>
        <v>0</v>
      </c>
      <c r="E32" s="134">
        <f ca="1">SUMIFS('monthly calculations (2)'!$F$6:$F$365,'monthly calculations (2)'!$C$6:$C$365,'output table (2)'!$B32,'monthly calculations (2)'!$AM$6:$AM$365, 1)</f>
        <v>0</v>
      </c>
      <c r="F32" s="134">
        <f ca="1">SUMIFS('monthly calculations (2)'!$G$6:$G$365,'monthly calculations (2)'!$C$6:$C$365,'output table (2)'!$B32,'monthly calculations (2)'!$AM$6:$AM$365, 1)</f>
        <v>0</v>
      </c>
      <c r="G32" s="134">
        <f ca="1">SUMIFS('monthly calculations (2)'!$H$6:$H$365,'monthly calculations (2)'!$C$6:$C$365,'output table (2)'!$B32,'monthly calculations (2)'!$AM$6:$AM$365, 1)</f>
        <v>0</v>
      </c>
      <c r="H32" s="134">
        <f ca="1">SUMIFS('monthly calculations (2)'!$K$6:$K$365,'monthly calculations (2)'!$C$6:$C$365,'output table (2)'!$B32,'monthly calculations (2)'!$AM$6:$AM$365, 1)</f>
        <v>0</v>
      </c>
      <c r="I32" s="134">
        <f ca="1">SUMIFS('monthly calculations (2)'!$L$6:$L$365,'monthly calculations (2)'!$C$6:$C$365,'output table (2)'!$B32,'monthly calculations (2)'!$AM$6:$AM$365, 1)</f>
        <v>0</v>
      </c>
      <c r="J32" s="134">
        <f ca="1">SUMIFS('monthly calculations (2)'!$N$6:$N$365,'monthly calculations (2)'!$C$6:$C$365,'output table (2)'!$B32,'monthly calculations (2)'!$AM$6:$AM$365, 1)</f>
        <v>0</v>
      </c>
      <c r="K32" s="135">
        <f t="shared" ca="1" si="2"/>
        <v>0</v>
      </c>
      <c r="L32" s="136">
        <f t="shared" ca="1" si="2"/>
        <v>0</v>
      </c>
      <c r="M32" s="136">
        <f t="shared" ca="1" si="3"/>
        <v>0</v>
      </c>
      <c r="N32" s="137">
        <f ca="1">SUMIFS('monthly calculations (2)'!$U$6:$U$365,'monthly calculations (2)'!$C$6:$C$365,'output table (2)'!$B32,'monthly calculations (2)'!$AM$6:$AM$365, 1)</f>
        <v>0</v>
      </c>
      <c r="O32" s="134">
        <f ca="1">SUMIFS('monthly calculations (2)'!$V$6:$V$365,'monthly calculations (2)'!$C$6:$C$365,'output table (2)'!$B32,'monthly calculations (2)'!$AM$6:$AM$365, 1)</f>
        <v>0</v>
      </c>
      <c r="P32" s="137">
        <f t="shared" ca="1" si="0"/>
        <v>0</v>
      </c>
      <c r="Q32" s="134">
        <f ca="1">SUMIFS('monthly calculations (2)'!$W$6:$W$365,'monthly calculations (2)'!$C$6:$C$365,'output table (2)'!$B32,'monthly calculations (2)'!$AM$6:$AM$365, 1)</f>
        <v>0</v>
      </c>
      <c r="R32" s="134">
        <f ca="1">SUMIFS('monthly calculations (2)'!$AA$6:$AA$365,'monthly calculations (2)'!$C$6:$C$365,'output table (2)'!$B32,'monthly calculations (2)'!$AM$6:$AM$365, 1)</f>
        <v>0</v>
      </c>
      <c r="S32" s="134">
        <f ca="1">SUMIFS('monthly calculations (2)'!$AE$6:$AE$365,'monthly calculations (2)'!$C$6:$C$365,'output table (2)'!$B32,'monthly calculations (2)'!$AM$6:$AM$365, 1)</f>
        <v>0</v>
      </c>
      <c r="T32" s="137">
        <f t="shared" ca="1" si="1"/>
        <v>0</v>
      </c>
      <c r="U32" s="134">
        <f ca="1">SUMIF('monthly calculations (2)'!$C$6:$C$365,'output table (2)'!$B32,'monthly calculations (2)'!AH30:AH389)</f>
        <v>0</v>
      </c>
      <c r="V32" s="134">
        <f ca="1">SUMIFS('monthly calculations (2)'!$AK$6:$AK$365,'monthly calculations (2)'!$C$6:$C$365,'output table (2)'!$B32,'monthly calculations (2)'!$AM$6:$AM$365, 1)</f>
        <v>0</v>
      </c>
      <c r="W32" s="137">
        <f ca="1">SUMIFS('monthly calculations (2)'!$AL$6:$AL$365,'monthly calculations (2)'!$C$6:$C$365,'output table (2)'!$B32,'monthly calculations (2)'!$AM$6:$AM$365, 1)</f>
        <v>0</v>
      </c>
      <c r="X32" s="134">
        <f ca="1">OFFSET('monthly calculations (2)'!$AO$5,             MATCH(DATE($B32,12,1),   'monthly calculations (2)'!$B$6:$B$365,  0),                  0)</f>
        <v>1258622.5560460223</v>
      </c>
      <c r="Y32" s="134">
        <f ca="1">OFFSET('monthly calculations (2)'!$AQ$5,             MATCH(DATE($B32,12,1),   'monthly calculations (2)'!$B$6:$B$365,  0),                  0)</f>
        <v>738684.71897774923</v>
      </c>
    </row>
    <row r="33" spans="2:25" x14ac:dyDescent="0.25">
      <c r="B33" s="77">
        <f t="shared" si="4"/>
        <v>2046</v>
      </c>
      <c r="C33" s="138">
        <f ca="1">IFERROR(AVERAGEIFS('monthly calculations (2)'!$D$6:$D$365,'monthly calculations (2)'!$C$6:$C$365,'output table (2)'!$B33,'monthly calculations (2)'!$AM$6:$AM$365, 1),0)</f>
        <v>0</v>
      </c>
      <c r="D33" s="94">
        <f ca="1">SUMIFS('monthly calculations (2)'!$E$6:$E$365,'monthly calculations (2)'!$C$6:$C$365,'output table (2)'!$B33,'monthly calculations (2)'!$AM$6:$AM$365, 1)</f>
        <v>0</v>
      </c>
      <c r="E33" s="11">
        <f ca="1">SUMIFS('monthly calculations (2)'!$F$6:$F$365,'monthly calculations (2)'!$C$6:$C$365,'output table (2)'!$B33,'monthly calculations (2)'!$AM$6:$AM$365, 1)</f>
        <v>0</v>
      </c>
      <c r="F33" s="11">
        <f ca="1">SUMIFS('monthly calculations (2)'!$G$6:$G$365,'monthly calculations (2)'!$C$6:$C$365,'output table (2)'!$B33,'monthly calculations (2)'!$AM$6:$AM$365, 1)</f>
        <v>0</v>
      </c>
      <c r="G33" s="11">
        <f ca="1">SUMIFS('monthly calculations (2)'!$H$6:$H$365,'monthly calculations (2)'!$C$6:$C$365,'output table (2)'!$B33,'monthly calculations (2)'!$AM$6:$AM$365, 1)</f>
        <v>0</v>
      </c>
      <c r="H33" s="11">
        <f ca="1">SUMIFS('monthly calculations (2)'!$K$6:$K$365,'monthly calculations (2)'!$C$6:$C$365,'output table (2)'!$B33,'monthly calculations (2)'!$AM$6:$AM$365, 1)</f>
        <v>0</v>
      </c>
      <c r="I33" s="11">
        <f ca="1">SUMIFS('monthly calculations (2)'!$L$6:$L$365,'monthly calculations (2)'!$C$6:$C$365,'output table (2)'!$B33,'monthly calculations (2)'!$AM$6:$AM$365, 1)</f>
        <v>0</v>
      </c>
      <c r="J33" s="11">
        <f ca="1">SUMIFS('monthly calculations (2)'!$N$6:$N$365,'monthly calculations (2)'!$C$6:$C$365,'output table (2)'!$B33,'monthly calculations (2)'!$AM$6:$AM$365, 1)</f>
        <v>0</v>
      </c>
      <c r="K33" s="91">
        <f t="shared" ca="1" si="2"/>
        <v>0</v>
      </c>
      <c r="L33" s="33">
        <f t="shared" ca="1" si="2"/>
        <v>0</v>
      </c>
      <c r="M33" s="33">
        <f t="shared" ca="1" si="3"/>
        <v>0</v>
      </c>
      <c r="N33" s="94">
        <f ca="1">SUMIFS('monthly calculations (2)'!$U$6:$U$365,'monthly calculations (2)'!$C$6:$C$365,'output table (2)'!$B33,'monthly calculations (2)'!$AM$6:$AM$365, 1)</f>
        <v>0</v>
      </c>
      <c r="O33" s="11">
        <f ca="1">SUMIFS('monthly calculations (2)'!$V$6:$V$365,'monthly calculations (2)'!$C$6:$C$365,'output table (2)'!$B33,'monthly calculations (2)'!$AM$6:$AM$365, 1)</f>
        <v>0</v>
      </c>
      <c r="P33" s="94">
        <f t="shared" ca="1" si="0"/>
        <v>0</v>
      </c>
      <c r="Q33" s="11">
        <f ca="1">SUMIFS('monthly calculations (2)'!$W$6:$W$365,'monthly calculations (2)'!$C$6:$C$365,'output table (2)'!$B33,'monthly calculations (2)'!$AM$6:$AM$365, 1)</f>
        <v>0</v>
      </c>
      <c r="R33" s="11">
        <f ca="1">SUMIFS('monthly calculations (2)'!$AA$6:$AA$365,'monthly calculations (2)'!$C$6:$C$365,'output table (2)'!$B33,'monthly calculations (2)'!$AM$6:$AM$365, 1)</f>
        <v>0</v>
      </c>
      <c r="S33" s="11">
        <f ca="1">SUMIFS('monthly calculations (2)'!$AE$6:$AE$365,'monthly calculations (2)'!$C$6:$C$365,'output table (2)'!$B33,'monthly calculations (2)'!$AM$6:$AM$365, 1)</f>
        <v>0</v>
      </c>
      <c r="T33" s="94">
        <f t="shared" ca="1" si="1"/>
        <v>0</v>
      </c>
      <c r="U33" s="11">
        <f ca="1">SUMIF('monthly calculations (2)'!$C$6:$C$365,'output table (2)'!$B33,'monthly calculations (2)'!AH31:AH390)</f>
        <v>0</v>
      </c>
      <c r="V33" s="11">
        <f ca="1">SUMIFS('monthly calculations (2)'!$AK$6:$AK$365,'monthly calculations (2)'!$C$6:$C$365,'output table (2)'!$B33,'monthly calculations (2)'!$AM$6:$AM$365, 1)</f>
        <v>0</v>
      </c>
      <c r="W33" s="94">
        <f ca="1">SUMIFS('monthly calculations (2)'!$AL$6:$AL$365,'monthly calculations (2)'!$C$6:$C$365,'output table (2)'!$B33,'monthly calculations (2)'!$AM$6:$AM$365, 1)</f>
        <v>0</v>
      </c>
      <c r="X33" s="11">
        <f ca="1">OFFSET('monthly calculations (2)'!$AO$5,             MATCH(DATE($B33,12,1),   'monthly calculations (2)'!$B$6:$B$365,  0),                  0)</f>
        <v>1258622.5560460223</v>
      </c>
      <c r="Y33" s="11">
        <f ca="1">OFFSET('monthly calculations (2)'!$AQ$5,             MATCH(DATE($B33,12,1),   'monthly calculations (2)'!$B$6:$B$365,  0),                  0)</f>
        <v>738684.71897774923</v>
      </c>
    </row>
    <row r="34" spans="2:25" x14ac:dyDescent="0.25">
      <c r="B34" s="77">
        <f t="shared" si="4"/>
        <v>2047</v>
      </c>
      <c r="C34" s="138">
        <f ca="1">IFERROR(AVERAGEIFS('monthly calculations (2)'!$D$6:$D$365,'monthly calculations (2)'!$C$6:$C$365,'output table (2)'!$B34,'monthly calculations (2)'!$AM$6:$AM$365, 1),0)</f>
        <v>0</v>
      </c>
      <c r="D34" s="94">
        <f ca="1">SUMIFS('monthly calculations (2)'!$E$6:$E$365,'monthly calculations (2)'!$C$6:$C$365,'output table (2)'!$B34,'monthly calculations (2)'!$AM$6:$AM$365, 1)</f>
        <v>0</v>
      </c>
      <c r="E34" s="11">
        <f ca="1">SUMIFS('monthly calculations (2)'!$F$6:$F$365,'monthly calculations (2)'!$C$6:$C$365,'output table (2)'!$B34,'monthly calculations (2)'!$AM$6:$AM$365, 1)</f>
        <v>0</v>
      </c>
      <c r="F34" s="11">
        <f ca="1">SUMIFS('monthly calculations (2)'!$G$6:$G$365,'monthly calculations (2)'!$C$6:$C$365,'output table (2)'!$B34,'monthly calculations (2)'!$AM$6:$AM$365, 1)</f>
        <v>0</v>
      </c>
      <c r="G34" s="11">
        <f ca="1">SUMIFS('monthly calculations (2)'!$H$6:$H$365,'monthly calculations (2)'!$C$6:$C$365,'output table (2)'!$B34,'monthly calculations (2)'!$AM$6:$AM$365, 1)</f>
        <v>0</v>
      </c>
      <c r="H34" s="11">
        <f ca="1">SUMIFS('monthly calculations (2)'!$K$6:$K$365,'monthly calculations (2)'!$C$6:$C$365,'output table (2)'!$B34,'monthly calculations (2)'!$AM$6:$AM$365, 1)</f>
        <v>0</v>
      </c>
      <c r="I34" s="11">
        <f ca="1">SUMIFS('monthly calculations (2)'!$L$6:$L$365,'monthly calculations (2)'!$C$6:$C$365,'output table (2)'!$B34,'monthly calculations (2)'!$AM$6:$AM$365, 1)</f>
        <v>0</v>
      </c>
      <c r="J34" s="11">
        <f ca="1">SUMIFS('monthly calculations (2)'!$N$6:$N$365,'monthly calculations (2)'!$C$6:$C$365,'output table (2)'!$B34,'monthly calculations (2)'!$AM$6:$AM$365, 1)</f>
        <v>0</v>
      </c>
      <c r="K34" s="91">
        <f t="shared" ca="1" si="2"/>
        <v>0</v>
      </c>
      <c r="L34" s="33">
        <f t="shared" ca="1" si="2"/>
        <v>0</v>
      </c>
      <c r="M34" s="33">
        <f t="shared" ca="1" si="3"/>
        <v>0</v>
      </c>
      <c r="N34" s="94">
        <f ca="1">SUMIFS('monthly calculations (2)'!$U$6:$U$365,'monthly calculations (2)'!$C$6:$C$365,'output table (2)'!$B34,'monthly calculations (2)'!$AM$6:$AM$365, 1)</f>
        <v>0</v>
      </c>
      <c r="O34" s="11">
        <f ca="1">SUMIFS('monthly calculations (2)'!$V$6:$V$365,'monthly calculations (2)'!$C$6:$C$365,'output table (2)'!$B34,'monthly calculations (2)'!$AM$6:$AM$365, 1)</f>
        <v>0</v>
      </c>
      <c r="P34" s="94">
        <f t="shared" ca="1" si="0"/>
        <v>0</v>
      </c>
      <c r="Q34" s="11">
        <f ca="1">SUMIFS('monthly calculations (2)'!$W$6:$W$365,'monthly calculations (2)'!$C$6:$C$365,'output table (2)'!$B34,'monthly calculations (2)'!$AM$6:$AM$365, 1)</f>
        <v>0</v>
      </c>
      <c r="R34" s="11">
        <f ca="1">SUMIFS('monthly calculations (2)'!$AA$6:$AA$365,'monthly calculations (2)'!$C$6:$C$365,'output table (2)'!$B34,'monthly calculations (2)'!$AM$6:$AM$365, 1)</f>
        <v>0</v>
      </c>
      <c r="S34" s="11">
        <f ca="1">SUMIFS('monthly calculations (2)'!$AE$6:$AE$365,'monthly calculations (2)'!$C$6:$C$365,'output table (2)'!$B34,'monthly calculations (2)'!$AM$6:$AM$365, 1)</f>
        <v>0</v>
      </c>
      <c r="T34" s="94">
        <f t="shared" ca="1" si="1"/>
        <v>0</v>
      </c>
      <c r="U34" s="11">
        <f ca="1">SUMIF('monthly calculations (2)'!$C$6:$C$365,'output table (2)'!$B34,'monthly calculations (2)'!AH32:AH391)</f>
        <v>0</v>
      </c>
      <c r="V34" s="11">
        <f ca="1">SUMIFS('monthly calculations (2)'!$AK$6:$AK$365,'monthly calculations (2)'!$C$6:$C$365,'output table (2)'!$B34,'monthly calculations (2)'!$AM$6:$AM$365, 1)</f>
        <v>0</v>
      </c>
      <c r="W34" s="94">
        <f ca="1">SUMIFS('monthly calculations (2)'!$AL$6:$AL$365,'monthly calculations (2)'!$C$6:$C$365,'output table (2)'!$B34,'monthly calculations (2)'!$AM$6:$AM$365, 1)</f>
        <v>0</v>
      </c>
      <c r="X34" s="11">
        <f ca="1">OFFSET('monthly calculations (2)'!$AO$5,             MATCH(DATE($B34,12,1),   'monthly calculations (2)'!$B$6:$B$365,  0),                  0)</f>
        <v>1258622.5560460223</v>
      </c>
      <c r="Y34" s="11">
        <f ca="1">OFFSET('monthly calculations (2)'!$AQ$5,             MATCH(DATE($B34,12,1),   'monthly calculations (2)'!$B$6:$B$365,  0),                  0)</f>
        <v>738684.71897774923</v>
      </c>
    </row>
    <row r="35" spans="2:25" x14ac:dyDescent="0.25">
      <c r="B35" s="77">
        <f t="shared" si="4"/>
        <v>2048</v>
      </c>
      <c r="C35" s="138">
        <f ca="1">IFERROR(AVERAGEIFS('monthly calculations (2)'!$D$6:$D$365,'monthly calculations (2)'!$C$6:$C$365,'output table (2)'!$B35,'monthly calculations (2)'!$AM$6:$AM$365, 1),0)</f>
        <v>0</v>
      </c>
      <c r="D35" s="94">
        <f ca="1">SUMIFS('monthly calculations (2)'!$E$6:$E$365,'monthly calculations (2)'!$C$6:$C$365,'output table (2)'!$B35,'monthly calculations (2)'!$AM$6:$AM$365, 1)</f>
        <v>0</v>
      </c>
      <c r="E35" s="11">
        <f ca="1">SUMIFS('monthly calculations (2)'!$F$6:$F$365,'monthly calculations (2)'!$C$6:$C$365,'output table (2)'!$B35,'monthly calculations (2)'!$AM$6:$AM$365, 1)</f>
        <v>0</v>
      </c>
      <c r="F35" s="11">
        <f ca="1">SUMIFS('monthly calculations (2)'!$G$6:$G$365,'monthly calculations (2)'!$C$6:$C$365,'output table (2)'!$B35,'monthly calculations (2)'!$AM$6:$AM$365, 1)</f>
        <v>0</v>
      </c>
      <c r="G35" s="11">
        <f ca="1">SUMIFS('monthly calculations (2)'!$H$6:$H$365,'monthly calculations (2)'!$C$6:$C$365,'output table (2)'!$B35,'monthly calculations (2)'!$AM$6:$AM$365, 1)</f>
        <v>0</v>
      </c>
      <c r="H35" s="11">
        <f ca="1">SUMIFS('monthly calculations (2)'!$K$6:$K$365,'monthly calculations (2)'!$C$6:$C$365,'output table (2)'!$B35,'monthly calculations (2)'!$AM$6:$AM$365, 1)</f>
        <v>0</v>
      </c>
      <c r="I35" s="11">
        <f ca="1">SUMIFS('monthly calculations (2)'!$L$6:$L$365,'monthly calculations (2)'!$C$6:$C$365,'output table (2)'!$B35,'monthly calculations (2)'!$AM$6:$AM$365, 1)</f>
        <v>0</v>
      </c>
      <c r="J35" s="11">
        <f ca="1">SUMIFS('monthly calculations (2)'!$N$6:$N$365,'monthly calculations (2)'!$C$6:$C$365,'output table (2)'!$B35,'monthly calculations (2)'!$AM$6:$AM$365, 1)</f>
        <v>0</v>
      </c>
      <c r="K35" s="91">
        <f t="shared" ca="1" si="2"/>
        <v>0</v>
      </c>
      <c r="L35" s="33">
        <f t="shared" ca="1" si="2"/>
        <v>0</v>
      </c>
      <c r="M35" s="33">
        <f t="shared" ca="1" si="3"/>
        <v>0</v>
      </c>
      <c r="N35" s="94">
        <f ca="1">SUMIFS('monthly calculations (2)'!$U$6:$U$365,'monthly calculations (2)'!$C$6:$C$365,'output table (2)'!$B35,'monthly calculations (2)'!$AM$6:$AM$365, 1)</f>
        <v>0</v>
      </c>
      <c r="O35" s="11">
        <f ca="1">SUMIFS('monthly calculations (2)'!$V$6:$V$365,'monthly calculations (2)'!$C$6:$C$365,'output table (2)'!$B35,'monthly calculations (2)'!$AM$6:$AM$365, 1)</f>
        <v>0</v>
      </c>
      <c r="P35" s="94">
        <f t="shared" ca="1" si="0"/>
        <v>0</v>
      </c>
      <c r="Q35" s="11">
        <f ca="1">SUMIFS('monthly calculations (2)'!$W$6:$W$365,'monthly calculations (2)'!$C$6:$C$365,'output table (2)'!$B35,'monthly calculations (2)'!$AM$6:$AM$365, 1)</f>
        <v>0</v>
      </c>
      <c r="R35" s="11">
        <f ca="1">SUMIFS('monthly calculations (2)'!$AA$6:$AA$365,'monthly calculations (2)'!$C$6:$C$365,'output table (2)'!$B35,'monthly calculations (2)'!$AM$6:$AM$365, 1)</f>
        <v>0</v>
      </c>
      <c r="S35" s="11">
        <f ca="1">SUMIFS('monthly calculations (2)'!$AE$6:$AE$365,'monthly calculations (2)'!$C$6:$C$365,'output table (2)'!$B35,'monthly calculations (2)'!$AM$6:$AM$365, 1)</f>
        <v>0</v>
      </c>
      <c r="T35" s="94">
        <f t="shared" ca="1" si="1"/>
        <v>0</v>
      </c>
      <c r="U35" s="11">
        <f ca="1">SUMIF('monthly calculations (2)'!$C$6:$C$365,'output table (2)'!$B35,'monthly calculations (2)'!AH33:AH392)</f>
        <v>0</v>
      </c>
      <c r="V35" s="11">
        <f ca="1">SUMIFS('monthly calculations (2)'!$AK$6:$AK$365,'monthly calculations (2)'!$C$6:$C$365,'output table (2)'!$B35,'monthly calculations (2)'!$AM$6:$AM$365, 1)</f>
        <v>0</v>
      </c>
      <c r="W35" s="94">
        <f ca="1">SUMIFS('monthly calculations (2)'!$AL$6:$AL$365,'monthly calculations (2)'!$C$6:$C$365,'output table (2)'!$B35,'monthly calculations (2)'!$AM$6:$AM$365, 1)</f>
        <v>0</v>
      </c>
      <c r="X35" s="11">
        <f ca="1">OFFSET('monthly calculations (2)'!$AO$5,             MATCH(DATE($B35,12,1),   'monthly calculations (2)'!$B$6:$B$365,  0),                  0)</f>
        <v>1258622.5560460223</v>
      </c>
      <c r="Y35" s="11">
        <f ca="1">OFFSET('monthly calculations (2)'!$AQ$5,             MATCH(DATE($B35,12,1),   'monthly calculations (2)'!$B$6:$B$365,  0),                  0)</f>
        <v>738684.71897774923</v>
      </c>
    </row>
    <row r="36" spans="2:25" x14ac:dyDescent="0.25">
      <c r="B36" s="77">
        <f t="shared" si="4"/>
        <v>2049</v>
      </c>
      <c r="C36" s="138">
        <f ca="1">IFERROR(AVERAGEIFS('monthly calculations (2)'!$D$6:$D$365,'monthly calculations (2)'!$C$6:$C$365,'output table (2)'!$B36,'monthly calculations (2)'!$AM$6:$AM$365, 1),0)</f>
        <v>0</v>
      </c>
      <c r="D36" s="94">
        <f ca="1">SUMIFS('monthly calculations (2)'!$E$6:$E$365,'monthly calculations (2)'!$C$6:$C$365,'output table (2)'!$B36,'monthly calculations (2)'!$AM$6:$AM$365, 1)</f>
        <v>0</v>
      </c>
      <c r="E36" s="11">
        <f ca="1">SUMIFS('monthly calculations (2)'!$F$6:$F$365,'monthly calculations (2)'!$C$6:$C$365,'output table (2)'!$B36,'monthly calculations (2)'!$AM$6:$AM$365, 1)</f>
        <v>0</v>
      </c>
      <c r="F36" s="11">
        <f ca="1">SUMIFS('monthly calculations (2)'!$G$6:$G$365,'monthly calculations (2)'!$C$6:$C$365,'output table (2)'!$B36,'monthly calculations (2)'!$AM$6:$AM$365, 1)</f>
        <v>0</v>
      </c>
      <c r="G36" s="11">
        <f ca="1">SUMIFS('monthly calculations (2)'!$H$6:$H$365,'monthly calculations (2)'!$C$6:$C$365,'output table (2)'!$B36,'monthly calculations (2)'!$AM$6:$AM$365, 1)</f>
        <v>0</v>
      </c>
      <c r="H36" s="11">
        <f ca="1">SUMIFS('monthly calculations (2)'!$K$6:$K$365,'monthly calculations (2)'!$C$6:$C$365,'output table (2)'!$B36,'monthly calculations (2)'!$AM$6:$AM$365, 1)</f>
        <v>0</v>
      </c>
      <c r="I36" s="11">
        <f ca="1">SUMIFS('monthly calculations (2)'!$L$6:$L$365,'monthly calculations (2)'!$C$6:$C$365,'output table (2)'!$B36,'monthly calculations (2)'!$AM$6:$AM$365, 1)</f>
        <v>0</v>
      </c>
      <c r="J36" s="11">
        <f ca="1">SUMIFS('monthly calculations (2)'!$N$6:$N$365,'monthly calculations (2)'!$C$6:$C$365,'output table (2)'!$B36,'monthly calculations (2)'!$AM$6:$AM$365, 1)</f>
        <v>0</v>
      </c>
      <c r="K36" s="91">
        <f t="shared" ca="1" si="2"/>
        <v>0</v>
      </c>
      <c r="L36" s="33">
        <f t="shared" ca="1" si="2"/>
        <v>0</v>
      </c>
      <c r="M36" s="33">
        <f t="shared" ca="1" si="3"/>
        <v>0</v>
      </c>
      <c r="N36" s="94">
        <f ca="1">SUMIFS('monthly calculations (2)'!$U$6:$U$365,'monthly calculations (2)'!$C$6:$C$365,'output table (2)'!$B36,'monthly calculations (2)'!$AM$6:$AM$365, 1)</f>
        <v>0</v>
      </c>
      <c r="O36" s="11">
        <f ca="1">SUMIFS('monthly calculations (2)'!$V$6:$V$365,'monthly calculations (2)'!$C$6:$C$365,'output table (2)'!$B36,'monthly calculations (2)'!$AM$6:$AM$365, 1)</f>
        <v>0</v>
      </c>
      <c r="P36" s="94">
        <f t="shared" ca="1" si="0"/>
        <v>0</v>
      </c>
      <c r="Q36" s="11">
        <f ca="1">SUMIFS('monthly calculations (2)'!$W$6:$W$365,'monthly calculations (2)'!$C$6:$C$365,'output table (2)'!$B36,'monthly calculations (2)'!$AM$6:$AM$365, 1)</f>
        <v>0</v>
      </c>
      <c r="R36" s="11">
        <f ca="1">SUMIFS('monthly calculations (2)'!$AA$6:$AA$365,'monthly calculations (2)'!$C$6:$C$365,'output table (2)'!$B36,'monthly calculations (2)'!$AM$6:$AM$365, 1)</f>
        <v>0</v>
      </c>
      <c r="S36" s="11">
        <f ca="1">SUMIFS('monthly calculations (2)'!$AE$6:$AE$365,'monthly calculations (2)'!$C$6:$C$365,'output table (2)'!$B36,'monthly calculations (2)'!$AM$6:$AM$365, 1)</f>
        <v>0</v>
      </c>
      <c r="T36" s="94">
        <f t="shared" ca="1" si="1"/>
        <v>0</v>
      </c>
      <c r="U36" s="11">
        <f>SUMIF('monthly calculations (2)'!$C$6:$C$365,'output table (2)'!$B36,'monthly calculations (2)'!AH34:AH393)</f>
        <v>0</v>
      </c>
      <c r="V36" s="11">
        <f ca="1">SUMIFS('monthly calculations (2)'!$AK$6:$AK$365,'monthly calculations (2)'!$C$6:$C$365,'output table (2)'!$B36,'monthly calculations (2)'!$AM$6:$AM$365, 1)</f>
        <v>0</v>
      </c>
      <c r="W36" s="94">
        <f ca="1">SUMIFS('monthly calculations (2)'!$AL$6:$AL$365,'monthly calculations (2)'!$C$6:$C$365,'output table (2)'!$B36,'monthly calculations (2)'!$AM$6:$AM$365, 1)</f>
        <v>0</v>
      </c>
      <c r="X36" s="11">
        <f ca="1">OFFSET('monthly calculations (2)'!$AO$5,             MATCH(DATE($B36,12,1),   'monthly calculations (2)'!$B$6:$B$365,  0),                  0)</f>
        <v>1258622.5560460223</v>
      </c>
      <c r="Y36" s="11">
        <f ca="1">OFFSET('monthly calculations (2)'!$AQ$5,             MATCH(DATE($B36,12,1),   'monthly calculations (2)'!$B$6:$B$365,  0),                  0)</f>
        <v>738684.71897774923</v>
      </c>
    </row>
    <row r="37" spans="2:25" ht="16.5" thickBot="1" x14ac:dyDescent="0.3">
      <c r="B37" s="83">
        <f t="shared" si="4"/>
        <v>2050</v>
      </c>
      <c r="C37" s="140">
        <f ca="1">IFERROR(AVERAGEIFS('monthly calculations (2)'!$D$6:$D$365,'monthly calculations (2)'!$C$6:$C$365,'output table (2)'!$B37,'monthly calculations (2)'!$AM$6:$AM$365, 1),0)</f>
        <v>0</v>
      </c>
      <c r="D37" s="95">
        <f ca="1">SUMIFS('monthly calculations (2)'!$E$6:$E$365,'monthly calculations (2)'!$C$6:$C$365,'output table (2)'!$B37,'monthly calculations (2)'!$AM$6:$AM$365, 1)</f>
        <v>0</v>
      </c>
      <c r="E37" s="84">
        <f ca="1">SUMIFS('monthly calculations (2)'!$F$6:$F$365,'monthly calculations (2)'!$C$6:$C$365,'output table (2)'!$B37,'monthly calculations (2)'!$AM$6:$AM$365, 1)</f>
        <v>0</v>
      </c>
      <c r="F37" s="84">
        <f ca="1">SUMIFS('monthly calculations (2)'!$G$6:$G$365,'monthly calculations (2)'!$C$6:$C$365,'output table (2)'!$B37,'monthly calculations (2)'!$AM$6:$AM$365, 1)</f>
        <v>0</v>
      </c>
      <c r="G37" s="84">
        <f ca="1">SUMIFS('monthly calculations (2)'!$H$6:$H$365,'monthly calculations (2)'!$C$6:$C$365,'output table (2)'!$B37,'monthly calculations (2)'!$AM$6:$AM$365, 1)</f>
        <v>0</v>
      </c>
      <c r="H37" s="84">
        <f ca="1">SUMIFS('monthly calculations (2)'!$K$6:$K$365,'monthly calculations (2)'!$C$6:$C$365,'output table (2)'!$B37,'monthly calculations (2)'!$AM$6:$AM$365, 1)</f>
        <v>0</v>
      </c>
      <c r="I37" s="84">
        <f ca="1">SUMIFS('monthly calculations (2)'!$L$6:$L$365,'monthly calculations (2)'!$C$6:$C$365,'output table (2)'!$B37,'monthly calculations (2)'!$AM$6:$AM$365, 1)</f>
        <v>0</v>
      </c>
      <c r="J37" s="84">
        <f ca="1">SUMIFS('monthly calculations (2)'!$N$6:$N$365,'monthly calculations (2)'!$C$6:$C$365,'output table (2)'!$B37,'monthly calculations (2)'!$AM$6:$AM$365, 1)</f>
        <v>0</v>
      </c>
      <c r="K37" s="92">
        <f t="shared" ca="1" si="2"/>
        <v>0</v>
      </c>
      <c r="L37" s="85">
        <f t="shared" ca="1" si="2"/>
        <v>0</v>
      </c>
      <c r="M37" s="85">
        <f t="shared" ca="1" si="3"/>
        <v>0</v>
      </c>
      <c r="N37" s="95">
        <f ca="1">SUMIFS('monthly calculations (2)'!$U$6:$U$365,'monthly calculations (2)'!$C$6:$C$365,'output table (2)'!$B37,'monthly calculations (2)'!$AM$6:$AM$365, 1)</f>
        <v>0</v>
      </c>
      <c r="O37" s="84">
        <f ca="1">SUMIFS('monthly calculations (2)'!$V$6:$V$365,'monthly calculations (2)'!$C$6:$C$365,'output table (2)'!$B37,'monthly calculations (2)'!$AM$6:$AM$365, 1)</f>
        <v>0</v>
      </c>
      <c r="P37" s="95">
        <f t="shared" ca="1" si="0"/>
        <v>0</v>
      </c>
      <c r="Q37" s="84">
        <f ca="1">SUMIFS('monthly calculations (2)'!$W$6:$W$365,'monthly calculations (2)'!$C$6:$C$365,'output table (2)'!$B37,'monthly calculations (2)'!$AM$6:$AM$365, 1)</f>
        <v>0</v>
      </c>
      <c r="R37" s="84">
        <f ca="1">SUMIFS('monthly calculations (2)'!$AA$6:$AA$365,'monthly calculations (2)'!$C$6:$C$365,'output table (2)'!$B37,'monthly calculations (2)'!$AM$6:$AM$365, 1)</f>
        <v>0</v>
      </c>
      <c r="S37" s="84">
        <f ca="1">SUMIFS('monthly calculations (2)'!$AE$6:$AE$365,'monthly calculations (2)'!$C$6:$C$365,'output table (2)'!$B37,'monthly calculations (2)'!$AM$6:$AM$365, 1)</f>
        <v>0</v>
      </c>
      <c r="T37" s="95">
        <f t="shared" ca="1" si="1"/>
        <v>0</v>
      </c>
      <c r="U37" s="84">
        <f>SUMIF('monthly calculations (2)'!$C$6:$C$365,'output table (2)'!$B37,'monthly calculations (2)'!AH35:AH394)</f>
        <v>0</v>
      </c>
      <c r="V37" s="84">
        <f ca="1">SUMIFS('monthly calculations (2)'!$AK$6:$AK$365,'monthly calculations (2)'!$C$6:$C$365,'output table (2)'!$B37,'monthly calculations (2)'!$AM$6:$AM$365, 1)</f>
        <v>0</v>
      </c>
      <c r="W37" s="95">
        <f ca="1">SUMIFS('monthly calculations (2)'!$AL$6:$AL$365,'monthly calculations (2)'!$C$6:$C$365,'output table (2)'!$B37,'monthly calculations (2)'!$AM$6:$AM$365, 1)</f>
        <v>0</v>
      </c>
      <c r="X37" s="84">
        <f ca="1">OFFSET('monthly calculations (2)'!$AO$5,             MATCH(DATE($B37,12,1),   'monthly calculations (2)'!$B$6:$B$365,  0),                  0)</f>
        <v>1258622.5560460223</v>
      </c>
      <c r="Y37" s="84">
        <f ca="1">OFFSET('monthly calculations (2)'!$AQ$5,             MATCH(DATE($B37,12,1),   'monthly calculations (2)'!$B$6:$B$365,  0),                  0)</f>
        <v>738684.71897774923</v>
      </c>
    </row>
    <row r="38" spans="2:25" x14ac:dyDescent="0.25">
      <c r="B38" s="86" t="s">
        <v>122</v>
      </c>
      <c r="C38" s="87"/>
      <c r="D38" s="88">
        <f ca="1">SUM(D8:D37)</f>
        <v>69536.733239735462</v>
      </c>
      <c r="E38" s="88">
        <f t="shared" ref="E38:J38" ca="1" si="5">SUM(E8:E37)</f>
        <v>361811.7791263815</v>
      </c>
      <c r="F38" s="88">
        <f t="shared" ca="1" si="5"/>
        <v>18397.206822016309</v>
      </c>
      <c r="G38" s="88">
        <f t="shared" ca="1" si="5"/>
        <v>54271.766868957224</v>
      </c>
      <c r="H38" s="88">
        <f t="shared" ca="1" si="5"/>
        <v>17384.183309933866</v>
      </c>
      <c r="I38" s="88">
        <f t="shared" ca="1" si="5"/>
        <v>67839.708586196517</v>
      </c>
      <c r="J38" s="88">
        <f t="shared" ca="1" si="5"/>
        <v>13567.941717239306</v>
      </c>
      <c r="K38" s="89">
        <f t="shared" ref="K38:L38" ca="1" si="6">N38/H38</f>
        <v>52.500000000000014</v>
      </c>
      <c r="L38" s="89">
        <f t="shared" ca="1" si="6"/>
        <v>2.3275000000000006</v>
      </c>
      <c r="M38" s="89">
        <f t="shared" ref="M38" ca="1" si="7">Q38/J38</f>
        <v>21.999999999999993</v>
      </c>
      <c r="N38" s="88">
        <f t="shared" ref="N38:W38" ca="1" si="8">SUM(N8:N37)</f>
        <v>912669.62377152813</v>
      </c>
      <c r="O38" s="88">
        <f t="shared" ca="1" si="8"/>
        <v>157896.92173437244</v>
      </c>
      <c r="P38" s="88">
        <f t="shared" ca="1" si="8"/>
        <v>1070566.5455059006</v>
      </c>
      <c r="Q38" s="88">
        <f t="shared" ca="1" si="8"/>
        <v>298494.71777926461</v>
      </c>
      <c r="R38" s="88">
        <f t="shared" ca="1" si="8"/>
        <v>0</v>
      </c>
      <c r="S38" s="88">
        <f t="shared" ca="1" si="8"/>
        <v>0</v>
      </c>
      <c r="T38" s="88">
        <f t="shared" ca="1" si="8"/>
        <v>0</v>
      </c>
      <c r="U38" s="88">
        <f t="shared" ca="1" si="8"/>
        <v>0</v>
      </c>
      <c r="V38" s="88">
        <f t="shared" ca="1" si="8"/>
        <v>110438.70723914223</v>
      </c>
      <c r="W38" s="88">
        <f t="shared" ca="1" si="8"/>
        <v>1258622.5560460233</v>
      </c>
      <c r="X38" s="189" t="str">
        <f>"PV "&amp;TEXT(disc_1,"##%")</f>
        <v>PV 10%</v>
      </c>
      <c r="Y38" s="191">
        <f ca="1">Y37</f>
        <v>738684.71897774923</v>
      </c>
    </row>
    <row r="39" spans="2:25" x14ac:dyDescent="0.25">
      <c r="B39" s="122" t="s">
        <v>123</v>
      </c>
      <c r="C39" s="141"/>
      <c r="D39" s="142">
        <f ca="1">D38+D5</f>
        <v>109937.10333953548</v>
      </c>
      <c r="E39" s="142">
        <f ca="1">E38+E5</f>
        <v>497734.97915238148</v>
      </c>
      <c r="F39" s="142">
        <f ca="1">F38+F5</f>
        <v>42982.960038116311</v>
      </c>
      <c r="G39" s="142">
        <f ca="1">G38+G5</f>
        <v>74660.246872766744</v>
      </c>
    </row>
    <row r="40" spans="2:25" x14ac:dyDescent="0.25">
      <c r="B40" s="10"/>
      <c r="C40" s="10"/>
      <c r="D40" s="11"/>
      <c r="E40" s="12"/>
      <c r="V40" s="189" t="s">
        <v>147</v>
      </c>
      <c r="W40" s="190">
        <f>initial_investment_partner2</f>
        <v>0</v>
      </c>
      <c r="X40" s="189" t="str">
        <f>"PV "&amp;TEXT(disc_2,"##%")</f>
        <v>PV 5%</v>
      </c>
      <c r="Y40" s="191">
        <f ca="1">NPV(disc_2/12,'monthly calculations (2)'!$AN$6:$AN$365)</f>
        <v>932415.56578245759</v>
      </c>
    </row>
    <row r="41" spans="2:25" x14ac:dyDescent="0.25">
      <c r="B41" s="169"/>
      <c r="C41" s="170" t="s">
        <v>142</v>
      </c>
      <c r="D41" s="171"/>
      <c r="E41" s="172"/>
      <c r="F41" s="173"/>
      <c r="G41" s="174"/>
      <c r="H41" s="18" t="s">
        <v>50</v>
      </c>
      <c r="I41" s="179">
        <f>WI_2</f>
        <v>0</v>
      </c>
      <c r="J41" s="173"/>
      <c r="K41" s="175" t="s">
        <v>146</v>
      </c>
      <c r="L41" s="175"/>
      <c r="M41" s="175"/>
      <c r="N41" s="173"/>
      <c r="O41" s="173"/>
      <c r="P41" s="173"/>
      <c r="Q41" s="175" t="s">
        <v>32</v>
      </c>
      <c r="R41" s="175"/>
      <c r="S41" s="175"/>
      <c r="T41" s="175"/>
      <c r="V41" s="189" t="s">
        <v>199</v>
      </c>
      <c r="W41" s="192" t="str">
        <f ca="1">TEXT(IFERROR(MATCH(0,'monthly calculations (2)'!AO6:AO365)/12,"N/A"),"##.#")&amp;" yrs"</f>
        <v>N/A yrs</v>
      </c>
      <c r="X41" s="189" t="str">
        <f>"PV "&amp;TEXT(disc_3,"##%")</f>
        <v>PV 8%</v>
      </c>
      <c r="Y41" s="191">
        <f ca="1">NPV(disc_3/12,'monthly calculations (2)'!$AN$6:$AN$365)</f>
        <v>801868.81487357139</v>
      </c>
    </row>
    <row r="42" spans="2:25" x14ac:dyDescent="0.25">
      <c r="B42" s="168"/>
      <c r="C42" s="176" t="s">
        <v>145</v>
      </c>
      <c r="D42" s="177">
        <f>qi_oil</f>
        <v>100</v>
      </c>
      <c r="E42" s="178">
        <f>qi_gas</f>
        <v>250</v>
      </c>
      <c r="F42" s="173"/>
      <c r="G42" s="173"/>
      <c r="H42" s="18" t="s">
        <v>66</v>
      </c>
      <c r="I42" s="179">
        <f>NRI_2</f>
        <v>0.25</v>
      </c>
      <c r="J42" s="18"/>
      <c r="K42" s="180">
        <f>pdiff_oil</f>
        <v>0</v>
      </c>
      <c r="L42" s="180">
        <f>pdiff_gas</f>
        <v>-0.1</v>
      </c>
      <c r="M42" s="180">
        <f>pdiff_ngl</f>
        <v>-0.6</v>
      </c>
      <c r="N42" s="173"/>
      <c r="O42" s="173"/>
      <c r="P42" s="173"/>
      <c r="Q42" s="181">
        <f>fixed_month</f>
        <v>1000</v>
      </c>
      <c r="R42" s="173"/>
      <c r="S42" s="173"/>
      <c r="T42" s="174" t="s">
        <v>151</v>
      </c>
      <c r="V42" s="189" t="s">
        <v>148</v>
      </c>
      <c r="W42" s="193" t="str">
        <f ca="1">IFERROR(MAX('monthly calculations (2)'!AO6:AO365)/'output table (2)'!W40 +1,"n/a")</f>
        <v>n/a</v>
      </c>
      <c r="X42" s="189" t="str">
        <f>"PV "&amp;TEXT(disc_4,"##%")</f>
        <v>PV 12%</v>
      </c>
      <c r="Y42" s="191">
        <f ca="1">NPV(disc_4/12,'monthly calculations (2)'!$AN$6:$AN$365)</f>
        <v>674067.13590332121</v>
      </c>
    </row>
    <row r="43" spans="2:25" x14ac:dyDescent="0.25">
      <c r="B43" s="168"/>
      <c r="C43" s="176" t="s">
        <v>143</v>
      </c>
      <c r="D43" s="182">
        <f>assumptions!C17</f>
        <v>0.65</v>
      </c>
      <c r="E43" s="183">
        <f>assumptions!D17</f>
        <v>0.35</v>
      </c>
      <c r="F43" s="173"/>
      <c r="G43" s="173"/>
      <c r="H43" s="18" t="s">
        <v>235</v>
      </c>
      <c r="I43" s="320" t="e">
        <f ca="1">OFFSET( 'monthly calculations (1)'!B6, MATCH(1,'monthly calculations (1)'!AV6:AV365,0),0)</f>
        <v>#N/A</v>
      </c>
      <c r="J43" s="18"/>
      <c r="K43" s="184">
        <f>diff_oil</f>
        <v>-2.5</v>
      </c>
      <c r="L43" s="184">
        <f>diff_gas</f>
        <v>-0.25</v>
      </c>
      <c r="M43" s="173"/>
      <c r="N43" s="173"/>
      <c r="O43" s="173"/>
      <c r="P43" s="173"/>
      <c r="Q43" s="181">
        <f>fixed_well</f>
        <v>5000</v>
      </c>
      <c r="R43" s="173"/>
      <c r="S43" s="173"/>
      <c r="T43" s="174" t="s">
        <v>152</v>
      </c>
      <c r="V43" s="189" t="s">
        <v>149</v>
      </c>
      <c r="W43" s="193" t="str">
        <f ca="1">IFERROR(MAX('monthly calculations (2)'!AQ6:AQ365)/W40 +1,"n/a")</f>
        <v>n/a</v>
      </c>
      <c r="X43" s="189" t="str">
        <f>"PV "&amp;TEXT(disc_5,"##%")</f>
        <v>PV 15%</v>
      </c>
      <c r="Y43" s="191">
        <f ca="1">NPV(disc_5/12,'monthly calculations (2)'!$AN$6:$AN$365)</f>
        <v>601920.06532871502</v>
      </c>
    </row>
    <row r="44" spans="2:25" x14ac:dyDescent="0.25">
      <c r="B44" s="168"/>
      <c r="C44" s="176" t="s">
        <v>9</v>
      </c>
      <c r="D44" s="185">
        <f>b_oil</f>
        <v>1</v>
      </c>
      <c r="E44" s="186">
        <f>b_gas</f>
        <v>1</v>
      </c>
      <c r="F44" s="173"/>
      <c r="G44" s="173"/>
      <c r="H44" s="18" t="s">
        <v>236</v>
      </c>
      <c r="I44" s="319" t="e">
        <f ca="1">TEXT( (I43-as_of )/365, "##.#") &amp; " yrs"</f>
        <v>#N/A</v>
      </c>
      <c r="J44" s="173"/>
      <c r="K44" s="318">
        <f>energy_residue</f>
        <v>950</v>
      </c>
      <c r="L44" s="318" t="s">
        <v>156</v>
      </c>
      <c r="M44" s="318"/>
      <c r="N44" s="173"/>
      <c r="O44" s="173"/>
      <c r="P44" s="173"/>
      <c r="Q44" s="184">
        <f>var_bo</f>
        <v>0</v>
      </c>
      <c r="R44" s="173"/>
      <c r="S44" s="173"/>
      <c r="T44" s="174" t="s">
        <v>153</v>
      </c>
      <c r="V44" s="189" t="s">
        <v>150</v>
      </c>
      <c r="W44" s="194" t="str">
        <f ca="1">IFERROR(IRR('monthly calculations (2)'!AN6:AN365)*12,"n/a")</f>
        <v>n/a</v>
      </c>
      <c r="X44" s="189" t="str">
        <f>"PV "&amp;TEXT(disc_6,"##%")</f>
        <v>PV 18%</v>
      </c>
      <c r="Y44" s="191">
        <f ca="1">NPV(disc_6/12,'monthly calculations (2)'!$AN$6:$AN$365)</f>
        <v>543949.8550939993</v>
      </c>
    </row>
    <row r="45" spans="2:25" x14ac:dyDescent="0.25">
      <c r="B45" s="168"/>
      <c r="C45" s="176" t="s">
        <v>144</v>
      </c>
      <c r="D45" s="182">
        <f>assumptions!C19</f>
        <v>0.08</v>
      </c>
      <c r="E45" s="182">
        <f>assumptions!D19</f>
        <v>0.06</v>
      </c>
      <c r="F45" s="173"/>
      <c r="G45" s="173"/>
      <c r="H45" s="18" t="s">
        <v>237</v>
      </c>
      <c r="I45" s="179">
        <f>WI_2_APO</f>
        <v>0</v>
      </c>
      <c r="J45" s="173"/>
      <c r="L45" s="18" t="s">
        <v>157</v>
      </c>
      <c r="M45" s="183">
        <f>shrink_leaseuse+shrink_ngl</f>
        <v>0.25</v>
      </c>
      <c r="N45" s="173"/>
      <c r="O45" s="173"/>
      <c r="P45" s="173"/>
      <c r="Q45" s="184">
        <f>var_mcf</f>
        <v>0</v>
      </c>
      <c r="R45" s="173"/>
      <c r="S45" s="173"/>
      <c r="T45" s="174" t="s">
        <v>154</v>
      </c>
      <c r="V45" s="195" t="s">
        <v>159</v>
      </c>
      <c r="W45" s="196" t="str">
        <f ca="1">TEXT(SUM('monthly calculations (2)'!AM6:AM365)/12,"##.#") &amp; " yrs"</f>
        <v>19.6 yrs</v>
      </c>
      <c r="X45" s="189" t="str">
        <f>"PV "&amp;TEXT(disc_7,"##%")</f>
        <v>PV 20%</v>
      </c>
      <c r="Y45" s="191">
        <f ca="1">NPV(disc_7/12,'monthly calculations (2)'!$AN$6:$AN$365)</f>
        <v>511319.79122798273</v>
      </c>
    </row>
    <row r="46" spans="2:25" x14ac:dyDescent="0.25">
      <c r="B46" s="168"/>
      <c r="C46" s="168"/>
      <c r="D46" s="187"/>
      <c r="E46" s="188"/>
      <c r="F46" s="173"/>
      <c r="G46" s="173"/>
      <c r="H46" s="18" t="s">
        <v>238</v>
      </c>
      <c r="I46" s="179">
        <f>NRI_2_APO</f>
        <v>0.25</v>
      </c>
      <c r="J46" s="173"/>
      <c r="L46" s="18" t="s">
        <v>158</v>
      </c>
      <c r="M46" s="173">
        <f>NGL_yield</f>
        <v>150</v>
      </c>
      <c r="N46" s="173"/>
      <c r="O46" s="173"/>
      <c r="P46" s="173"/>
      <c r="Q46" s="184">
        <f>var_bw</f>
        <v>2</v>
      </c>
      <c r="R46" s="173"/>
      <c r="S46" s="173"/>
      <c r="T46" s="174" t="s">
        <v>155</v>
      </c>
      <c r="V46" s="195" t="s">
        <v>160</v>
      </c>
      <c r="W46" s="197">
        <f ca="1">SUM('monthly calculations (2)'!AM6:AM365)*30.43 +as_of</f>
        <v>51348.05</v>
      </c>
      <c r="X46" s="189" t="str">
        <f>"PV "&amp;TEXT(disc_8,"##%")</f>
        <v>PV 25%</v>
      </c>
      <c r="Y46" s="191">
        <f ca="1">NPV(disc_8/12,'monthly calculations (2)'!$AN$6:$AN$365)</f>
        <v>445248.82451314211</v>
      </c>
    </row>
    <row r="47" spans="2:25" x14ac:dyDescent="0.25">
      <c r="B47" s="10"/>
    </row>
    <row r="48" spans="2:25" x14ac:dyDescent="0.25">
      <c r="B48" s="10"/>
    </row>
    <row r="49" spans="2:5" x14ac:dyDescent="0.25">
      <c r="B49" s="10"/>
      <c r="C49" s="10"/>
      <c r="D49" s="11"/>
      <c r="E49" s="12"/>
    </row>
    <row r="50" spans="2:5" x14ac:dyDescent="0.25">
      <c r="B50" s="10"/>
      <c r="C50" s="10"/>
      <c r="D50" s="11"/>
      <c r="E50" s="12"/>
    </row>
    <row r="51" spans="2:5" x14ac:dyDescent="0.25">
      <c r="B51" s="10"/>
      <c r="C51" s="10"/>
      <c r="D51" s="11"/>
      <c r="E51" s="12"/>
    </row>
  </sheetData>
  <printOptions horizontalCentered="1"/>
  <pageMargins left="0.25" right="0.25" top="0.75" bottom="0.75" header="0.3" footer="0.3"/>
  <pageSetup scale="59" orientation="landscape" verticalDpi="0" r:id="rId1"/>
  <headerFooter>
    <oddFooter>&amp;L&amp;K01+047&amp;D,  &amp;T&amp;R&amp;K01+045 © AAPL 2018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0562F-AA17-4CFD-A5AF-FC48BF4F086A}">
  <sheetPr>
    <tabColor theme="1" tint="0.499984740745262"/>
    <pageSetUpPr fitToPage="1"/>
  </sheetPr>
  <dimension ref="A1:P366"/>
  <sheetViews>
    <sheetView showGridLines="0" zoomScale="70" zoomScaleNormal="70" workbookViewId="0">
      <pane ySplit="5" topLeftCell="A6" activePane="bottomLeft" state="frozen"/>
      <selection pane="bottomLeft" activeCell="A6" sqref="A6"/>
    </sheetView>
  </sheetViews>
  <sheetFormatPr defaultColWidth="11.125" defaultRowHeight="15.75" x14ac:dyDescent="0.25"/>
  <cols>
    <col min="1" max="1" width="3" style="6" customWidth="1"/>
    <col min="2" max="2" width="15.875" style="2" customWidth="1"/>
    <col min="3" max="4" width="11.25" style="2" customWidth="1"/>
    <col min="5" max="7" width="11.25" style="6" customWidth="1"/>
    <col min="8" max="8" width="3.25" style="6" customWidth="1"/>
    <col min="9" max="14" width="11.25" style="6" customWidth="1"/>
    <col min="15" max="15" width="16.375" style="6" customWidth="1"/>
    <col min="16" max="16" width="11.25" style="6" customWidth="1"/>
    <col min="17" max="16384" width="11.125" style="6"/>
  </cols>
  <sheetData>
    <row r="1" spans="2:16" ht="23.25" x14ac:dyDescent="0.35">
      <c r="B1" s="1" t="s">
        <v>17</v>
      </c>
    </row>
    <row r="2" spans="2:16" s="7" customFormat="1" ht="18.75" x14ac:dyDescent="0.3">
      <c r="B2" s="5" t="s">
        <v>48</v>
      </c>
      <c r="C2" s="3"/>
      <c r="D2" s="3"/>
    </row>
    <row r="3" spans="2:16" x14ac:dyDescent="0.25">
      <c r="B3" s="4"/>
    </row>
    <row r="4" spans="2:16" x14ac:dyDescent="0.25">
      <c r="B4" s="131" t="s">
        <v>5</v>
      </c>
      <c r="C4" s="130"/>
      <c r="D4" s="130">
        <f>SUM(D6:D365)</f>
        <v>40400.370099800006</v>
      </c>
      <c r="E4" s="130">
        <f t="shared" ref="E4:G4" si="0">SUM(E6:E365)</f>
        <v>135923.20002599998</v>
      </c>
      <c r="F4" s="130">
        <f t="shared" si="0"/>
        <v>24585.753216100002</v>
      </c>
      <c r="G4" s="130">
        <f t="shared" si="0"/>
        <v>20388.480003809524</v>
      </c>
      <c r="I4" s="13" t="s">
        <v>203</v>
      </c>
    </row>
    <row r="5" spans="2:16" ht="36.75" customHeight="1" thickBot="1" x14ac:dyDescent="0.3">
      <c r="B5" s="8" t="s">
        <v>15</v>
      </c>
      <c r="C5" s="15" t="s">
        <v>242</v>
      </c>
      <c r="D5" s="15" t="s">
        <v>19</v>
      </c>
      <c r="E5" s="15" t="s">
        <v>25</v>
      </c>
      <c r="F5" s="15" t="s">
        <v>26</v>
      </c>
      <c r="G5" s="15" t="s">
        <v>103</v>
      </c>
      <c r="H5" s="16"/>
      <c r="I5" s="15" t="s">
        <v>28</v>
      </c>
      <c r="J5" s="15" t="s">
        <v>20</v>
      </c>
      <c r="K5" s="15" t="s">
        <v>21</v>
      </c>
      <c r="L5" s="15" t="s">
        <v>107</v>
      </c>
      <c r="M5" s="15" t="s">
        <v>22</v>
      </c>
      <c r="N5" s="15" t="s">
        <v>23</v>
      </c>
      <c r="O5" s="15" t="s">
        <v>24</v>
      </c>
      <c r="P5" s="15" t="s">
        <v>104</v>
      </c>
    </row>
    <row r="6" spans="2:16" x14ac:dyDescent="0.25">
      <c r="B6" s="323">
        <v>43466</v>
      </c>
      <c r="C6" s="210">
        <v>1</v>
      </c>
      <c r="D6" s="210">
        <v>2875.6773640000001</v>
      </c>
      <c r="E6" s="211">
        <v>6628.788998</v>
      </c>
      <c r="F6" s="211">
        <v>1516.9474929999999</v>
      </c>
      <c r="G6" s="211">
        <v>994.31834976190487</v>
      </c>
      <c r="H6" s="58"/>
      <c r="I6" s="58">
        <f>IF(D6&gt;0,D6/($B7-$B6),"")</f>
        <v>92.763785935483881</v>
      </c>
      <c r="J6" s="58">
        <f>IF(E6&gt;0,E6/($B7-$B6),"")</f>
        <v>213.83190316129031</v>
      </c>
      <c r="K6" s="58">
        <f>IF(F6&gt;0,F6/($B7-$B6),"")</f>
        <v>48.933790096774189</v>
      </c>
      <c r="L6" s="58">
        <f>IF(G6&gt;0,G6/($B7-$B6),"")</f>
        <v>32.074785476190478</v>
      </c>
      <c r="M6" s="58">
        <f t="shared" ref="M6:M69" si="1">IFERROR(J6*1000/I6,"")</f>
        <v>2305.1226403157789</v>
      </c>
      <c r="N6" s="32">
        <f t="shared" ref="N6:N69" si="2">IFERROR(K6 / (K6+I6),"")</f>
        <v>0.34533964141796047</v>
      </c>
      <c r="O6" s="61">
        <f t="shared" ref="O6:O69" si="3">IFERROR(I6/(J6/1000),"")</f>
        <v>433.81639766594373</v>
      </c>
      <c r="P6" s="61">
        <f t="shared" ref="P6:P69" si="4">IFERROR(G6/(E6/1000),"")</f>
        <v>150.00000000933878</v>
      </c>
    </row>
    <row r="7" spans="2:16" x14ac:dyDescent="0.25">
      <c r="B7" s="14">
        <f t="shared" ref="B7:B70" si="5">EOMONTH(B6,0)+1</f>
        <v>43497</v>
      </c>
      <c r="C7" s="210">
        <v>1</v>
      </c>
      <c r="D7" s="210">
        <v>2768.4467490000002</v>
      </c>
      <c r="E7" s="211">
        <v>7351.0022760000002</v>
      </c>
      <c r="F7" s="211">
        <v>1570.8564839999999</v>
      </c>
      <c r="G7" s="211">
        <v>1102.6503414285714</v>
      </c>
      <c r="H7" s="58"/>
      <c r="I7" s="58">
        <f t="shared" ref="I7:I70" si="6">IF(D7&gt;0,D7/($B8-$B7),"")</f>
        <v>98.873098178571439</v>
      </c>
      <c r="J7" s="58">
        <f t="shared" ref="J7:J70" si="7">IF(E7&gt;0,E7/($B8-$B7),"")</f>
        <v>262.53579557142859</v>
      </c>
      <c r="K7" s="58">
        <f t="shared" ref="K7:K70" si="8">IF(F7&gt;0,F7/($B8-$B7),"")</f>
        <v>56.102017285714282</v>
      </c>
      <c r="L7" s="58">
        <f t="shared" ref="L7:L70" si="9">IF(G7&gt;0,G7/($B8-$B7),"")</f>
        <v>39.380369336734695</v>
      </c>
      <c r="M7" s="58">
        <f t="shared" si="1"/>
        <v>2655.2803584375538</v>
      </c>
      <c r="N7" s="32">
        <f t="shared" si="2"/>
        <v>0.36200661711165549</v>
      </c>
      <c r="O7" s="61">
        <f t="shared" si="3"/>
        <v>376.60806581962214</v>
      </c>
      <c r="P7" s="61">
        <f t="shared" si="4"/>
        <v>150.00000000388675</v>
      </c>
    </row>
    <row r="8" spans="2:16" x14ac:dyDescent="0.25">
      <c r="B8" s="14">
        <f t="shared" si="5"/>
        <v>43525</v>
      </c>
      <c r="C8" s="210">
        <v>1</v>
      </c>
      <c r="D8" s="210">
        <v>2566.0767219999998</v>
      </c>
      <c r="E8" s="211">
        <v>7814.8915749999996</v>
      </c>
      <c r="F8" s="211">
        <v>1443.6909310000001</v>
      </c>
      <c r="G8" s="211">
        <v>1172.2337361904761</v>
      </c>
      <c r="H8" s="58"/>
      <c r="I8" s="58">
        <f t="shared" si="6"/>
        <v>82.776668451612892</v>
      </c>
      <c r="J8" s="58">
        <f t="shared" si="7"/>
        <v>252.09327661290322</v>
      </c>
      <c r="K8" s="58">
        <f t="shared" si="8"/>
        <v>46.570675193548389</v>
      </c>
      <c r="L8" s="58">
        <f t="shared" si="9"/>
        <v>37.813991490015354</v>
      </c>
      <c r="M8" s="58">
        <f t="shared" si="1"/>
        <v>3045.4629466063179</v>
      </c>
      <c r="N8" s="32">
        <f t="shared" si="2"/>
        <v>0.36004353766479946</v>
      </c>
      <c r="O8" s="61">
        <f t="shared" si="3"/>
        <v>328.35730315298713</v>
      </c>
      <c r="P8" s="61">
        <f t="shared" si="4"/>
        <v>149.99999999238327</v>
      </c>
    </row>
    <row r="9" spans="2:16" x14ac:dyDescent="0.25">
      <c r="B9" s="14">
        <f t="shared" si="5"/>
        <v>43556</v>
      </c>
      <c r="C9" s="210">
        <v>1</v>
      </c>
      <c r="D9" s="210">
        <v>2247.8377500000001</v>
      </c>
      <c r="E9" s="211">
        <v>6921.8347590000003</v>
      </c>
      <c r="F9" s="211">
        <v>1228.831862</v>
      </c>
      <c r="G9" s="211">
        <v>1038.2752138095238</v>
      </c>
      <c r="H9" s="58"/>
      <c r="I9" s="58">
        <f t="shared" si="6"/>
        <v>74.927925000000002</v>
      </c>
      <c r="J9" s="58">
        <f t="shared" si="7"/>
        <v>230.72782530000001</v>
      </c>
      <c r="K9" s="58">
        <f t="shared" si="8"/>
        <v>40.961062066666663</v>
      </c>
      <c r="L9" s="58">
        <f t="shared" si="9"/>
        <v>34.609173793650797</v>
      </c>
      <c r="M9" s="58">
        <f t="shared" si="1"/>
        <v>3079.3302403609869</v>
      </c>
      <c r="N9" s="32">
        <f t="shared" si="2"/>
        <v>0.35345085933923365</v>
      </c>
      <c r="O9" s="61">
        <f t="shared" si="3"/>
        <v>324.7459421184949</v>
      </c>
      <c r="P9" s="61">
        <f t="shared" si="4"/>
        <v>149.9999999941524</v>
      </c>
    </row>
    <row r="10" spans="2:16" x14ac:dyDescent="0.25">
      <c r="B10" s="14">
        <f t="shared" si="5"/>
        <v>43586</v>
      </c>
      <c r="C10" s="210">
        <v>1</v>
      </c>
      <c r="D10" s="210">
        <v>2065.745911</v>
      </c>
      <c r="E10" s="211">
        <v>6664.6158500000001</v>
      </c>
      <c r="F10" s="211">
        <v>1198.5890750000001</v>
      </c>
      <c r="G10" s="211">
        <v>999.69237761904753</v>
      </c>
      <c r="H10" s="58"/>
      <c r="I10" s="58">
        <f t="shared" si="6"/>
        <v>66.636964870967745</v>
      </c>
      <c r="J10" s="58">
        <f t="shared" si="7"/>
        <v>214.98760806451614</v>
      </c>
      <c r="K10" s="58">
        <f t="shared" si="8"/>
        <v>38.664163709677425</v>
      </c>
      <c r="L10" s="58">
        <f t="shared" si="9"/>
        <v>32.248141213517663</v>
      </c>
      <c r="M10" s="58">
        <f t="shared" si="1"/>
        <v>3226.2515029129349</v>
      </c>
      <c r="N10" s="32">
        <f t="shared" si="2"/>
        <v>0.36717710655936953</v>
      </c>
      <c r="O10" s="61">
        <f t="shared" si="3"/>
        <v>309.95723646997601</v>
      </c>
      <c r="P10" s="61">
        <f t="shared" si="4"/>
        <v>150.00000001786262</v>
      </c>
    </row>
    <row r="11" spans="2:16" x14ac:dyDescent="0.25">
      <c r="B11" s="14">
        <f t="shared" si="5"/>
        <v>43617</v>
      </c>
      <c r="C11" s="210">
        <v>1</v>
      </c>
      <c r="D11" s="210">
        <v>2002.196068</v>
      </c>
      <c r="E11" s="211">
        <v>5692.9202150000001</v>
      </c>
      <c r="F11" s="211">
        <v>1205.00946</v>
      </c>
      <c r="G11" s="211">
        <v>853.93803214285708</v>
      </c>
      <c r="H11" s="58"/>
      <c r="I11" s="58">
        <f t="shared" si="6"/>
        <v>66.739868933333327</v>
      </c>
      <c r="J11" s="58">
        <f t="shared" si="7"/>
        <v>189.76400716666666</v>
      </c>
      <c r="K11" s="58">
        <f t="shared" si="8"/>
        <v>40.166981999999997</v>
      </c>
      <c r="L11" s="58">
        <f t="shared" si="9"/>
        <v>28.464601071428568</v>
      </c>
      <c r="M11" s="58">
        <f t="shared" si="1"/>
        <v>2843.3380256743167</v>
      </c>
      <c r="N11" s="32">
        <f t="shared" si="2"/>
        <v>0.37571943845813927</v>
      </c>
      <c r="O11" s="61">
        <f t="shared" si="3"/>
        <v>351.69930235883339</v>
      </c>
      <c r="P11" s="61">
        <f t="shared" si="4"/>
        <v>149.99999998117963</v>
      </c>
    </row>
    <row r="12" spans="2:16" x14ac:dyDescent="0.25">
      <c r="B12" s="14">
        <f t="shared" si="5"/>
        <v>43647</v>
      </c>
      <c r="C12" s="210">
        <v>1</v>
      </c>
      <c r="D12" s="210">
        <v>1933.731683</v>
      </c>
      <c r="E12" s="211">
        <v>5648.4859450000004</v>
      </c>
      <c r="F12" s="211">
        <v>1176.670922</v>
      </c>
      <c r="G12" s="211">
        <v>847.27289166666674</v>
      </c>
      <c r="H12" s="58"/>
      <c r="I12" s="58">
        <f t="shared" si="6"/>
        <v>62.378441387096771</v>
      </c>
      <c r="J12" s="58">
        <f t="shared" si="7"/>
        <v>182.20922403225808</v>
      </c>
      <c r="K12" s="58">
        <f t="shared" si="8"/>
        <v>37.95712651612903</v>
      </c>
      <c r="L12" s="58">
        <f t="shared" si="9"/>
        <v>27.331383602150542</v>
      </c>
      <c r="M12" s="58">
        <f t="shared" si="1"/>
        <v>2921.0288038705116</v>
      </c>
      <c r="N12" s="32">
        <f t="shared" si="2"/>
        <v>0.37830180572395705</v>
      </c>
      <c r="O12" s="61">
        <f t="shared" si="3"/>
        <v>342.34513493155191</v>
      </c>
      <c r="P12" s="61">
        <f t="shared" si="4"/>
        <v>149.9999999852468</v>
      </c>
    </row>
    <row r="13" spans="2:16" x14ac:dyDescent="0.25">
      <c r="B13" s="14">
        <f t="shared" si="5"/>
        <v>43678</v>
      </c>
      <c r="C13" s="210">
        <v>1</v>
      </c>
      <c r="D13" s="210">
        <v>1811.229155</v>
      </c>
      <c r="E13" s="211">
        <v>5485.967893</v>
      </c>
      <c r="F13" s="211">
        <v>1264.412822</v>
      </c>
      <c r="G13" s="211">
        <v>822.89518404761907</v>
      </c>
      <c r="H13" s="58"/>
      <c r="I13" s="58">
        <f t="shared" si="6"/>
        <v>58.42674693548387</v>
      </c>
      <c r="J13" s="58">
        <f t="shared" si="7"/>
        <v>176.96670622580646</v>
      </c>
      <c r="K13" s="58">
        <f t="shared" si="8"/>
        <v>40.787510387096773</v>
      </c>
      <c r="L13" s="58">
        <f t="shared" si="9"/>
        <v>26.545005937019969</v>
      </c>
      <c r="M13" s="58">
        <f t="shared" si="1"/>
        <v>3028.8646126613398</v>
      </c>
      <c r="N13" s="32">
        <f t="shared" si="2"/>
        <v>0.41110533392879367</v>
      </c>
      <c r="O13" s="61">
        <f t="shared" si="3"/>
        <v>330.15671807177307</v>
      </c>
      <c r="P13" s="61">
        <f t="shared" si="4"/>
        <v>150.00000001779432</v>
      </c>
    </row>
    <row r="14" spans="2:16" x14ac:dyDescent="0.25">
      <c r="B14" s="14">
        <f t="shared" si="5"/>
        <v>43709</v>
      </c>
      <c r="C14" s="210">
        <v>1</v>
      </c>
      <c r="D14" s="210">
        <v>1652.635505</v>
      </c>
      <c r="E14" s="211">
        <v>5519.6106380000001</v>
      </c>
      <c r="F14" s="211">
        <v>979.28758630000004</v>
      </c>
      <c r="G14" s="211">
        <v>827.94159571428565</v>
      </c>
      <c r="H14" s="58"/>
      <c r="I14" s="58">
        <f t="shared" si="6"/>
        <v>55.087850166666662</v>
      </c>
      <c r="J14" s="58">
        <f t="shared" si="7"/>
        <v>183.98702126666666</v>
      </c>
      <c r="K14" s="58">
        <f t="shared" si="8"/>
        <v>32.642919543333335</v>
      </c>
      <c r="L14" s="58">
        <f t="shared" si="9"/>
        <v>27.59805319047619</v>
      </c>
      <c r="M14" s="58">
        <f t="shared" si="1"/>
        <v>3339.8838529733753</v>
      </c>
      <c r="N14" s="32">
        <f t="shared" si="2"/>
        <v>0.37208062406424469</v>
      </c>
      <c r="O14" s="61">
        <f t="shared" si="3"/>
        <v>299.41160951143161</v>
      </c>
      <c r="P14" s="61">
        <f t="shared" si="4"/>
        <v>150.00000000258814</v>
      </c>
    </row>
    <row r="15" spans="2:16" x14ac:dyDescent="0.25">
      <c r="B15" s="14">
        <f t="shared" si="5"/>
        <v>43739</v>
      </c>
      <c r="C15" s="210">
        <v>1</v>
      </c>
      <c r="D15" s="210">
        <v>1558.607454</v>
      </c>
      <c r="E15" s="211">
        <v>6183.6104779999996</v>
      </c>
      <c r="F15" s="211">
        <v>1102.2609199999999</v>
      </c>
      <c r="G15" s="211">
        <v>927.54157166666675</v>
      </c>
      <c r="H15" s="58"/>
      <c r="I15" s="58">
        <f t="shared" si="6"/>
        <v>50.277659806451609</v>
      </c>
      <c r="J15" s="58">
        <f t="shared" si="7"/>
        <v>199.47130574193548</v>
      </c>
      <c r="K15" s="58">
        <f t="shared" si="8"/>
        <v>35.556803870967741</v>
      </c>
      <c r="L15" s="58">
        <f t="shared" si="9"/>
        <v>29.920695860215055</v>
      </c>
      <c r="M15" s="58">
        <f t="shared" si="1"/>
        <v>3967.3943956385056</v>
      </c>
      <c r="N15" s="32">
        <f t="shared" si="2"/>
        <v>0.414248570418012</v>
      </c>
      <c r="O15" s="61">
        <f t="shared" si="3"/>
        <v>252.05459812599793</v>
      </c>
      <c r="P15" s="61">
        <f t="shared" si="4"/>
        <v>149.99999999460942</v>
      </c>
    </row>
    <row r="16" spans="2:16" x14ac:dyDescent="0.25">
      <c r="B16" s="14">
        <f t="shared" si="5"/>
        <v>43770</v>
      </c>
      <c r="C16" s="210">
        <v>1</v>
      </c>
      <c r="D16" s="210">
        <v>1533.2089249999999</v>
      </c>
      <c r="E16" s="211">
        <v>5991.1190079999997</v>
      </c>
      <c r="F16" s="211">
        <v>1049.59086</v>
      </c>
      <c r="G16" s="211">
        <v>898.6678511904762</v>
      </c>
      <c r="H16" s="58"/>
      <c r="I16" s="58">
        <f t="shared" si="6"/>
        <v>51.106964166666664</v>
      </c>
      <c r="J16" s="58">
        <f t="shared" si="7"/>
        <v>199.70396693333333</v>
      </c>
      <c r="K16" s="58">
        <f t="shared" si="8"/>
        <v>34.986362</v>
      </c>
      <c r="L16" s="58">
        <f t="shared" si="9"/>
        <v>29.955595039682539</v>
      </c>
      <c r="M16" s="58">
        <f t="shared" si="1"/>
        <v>3907.5685709304103</v>
      </c>
      <c r="N16" s="32">
        <f t="shared" si="2"/>
        <v>0.40637716717170941</v>
      </c>
      <c r="O16" s="61">
        <f t="shared" si="3"/>
        <v>255.913615295021</v>
      </c>
      <c r="P16" s="61">
        <f t="shared" si="4"/>
        <v>149.99999999841035</v>
      </c>
    </row>
    <row r="17" spans="2:16" x14ac:dyDescent="0.25">
      <c r="B17" s="20">
        <f t="shared" si="5"/>
        <v>43800</v>
      </c>
      <c r="C17" s="212">
        <v>1</v>
      </c>
      <c r="D17" s="212">
        <v>1391.378289</v>
      </c>
      <c r="E17" s="213">
        <v>5813.7883309999997</v>
      </c>
      <c r="F17" s="213">
        <v>1046.2595799999999</v>
      </c>
      <c r="G17" s="213">
        <v>872.06824976190478</v>
      </c>
      <c r="H17" s="58"/>
      <c r="I17" s="59">
        <f t="shared" si="6"/>
        <v>44.883170612903228</v>
      </c>
      <c r="J17" s="59">
        <f t="shared" si="7"/>
        <v>187.54155906451612</v>
      </c>
      <c r="K17" s="59">
        <f t="shared" si="8"/>
        <v>33.750309032258059</v>
      </c>
      <c r="L17" s="59">
        <f t="shared" si="9"/>
        <v>28.13123386328725</v>
      </c>
      <c r="M17" s="59">
        <f t="shared" si="1"/>
        <v>4178.4382988888219</v>
      </c>
      <c r="N17" s="60">
        <f t="shared" si="2"/>
        <v>0.42921042264132953</v>
      </c>
      <c r="O17" s="62">
        <f t="shared" si="3"/>
        <v>239.32386419728431</v>
      </c>
      <c r="P17" s="62">
        <f t="shared" si="4"/>
        <v>150.00000001924818</v>
      </c>
    </row>
    <row r="18" spans="2:16" x14ac:dyDescent="0.25">
      <c r="B18" s="14">
        <f t="shared" si="5"/>
        <v>43831</v>
      </c>
      <c r="C18" s="210">
        <v>1</v>
      </c>
      <c r="D18" s="210">
        <v>1533.7556179999999</v>
      </c>
      <c r="E18" s="211">
        <v>5693.5383879999999</v>
      </c>
      <c r="F18" s="211">
        <v>938.42768139999998</v>
      </c>
      <c r="G18" s="211">
        <v>854.03075809523807</v>
      </c>
      <c r="H18" s="58"/>
      <c r="I18" s="58">
        <f t="shared" si="6"/>
        <v>49.475987677419354</v>
      </c>
      <c r="J18" s="58">
        <f t="shared" si="7"/>
        <v>183.6625286451613</v>
      </c>
      <c r="K18" s="58">
        <f t="shared" si="8"/>
        <v>30.27186069032258</v>
      </c>
      <c r="L18" s="58">
        <f t="shared" si="9"/>
        <v>27.549379293394775</v>
      </c>
      <c r="M18" s="58">
        <f t="shared" si="1"/>
        <v>3712.1548708159326</v>
      </c>
      <c r="N18" s="32">
        <f t="shared" si="2"/>
        <v>0.37959470142353796</v>
      </c>
      <c r="O18" s="61">
        <f t="shared" si="3"/>
        <v>269.38531252070305</v>
      </c>
      <c r="P18" s="61">
        <f t="shared" si="4"/>
        <v>149.99999998159984</v>
      </c>
    </row>
    <row r="19" spans="2:16" x14ac:dyDescent="0.25">
      <c r="B19" s="14">
        <f t="shared" si="5"/>
        <v>43862</v>
      </c>
      <c r="C19" s="210">
        <v>1</v>
      </c>
      <c r="D19" s="210">
        <v>1563.823584</v>
      </c>
      <c r="E19" s="211">
        <v>4749.1864349999996</v>
      </c>
      <c r="F19" s="211">
        <v>887.72221950000005</v>
      </c>
      <c r="G19" s="211">
        <v>712.37796523809527</v>
      </c>
      <c r="H19" s="58"/>
      <c r="I19" s="58">
        <f t="shared" si="6"/>
        <v>53.924951172413792</v>
      </c>
      <c r="J19" s="58">
        <f t="shared" si="7"/>
        <v>163.7650494827586</v>
      </c>
      <c r="K19" s="58">
        <f t="shared" si="8"/>
        <v>30.611111017241381</v>
      </c>
      <c r="L19" s="58">
        <f t="shared" si="9"/>
        <v>24.564757422003286</v>
      </c>
      <c r="M19" s="58">
        <f t="shared" si="1"/>
        <v>3036.9067736223624</v>
      </c>
      <c r="N19" s="32">
        <f t="shared" si="2"/>
        <v>0.36210713184825066</v>
      </c>
      <c r="O19" s="61">
        <f t="shared" si="3"/>
        <v>329.2824161366072</v>
      </c>
      <c r="P19" s="61">
        <f t="shared" si="4"/>
        <v>149.99999999749332</v>
      </c>
    </row>
    <row r="20" spans="2:16" x14ac:dyDescent="0.25">
      <c r="B20" s="14">
        <f t="shared" si="5"/>
        <v>43891</v>
      </c>
      <c r="C20" s="210">
        <v>1</v>
      </c>
      <c r="D20" s="210">
        <v>1475.1130519999999</v>
      </c>
      <c r="E20" s="211">
        <v>5500.9146339999998</v>
      </c>
      <c r="F20" s="211">
        <v>846.64879459999997</v>
      </c>
      <c r="G20" s="211">
        <v>825.13719500000002</v>
      </c>
      <c r="H20" s="58"/>
      <c r="I20" s="58">
        <f t="shared" si="6"/>
        <v>47.584291999999998</v>
      </c>
      <c r="J20" s="58">
        <f t="shared" si="7"/>
        <v>177.4488591612903</v>
      </c>
      <c r="K20" s="58">
        <f t="shared" si="8"/>
        <v>27.311251438709675</v>
      </c>
      <c r="L20" s="58">
        <f t="shared" si="9"/>
        <v>26.617328870967743</v>
      </c>
      <c r="M20" s="58">
        <f t="shared" si="1"/>
        <v>3729.1478280540628</v>
      </c>
      <c r="N20" s="32">
        <f t="shared" si="2"/>
        <v>0.36465789798373893</v>
      </c>
      <c r="O20" s="61">
        <f t="shared" si="3"/>
        <v>268.15777923231815</v>
      </c>
      <c r="P20" s="61">
        <f t="shared" si="4"/>
        <v>149.99999998182122</v>
      </c>
    </row>
    <row r="21" spans="2:16" x14ac:dyDescent="0.25">
      <c r="B21" s="14">
        <f t="shared" si="5"/>
        <v>43922</v>
      </c>
      <c r="C21" s="210">
        <v>1</v>
      </c>
      <c r="D21" s="210">
        <v>1336.2538050000001</v>
      </c>
      <c r="E21" s="211">
        <v>5200.4657100000004</v>
      </c>
      <c r="F21" s="211">
        <v>781.79397240000003</v>
      </c>
      <c r="G21" s="211">
        <v>780.06985642857137</v>
      </c>
      <c r="H21" s="58"/>
      <c r="I21" s="58">
        <f t="shared" si="6"/>
        <v>44.541793500000004</v>
      </c>
      <c r="J21" s="58">
        <f t="shared" si="7"/>
        <v>173.34885700000001</v>
      </c>
      <c r="K21" s="58">
        <f t="shared" si="8"/>
        <v>26.059799080000001</v>
      </c>
      <c r="L21" s="58">
        <f t="shared" si="9"/>
        <v>26.002328547619047</v>
      </c>
      <c r="M21" s="58">
        <f t="shared" si="1"/>
        <v>3891.8248094343126</v>
      </c>
      <c r="N21" s="32">
        <f t="shared" si="2"/>
        <v>0.36911064081835193</v>
      </c>
      <c r="O21" s="61">
        <f t="shared" si="3"/>
        <v>256.94887333465368</v>
      </c>
      <c r="P21" s="61">
        <f t="shared" si="4"/>
        <v>149.99999998626495</v>
      </c>
    </row>
    <row r="22" spans="2:16" x14ac:dyDescent="0.25">
      <c r="B22" s="14">
        <f t="shared" si="5"/>
        <v>43952</v>
      </c>
      <c r="C22" s="210">
        <v>1</v>
      </c>
      <c r="D22" s="210">
        <v>1255.2265460000001</v>
      </c>
      <c r="E22" s="211">
        <v>4863.4149719999996</v>
      </c>
      <c r="F22" s="211">
        <v>890.64302720000001</v>
      </c>
      <c r="G22" s="211">
        <v>729.51224571428565</v>
      </c>
      <c r="H22" s="58"/>
      <c r="I22" s="58">
        <f t="shared" si="6"/>
        <v>40.491178903225808</v>
      </c>
      <c r="J22" s="58">
        <f t="shared" si="7"/>
        <v>156.88435393548386</v>
      </c>
      <c r="K22" s="58">
        <f t="shared" si="8"/>
        <v>28.730420232258066</v>
      </c>
      <c r="L22" s="58">
        <f t="shared" si="9"/>
        <v>23.532653087557602</v>
      </c>
      <c r="M22" s="58">
        <f t="shared" si="1"/>
        <v>3874.5316433102266</v>
      </c>
      <c r="N22" s="32">
        <f t="shared" si="2"/>
        <v>0.4150499351513896</v>
      </c>
      <c r="O22" s="61">
        <f t="shared" si="3"/>
        <v>258.09571118785465</v>
      </c>
      <c r="P22" s="61">
        <f t="shared" si="4"/>
        <v>149.9999999823757</v>
      </c>
    </row>
    <row r="23" spans="2:16" x14ac:dyDescent="0.25">
      <c r="B23" s="14">
        <f t="shared" si="5"/>
        <v>43983</v>
      </c>
      <c r="C23" s="210">
        <v>1</v>
      </c>
      <c r="D23" s="210">
        <v>1137.1497770000001</v>
      </c>
      <c r="E23" s="211">
        <v>4280.4116979999999</v>
      </c>
      <c r="F23" s="211">
        <v>719.52899709999997</v>
      </c>
      <c r="G23" s="211">
        <v>642.06175476190481</v>
      </c>
      <c r="H23" s="58"/>
      <c r="I23" s="58">
        <f t="shared" si="6"/>
        <v>37.904992566666671</v>
      </c>
      <c r="J23" s="58">
        <f t="shared" si="7"/>
        <v>142.68038993333332</v>
      </c>
      <c r="K23" s="58">
        <f t="shared" si="8"/>
        <v>23.984299903333334</v>
      </c>
      <c r="L23" s="58">
        <f t="shared" si="9"/>
        <v>21.402058492063492</v>
      </c>
      <c r="M23" s="58">
        <f t="shared" si="1"/>
        <v>3764.1582354195011</v>
      </c>
      <c r="N23" s="32">
        <f t="shared" si="2"/>
        <v>0.38753553233718741</v>
      </c>
      <c r="O23" s="61">
        <f t="shared" si="3"/>
        <v>265.66364574961972</v>
      </c>
      <c r="P23" s="61">
        <f t="shared" si="4"/>
        <v>150.00000001446236</v>
      </c>
    </row>
    <row r="24" spans="2:16" x14ac:dyDescent="0.25">
      <c r="B24" s="14">
        <f t="shared" si="5"/>
        <v>44013</v>
      </c>
      <c r="C24" s="210">
        <v>1</v>
      </c>
      <c r="D24" s="210">
        <v>1265.8942770000001</v>
      </c>
      <c r="E24" s="211">
        <v>4467.1477089999998</v>
      </c>
      <c r="F24" s="211">
        <v>757.09225609999999</v>
      </c>
      <c r="G24" s="211">
        <v>670.07215642857136</v>
      </c>
      <c r="H24" s="58"/>
      <c r="I24" s="58">
        <f t="shared" si="6"/>
        <v>40.835299258064516</v>
      </c>
      <c r="J24" s="58">
        <f t="shared" si="7"/>
        <v>144.101539</v>
      </c>
      <c r="K24" s="58">
        <f t="shared" si="8"/>
        <v>24.422330841935484</v>
      </c>
      <c r="L24" s="58">
        <f t="shared" si="9"/>
        <v>21.615230852534559</v>
      </c>
      <c r="M24" s="58">
        <f t="shared" si="1"/>
        <v>3528.84738493845</v>
      </c>
      <c r="N24" s="32">
        <f t="shared" si="2"/>
        <v>0.37424483243585466</v>
      </c>
      <c r="O24" s="61">
        <f t="shared" si="3"/>
        <v>283.37864773300248</v>
      </c>
      <c r="P24" s="61">
        <f t="shared" si="4"/>
        <v>150.00000001758872</v>
      </c>
    </row>
    <row r="25" spans="2:16" x14ac:dyDescent="0.25">
      <c r="B25" s="14">
        <f t="shared" si="5"/>
        <v>44044</v>
      </c>
      <c r="C25" s="210">
        <v>1</v>
      </c>
      <c r="D25" s="210">
        <v>1189.9462779999999</v>
      </c>
      <c r="E25" s="211">
        <v>4234.5702849999998</v>
      </c>
      <c r="F25" s="211">
        <v>714.54481569999996</v>
      </c>
      <c r="G25" s="211">
        <v>635.18554285714288</v>
      </c>
      <c r="H25" s="58"/>
      <c r="I25" s="58">
        <f t="shared" si="6"/>
        <v>38.385363806451608</v>
      </c>
      <c r="J25" s="58">
        <f t="shared" si="7"/>
        <v>136.59904145161289</v>
      </c>
      <c r="K25" s="58">
        <f t="shared" si="8"/>
        <v>23.049832764516129</v>
      </c>
      <c r="L25" s="58">
        <f t="shared" si="9"/>
        <v>20.489856221198156</v>
      </c>
      <c r="M25" s="58">
        <f t="shared" si="1"/>
        <v>3558.6230767638067</v>
      </c>
      <c r="N25" s="32">
        <f t="shared" si="2"/>
        <v>0.37518937109430078</v>
      </c>
      <c r="O25" s="61">
        <f t="shared" si="3"/>
        <v>281.00756343922626</v>
      </c>
      <c r="P25" s="61">
        <f t="shared" si="4"/>
        <v>150.00000002530194</v>
      </c>
    </row>
    <row r="26" spans="2:16" x14ac:dyDescent="0.25">
      <c r="B26" s="14">
        <f t="shared" si="5"/>
        <v>44075</v>
      </c>
      <c r="C26" s="210">
        <v>1</v>
      </c>
      <c r="D26" s="210">
        <v>1062.2079189999999</v>
      </c>
      <c r="E26" s="211">
        <v>3828.7203909999998</v>
      </c>
      <c r="F26" s="211">
        <v>623.31991540000001</v>
      </c>
      <c r="G26" s="211">
        <v>574.30805857142855</v>
      </c>
      <c r="H26" s="58"/>
      <c r="I26" s="58">
        <f t="shared" si="6"/>
        <v>35.406930633333332</v>
      </c>
      <c r="J26" s="58">
        <f t="shared" si="7"/>
        <v>127.62401303333333</v>
      </c>
      <c r="K26" s="58">
        <f t="shared" si="8"/>
        <v>20.777330513333332</v>
      </c>
      <c r="L26" s="58">
        <f t="shared" si="9"/>
        <v>19.143601952380951</v>
      </c>
      <c r="M26" s="58">
        <f t="shared" si="1"/>
        <v>3604.4924185883419</v>
      </c>
      <c r="N26" s="32">
        <f t="shared" si="2"/>
        <v>0.36980695463975188</v>
      </c>
      <c r="O26" s="61">
        <f t="shared" si="3"/>
        <v>277.43157256844461</v>
      </c>
      <c r="P26" s="61">
        <f t="shared" si="4"/>
        <v>149.99999997947839</v>
      </c>
    </row>
    <row r="27" spans="2:16" x14ac:dyDescent="0.25">
      <c r="B27" s="14">
        <f t="shared" si="5"/>
        <v>44105</v>
      </c>
      <c r="C27" s="210">
        <v>1</v>
      </c>
      <c r="D27" s="210">
        <v>1162.9427499999999</v>
      </c>
      <c r="E27" s="211">
        <v>4549.4073820000003</v>
      </c>
      <c r="F27" s="211">
        <v>645.01279529999999</v>
      </c>
      <c r="G27" s="211">
        <v>682.41110738095244</v>
      </c>
      <c r="H27" s="58"/>
      <c r="I27" s="58">
        <f t="shared" si="6"/>
        <v>37.514282258064512</v>
      </c>
      <c r="J27" s="58">
        <f t="shared" si="7"/>
        <v>146.7550768387097</v>
      </c>
      <c r="K27" s="58">
        <f t="shared" si="8"/>
        <v>20.80686436451613</v>
      </c>
      <c r="L27" s="58">
        <f t="shared" si="9"/>
        <v>22.013261528417821</v>
      </c>
      <c r="M27" s="58">
        <f t="shared" si="1"/>
        <v>3911.9787986124006</v>
      </c>
      <c r="N27" s="32">
        <f t="shared" si="2"/>
        <v>0.35676363668165911</v>
      </c>
      <c r="O27" s="61">
        <f t="shared" si="3"/>
        <v>255.62510726149776</v>
      </c>
      <c r="P27" s="61">
        <f t="shared" si="4"/>
        <v>150.00000001779406</v>
      </c>
    </row>
    <row r="28" spans="2:16" x14ac:dyDescent="0.25">
      <c r="B28" s="14">
        <f t="shared" si="5"/>
        <v>44136</v>
      </c>
      <c r="C28" s="210">
        <v>1</v>
      </c>
      <c r="D28" s="210">
        <v>930.37198049999995</v>
      </c>
      <c r="E28" s="211">
        <v>4480.9794879999999</v>
      </c>
      <c r="F28" s="211">
        <v>669.05416539999999</v>
      </c>
      <c r="G28" s="211">
        <v>672.14692309523809</v>
      </c>
      <c r="H28" s="58"/>
      <c r="I28" s="58">
        <f t="shared" si="6"/>
        <v>31.012399349999999</v>
      </c>
      <c r="J28" s="58">
        <f t="shared" si="7"/>
        <v>149.36598293333333</v>
      </c>
      <c r="K28" s="58">
        <f t="shared" si="8"/>
        <v>22.301805513333331</v>
      </c>
      <c r="L28" s="58">
        <f t="shared" si="9"/>
        <v>22.404897436507937</v>
      </c>
      <c r="M28" s="58">
        <f t="shared" si="1"/>
        <v>4816.3310825330682</v>
      </c>
      <c r="N28" s="32">
        <f t="shared" si="2"/>
        <v>0.41830888354242951</v>
      </c>
      <c r="O28" s="61">
        <f t="shared" si="3"/>
        <v>207.6269224154056</v>
      </c>
      <c r="P28" s="61">
        <f t="shared" si="4"/>
        <v>149.99999997662076</v>
      </c>
    </row>
    <row r="29" spans="2:16" x14ac:dyDescent="0.25">
      <c r="B29" s="20">
        <f t="shared" si="5"/>
        <v>44166</v>
      </c>
      <c r="C29" s="212">
        <v>1</v>
      </c>
      <c r="D29" s="212">
        <v>1116.5041180000001</v>
      </c>
      <c r="E29" s="213">
        <v>4287.7760390000003</v>
      </c>
      <c r="F29" s="213">
        <v>706.94650479999996</v>
      </c>
      <c r="G29" s="213">
        <v>643.16640595238096</v>
      </c>
      <c r="H29" s="58"/>
      <c r="I29" s="59">
        <f t="shared" si="6"/>
        <v>36.016261870967746</v>
      </c>
      <c r="J29" s="59">
        <f t="shared" si="7"/>
        <v>138.3153560967742</v>
      </c>
      <c r="K29" s="59">
        <f t="shared" si="8"/>
        <v>22.80472596129032</v>
      </c>
      <c r="L29" s="59">
        <f t="shared" si="9"/>
        <v>20.747303417818742</v>
      </c>
      <c r="M29" s="59">
        <f t="shared" si="1"/>
        <v>3840.3584634158956</v>
      </c>
      <c r="N29" s="60">
        <f t="shared" si="2"/>
        <v>0.38769709251268236</v>
      </c>
      <c r="O29" s="62">
        <f t="shared" si="3"/>
        <v>260.39235907955504</v>
      </c>
      <c r="P29" s="62">
        <f t="shared" si="4"/>
        <v>150.00000002387739</v>
      </c>
    </row>
    <row r="30" spans="2:16" x14ac:dyDescent="0.25">
      <c r="B30" s="14">
        <f t="shared" si="5"/>
        <v>44197</v>
      </c>
      <c r="C30" s="210">
        <v>1</v>
      </c>
      <c r="D30" s="210">
        <v>964.4088203</v>
      </c>
      <c r="E30" s="211">
        <v>4070.030929</v>
      </c>
      <c r="F30" s="211">
        <v>622.61007589999997</v>
      </c>
      <c r="G30" s="211">
        <v>610.50463928571423</v>
      </c>
      <c r="H30" s="58"/>
      <c r="I30" s="58">
        <f t="shared" si="6"/>
        <v>31.109961945161292</v>
      </c>
      <c r="J30" s="58">
        <f t="shared" si="7"/>
        <v>131.29132029032257</v>
      </c>
      <c r="K30" s="58">
        <f t="shared" si="8"/>
        <v>20.084195996774191</v>
      </c>
      <c r="L30" s="58">
        <f t="shared" si="9"/>
        <v>19.693698041474654</v>
      </c>
      <c r="M30" s="58">
        <f t="shared" si="1"/>
        <v>4220.2340369864396</v>
      </c>
      <c r="N30" s="32">
        <f t="shared" si="2"/>
        <v>0.39231421717207898</v>
      </c>
      <c r="O30" s="61">
        <f t="shared" si="3"/>
        <v>236.95368342985881</v>
      </c>
      <c r="P30" s="61">
        <f t="shared" si="4"/>
        <v>149.99999998420512</v>
      </c>
    </row>
    <row r="31" spans="2:16" x14ac:dyDescent="0.25">
      <c r="B31" s="14">
        <f t="shared" si="5"/>
        <v>44228</v>
      </c>
      <c r="C31" s="210"/>
      <c r="D31" s="210"/>
      <c r="E31" s="211"/>
      <c r="F31" s="211"/>
      <c r="G31" s="211"/>
      <c r="H31" s="58"/>
      <c r="I31" s="58" t="str">
        <f t="shared" si="6"/>
        <v/>
      </c>
      <c r="J31" s="58" t="str">
        <f t="shared" si="7"/>
        <v/>
      </c>
      <c r="K31" s="58" t="str">
        <f t="shared" si="8"/>
        <v/>
      </c>
      <c r="L31" s="58" t="str">
        <f t="shared" si="9"/>
        <v/>
      </c>
      <c r="M31" s="58" t="str">
        <f t="shared" si="1"/>
        <v/>
      </c>
      <c r="N31" s="32" t="str">
        <f t="shared" si="2"/>
        <v/>
      </c>
      <c r="O31" s="61" t="str">
        <f t="shared" si="3"/>
        <v/>
      </c>
      <c r="P31" s="61" t="str">
        <f t="shared" si="4"/>
        <v/>
      </c>
    </row>
    <row r="32" spans="2:16" x14ac:dyDescent="0.25">
      <c r="B32" s="14">
        <f t="shared" si="5"/>
        <v>44256</v>
      </c>
      <c r="C32" s="210"/>
      <c r="D32" s="210"/>
      <c r="E32" s="211"/>
      <c r="F32" s="211"/>
      <c r="G32" s="211"/>
      <c r="H32" s="58"/>
      <c r="I32" s="58" t="str">
        <f t="shared" si="6"/>
        <v/>
      </c>
      <c r="J32" s="58" t="str">
        <f t="shared" si="7"/>
        <v/>
      </c>
      <c r="K32" s="58" t="str">
        <f t="shared" si="8"/>
        <v/>
      </c>
      <c r="L32" s="58" t="str">
        <f t="shared" si="9"/>
        <v/>
      </c>
      <c r="M32" s="58" t="str">
        <f t="shared" si="1"/>
        <v/>
      </c>
      <c r="N32" s="32" t="str">
        <f t="shared" si="2"/>
        <v/>
      </c>
      <c r="O32" s="61" t="str">
        <f t="shared" si="3"/>
        <v/>
      </c>
      <c r="P32" s="61" t="str">
        <f t="shared" si="4"/>
        <v/>
      </c>
    </row>
    <row r="33" spans="2:16" x14ac:dyDescent="0.25">
      <c r="B33" s="14">
        <f t="shared" si="5"/>
        <v>44287</v>
      </c>
      <c r="C33" s="210"/>
      <c r="D33" s="210"/>
      <c r="E33" s="211"/>
      <c r="F33" s="211"/>
      <c r="G33" s="211"/>
      <c r="H33" s="58"/>
      <c r="I33" s="58" t="str">
        <f t="shared" si="6"/>
        <v/>
      </c>
      <c r="J33" s="58" t="str">
        <f t="shared" si="7"/>
        <v/>
      </c>
      <c r="K33" s="58" t="str">
        <f t="shared" si="8"/>
        <v/>
      </c>
      <c r="L33" s="58" t="str">
        <f t="shared" si="9"/>
        <v/>
      </c>
      <c r="M33" s="58" t="str">
        <f t="shared" si="1"/>
        <v/>
      </c>
      <c r="N33" s="32" t="str">
        <f t="shared" si="2"/>
        <v/>
      </c>
      <c r="O33" s="61" t="str">
        <f t="shared" si="3"/>
        <v/>
      </c>
      <c r="P33" s="61" t="str">
        <f t="shared" si="4"/>
        <v/>
      </c>
    </row>
    <row r="34" spans="2:16" x14ac:dyDescent="0.25">
      <c r="B34" s="14">
        <f t="shared" si="5"/>
        <v>44317</v>
      </c>
      <c r="C34" s="210"/>
      <c r="D34" s="210"/>
      <c r="E34" s="211"/>
      <c r="F34" s="211"/>
      <c r="G34" s="211"/>
      <c r="H34" s="58"/>
      <c r="I34" s="58" t="str">
        <f t="shared" si="6"/>
        <v/>
      </c>
      <c r="J34" s="58" t="str">
        <f t="shared" si="7"/>
        <v/>
      </c>
      <c r="K34" s="58" t="str">
        <f t="shared" si="8"/>
        <v/>
      </c>
      <c r="L34" s="58" t="str">
        <f t="shared" si="9"/>
        <v/>
      </c>
      <c r="M34" s="58" t="str">
        <f t="shared" si="1"/>
        <v/>
      </c>
      <c r="N34" s="32" t="str">
        <f t="shared" si="2"/>
        <v/>
      </c>
      <c r="O34" s="61" t="str">
        <f t="shared" si="3"/>
        <v/>
      </c>
      <c r="P34" s="61" t="str">
        <f t="shared" si="4"/>
        <v/>
      </c>
    </row>
    <row r="35" spans="2:16" x14ac:dyDescent="0.25">
      <c r="B35" s="14">
        <f t="shared" si="5"/>
        <v>44348</v>
      </c>
      <c r="C35" s="210"/>
      <c r="D35" s="210"/>
      <c r="E35" s="211"/>
      <c r="F35" s="211"/>
      <c r="G35" s="211"/>
      <c r="H35" s="58"/>
      <c r="I35" s="58" t="str">
        <f t="shared" si="6"/>
        <v/>
      </c>
      <c r="J35" s="58" t="str">
        <f t="shared" si="7"/>
        <v/>
      </c>
      <c r="K35" s="58" t="str">
        <f t="shared" si="8"/>
        <v/>
      </c>
      <c r="L35" s="58" t="str">
        <f t="shared" si="9"/>
        <v/>
      </c>
      <c r="M35" s="58" t="str">
        <f t="shared" si="1"/>
        <v/>
      </c>
      <c r="N35" s="32" t="str">
        <f t="shared" si="2"/>
        <v/>
      </c>
      <c r="O35" s="61" t="str">
        <f t="shared" si="3"/>
        <v/>
      </c>
      <c r="P35" s="61" t="str">
        <f t="shared" si="4"/>
        <v/>
      </c>
    </row>
    <row r="36" spans="2:16" x14ac:dyDescent="0.25">
      <c r="B36" s="14">
        <f t="shared" si="5"/>
        <v>44378</v>
      </c>
      <c r="C36" s="210"/>
      <c r="D36" s="210"/>
      <c r="E36" s="211"/>
      <c r="F36" s="211"/>
      <c r="G36" s="211"/>
      <c r="H36" s="58"/>
      <c r="I36" s="58" t="str">
        <f t="shared" si="6"/>
        <v/>
      </c>
      <c r="J36" s="58" t="str">
        <f t="shared" si="7"/>
        <v/>
      </c>
      <c r="K36" s="58" t="str">
        <f t="shared" si="8"/>
        <v/>
      </c>
      <c r="L36" s="58" t="str">
        <f t="shared" si="9"/>
        <v/>
      </c>
      <c r="M36" s="58" t="str">
        <f t="shared" si="1"/>
        <v/>
      </c>
      <c r="N36" s="32" t="str">
        <f t="shared" si="2"/>
        <v/>
      </c>
      <c r="O36" s="61" t="str">
        <f t="shared" si="3"/>
        <v/>
      </c>
      <c r="P36" s="61" t="str">
        <f t="shared" si="4"/>
        <v/>
      </c>
    </row>
    <row r="37" spans="2:16" x14ac:dyDescent="0.25">
      <c r="B37" s="14">
        <f t="shared" si="5"/>
        <v>44409</v>
      </c>
      <c r="C37" s="210"/>
      <c r="D37" s="210"/>
      <c r="E37" s="211"/>
      <c r="F37" s="211"/>
      <c r="G37" s="211"/>
      <c r="H37" s="58"/>
      <c r="I37" s="58" t="str">
        <f t="shared" si="6"/>
        <v/>
      </c>
      <c r="J37" s="58" t="str">
        <f t="shared" si="7"/>
        <v/>
      </c>
      <c r="K37" s="58" t="str">
        <f t="shared" si="8"/>
        <v/>
      </c>
      <c r="L37" s="58" t="str">
        <f t="shared" si="9"/>
        <v/>
      </c>
      <c r="M37" s="58" t="str">
        <f t="shared" si="1"/>
        <v/>
      </c>
      <c r="N37" s="32" t="str">
        <f t="shared" si="2"/>
        <v/>
      </c>
      <c r="O37" s="61" t="str">
        <f t="shared" si="3"/>
        <v/>
      </c>
      <c r="P37" s="61" t="str">
        <f t="shared" si="4"/>
        <v/>
      </c>
    </row>
    <row r="38" spans="2:16" x14ac:dyDescent="0.25">
      <c r="B38" s="14">
        <f t="shared" si="5"/>
        <v>44440</v>
      </c>
      <c r="C38" s="210"/>
      <c r="D38" s="210"/>
      <c r="E38" s="211"/>
      <c r="F38" s="211"/>
      <c r="G38" s="211"/>
      <c r="H38" s="58"/>
      <c r="I38" s="58" t="str">
        <f t="shared" si="6"/>
        <v/>
      </c>
      <c r="J38" s="58" t="str">
        <f t="shared" si="7"/>
        <v/>
      </c>
      <c r="K38" s="58" t="str">
        <f t="shared" si="8"/>
        <v/>
      </c>
      <c r="L38" s="58" t="str">
        <f t="shared" si="9"/>
        <v/>
      </c>
      <c r="M38" s="58" t="str">
        <f t="shared" si="1"/>
        <v/>
      </c>
      <c r="N38" s="32" t="str">
        <f t="shared" si="2"/>
        <v/>
      </c>
      <c r="O38" s="61" t="str">
        <f t="shared" si="3"/>
        <v/>
      </c>
      <c r="P38" s="61" t="str">
        <f t="shared" si="4"/>
        <v/>
      </c>
    </row>
    <row r="39" spans="2:16" x14ac:dyDescent="0.25">
      <c r="B39" s="14">
        <f t="shared" si="5"/>
        <v>44470</v>
      </c>
      <c r="C39" s="210"/>
      <c r="D39" s="210"/>
      <c r="E39" s="211"/>
      <c r="F39" s="211"/>
      <c r="G39" s="211"/>
      <c r="H39" s="58"/>
      <c r="I39" s="58" t="str">
        <f t="shared" si="6"/>
        <v/>
      </c>
      <c r="J39" s="58" t="str">
        <f t="shared" si="7"/>
        <v/>
      </c>
      <c r="K39" s="58" t="str">
        <f t="shared" si="8"/>
        <v/>
      </c>
      <c r="L39" s="58" t="str">
        <f t="shared" si="9"/>
        <v/>
      </c>
      <c r="M39" s="58" t="str">
        <f t="shared" si="1"/>
        <v/>
      </c>
      <c r="N39" s="32" t="str">
        <f t="shared" si="2"/>
        <v/>
      </c>
      <c r="O39" s="61" t="str">
        <f t="shared" si="3"/>
        <v/>
      </c>
      <c r="P39" s="61" t="str">
        <f t="shared" si="4"/>
        <v/>
      </c>
    </row>
    <row r="40" spans="2:16" x14ac:dyDescent="0.25">
      <c r="B40" s="14">
        <f t="shared" si="5"/>
        <v>44501</v>
      </c>
      <c r="C40" s="210"/>
      <c r="D40" s="210"/>
      <c r="E40" s="211"/>
      <c r="F40" s="211"/>
      <c r="G40" s="211"/>
      <c r="H40" s="58"/>
      <c r="I40" s="58" t="str">
        <f t="shared" si="6"/>
        <v/>
      </c>
      <c r="J40" s="58" t="str">
        <f t="shared" si="7"/>
        <v/>
      </c>
      <c r="K40" s="58" t="str">
        <f t="shared" si="8"/>
        <v/>
      </c>
      <c r="L40" s="58" t="str">
        <f t="shared" si="9"/>
        <v/>
      </c>
      <c r="M40" s="58" t="str">
        <f t="shared" si="1"/>
        <v/>
      </c>
      <c r="N40" s="32" t="str">
        <f t="shared" si="2"/>
        <v/>
      </c>
      <c r="O40" s="61" t="str">
        <f t="shared" si="3"/>
        <v/>
      </c>
      <c r="P40" s="61" t="str">
        <f t="shared" si="4"/>
        <v/>
      </c>
    </row>
    <row r="41" spans="2:16" x14ac:dyDescent="0.25">
      <c r="B41" s="20">
        <f t="shared" si="5"/>
        <v>44531</v>
      </c>
      <c r="C41" s="212"/>
      <c r="D41" s="212"/>
      <c r="E41" s="213"/>
      <c r="F41" s="213"/>
      <c r="G41" s="213"/>
      <c r="H41" s="58"/>
      <c r="I41" s="59" t="str">
        <f t="shared" si="6"/>
        <v/>
      </c>
      <c r="J41" s="59" t="str">
        <f t="shared" si="7"/>
        <v/>
      </c>
      <c r="K41" s="59" t="str">
        <f t="shared" si="8"/>
        <v/>
      </c>
      <c r="L41" s="59" t="str">
        <f t="shared" si="9"/>
        <v/>
      </c>
      <c r="M41" s="59" t="str">
        <f t="shared" si="1"/>
        <v/>
      </c>
      <c r="N41" s="60" t="str">
        <f t="shared" si="2"/>
        <v/>
      </c>
      <c r="O41" s="62" t="str">
        <f t="shared" si="3"/>
        <v/>
      </c>
      <c r="P41" s="62" t="str">
        <f t="shared" si="4"/>
        <v/>
      </c>
    </row>
    <row r="42" spans="2:16" x14ac:dyDescent="0.25">
      <c r="B42" s="14">
        <f t="shared" si="5"/>
        <v>44562</v>
      </c>
      <c r="C42" s="210"/>
      <c r="D42" s="210"/>
      <c r="E42" s="211"/>
      <c r="F42" s="211"/>
      <c r="G42" s="211"/>
      <c r="H42" s="58"/>
      <c r="I42" s="58" t="str">
        <f t="shared" si="6"/>
        <v/>
      </c>
      <c r="J42" s="58" t="str">
        <f t="shared" si="7"/>
        <v/>
      </c>
      <c r="K42" s="58" t="str">
        <f t="shared" si="8"/>
        <v/>
      </c>
      <c r="L42" s="58" t="str">
        <f t="shared" si="9"/>
        <v/>
      </c>
      <c r="M42" s="58" t="str">
        <f t="shared" si="1"/>
        <v/>
      </c>
      <c r="N42" s="32" t="str">
        <f t="shared" si="2"/>
        <v/>
      </c>
      <c r="O42" s="61" t="str">
        <f t="shared" si="3"/>
        <v/>
      </c>
      <c r="P42" s="61" t="str">
        <f t="shared" si="4"/>
        <v/>
      </c>
    </row>
    <row r="43" spans="2:16" x14ac:dyDescent="0.25">
      <c r="B43" s="14">
        <f t="shared" si="5"/>
        <v>44593</v>
      </c>
      <c r="C43" s="210"/>
      <c r="D43" s="210"/>
      <c r="E43" s="211"/>
      <c r="F43" s="211"/>
      <c r="G43" s="211"/>
      <c r="H43" s="58"/>
      <c r="I43" s="58" t="str">
        <f t="shared" si="6"/>
        <v/>
      </c>
      <c r="J43" s="58" t="str">
        <f t="shared" si="7"/>
        <v/>
      </c>
      <c r="K43" s="58" t="str">
        <f t="shared" si="8"/>
        <v/>
      </c>
      <c r="L43" s="58" t="str">
        <f t="shared" si="9"/>
        <v/>
      </c>
      <c r="M43" s="58" t="str">
        <f t="shared" si="1"/>
        <v/>
      </c>
      <c r="N43" s="32" t="str">
        <f t="shared" si="2"/>
        <v/>
      </c>
      <c r="O43" s="61" t="str">
        <f t="shared" si="3"/>
        <v/>
      </c>
      <c r="P43" s="61" t="str">
        <f t="shared" si="4"/>
        <v/>
      </c>
    </row>
    <row r="44" spans="2:16" x14ac:dyDescent="0.25">
      <c r="B44" s="14">
        <f t="shared" si="5"/>
        <v>44621</v>
      </c>
      <c r="C44" s="210"/>
      <c r="D44" s="210"/>
      <c r="E44" s="211"/>
      <c r="F44" s="211"/>
      <c r="G44" s="211"/>
      <c r="H44" s="58"/>
      <c r="I44" s="58" t="str">
        <f t="shared" si="6"/>
        <v/>
      </c>
      <c r="J44" s="58" t="str">
        <f t="shared" si="7"/>
        <v/>
      </c>
      <c r="K44" s="58" t="str">
        <f t="shared" si="8"/>
        <v/>
      </c>
      <c r="L44" s="58" t="str">
        <f t="shared" si="9"/>
        <v/>
      </c>
      <c r="M44" s="58" t="str">
        <f t="shared" si="1"/>
        <v/>
      </c>
      <c r="N44" s="32" t="str">
        <f t="shared" si="2"/>
        <v/>
      </c>
      <c r="O44" s="61" t="str">
        <f t="shared" si="3"/>
        <v/>
      </c>
      <c r="P44" s="61" t="str">
        <f t="shared" si="4"/>
        <v/>
      </c>
    </row>
    <row r="45" spans="2:16" x14ac:dyDescent="0.25">
      <c r="B45" s="14">
        <f t="shared" si="5"/>
        <v>44652</v>
      </c>
      <c r="C45" s="210"/>
      <c r="D45" s="210"/>
      <c r="E45" s="211"/>
      <c r="F45" s="211"/>
      <c r="G45" s="211"/>
      <c r="H45" s="58"/>
      <c r="I45" s="58" t="str">
        <f t="shared" si="6"/>
        <v/>
      </c>
      <c r="J45" s="58" t="str">
        <f t="shared" si="7"/>
        <v/>
      </c>
      <c r="K45" s="58" t="str">
        <f t="shared" si="8"/>
        <v/>
      </c>
      <c r="L45" s="58" t="str">
        <f t="shared" si="9"/>
        <v/>
      </c>
      <c r="M45" s="58" t="str">
        <f t="shared" si="1"/>
        <v/>
      </c>
      <c r="N45" s="32" t="str">
        <f t="shared" si="2"/>
        <v/>
      </c>
      <c r="O45" s="61" t="str">
        <f t="shared" si="3"/>
        <v/>
      </c>
      <c r="P45" s="61" t="str">
        <f t="shared" si="4"/>
        <v/>
      </c>
    </row>
    <row r="46" spans="2:16" x14ac:dyDescent="0.25">
      <c r="B46" s="14">
        <f t="shared" si="5"/>
        <v>44682</v>
      </c>
      <c r="C46" s="210"/>
      <c r="D46" s="210"/>
      <c r="E46" s="211"/>
      <c r="F46" s="211"/>
      <c r="G46" s="211"/>
      <c r="H46" s="58"/>
      <c r="I46" s="58" t="str">
        <f t="shared" si="6"/>
        <v/>
      </c>
      <c r="J46" s="58" t="str">
        <f t="shared" si="7"/>
        <v/>
      </c>
      <c r="K46" s="58" t="str">
        <f t="shared" si="8"/>
        <v/>
      </c>
      <c r="L46" s="58" t="str">
        <f t="shared" si="9"/>
        <v/>
      </c>
      <c r="M46" s="58" t="str">
        <f t="shared" si="1"/>
        <v/>
      </c>
      <c r="N46" s="32" t="str">
        <f t="shared" si="2"/>
        <v/>
      </c>
      <c r="O46" s="61" t="str">
        <f t="shared" si="3"/>
        <v/>
      </c>
      <c r="P46" s="61" t="str">
        <f t="shared" si="4"/>
        <v/>
      </c>
    </row>
    <row r="47" spans="2:16" x14ac:dyDescent="0.25">
      <c r="B47" s="14">
        <f t="shared" si="5"/>
        <v>44713</v>
      </c>
      <c r="C47" s="210"/>
      <c r="D47" s="210"/>
      <c r="E47" s="211"/>
      <c r="F47" s="211"/>
      <c r="G47" s="211"/>
      <c r="H47" s="58"/>
      <c r="I47" s="58" t="str">
        <f t="shared" si="6"/>
        <v/>
      </c>
      <c r="J47" s="58" t="str">
        <f t="shared" si="7"/>
        <v/>
      </c>
      <c r="K47" s="58" t="str">
        <f t="shared" si="8"/>
        <v/>
      </c>
      <c r="L47" s="58" t="str">
        <f t="shared" si="9"/>
        <v/>
      </c>
      <c r="M47" s="58" t="str">
        <f t="shared" si="1"/>
        <v/>
      </c>
      <c r="N47" s="32" t="str">
        <f t="shared" si="2"/>
        <v/>
      </c>
      <c r="O47" s="61" t="str">
        <f t="shared" si="3"/>
        <v/>
      </c>
      <c r="P47" s="61" t="str">
        <f t="shared" si="4"/>
        <v/>
      </c>
    </row>
    <row r="48" spans="2:16" x14ac:dyDescent="0.25">
      <c r="B48" s="14">
        <f t="shared" si="5"/>
        <v>44743</v>
      </c>
      <c r="C48" s="210"/>
      <c r="D48" s="210"/>
      <c r="E48" s="211"/>
      <c r="F48" s="211"/>
      <c r="G48" s="211"/>
      <c r="H48" s="58"/>
      <c r="I48" s="58" t="str">
        <f t="shared" si="6"/>
        <v/>
      </c>
      <c r="J48" s="58" t="str">
        <f t="shared" si="7"/>
        <v/>
      </c>
      <c r="K48" s="58" t="str">
        <f t="shared" si="8"/>
        <v/>
      </c>
      <c r="L48" s="58" t="str">
        <f t="shared" si="9"/>
        <v/>
      </c>
      <c r="M48" s="58" t="str">
        <f t="shared" si="1"/>
        <v/>
      </c>
      <c r="N48" s="32" t="str">
        <f t="shared" si="2"/>
        <v/>
      </c>
      <c r="O48" s="61" t="str">
        <f t="shared" si="3"/>
        <v/>
      </c>
      <c r="P48" s="61" t="str">
        <f t="shared" si="4"/>
        <v/>
      </c>
    </row>
    <row r="49" spans="2:16" x14ac:dyDescent="0.25">
      <c r="B49" s="14">
        <f t="shared" si="5"/>
        <v>44774</v>
      </c>
      <c r="C49" s="210"/>
      <c r="D49" s="210"/>
      <c r="E49" s="211"/>
      <c r="F49" s="211"/>
      <c r="G49" s="211"/>
      <c r="H49" s="58"/>
      <c r="I49" s="58" t="str">
        <f t="shared" si="6"/>
        <v/>
      </c>
      <c r="J49" s="58" t="str">
        <f t="shared" si="7"/>
        <v/>
      </c>
      <c r="K49" s="58" t="str">
        <f t="shared" si="8"/>
        <v/>
      </c>
      <c r="L49" s="58" t="str">
        <f t="shared" si="9"/>
        <v/>
      </c>
      <c r="M49" s="58" t="str">
        <f t="shared" si="1"/>
        <v/>
      </c>
      <c r="N49" s="32" t="str">
        <f t="shared" si="2"/>
        <v/>
      </c>
      <c r="O49" s="61" t="str">
        <f t="shared" si="3"/>
        <v/>
      </c>
      <c r="P49" s="61" t="str">
        <f t="shared" si="4"/>
        <v/>
      </c>
    </row>
    <row r="50" spans="2:16" x14ac:dyDescent="0.25">
      <c r="B50" s="14">
        <f t="shared" si="5"/>
        <v>44805</v>
      </c>
      <c r="C50" s="210"/>
      <c r="D50" s="210"/>
      <c r="E50" s="211"/>
      <c r="F50" s="211"/>
      <c r="G50" s="211"/>
      <c r="H50" s="58"/>
      <c r="I50" s="58" t="str">
        <f t="shared" si="6"/>
        <v/>
      </c>
      <c r="J50" s="58" t="str">
        <f t="shared" si="7"/>
        <v/>
      </c>
      <c r="K50" s="58" t="str">
        <f t="shared" si="8"/>
        <v/>
      </c>
      <c r="L50" s="58" t="str">
        <f t="shared" si="9"/>
        <v/>
      </c>
      <c r="M50" s="58" t="str">
        <f t="shared" si="1"/>
        <v/>
      </c>
      <c r="N50" s="32" t="str">
        <f t="shared" si="2"/>
        <v/>
      </c>
      <c r="O50" s="61" t="str">
        <f t="shared" si="3"/>
        <v/>
      </c>
      <c r="P50" s="61" t="str">
        <f t="shared" si="4"/>
        <v/>
      </c>
    </row>
    <row r="51" spans="2:16" x14ac:dyDescent="0.25">
      <c r="B51" s="14">
        <f t="shared" si="5"/>
        <v>44835</v>
      </c>
      <c r="C51" s="210"/>
      <c r="D51" s="210"/>
      <c r="E51" s="211"/>
      <c r="F51" s="211"/>
      <c r="G51" s="211"/>
      <c r="H51" s="58"/>
      <c r="I51" s="58" t="str">
        <f t="shared" si="6"/>
        <v/>
      </c>
      <c r="J51" s="58" t="str">
        <f t="shared" si="7"/>
        <v/>
      </c>
      <c r="K51" s="58" t="str">
        <f t="shared" si="8"/>
        <v/>
      </c>
      <c r="L51" s="58" t="str">
        <f t="shared" si="9"/>
        <v/>
      </c>
      <c r="M51" s="58" t="str">
        <f t="shared" si="1"/>
        <v/>
      </c>
      <c r="N51" s="32" t="str">
        <f t="shared" si="2"/>
        <v/>
      </c>
      <c r="O51" s="61" t="str">
        <f t="shared" si="3"/>
        <v/>
      </c>
      <c r="P51" s="61" t="str">
        <f t="shared" si="4"/>
        <v/>
      </c>
    </row>
    <row r="52" spans="2:16" x14ac:dyDescent="0.25">
      <c r="B52" s="14">
        <f t="shared" si="5"/>
        <v>44866</v>
      </c>
      <c r="C52" s="210"/>
      <c r="D52" s="210"/>
      <c r="E52" s="211"/>
      <c r="F52" s="211"/>
      <c r="G52" s="211"/>
      <c r="H52" s="58"/>
      <c r="I52" s="58" t="str">
        <f t="shared" si="6"/>
        <v/>
      </c>
      <c r="J52" s="58" t="str">
        <f t="shared" si="7"/>
        <v/>
      </c>
      <c r="K52" s="58" t="str">
        <f t="shared" si="8"/>
        <v/>
      </c>
      <c r="L52" s="58" t="str">
        <f t="shared" si="9"/>
        <v/>
      </c>
      <c r="M52" s="58" t="str">
        <f t="shared" si="1"/>
        <v/>
      </c>
      <c r="N52" s="32" t="str">
        <f t="shared" si="2"/>
        <v/>
      </c>
      <c r="O52" s="61" t="str">
        <f t="shared" si="3"/>
        <v/>
      </c>
      <c r="P52" s="61" t="str">
        <f t="shared" si="4"/>
        <v/>
      </c>
    </row>
    <row r="53" spans="2:16" x14ac:dyDescent="0.25">
      <c r="B53" s="20">
        <f t="shared" si="5"/>
        <v>44896</v>
      </c>
      <c r="C53" s="212"/>
      <c r="D53" s="212"/>
      <c r="E53" s="213"/>
      <c r="F53" s="213"/>
      <c r="G53" s="213"/>
      <c r="H53" s="58"/>
      <c r="I53" s="59" t="str">
        <f t="shared" si="6"/>
        <v/>
      </c>
      <c r="J53" s="59" t="str">
        <f t="shared" si="7"/>
        <v/>
      </c>
      <c r="K53" s="59" t="str">
        <f t="shared" si="8"/>
        <v/>
      </c>
      <c r="L53" s="59" t="str">
        <f t="shared" si="9"/>
        <v/>
      </c>
      <c r="M53" s="59" t="str">
        <f t="shared" si="1"/>
        <v/>
      </c>
      <c r="N53" s="60" t="str">
        <f t="shared" si="2"/>
        <v/>
      </c>
      <c r="O53" s="62" t="str">
        <f t="shared" si="3"/>
        <v/>
      </c>
      <c r="P53" s="62" t="str">
        <f t="shared" si="4"/>
        <v/>
      </c>
    </row>
    <row r="54" spans="2:16" x14ac:dyDescent="0.25">
      <c r="B54" s="14">
        <f t="shared" si="5"/>
        <v>44927</v>
      </c>
      <c r="C54" s="210"/>
      <c r="D54" s="210"/>
      <c r="E54" s="211"/>
      <c r="F54" s="211"/>
      <c r="G54" s="211"/>
      <c r="H54" s="58"/>
      <c r="I54" s="58" t="str">
        <f t="shared" si="6"/>
        <v/>
      </c>
      <c r="J54" s="58" t="str">
        <f t="shared" si="7"/>
        <v/>
      </c>
      <c r="K54" s="58" t="str">
        <f t="shared" si="8"/>
        <v/>
      </c>
      <c r="L54" s="58" t="str">
        <f t="shared" si="9"/>
        <v/>
      </c>
      <c r="M54" s="58" t="str">
        <f t="shared" si="1"/>
        <v/>
      </c>
      <c r="N54" s="32" t="str">
        <f t="shared" si="2"/>
        <v/>
      </c>
      <c r="O54" s="61" t="str">
        <f t="shared" si="3"/>
        <v/>
      </c>
      <c r="P54" s="61" t="str">
        <f t="shared" si="4"/>
        <v/>
      </c>
    </row>
    <row r="55" spans="2:16" x14ac:dyDescent="0.25">
      <c r="B55" s="14">
        <f t="shared" si="5"/>
        <v>44958</v>
      </c>
      <c r="C55" s="210"/>
      <c r="D55" s="210"/>
      <c r="E55" s="211"/>
      <c r="F55" s="211"/>
      <c r="G55" s="211"/>
      <c r="H55" s="58"/>
      <c r="I55" s="58" t="str">
        <f t="shared" si="6"/>
        <v/>
      </c>
      <c r="J55" s="58" t="str">
        <f t="shared" si="7"/>
        <v/>
      </c>
      <c r="K55" s="58" t="str">
        <f t="shared" si="8"/>
        <v/>
      </c>
      <c r="L55" s="58" t="str">
        <f t="shared" si="9"/>
        <v/>
      </c>
      <c r="M55" s="58" t="str">
        <f t="shared" si="1"/>
        <v/>
      </c>
      <c r="N55" s="32" t="str">
        <f t="shared" si="2"/>
        <v/>
      </c>
      <c r="O55" s="61" t="str">
        <f t="shared" si="3"/>
        <v/>
      </c>
      <c r="P55" s="61" t="str">
        <f t="shared" si="4"/>
        <v/>
      </c>
    </row>
    <row r="56" spans="2:16" x14ac:dyDescent="0.25">
      <c r="B56" s="14">
        <f t="shared" si="5"/>
        <v>44986</v>
      </c>
      <c r="C56" s="210"/>
      <c r="D56" s="210"/>
      <c r="E56" s="211"/>
      <c r="F56" s="211"/>
      <c r="G56" s="211"/>
      <c r="H56" s="58"/>
      <c r="I56" s="58" t="str">
        <f t="shared" si="6"/>
        <v/>
      </c>
      <c r="J56" s="58" t="str">
        <f t="shared" si="7"/>
        <v/>
      </c>
      <c r="K56" s="58" t="str">
        <f t="shared" si="8"/>
        <v/>
      </c>
      <c r="L56" s="58" t="str">
        <f t="shared" si="9"/>
        <v/>
      </c>
      <c r="M56" s="58" t="str">
        <f t="shared" si="1"/>
        <v/>
      </c>
      <c r="N56" s="32" t="str">
        <f t="shared" si="2"/>
        <v/>
      </c>
      <c r="O56" s="61" t="str">
        <f t="shared" si="3"/>
        <v/>
      </c>
      <c r="P56" s="61" t="str">
        <f t="shared" si="4"/>
        <v/>
      </c>
    </row>
    <row r="57" spans="2:16" x14ac:dyDescent="0.25">
      <c r="B57" s="14">
        <f t="shared" si="5"/>
        <v>45017</v>
      </c>
      <c r="C57" s="210"/>
      <c r="D57" s="210"/>
      <c r="E57" s="211"/>
      <c r="F57" s="211"/>
      <c r="G57" s="211"/>
      <c r="H57" s="58"/>
      <c r="I57" s="58" t="str">
        <f t="shared" si="6"/>
        <v/>
      </c>
      <c r="J57" s="58" t="str">
        <f t="shared" si="7"/>
        <v/>
      </c>
      <c r="K57" s="58" t="str">
        <f t="shared" si="8"/>
        <v/>
      </c>
      <c r="L57" s="58" t="str">
        <f t="shared" si="9"/>
        <v/>
      </c>
      <c r="M57" s="58" t="str">
        <f t="shared" si="1"/>
        <v/>
      </c>
      <c r="N57" s="32" t="str">
        <f t="shared" si="2"/>
        <v/>
      </c>
      <c r="O57" s="61" t="str">
        <f t="shared" si="3"/>
        <v/>
      </c>
      <c r="P57" s="61" t="str">
        <f t="shared" si="4"/>
        <v/>
      </c>
    </row>
    <row r="58" spans="2:16" x14ac:dyDescent="0.25">
      <c r="B58" s="14">
        <f t="shared" si="5"/>
        <v>45047</v>
      </c>
      <c r="C58" s="210"/>
      <c r="D58" s="210"/>
      <c r="E58" s="211"/>
      <c r="F58" s="211"/>
      <c r="G58" s="211"/>
      <c r="H58" s="58"/>
      <c r="I58" s="58" t="str">
        <f t="shared" si="6"/>
        <v/>
      </c>
      <c r="J58" s="58" t="str">
        <f t="shared" si="7"/>
        <v/>
      </c>
      <c r="K58" s="58" t="str">
        <f t="shared" si="8"/>
        <v/>
      </c>
      <c r="L58" s="58" t="str">
        <f t="shared" si="9"/>
        <v/>
      </c>
      <c r="M58" s="58" t="str">
        <f t="shared" si="1"/>
        <v/>
      </c>
      <c r="N58" s="32" t="str">
        <f t="shared" si="2"/>
        <v/>
      </c>
      <c r="O58" s="61" t="str">
        <f t="shared" si="3"/>
        <v/>
      </c>
      <c r="P58" s="61" t="str">
        <f t="shared" si="4"/>
        <v/>
      </c>
    </row>
    <row r="59" spans="2:16" x14ac:dyDescent="0.25">
      <c r="B59" s="14">
        <f t="shared" si="5"/>
        <v>45078</v>
      </c>
      <c r="C59" s="210"/>
      <c r="D59" s="210"/>
      <c r="E59" s="211"/>
      <c r="F59" s="211"/>
      <c r="G59" s="211"/>
      <c r="H59" s="58"/>
      <c r="I59" s="58" t="str">
        <f t="shared" si="6"/>
        <v/>
      </c>
      <c r="J59" s="58" t="str">
        <f t="shared" si="7"/>
        <v/>
      </c>
      <c r="K59" s="58" t="str">
        <f t="shared" si="8"/>
        <v/>
      </c>
      <c r="L59" s="58" t="str">
        <f t="shared" si="9"/>
        <v/>
      </c>
      <c r="M59" s="58" t="str">
        <f t="shared" si="1"/>
        <v/>
      </c>
      <c r="N59" s="32" t="str">
        <f t="shared" si="2"/>
        <v/>
      </c>
      <c r="O59" s="61" t="str">
        <f t="shared" si="3"/>
        <v/>
      </c>
      <c r="P59" s="61" t="str">
        <f t="shared" si="4"/>
        <v/>
      </c>
    </row>
    <row r="60" spans="2:16" x14ac:dyDescent="0.25">
      <c r="B60" s="14">
        <f t="shared" si="5"/>
        <v>45108</v>
      </c>
      <c r="C60" s="210"/>
      <c r="D60" s="210"/>
      <c r="E60" s="211"/>
      <c r="F60" s="211"/>
      <c r="G60" s="211"/>
      <c r="H60" s="58"/>
      <c r="I60" s="58" t="str">
        <f t="shared" si="6"/>
        <v/>
      </c>
      <c r="J60" s="58" t="str">
        <f t="shared" si="7"/>
        <v/>
      </c>
      <c r="K60" s="58" t="str">
        <f t="shared" si="8"/>
        <v/>
      </c>
      <c r="L60" s="58" t="str">
        <f t="shared" si="9"/>
        <v/>
      </c>
      <c r="M60" s="58" t="str">
        <f t="shared" si="1"/>
        <v/>
      </c>
      <c r="N60" s="32" t="str">
        <f t="shared" si="2"/>
        <v/>
      </c>
      <c r="O60" s="61" t="str">
        <f t="shared" si="3"/>
        <v/>
      </c>
      <c r="P60" s="61" t="str">
        <f t="shared" si="4"/>
        <v/>
      </c>
    </row>
    <row r="61" spans="2:16" x14ac:dyDescent="0.25">
      <c r="B61" s="14">
        <f t="shared" si="5"/>
        <v>45139</v>
      </c>
      <c r="C61" s="210"/>
      <c r="D61" s="210"/>
      <c r="E61" s="211"/>
      <c r="F61" s="211"/>
      <c r="G61" s="211"/>
      <c r="H61" s="58"/>
      <c r="I61" s="58" t="str">
        <f t="shared" si="6"/>
        <v/>
      </c>
      <c r="J61" s="58" t="str">
        <f t="shared" si="7"/>
        <v/>
      </c>
      <c r="K61" s="58" t="str">
        <f t="shared" si="8"/>
        <v/>
      </c>
      <c r="L61" s="58" t="str">
        <f t="shared" si="9"/>
        <v/>
      </c>
      <c r="M61" s="58" t="str">
        <f t="shared" si="1"/>
        <v/>
      </c>
      <c r="N61" s="32" t="str">
        <f t="shared" si="2"/>
        <v/>
      </c>
      <c r="O61" s="61" t="str">
        <f t="shared" si="3"/>
        <v/>
      </c>
      <c r="P61" s="61" t="str">
        <f t="shared" si="4"/>
        <v/>
      </c>
    </row>
    <row r="62" spans="2:16" x14ac:dyDescent="0.25">
      <c r="B62" s="14">
        <f t="shared" si="5"/>
        <v>45170</v>
      </c>
      <c r="C62" s="210"/>
      <c r="D62" s="210"/>
      <c r="E62" s="211"/>
      <c r="F62" s="211"/>
      <c r="G62" s="211"/>
      <c r="H62" s="58"/>
      <c r="I62" s="58" t="str">
        <f t="shared" si="6"/>
        <v/>
      </c>
      <c r="J62" s="58" t="str">
        <f t="shared" si="7"/>
        <v/>
      </c>
      <c r="K62" s="58" t="str">
        <f t="shared" si="8"/>
        <v/>
      </c>
      <c r="L62" s="58" t="str">
        <f t="shared" si="9"/>
        <v/>
      </c>
      <c r="M62" s="58" t="str">
        <f t="shared" si="1"/>
        <v/>
      </c>
      <c r="N62" s="32" t="str">
        <f t="shared" si="2"/>
        <v/>
      </c>
      <c r="O62" s="61" t="str">
        <f t="shared" si="3"/>
        <v/>
      </c>
      <c r="P62" s="61" t="str">
        <f t="shared" si="4"/>
        <v/>
      </c>
    </row>
    <row r="63" spans="2:16" x14ac:dyDescent="0.25">
      <c r="B63" s="14">
        <f t="shared" si="5"/>
        <v>45200</v>
      </c>
      <c r="C63" s="210"/>
      <c r="D63" s="210"/>
      <c r="E63" s="211"/>
      <c r="F63" s="211"/>
      <c r="G63" s="211"/>
      <c r="H63" s="58"/>
      <c r="I63" s="58" t="str">
        <f t="shared" si="6"/>
        <v/>
      </c>
      <c r="J63" s="58" t="str">
        <f t="shared" si="7"/>
        <v/>
      </c>
      <c r="K63" s="58" t="str">
        <f t="shared" si="8"/>
        <v/>
      </c>
      <c r="L63" s="58" t="str">
        <f t="shared" si="9"/>
        <v/>
      </c>
      <c r="M63" s="58" t="str">
        <f t="shared" si="1"/>
        <v/>
      </c>
      <c r="N63" s="32" t="str">
        <f t="shared" si="2"/>
        <v/>
      </c>
      <c r="O63" s="61" t="str">
        <f t="shared" si="3"/>
        <v/>
      </c>
      <c r="P63" s="61" t="str">
        <f t="shared" si="4"/>
        <v/>
      </c>
    </row>
    <row r="64" spans="2:16" x14ac:dyDescent="0.25">
      <c r="B64" s="14">
        <f t="shared" si="5"/>
        <v>45231</v>
      </c>
      <c r="C64" s="210"/>
      <c r="D64" s="210"/>
      <c r="E64" s="211"/>
      <c r="F64" s="211"/>
      <c r="G64" s="211"/>
      <c r="H64" s="58"/>
      <c r="I64" s="58" t="str">
        <f t="shared" si="6"/>
        <v/>
      </c>
      <c r="J64" s="58" t="str">
        <f t="shared" si="7"/>
        <v/>
      </c>
      <c r="K64" s="58" t="str">
        <f t="shared" si="8"/>
        <v/>
      </c>
      <c r="L64" s="58" t="str">
        <f t="shared" si="9"/>
        <v/>
      </c>
      <c r="M64" s="58" t="str">
        <f t="shared" si="1"/>
        <v/>
      </c>
      <c r="N64" s="32" t="str">
        <f t="shared" si="2"/>
        <v/>
      </c>
      <c r="O64" s="61" t="str">
        <f t="shared" si="3"/>
        <v/>
      </c>
      <c r="P64" s="61" t="str">
        <f t="shared" si="4"/>
        <v/>
      </c>
    </row>
    <row r="65" spans="2:16" x14ac:dyDescent="0.25">
      <c r="B65" s="20">
        <f t="shared" si="5"/>
        <v>45261</v>
      </c>
      <c r="C65" s="212"/>
      <c r="D65" s="212"/>
      <c r="E65" s="213"/>
      <c r="F65" s="213"/>
      <c r="G65" s="213"/>
      <c r="H65" s="58"/>
      <c r="I65" s="59" t="str">
        <f t="shared" si="6"/>
        <v/>
      </c>
      <c r="J65" s="59" t="str">
        <f t="shared" si="7"/>
        <v/>
      </c>
      <c r="K65" s="59" t="str">
        <f t="shared" si="8"/>
        <v/>
      </c>
      <c r="L65" s="59" t="str">
        <f t="shared" si="9"/>
        <v/>
      </c>
      <c r="M65" s="59" t="str">
        <f t="shared" si="1"/>
        <v/>
      </c>
      <c r="N65" s="60" t="str">
        <f t="shared" si="2"/>
        <v/>
      </c>
      <c r="O65" s="62" t="str">
        <f t="shared" si="3"/>
        <v/>
      </c>
      <c r="P65" s="62" t="str">
        <f t="shared" si="4"/>
        <v/>
      </c>
    </row>
    <row r="66" spans="2:16" x14ac:dyDescent="0.25">
      <c r="B66" s="14">
        <f t="shared" si="5"/>
        <v>45292</v>
      </c>
      <c r="C66" s="210"/>
      <c r="D66" s="210"/>
      <c r="E66" s="211"/>
      <c r="F66" s="211"/>
      <c r="G66" s="211"/>
      <c r="H66" s="58"/>
      <c r="I66" s="58" t="str">
        <f t="shared" si="6"/>
        <v/>
      </c>
      <c r="J66" s="58" t="str">
        <f t="shared" si="7"/>
        <v/>
      </c>
      <c r="K66" s="58" t="str">
        <f t="shared" si="8"/>
        <v/>
      </c>
      <c r="L66" s="58" t="str">
        <f t="shared" si="9"/>
        <v/>
      </c>
      <c r="M66" s="58" t="str">
        <f t="shared" si="1"/>
        <v/>
      </c>
      <c r="N66" s="32" t="str">
        <f t="shared" si="2"/>
        <v/>
      </c>
      <c r="O66" s="61" t="str">
        <f t="shared" si="3"/>
        <v/>
      </c>
      <c r="P66" s="61" t="str">
        <f t="shared" si="4"/>
        <v/>
      </c>
    </row>
    <row r="67" spans="2:16" x14ac:dyDescent="0.25">
      <c r="B67" s="14">
        <f t="shared" si="5"/>
        <v>45323</v>
      </c>
      <c r="C67" s="210"/>
      <c r="D67" s="210"/>
      <c r="E67" s="211"/>
      <c r="F67" s="211"/>
      <c r="G67" s="211"/>
      <c r="H67" s="58"/>
      <c r="I67" s="58" t="str">
        <f t="shared" si="6"/>
        <v/>
      </c>
      <c r="J67" s="58" t="str">
        <f t="shared" si="7"/>
        <v/>
      </c>
      <c r="K67" s="58" t="str">
        <f t="shared" si="8"/>
        <v/>
      </c>
      <c r="L67" s="58" t="str">
        <f t="shared" si="9"/>
        <v/>
      </c>
      <c r="M67" s="58" t="str">
        <f t="shared" si="1"/>
        <v/>
      </c>
      <c r="N67" s="32" t="str">
        <f t="shared" si="2"/>
        <v/>
      </c>
      <c r="O67" s="61" t="str">
        <f t="shared" si="3"/>
        <v/>
      </c>
      <c r="P67" s="61" t="str">
        <f t="shared" si="4"/>
        <v/>
      </c>
    </row>
    <row r="68" spans="2:16" x14ac:dyDescent="0.25">
      <c r="B68" s="14">
        <f t="shared" si="5"/>
        <v>45352</v>
      </c>
      <c r="C68" s="210"/>
      <c r="D68" s="210"/>
      <c r="E68" s="211"/>
      <c r="F68" s="211"/>
      <c r="G68" s="211"/>
      <c r="H68" s="58"/>
      <c r="I68" s="58" t="str">
        <f t="shared" si="6"/>
        <v/>
      </c>
      <c r="J68" s="58" t="str">
        <f t="shared" si="7"/>
        <v/>
      </c>
      <c r="K68" s="58" t="str">
        <f t="shared" si="8"/>
        <v/>
      </c>
      <c r="L68" s="58" t="str">
        <f t="shared" si="9"/>
        <v/>
      </c>
      <c r="M68" s="58" t="str">
        <f t="shared" si="1"/>
        <v/>
      </c>
      <c r="N68" s="32" t="str">
        <f t="shared" si="2"/>
        <v/>
      </c>
      <c r="O68" s="61" t="str">
        <f t="shared" si="3"/>
        <v/>
      </c>
      <c r="P68" s="61" t="str">
        <f t="shared" si="4"/>
        <v/>
      </c>
    </row>
    <row r="69" spans="2:16" x14ac:dyDescent="0.25">
      <c r="B69" s="14">
        <f t="shared" si="5"/>
        <v>45383</v>
      </c>
      <c r="C69" s="210"/>
      <c r="D69" s="210"/>
      <c r="E69" s="211"/>
      <c r="F69" s="211"/>
      <c r="G69" s="211"/>
      <c r="H69" s="58"/>
      <c r="I69" s="58" t="str">
        <f t="shared" si="6"/>
        <v/>
      </c>
      <c r="J69" s="58" t="str">
        <f t="shared" si="7"/>
        <v/>
      </c>
      <c r="K69" s="58" t="str">
        <f t="shared" si="8"/>
        <v/>
      </c>
      <c r="L69" s="58" t="str">
        <f t="shared" si="9"/>
        <v/>
      </c>
      <c r="M69" s="58" t="str">
        <f t="shared" si="1"/>
        <v/>
      </c>
      <c r="N69" s="32" t="str">
        <f t="shared" si="2"/>
        <v/>
      </c>
      <c r="O69" s="61" t="str">
        <f t="shared" si="3"/>
        <v/>
      </c>
      <c r="P69" s="61" t="str">
        <f t="shared" si="4"/>
        <v/>
      </c>
    </row>
    <row r="70" spans="2:16" x14ac:dyDescent="0.25">
      <c r="B70" s="14">
        <f t="shared" si="5"/>
        <v>45413</v>
      </c>
      <c r="C70" s="210"/>
      <c r="D70" s="210"/>
      <c r="E70" s="211"/>
      <c r="F70" s="211"/>
      <c r="G70" s="211"/>
      <c r="H70" s="58"/>
      <c r="I70" s="58" t="str">
        <f t="shared" si="6"/>
        <v/>
      </c>
      <c r="J70" s="58" t="str">
        <f t="shared" si="7"/>
        <v/>
      </c>
      <c r="K70" s="58" t="str">
        <f t="shared" si="8"/>
        <v/>
      </c>
      <c r="L70" s="58" t="str">
        <f t="shared" si="9"/>
        <v/>
      </c>
      <c r="M70" s="58" t="str">
        <f t="shared" ref="M70:M133" si="10">IFERROR(J70*1000/I70,"")</f>
        <v/>
      </c>
      <c r="N70" s="32" t="str">
        <f t="shared" ref="N70:N133" si="11">IFERROR(K70 / (K70+I70),"")</f>
        <v/>
      </c>
      <c r="O70" s="61" t="str">
        <f t="shared" ref="O70:O133" si="12">IFERROR(I70/(J70/1000),"")</f>
        <v/>
      </c>
      <c r="P70" s="61" t="str">
        <f t="shared" ref="P70:P133" si="13">IFERROR(G70/(E70/1000),"")</f>
        <v/>
      </c>
    </row>
    <row r="71" spans="2:16" x14ac:dyDescent="0.25">
      <c r="B71" s="14">
        <f t="shared" ref="B71:B134" si="14">EOMONTH(B70,0)+1</f>
        <v>45444</v>
      </c>
      <c r="C71" s="210"/>
      <c r="D71" s="210"/>
      <c r="E71" s="211"/>
      <c r="F71" s="211"/>
      <c r="G71" s="211"/>
      <c r="H71" s="58"/>
      <c r="I71" s="58" t="str">
        <f t="shared" ref="I71:I134" si="15">IF(D71&gt;0,D71/($B72-$B71),"")</f>
        <v/>
      </c>
      <c r="J71" s="58" t="str">
        <f t="shared" ref="J71:J134" si="16">IF(E71&gt;0,E71/($B72-$B71),"")</f>
        <v/>
      </c>
      <c r="K71" s="58" t="str">
        <f t="shared" ref="K71:K134" si="17">IF(F71&gt;0,F71/($B72-$B71),"")</f>
        <v/>
      </c>
      <c r="L71" s="58" t="str">
        <f t="shared" ref="L71:L134" si="18">IF(G71&gt;0,G71/($B72-$B71),"")</f>
        <v/>
      </c>
      <c r="M71" s="58" t="str">
        <f t="shared" si="10"/>
        <v/>
      </c>
      <c r="N71" s="32" t="str">
        <f t="shared" si="11"/>
        <v/>
      </c>
      <c r="O71" s="61" t="str">
        <f t="shared" si="12"/>
        <v/>
      </c>
      <c r="P71" s="61" t="str">
        <f t="shared" si="13"/>
        <v/>
      </c>
    </row>
    <row r="72" spans="2:16" x14ac:dyDescent="0.25">
      <c r="B72" s="14">
        <f t="shared" si="14"/>
        <v>45474</v>
      </c>
      <c r="C72" s="210"/>
      <c r="D72" s="210"/>
      <c r="E72" s="211"/>
      <c r="F72" s="211"/>
      <c r="G72" s="211"/>
      <c r="H72" s="58"/>
      <c r="I72" s="58" t="str">
        <f t="shared" si="15"/>
        <v/>
      </c>
      <c r="J72" s="58" t="str">
        <f t="shared" si="16"/>
        <v/>
      </c>
      <c r="K72" s="58" t="str">
        <f t="shared" si="17"/>
        <v/>
      </c>
      <c r="L72" s="58" t="str">
        <f t="shared" si="18"/>
        <v/>
      </c>
      <c r="M72" s="58" t="str">
        <f t="shared" si="10"/>
        <v/>
      </c>
      <c r="N72" s="32" t="str">
        <f t="shared" si="11"/>
        <v/>
      </c>
      <c r="O72" s="61" t="str">
        <f t="shared" si="12"/>
        <v/>
      </c>
      <c r="P72" s="61" t="str">
        <f t="shared" si="13"/>
        <v/>
      </c>
    </row>
    <row r="73" spans="2:16" x14ac:dyDescent="0.25">
      <c r="B73" s="14">
        <f t="shared" si="14"/>
        <v>45505</v>
      </c>
      <c r="C73" s="210"/>
      <c r="D73" s="210"/>
      <c r="E73" s="211"/>
      <c r="F73" s="211"/>
      <c r="G73" s="211"/>
      <c r="H73" s="58"/>
      <c r="I73" s="58" t="str">
        <f t="shared" si="15"/>
        <v/>
      </c>
      <c r="J73" s="58" t="str">
        <f t="shared" si="16"/>
        <v/>
      </c>
      <c r="K73" s="58" t="str">
        <f t="shared" si="17"/>
        <v/>
      </c>
      <c r="L73" s="58" t="str">
        <f t="shared" si="18"/>
        <v/>
      </c>
      <c r="M73" s="58" t="str">
        <f t="shared" si="10"/>
        <v/>
      </c>
      <c r="N73" s="32" t="str">
        <f t="shared" si="11"/>
        <v/>
      </c>
      <c r="O73" s="61" t="str">
        <f t="shared" si="12"/>
        <v/>
      </c>
      <c r="P73" s="61" t="str">
        <f t="shared" si="13"/>
        <v/>
      </c>
    </row>
    <row r="74" spans="2:16" x14ac:dyDescent="0.25">
      <c r="B74" s="14">
        <f t="shared" si="14"/>
        <v>45536</v>
      </c>
      <c r="C74" s="210"/>
      <c r="D74" s="210"/>
      <c r="E74" s="211"/>
      <c r="F74" s="211"/>
      <c r="G74" s="211"/>
      <c r="H74" s="58"/>
      <c r="I74" s="58" t="str">
        <f t="shared" si="15"/>
        <v/>
      </c>
      <c r="J74" s="58" t="str">
        <f t="shared" si="16"/>
        <v/>
      </c>
      <c r="K74" s="58" t="str">
        <f t="shared" si="17"/>
        <v/>
      </c>
      <c r="L74" s="58" t="str">
        <f t="shared" si="18"/>
        <v/>
      </c>
      <c r="M74" s="58" t="str">
        <f t="shared" si="10"/>
        <v/>
      </c>
      <c r="N74" s="32" t="str">
        <f t="shared" si="11"/>
        <v/>
      </c>
      <c r="O74" s="61" t="str">
        <f t="shared" si="12"/>
        <v/>
      </c>
      <c r="P74" s="61" t="str">
        <f t="shared" si="13"/>
        <v/>
      </c>
    </row>
    <row r="75" spans="2:16" x14ac:dyDescent="0.25">
      <c r="B75" s="14">
        <f t="shared" si="14"/>
        <v>45566</v>
      </c>
      <c r="C75" s="210"/>
      <c r="D75" s="210"/>
      <c r="E75" s="211"/>
      <c r="F75" s="211"/>
      <c r="G75" s="211"/>
      <c r="H75" s="58"/>
      <c r="I75" s="58" t="str">
        <f t="shared" si="15"/>
        <v/>
      </c>
      <c r="J75" s="58" t="str">
        <f t="shared" si="16"/>
        <v/>
      </c>
      <c r="K75" s="58" t="str">
        <f t="shared" si="17"/>
        <v/>
      </c>
      <c r="L75" s="58" t="str">
        <f t="shared" si="18"/>
        <v/>
      </c>
      <c r="M75" s="58" t="str">
        <f t="shared" si="10"/>
        <v/>
      </c>
      <c r="N75" s="32" t="str">
        <f t="shared" si="11"/>
        <v/>
      </c>
      <c r="O75" s="61" t="str">
        <f t="shared" si="12"/>
        <v/>
      </c>
      <c r="P75" s="61" t="str">
        <f t="shared" si="13"/>
        <v/>
      </c>
    </row>
    <row r="76" spans="2:16" x14ac:dyDescent="0.25">
      <c r="B76" s="14">
        <f t="shared" si="14"/>
        <v>45597</v>
      </c>
      <c r="C76" s="210"/>
      <c r="D76" s="210"/>
      <c r="E76" s="211"/>
      <c r="F76" s="211"/>
      <c r="G76" s="211"/>
      <c r="H76" s="58"/>
      <c r="I76" s="58" t="str">
        <f t="shared" si="15"/>
        <v/>
      </c>
      <c r="J76" s="58" t="str">
        <f t="shared" si="16"/>
        <v/>
      </c>
      <c r="K76" s="58" t="str">
        <f t="shared" si="17"/>
        <v/>
      </c>
      <c r="L76" s="58" t="str">
        <f t="shared" si="18"/>
        <v/>
      </c>
      <c r="M76" s="58" t="str">
        <f t="shared" si="10"/>
        <v/>
      </c>
      <c r="N76" s="32" t="str">
        <f t="shared" si="11"/>
        <v/>
      </c>
      <c r="O76" s="61" t="str">
        <f t="shared" si="12"/>
        <v/>
      </c>
      <c r="P76" s="61" t="str">
        <f t="shared" si="13"/>
        <v/>
      </c>
    </row>
    <row r="77" spans="2:16" x14ac:dyDescent="0.25">
      <c r="B77" s="20">
        <f t="shared" si="14"/>
        <v>45627</v>
      </c>
      <c r="C77" s="212"/>
      <c r="D77" s="212"/>
      <c r="E77" s="213"/>
      <c r="F77" s="213"/>
      <c r="G77" s="213"/>
      <c r="H77" s="58"/>
      <c r="I77" s="59" t="str">
        <f t="shared" si="15"/>
        <v/>
      </c>
      <c r="J77" s="59" t="str">
        <f t="shared" si="16"/>
        <v/>
      </c>
      <c r="K77" s="59" t="str">
        <f t="shared" si="17"/>
        <v/>
      </c>
      <c r="L77" s="59" t="str">
        <f t="shared" si="18"/>
        <v/>
      </c>
      <c r="M77" s="59" t="str">
        <f t="shared" si="10"/>
        <v/>
      </c>
      <c r="N77" s="60" t="str">
        <f t="shared" si="11"/>
        <v/>
      </c>
      <c r="O77" s="62" t="str">
        <f t="shared" si="12"/>
        <v/>
      </c>
      <c r="P77" s="62" t="str">
        <f t="shared" si="13"/>
        <v/>
      </c>
    </row>
    <row r="78" spans="2:16" x14ac:dyDescent="0.25">
      <c r="B78" s="14">
        <f t="shared" si="14"/>
        <v>45658</v>
      </c>
      <c r="C78" s="210"/>
      <c r="D78" s="210"/>
      <c r="E78" s="211"/>
      <c r="F78" s="211"/>
      <c r="G78" s="211"/>
      <c r="H78" s="58"/>
      <c r="I78" s="58" t="str">
        <f t="shared" si="15"/>
        <v/>
      </c>
      <c r="J78" s="58" t="str">
        <f t="shared" si="16"/>
        <v/>
      </c>
      <c r="K78" s="58" t="str">
        <f t="shared" si="17"/>
        <v/>
      </c>
      <c r="L78" s="58" t="str">
        <f t="shared" si="18"/>
        <v/>
      </c>
      <c r="M78" s="58" t="str">
        <f t="shared" si="10"/>
        <v/>
      </c>
      <c r="N78" s="32" t="str">
        <f t="shared" si="11"/>
        <v/>
      </c>
      <c r="O78" s="61" t="str">
        <f t="shared" si="12"/>
        <v/>
      </c>
      <c r="P78" s="61" t="str">
        <f t="shared" si="13"/>
        <v/>
      </c>
    </row>
    <row r="79" spans="2:16" x14ac:dyDescent="0.25">
      <c r="B79" s="14">
        <f t="shared" si="14"/>
        <v>45689</v>
      </c>
      <c r="C79" s="210"/>
      <c r="D79" s="210"/>
      <c r="E79" s="211"/>
      <c r="F79" s="211"/>
      <c r="G79" s="211"/>
      <c r="H79" s="58"/>
      <c r="I79" s="58" t="str">
        <f t="shared" si="15"/>
        <v/>
      </c>
      <c r="J79" s="58" t="str">
        <f t="shared" si="16"/>
        <v/>
      </c>
      <c r="K79" s="58" t="str">
        <f t="shared" si="17"/>
        <v/>
      </c>
      <c r="L79" s="58" t="str">
        <f t="shared" si="18"/>
        <v/>
      </c>
      <c r="M79" s="58" t="str">
        <f t="shared" si="10"/>
        <v/>
      </c>
      <c r="N79" s="32" t="str">
        <f t="shared" si="11"/>
        <v/>
      </c>
      <c r="O79" s="61" t="str">
        <f t="shared" si="12"/>
        <v/>
      </c>
      <c r="P79" s="61" t="str">
        <f t="shared" si="13"/>
        <v/>
      </c>
    </row>
    <row r="80" spans="2:16" x14ac:dyDescent="0.25">
      <c r="B80" s="14">
        <f t="shared" si="14"/>
        <v>45717</v>
      </c>
      <c r="C80" s="210"/>
      <c r="D80" s="210"/>
      <c r="E80" s="211"/>
      <c r="F80" s="211"/>
      <c r="G80" s="211"/>
      <c r="H80" s="58"/>
      <c r="I80" s="58" t="str">
        <f t="shared" si="15"/>
        <v/>
      </c>
      <c r="J80" s="58" t="str">
        <f t="shared" si="16"/>
        <v/>
      </c>
      <c r="K80" s="58" t="str">
        <f t="shared" si="17"/>
        <v/>
      </c>
      <c r="L80" s="58" t="str">
        <f t="shared" si="18"/>
        <v/>
      </c>
      <c r="M80" s="58" t="str">
        <f t="shared" si="10"/>
        <v/>
      </c>
      <c r="N80" s="32" t="str">
        <f t="shared" si="11"/>
        <v/>
      </c>
      <c r="O80" s="61" t="str">
        <f t="shared" si="12"/>
        <v/>
      </c>
      <c r="P80" s="61" t="str">
        <f t="shared" si="13"/>
        <v/>
      </c>
    </row>
    <row r="81" spans="2:16" x14ac:dyDescent="0.25">
      <c r="B81" s="14">
        <f t="shared" si="14"/>
        <v>45748</v>
      </c>
      <c r="C81" s="210"/>
      <c r="D81" s="210"/>
      <c r="E81" s="211"/>
      <c r="F81" s="211"/>
      <c r="G81" s="211"/>
      <c r="H81" s="58"/>
      <c r="I81" s="58" t="str">
        <f t="shared" si="15"/>
        <v/>
      </c>
      <c r="J81" s="58" t="str">
        <f t="shared" si="16"/>
        <v/>
      </c>
      <c r="K81" s="58" t="str">
        <f t="shared" si="17"/>
        <v/>
      </c>
      <c r="L81" s="58" t="str">
        <f t="shared" si="18"/>
        <v/>
      </c>
      <c r="M81" s="58" t="str">
        <f t="shared" si="10"/>
        <v/>
      </c>
      <c r="N81" s="32" t="str">
        <f t="shared" si="11"/>
        <v/>
      </c>
      <c r="O81" s="61" t="str">
        <f t="shared" si="12"/>
        <v/>
      </c>
      <c r="P81" s="61" t="str">
        <f t="shared" si="13"/>
        <v/>
      </c>
    </row>
    <row r="82" spans="2:16" x14ac:dyDescent="0.25">
      <c r="B82" s="14">
        <f t="shared" si="14"/>
        <v>45778</v>
      </c>
      <c r="C82" s="210"/>
      <c r="D82" s="210"/>
      <c r="E82" s="211"/>
      <c r="F82" s="211"/>
      <c r="G82" s="211"/>
      <c r="H82" s="58"/>
      <c r="I82" s="58" t="str">
        <f t="shared" si="15"/>
        <v/>
      </c>
      <c r="J82" s="58" t="str">
        <f t="shared" si="16"/>
        <v/>
      </c>
      <c r="K82" s="58" t="str">
        <f t="shared" si="17"/>
        <v/>
      </c>
      <c r="L82" s="58" t="str">
        <f t="shared" si="18"/>
        <v/>
      </c>
      <c r="M82" s="58" t="str">
        <f t="shared" si="10"/>
        <v/>
      </c>
      <c r="N82" s="32" t="str">
        <f t="shared" si="11"/>
        <v/>
      </c>
      <c r="O82" s="61" t="str">
        <f t="shared" si="12"/>
        <v/>
      </c>
      <c r="P82" s="61" t="str">
        <f t="shared" si="13"/>
        <v/>
      </c>
    </row>
    <row r="83" spans="2:16" x14ac:dyDescent="0.25">
      <c r="B83" s="14">
        <f t="shared" si="14"/>
        <v>45809</v>
      </c>
      <c r="C83" s="210"/>
      <c r="D83" s="210"/>
      <c r="E83" s="211"/>
      <c r="F83" s="211"/>
      <c r="G83" s="211"/>
      <c r="H83" s="58"/>
      <c r="I83" s="58" t="str">
        <f t="shared" si="15"/>
        <v/>
      </c>
      <c r="J83" s="58" t="str">
        <f t="shared" si="16"/>
        <v/>
      </c>
      <c r="K83" s="58" t="str">
        <f t="shared" si="17"/>
        <v/>
      </c>
      <c r="L83" s="58" t="str">
        <f t="shared" si="18"/>
        <v/>
      </c>
      <c r="M83" s="58" t="str">
        <f t="shared" si="10"/>
        <v/>
      </c>
      <c r="N83" s="32" t="str">
        <f t="shared" si="11"/>
        <v/>
      </c>
      <c r="O83" s="61" t="str">
        <f t="shared" si="12"/>
        <v/>
      </c>
      <c r="P83" s="61" t="str">
        <f t="shared" si="13"/>
        <v/>
      </c>
    </row>
    <row r="84" spans="2:16" x14ac:dyDescent="0.25">
      <c r="B84" s="14">
        <f t="shared" si="14"/>
        <v>45839</v>
      </c>
      <c r="C84" s="210"/>
      <c r="D84" s="210"/>
      <c r="E84" s="211"/>
      <c r="F84" s="211"/>
      <c r="G84" s="211"/>
      <c r="H84" s="58"/>
      <c r="I84" s="58" t="str">
        <f t="shared" si="15"/>
        <v/>
      </c>
      <c r="J84" s="58" t="str">
        <f t="shared" si="16"/>
        <v/>
      </c>
      <c r="K84" s="58" t="str">
        <f t="shared" si="17"/>
        <v/>
      </c>
      <c r="L84" s="58" t="str">
        <f t="shared" si="18"/>
        <v/>
      </c>
      <c r="M84" s="58" t="str">
        <f t="shared" si="10"/>
        <v/>
      </c>
      <c r="N84" s="32" t="str">
        <f t="shared" si="11"/>
        <v/>
      </c>
      <c r="O84" s="61" t="str">
        <f t="shared" si="12"/>
        <v/>
      </c>
      <c r="P84" s="61" t="str">
        <f t="shared" si="13"/>
        <v/>
      </c>
    </row>
    <row r="85" spans="2:16" x14ac:dyDescent="0.25">
      <c r="B85" s="14">
        <f t="shared" si="14"/>
        <v>45870</v>
      </c>
      <c r="C85" s="210"/>
      <c r="D85" s="210"/>
      <c r="E85" s="211"/>
      <c r="F85" s="211"/>
      <c r="G85" s="211"/>
      <c r="H85" s="58"/>
      <c r="I85" s="58" t="str">
        <f t="shared" si="15"/>
        <v/>
      </c>
      <c r="J85" s="58" t="str">
        <f t="shared" si="16"/>
        <v/>
      </c>
      <c r="K85" s="58" t="str">
        <f t="shared" si="17"/>
        <v/>
      </c>
      <c r="L85" s="58" t="str">
        <f t="shared" si="18"/>
        <v/>
      </c>
      <c r="M85" s="58" t="str">
        <f t="shared" si="10"/>
        <v/>
      </c>
      <c r="N85" s="32" t="str">
        <f t="shared" si="11"/>
        <v/>
      </c>
      <c r="O85" s="61" t="str">
        <f t="shared" si="12"/>
        <v/>
      </c>
      <c r="P85" s="61" t="str">
        <f t="shared" si="13"/>
        <v/>
      </c>
    </row>
    <row r="86" spans="2:16" x14ac:dyDescent="0.25">
      <c r="B86" s="14">
        <f t="shared" si="14"/>
        <v>45901</v>
      </c>
      <c r="C86" s="210"/>
      <c r="D86" s="210"/>
      <c r="E86" s="211"/>
      <c r="F86" s="211"/>
      <c r="G86" s="211"/>
      <c r="H86" s="58"/>
      <c r="I86" s="58" t="str">
        <f t="shared" si="15"/>
        <v/>
      </c>
      <c r="J86" s="58" t="str">
        <f t="shared" si="16"/>
        <v/>
      </c>
      <c r="K86" s="58" t="str">
        <f t="shared" si="17"/>
        <v/>
      </c>
      <c r="L86" s="58" t="str">
        <f t="shared" si="18"/>
        <v/>
      </c>
      <c r="M86" s="58" t="str">
        <f t="shared" si="10"/>
        <v/>
      </c>
      <c r="N86" s="32" t="str">
        <f t="shared" si="11"/>
        <v/>
      </c>
      <c r="O86" s="61" t="str">
        <f t="shared" si="12"/>
        <v/>
      </c>
      <c r="P86" s="61" t="str">
        <f t="shared" si="13"/>
        <v/>
      </c>
    </row>
    <row r="87" spans="2:16" x14ac:dyDescent="0.25">
      <c r="B87" s="14">
        <f t="shared" si="14"/>
        <v>45931</v>
      </c>
      <c r="C87" s="210"/>
      <c r="D87" s="210"/>
      <c r="E87" s="211"/>
      <c r="F87" s="211"/>
      <c r="G87" s="211"/>
      <c r="H87" s="58"/>
      <c r="I87" s="58" t="str">
        <f t="shared" si="15"/>
        <v/>
      </c>
      <c r="J87" s="58" t="str">
        <f t="shared" si="16"/>
        <v/>
      </c>
      <c r="K87" s="58" t="str">
        <f t="shared" si="17"/>
        <v/>
      </c>
      <c r="L87" s="58" t="str">
        <f t="shared" si="18"/>
        <v/>
      </c>
      <c r="M87" s="58" t="str">
        <f t="shared" si="10"/>
        <v/>
      </c>
      <c r="N87" s="32" t="str">
        <f t="shared" si="11"/>
        <v/>
      </c>
      <c r="O87" s="61" t="str">
        <f t="shared" si="12"/>
        <v/>
      </c>
      <c r="P87" s="61" t="str">
        <f t="shared" si="13"/>
        <v/>
      </c>
    </row>
    <row r="88" spans="2:16" x14ac:dyDescent="0.25">
      <c r="B88" s="14">
        <f t="shared" si="14"/>
        <v>45962</v>
      </c>
      <c r="C88" s="210"/>
      <c r="D88" s="210"/>
      <c r="E88" s="211"/>
      <c r="F88" s="211"/>
      <c r="G88" s="211"/>
      <c r="H88" s="58"/>
      <c r="I88" s="58" t="str">
        <f t="shared" si="15"/>
        <v/>
      </c>
      <c r="J88" s="58" t="str">
        <f t="shared" si="16"/>
        <v/>
      </c>
      <c r="K88" s="58" t="str">
        <f t="shared" si="17"/>
        <v/>
      </c>
      <c r="L88" s="58" t="str">
        <f t="shared" si="18"/>
        <v/>
      </c>
      <c r="M88" s="58" t="str">
        <f t="shared" si="10"/>
        <v/>
      </c>
      <c r="N88" s="32" t="str">
        <f t="shared" si="11"/>
        <v/>
      </c>
      <c r="O88" s="61" t="str">
        <f t="shared" si="12"/>
        <v/>
      </c>
      <c r="P88" s="61" t="str">
        <f t="shared" si="13"/>
        <v/>
      </c>
    </row>
    <row r="89" spans="2:16" x14ac:dyDescent="0.25">
      <c r="B89" s="20">
        <f t="shared" si="14"/>
        <v>45992</v>
      </c>
      <c r="C89" s="212"/>
      <c r="D89" s="212"/>
      <c r="E89" s="213"/>
      <c r="F89" s="213"/>
      <c r="G89" s="213"/>
      <c r="H89" s="58"/>
      <c r="I89" s="59" t="str">
        <f t="shared" si="15"/>
        <v/>
      </c>
      <c r="J89" s="59" t="str">
        <f t="shared" si="16"/>
        <v/>
      </c>
      <c r="K89" s="59" t="str">
        <f t="shared" si="17"/>
        <v/>
      </c>
      <c r="L89" s="59" t="str">
        <f t="shared" si="18"/>
        <v/>
      </c>
      <c r="M89" s="59" t="str">
        <f t="shared" si="10"/>
        <v/>
      </c>
      <c r="N89" s="60" t="str">
        <f t="shared" si="11"/>
        <v/>
      </c>
      <c r="O89" s="62" t="str">
        <f t="shared" si="12"/>
        <v/>
      </c>
      <c r="P89" s="62" t="str">
        <f t="shared" si="13"/>
        <v/>
      </c>
    </row>
    <row r="90" spans="2:16" x14ac:dyDescent="0.25">
      <c r="B90" s="14">
        <f t="shared" si="14"/>
        <v>46023</v>
      </c>
      <c r="C90" s="210"/>
      <c r="D90" s="210"/>
      <c r="E90" s="211"/>
      <c r="F90" s="211"/>
      <c r="G90" s="211"/>
      <c r="H90" s="58"/>
      <c r="I90" s="58" t="str">
        <f t="shared" si="15"/>
        <v/>
      </c>
      <c r="J90" s="58" t="str">
        <f t="shared" si="16"/>
        <v/>
      </c>
      <c r="K90" s="58" t="str">
        <f t="shared" si="17"/>
        <v/>
      </c>
      <c r="L90" s="58" t="str">
        <f t="shared" si="18"/>
        <v/>
      </c>
      <c r="M90" s="58" t="str">
        <f t="shared" si="10"/>
        <v/>
      </c>
      <c r="N90" s="32" t="str">
        <f t="shared" si="11"/>
        <v/>
      </c>
      <c r="O90" s="61" t="str">
        <f t="shared" si="12"/>
        <v/>
      </c>
      <c r="P90" s="61" t="str">
        <f t="shared" si="13"/>
        <v/>
      </c>
    </row>
    <row r="91" spans="2:16" x14ac:dyDescent="0.25">
      <c r="B91" s="14">
        <f t="shared" si="14"/>
        <v>46054</v>
      </c>
      <c r="C91" s="210"/>
      <c r="D91" s="210"/>
      <c r="E91" s="211"/>
      <c r="F91" s="211"/>
      <c r="G91" s="211"/>
      <c r="H91" s="58"/>
      <c r="I91" s="58" t="str">
        <f t="shared" si="15"/>
        <v/>
      </c>
      <c r="J91" s="58" t="str">
        <f t="shared" si="16"/>
        <v/>
      </c>
      <c r="K91" s="58" t="str">
        <f t="shared" si="17"/>
        <v/>
      </c>
      <c r="L91" s="58" t="str">
        <f t="shared" si="18"/>
        <v/>
      </c>
      <c r="M91" s="58" t="str">
        <f t="shared" si="10"/>
        <v/>
      </c>
      <c r="N91" s="32" t="str">
        <f t="shared" si="11"/>
        <v/>
      </c>
      <c r="O91" s="61" t="str">
        <f t="shared" si="12"/>
        <v/>
      </c>
      <c r="P91" s="61" t="str">
        <f t="shared" si="13"/>
        <v/>
      </c>
    </row>
    <row r="92" spans="2:16" x14ac:dyDescent="0.25">
      <c r="B92" s="14">
        <f t="shared" si="14"/>
        <v>46082</v>
      </c>
      <c r="C92" s="210"/>
      <c r="D92" s="210"/>
      <c r="E92" s="211"/>
      <c r="F92" s="211"/>
      <c r="G92" s="211"/>
      <c r="H92" s="58"/>
      <c r="I92" s="58" t="str">
        <f t="shared" si="15"/>
        <v/>
      </c>
      <c r="J92" s="58" t="str">
        <f t="shared" si="16"/>
        <v/>
      </c>
      <c r="K92" s="58" t="str">
        <f t="shared" si="17"/>
        <v/>
      </c>
      <c r="L92" s="58" t="str">
        <f t="shared" si="18"/>
        <v/>
      </c>
      <c r="M92" s="58" t="str">
        <f t="shared" si="10"/>
        <v/>
      </c>
      <c r="N92" s="32" t="str">
        <f t="shared" si="11"/>
        <v/>
      </c>
      <c r="O92" s="61" t="str">
        <f t="shared" si="12"/>
        <v/>
      </c>
      <c r="P92" s="61" t="str">
        <f t="shared" si="13"/>
        <v/>
      </c>
    </row>
    <row r="93" spans="2:16" x14ac:dyDescent="0.25">
      <c r="B93" s="14">
        <f t="shared" si="14"/>
        <v>46113</v>
      </c>
      <c r="C93" s="210"/>
      <c r="D93" s="210"/>
      <c r="E93" s="211"/>
      <c r="F93" s="211"/>
      <c r="G93" s="211"/>
      <c r="H93" s="58"/>
      <c r="I93" s="58" t="str">
        <f t="shared" si="15"/>
        <v/>
      </c>
      <c r="J93" s="58" t="str">
        <f t="shared" si="16"/>
        <v/>
      </c>
      <c r="K93" s="58" t="str">
        <f t="shared" si="17"/>
        <v/>
      </c>
      <c r="L93" s="58" t="str">
        <f t="shared" si="18"/>
        <v/>
      </c>
      <c r="M93" s="58" t="str">
        <f t="shared" si="10"/>
        <v/>
      </c>
      <c r="N93" s="32" t="str">
        <f t="shared" si="11"/>
        <v/>
      </c>
      <c r="O93" s="61" t="str">
        <f t="shared" si="12"/>
        <v/>
      </c>
      <c r="P93" s="61" t="str">
        <f t="shared" si="13"/>
        <v/>
      </c>
    </row>
    <row r="94" spans="2:16" x14ac:dyDescent="0.25">
      <c r="B94" s="14">
        <f t="shared" si="14"/>
        <v>46143</v>
      </c>
      <c r="C94" s="210"/>
      <c r="D94" s="210"/>
      <c r="E94" s="211"/>
      <c r="F94" s="211"/>
      <c r="G94" s="211"/>
      <c r="H94" s="58"/>
      <c r="I94" s="58" t="str">
        <f t="shared" si="15"/>
        <v/>
      </c>
      <c r="J94" s="58" t="str">
        <f t="shared" si="16"/>
        <v/>
      </c>
      <c r="K94" s="58" t="str">
        <f t="shared" si="17"/>
        <v/>
      </c>
      <c r="L94" s="58" t="str">
        <f t="shared" si="18"/>
        <v/>
      </c>
      <c r="M94" s="58" t="str">
        <f t="shared" si="10"/>
        <v/>
      </c>
      <c r="N94" s="32" t="str">
        <f t="shared" si="11"/>
        <v/>
      </c>
      <c r="O94" s="61" t="str">
        <f t="shared" si="12"/>
        <v/>
      </c>
      <c r="P94" s="61" t="str">
        <f t="shared" si="13"/>
        <v/>
      </c>
    </row>
    <row r="95" spans="2:16" x14ac:dyDescent="0.25">
      <c r="B95" s="14">
        <f t="shared" si="14"/>
        <v>46174</v>
      </c>
      <c r="C95" s="210"/>
      <c r="D95" s="210"/>
      <c r="E95" s="211"/>
      <c r="F95" s="211"/>
      <c r="G95" s="211"/>
      <c r="H95" s="58"/>
      <c r="I95" s="58" t="str">
        <f t="shared" si="15"/>
        <v/>
      </c>
      <c r="J95" s="58" t="str">
        <f t="shared" si="16"/>
        <v/>
      </c>
      <c r="K95" s="58" t="str">
        <f t="shared" si="17"/>
        <v/>
      </c>
      <c r="L95" s="58" t="str">
        <f t="shared" si="18"/>
        <v/>
      </c>
      <c r="M95" s="58" t="str">
        <f t="shared" si="10"/>
        <v/>
      </c>
      <c r="N95" s="32" t="str">
        <f t="shared" si="11"/>
        <v/>
      </c>
      <c r="O95" s="61" t="str">
        <f t="shared" si="12"/>
        <v/>
      </c>
      <c r="P95" s="61" t="str">
        <f t="shared" si="13"/>
        <v/>
      </c>
    </row>
    <row r="96" spans="2:16" x14ac:dyDescent="0.25">
      <c r="B96" s="14">
        <f t="shared" si="14"/>
        <v>46204</v>
      </c>
      <c r="C96" s="210"/>
      <c r="D96" s="210"/>
      <c r="E96" s="211"/>
      <c r="F96" s="211"/>
      <c r="G96" s="211"/>
      <c r="H96" s="58"/>
      <c r="I96" s="58" t="str">
        <f t="shared" si="15"/>
        <v/>
      </c>
      <c r="J96" s="58" t="str">
        <f t="shared" si="16"/>
        <v/>
      </c>
      <c r="K96" s="58" t="str">
        <f t="shared" si="17"/>
        <v/>
      </c>
      <c r="L96" s="58" t="str">
        <f t="shared" si="18"/>
        <v/>
      </c>
      <c r="M96" s="58" t="str">
        <f t="shared" si="10"/>
        <v/>
      </c>
      <c r="N96" s="32" t="str">
        <f t="shared" si="11"/>
        <v/>
      </c>
      <c r="O96" s="61" t="str">
        <f t="shared" si="12"/>
        <v/>
      </c>
      <c r="P96" s="61" t="str">
        <f t="shared" si="13"/>
        <v/>
      </c>
    </row>
    <row r="97" spans="2:16" x14ac:dyDescent="0.25">
      <c r="B97" s="14">
        <f t="shared" si="14"/>
        <v>46235</v>
      </c>
      <c r="C97" s="210"/>
      <c r="D97" s="210"/>
      <c r="E97" s="211"/>
      <c r="F97" s="211"/>
      <c r="G97" s="211"/>
      <c r="H97" s="58"/>
      <c r="I97" s="58" t="str">
        <f t="shared" si="15"/>
        <v/>
      </c>
      <c r="J97" s="58" t="str">
        <f t="shared" si="16"/>
        <v/>
      </c>
      <c r="K97" s="58" t="str">
        <f t="shared" si="17"/>
        <v/>
      </c>
      <c r="L97" s="58" t="str">
        <f t="shared" si="18"/>
        <v/>
      </c>
      <c r="M97" s="58" t="str">
        <f t="shared" si="10"/>
        <v/>
      </c>
      <c r="N97" s="32" t="str">
        <f t="shared" si="11"/>
        <v/>
      </c>
      <c r="O97" s="61" t="str">
        <f t="shared" si="12"/>
        <v/>
      </c>
      <c r="P97" s="61" t="str">
        <f t="shared" si="13"/>
        <v/>
      </c>
    </row>
    <row r="98" spans="2:16" x14ac:dyDescent="0.25">
      <c r="B98" s="14">
        <f t="shared" si="14"/>
        <v>46266</v>
      </c>
      <c r="C98" s="210"/>
      <c r="D98" s="210"/>
      <c r="E98" s="211"/>
      <c r="F98" s="211"/>
      <c r="G98" s="211"/>
      <c r="H98" s="58"/>
      <c r="I98" s="58" t="str">
        <f t="shared" si="15"/>
        <v/>
      </c>
      <c r="J98" s="58" t="str">
        <f t="shared" si="16"/>
        <v/>
      </c>
      <c r="K98" s="58" t="str">
        <f t="shared" si="17"/>
        <v/>
      </c>
      <c r="L98" s="58" t="str">
        <f t="shared" si="18"/>
        <v/>
      </c>
      <c r="M98" s="58" t="str">
        <f t="shared" si="10"/>
        <v/>
      </c>
      <c r="N98" s="32" t="str">
        <f t="shared" si="11"/>
        <v/>
      </c>
      <c r="O98" s="61" t="str">
        <f t="shared" si="12"/>
        <v/>
      </c>
      <c r="P98" s="61" t="str">
        <f t="shared" si="13"/>
        <v/>
      </c>
    </row>
    <row r="99" spans="2:16" x14ac:dyDescent="0.25">
      <c r="B99" s="14">
        <f t="shared" si="14"/>
        <v>46296</v>
      </c>
      <c r="C99" s="210"/>
      <c r="D99" s="210"/>
      <c r="E99" s="211"/>
      <c r="F99" s="211"/>
      <c r="G99" s="211"/>
      <c r="H99" s="58"/>
      <c r="I99" s="58" t="str">
        <f t="shared" si="15"/>
        <v/>
      </c>
      <c r="J99" s="58" t="str">
        <f t="shared" si="16"/>
        <v/>
      </c>
      <c r="K99" s="58" t="str">
        <f t="shared" si="17"/>
        <v/>
      </c>
      <c r="L99" s="58" t="str">
        <f t="shared" si="18"/>
        <v/>
      </c>
      <c r="M99" s="58" t="str">
        <f t="shared" si="10"/>
        <v/>
      </c>
      <c r="N99" s="32" t="str">
        <f t="shared" si="11"/>
        <v/>
      </c>
      <c r="O99" s="61" t="str">
        <f t="shared" si="12"/>
        <v/>
      </c>
      <c r="P99" s="61" t="str">
        <f t="shared" si="13"/>
        <v/>
      </c>
    </row>
    <row r="100" spans="2:16" x14ac:dyDescent="0.25">
      <c r="B100" s="14">
        <f t="shared" si="14"/>
        <v>46327</v>
      </c>
      <c r="C100" s="210"/>
      <c r="D100" s="210"/>
      <c r="E100" s="211"/>
      <c r="F100" s="211"/>
      <c r="G100" s="211"/>
      <c r="H100" s="58"/>
      <c r="I100" s="58" t="str">
        <f t="shared" si="15"/>
        <v/>
      </c>
      <c r="J100" s="58" t="str">
        <f t="shared" si="16"/>
        <v/>
      </c>
      <c r="K100" s="58" t="str">
        <f t="shared" si="17"/>
        <v/>
      </c>
      <c r="L100" s="58" t="str">
        <f t="shared" si="18"/>
        <v/>
      </c>
      <c r="M100" s="58" t="str">
        <f t="shared" si="10"/>
        <v/>
      </c>
      <c r="N100" s="32" t="str">
        <f t="shared" si="11"/>
        <v/>
      </c>
      <c r="O100" s="61" t="str">
        <f t="shared" si="12"/>
        <v/>
      </c>
      <c r="P100" s="61" t="str">
        <f t="shared" si="13"/>
        <v/>
      </c>
    </row>
    <row r="101" spans="2:16" x14ac:dyDescent="0.25">
      <c r="B101" s="20">
        <f t="shared" si="14"/>
        <v>46357</v>
      </c>
      <c r="C101" s="212"/>
      <c r="D101" s="212"/>
      <c r="E101" s="213"/>
      <c r="F101" s="213"/>
      <c r="G101" s="213"/>
      <c r="H101" s="58"/>
      <c r="I101" s="59" t="str">
        <f t="shared" si="15"/>
        <v/>
      </c>
      <c r="J101" s="59" t="str">
        <f t="shared" si="16"/>
        <v/>
      </c>
      <c r="K101" s="59" t="str">
        <f t="shared" si="17"/>
        <v/>
      </c>
      <c r="L101" s="59" t="str">
        <f t="shared" si="18"/>
        <v/>
      </c>
      <c r="M101" s="59" t="str">
        <f t="shared" si="10"/>
        <v/>
      </c>
      <c r="N101" s="60" t="str">
        <f t="shared" si="11"/>
        <v/>
      </c>
      <c r="O101" s="62" t="str">
        <f t="shared" si="12"/>
        <v/>
      </c>
      <c r="P101" s="62" t="str">
        <f t="shared" si="13"/>
        <v/>
      </c>
    </row>
    <row r="102" spans="2:16" x14ac:dyDescent="0.25">
      <c r="B102" s="14">
        <f t="shared" si="14"/>
        <v>46388</v>
      </c>
      <c r="C102" s="210"/>
      <c r="D102" s="210"/>
      <c r="E102" s="211"/>
      <c r="F102" s="211"/>
      <c r="G102" s="211"/>
      <c r="H102" s="58"/>
      <c r="I102" s="58" t="str">
        <f t="shared" si="15"/>
        <v/>
      </c>
      <c r="J102" s="58" t="str">
        <f t="shared" si="16"/>
        <v/>
      </c>
      <c r="K102" s="58" t="str">
        <f t="shared" si="17"/>
        <v/>
      </c>
      <c r="L102" s="58" t="str">
        <f t="shared" si="18"/>
        <v/>
      </c>
      <c r="M102" s="58" t="str">
        <f t="shared" si="10"/>
        <v/>
      </c>
      <c r="N102" s="32" t="str">
        <f t="shared" si="11"/>
        <v/>
      </c>
      <c r="O102" s="61" t="str">
        <f t="shared" si="12"/>
        <v/>
      </c>
      <c r="P102" s="61" t="str">
        <f t="shared" si="13"/>
        <v/>
      </c>
    </row>
    <row r="103" spans="2:16" x14ac:dyDescent="0.25">
      <c r="B103" s="14">
        <f t="shared" si="14"/>
        <v>46419</v>
      </c>
      <c r="C103" s="210"/>
      <c r="D103" s="210"/>
      <c r="E103" s="211"/>
      <c r="F103" s="211"/>
      <c r="G103" s="211"/>
      <c r="H103" s="58"/>
      <c r="I103" s="58" t="str">
        <f t="shared" si="15"/>
        <v/>
      </c>
      <c r="J103" s="58" t="str">
        <f t="shared" si="16"/>
        <v/>
      </c>
      <c r="K103" s="58" t="str">
        <f t="shared" si="17"/>
        <v/>
      </c>
      <c r="L103" s="58" t="str">
        <f t="shared" si="18"/>
        <v/>
      </c>
      <c r="M103" s="58" t="str">
        <f t="shared" si="10"/>
        <v/>
      </c>
      <c r="N103" s="32" t="str">
        <f t="shared" si="11"/>
        <v/>
      </c>
      <c r="O103" s="61" t="str">
        <f t="shared" si="12"/>
        <v/>
      </c>
      <c r="P103" s="61" t="str">
        <f t="shared" si="13"/>
        <v/>
      </c>
    </row>
    <row r="104" spans="2:16" x14ac:dyDescent="0.25">
      <c r="B104" s="14">
        <f t="shared" si="14"/>
        <v>46447</v>
      </c>
      <c r="C104" s="210"/>
      <c r="D104" s="210"/>
      <c r="E104" s="211"/>
      <c r="F104" s="211"/>
      <c r="G104" s="211"/>
      <c r="H104" s="58"/>
      <c r="I104" s="58" t="str">
        <f t="shared" si="15"/>
        <v/>
      </c>
      <c r="J104" s="58" t="str">
        <f t="shared" si="16"/>
        <v/>
      </c>
      <c r="K104" s="58" t="str">
        <f t="shared" si="17"/>
        <v/>
      </c>
      <c r="L104" s="58" t="str">
        <f t="shared" si="18"/>
        <v/>
      </c>
      <c r="M104" s="58" t="str">
        <f t="shared" si="10"/>
        <v/>
      </c>
      <c r="N104" s="32" t="str">
        <f t="shared" si="11"/>
        <v/>
      </c>
      <c r="O104" s="61" t="str">
        <f t="shared" si="12"/>
        <v/>
      </c>
      <c r="P104" s="61" t="str">
        <f t="shared" si="13"/>
        <v/>
      </c>
    </row>
    <row r="105" spans="2:16" x14ac:dyDescent="0.25">
      <c r="B105" s="14">
        <f t="shared" si="14"/>
        <v>46478</v>
      </c>
      <c r="C105" s="210"/>
      <c r="D105" s="210"/>
      <c r="E105" s="211"/>
      <c r="F105" s="211"/>
      <c r="G105" s="211"/>
      <c r="H105" s="58"/>
      <c r="I105" s="58" t="str">
        <f t="shared" si="15"/>
        <v/>
      </c>
      <c r="J105" s="58" t="str">
        <f t="shared" si="16"/>
        <v/>
      </c>
      <c r="K105" s="58" t="str">
        <f t="shared" si="17"/>
        <v/>
      </c>
      <c r="L105" s="58" t="str">
        <f t="shared" si="18"/>
        <v/>
      </c>
      <c r="M105" s="58" t="str">
        <f t="shared" si="10"/>
        <v/>
      </c>
      <c r="N105" s="32" t="str">
        <f t="shared" si="11"/>
        <v/>
      </c>
      <c r="O105" s="61" t="str">
        <f t="shared" si="12"/>
        <v/>
      </c>
      <c r="P105" s="61" t="str">
        <f t="shared" si="13"/>
        <v/>
      </c>
    </row>
    <row r="106" spans="2:16" x14ac:dyDescent="0.25">
      <c r="B106" s="14">
        <f t="shared" si="14"/>
        <v>46508</v>
      </c>
      <c r="C106" s="210"/>
      <c r="D106" s="210"/>
      <c r="E106" s="211"/>
      <c r="F106" s="211"/>
      <c r="G106" s="211"/>
      <c r="H106" s="58"/>
      <c r="I106" s="58" t="str">
        <f t="shared" si="15"/>
        <v/>
      </c>
      <c r="J106" s="58" t="str">
        <f t="shared" si="16"/>
        <v/>
      </c>
      <c r="K106" s="58" t="str">
        <f t="shared" si="17"/>
        <v/>
      </c>
      <c r="L106" s="58" t="str">
        <f t="shared" si="18"/>
        <v/>
      </c>
      <c r="M106" s="58" t="str">
        <f t="shared" si="10"/>
        <v/>
      </c>
      <c r="N106" s="32" t="str">
        <f t="shared" si="11"/>
        <v/>
      </c>
      <c r="O106" s="61" t="str">
        <f t="shared" si="12"/>
        <v/>
      </c>
      <c r="P106" s="61" t="str">
        <f t="shared" si="13"/>
        <v/>
      </c>
    </row>
    <row r="107" spans="2:16" x14ac:dyDescent="0.25">
      <c r="B107" s="14">
        <f t="shared" si="14"/>
        <v>46539</v>
      </c>
      <c r="C107" s="210"/>
      <c r="D107" s="210"/>
      <c r="E107" s="211"/>
      <c r="F107" s="211"/>
      <c r="G107" s="211"/>
      <c r="H107" s="58"/>
      <c r="I107" s="58" t="str">
        <f t="shared" si="15"/>
        <v/>
      </c>
      <c r="J107" s="58" t="str">
        <f t="shared" si="16"/>
        <v/>
      </c>
      <c r="K107" s="58" t="str">
        <f t="shared" si="17"/>
        <v/>
      </c>
      <c r="L107" s="58" t="str">
        <f t="shared" si="18"/>
        <v/>
      </c>
      <c r="M107" s="58" t="str">
        <f t="shared" si="10"/>
        <v/>
      </c>
      <c r="N107" s="32" t="str">
        <f t="shared" si="11"/>
        <v/>
      </c>
      <c r="O107" s="61" t="str">
        <f t="shared" si="12"/>
        <v/>
      </c>
      <c r="P107" s="61" t="str">
        <f t="shared" si="13"/>
        <v/>
      </c>
    </row>
    <row r="108" spans="2:16" x14ac:dyDescent="0.25">
      <c r="B108" s="14">
        <f t="shared" si="14"/>
        <v>46569</v>
      </c>
      <c r="C108" s="210"/>
      <c r="D108" s="210"/>
      <c r="E108" s="211"/>
      <c r="F108" s="211"/>
      <c r="G108" s="211"/>
      <c r="H108" s="58"/>
      <c r="I108" s="58" t="str">
        <f t="shared" si="15"/>
        <v/>
      </c>
      <c r="J108" s="58" t="str">
        <f t="shared" si="16"/>
        <v/>
      </c>
      <c r="K108" s="58" t="str">
        <f t="shared" si="17"/>
        <v/>
      </c>
      <c r="L108" s="58" t="str">
        <f t="shared" si="18"/>
        <v/>
      </c>
      <c r="M108" s="58" t="str">
        <f t="shared" si="10"/>
        <v/>
      </c>
      <c r="N108" s="32" t="str">
        <f t="shared" si="11"/>
        <v/>
      </c>
      <c r="O108" s="61" t="str">
        <f t="shared" si="12"/>
        <v/>
      </c>
      <c r="P108" s="61" t="str">
        <f t="shared" si="13"/>
        <v/>
      </c>
    </row>
    <row r="109" spans="2:16" x14ac:dyDescent="0.25">
      <c r="B109" s="14">
        <f t="shared" si="14"/>
        <v>46600</v>
      </c>
      <c r="C109" s="210"/>
      <c r="D109" s="210"/>
      <c r="E109" s="211"/>
      <c r="F109" s="211"/>
      <c r="G109" s="211"/>
      <c r="H109" s="58"/>
      <c r="I109" s="58" t="str">
        <f t="shared" si="15"/>
        <v/>
      </c>
      <c r="J109" s="58" t="str">
        <f t="shared" si="16"/>
        <v/>
      </c>
      <c r="K109" s="58" t="str">
        <f t="shared" si="17"/>
        <v/>
      </c>
      <c r="L109" s="58" t="str">
        <f t="shared" si="18"/>
        <v/>
      </c>
      <c r="M109" s="58" t="str">
        <f t="shared" si="10"/>
        <v/>
      </c>
      <c r="N109" s="32" t="str">
        <f t="shared" si="11"/>
        <v/>
      </c>
      <c r="O109" s="61" t="str">
        <f t="shared" si="12"/>
        <v/>
      </c>
      <c r="P109" s="61" t="str">
        <f t="shared" si="13"/>
        <v/>
      </c>
    </row>
    <row r="110" spans="2:16" x14ac:dyDescent="0.25">
      <c r="B110" s="14">
        <f t="shared" si="14"/>
        <v>46631</v>
      </c>
      <c r="C110" s="210"/>
      <c r="D110" s="210"/>
      <c r="E110" s="211"/>
      <c r="F110" s="211"/>
      <c r="G110" s="211"/>
      <c r="H110" s="58"/>
      <c r="I110" s="58" t="str">
        <f t="shared" si="15"/>
        <v/>
      </c>
      <c r="J110" s="58" t="str">
        <f t="shared" si="16"/>
        <v/>
      </c>
      <c r="K110" s="58" t="str">
        <f t="shared" si="17"/>
        <v/>
      </c>
      <c r="L110" s="58" t="str">
        <f t="shared" si="18"/>
        <v/>
      </c>
      <c r="M110" s="58" t="str">
        <f t="shared" si="10"/>
        <v/>
      </c>
      <c r="N110" s="32" t="str">
        <f t="shared" si="11"/>
        <v/>
      </c>
      <c r="O110" s="61" t="str">
        <f t="shared" si="12"/>
        <v/>
      </c>
      <c r="P110" s="61" t="str">
        <f t="shared" si="13"/>
        <v/>
      </c>
    </row>
    <row r="111" spans="2:16" x14ac:dyDescent="0.25">
      <c r="B111" s="14">
        <f t="shared" si="14"/>
        <v>46661</v>
      </c>
      <c r="C111" s="210"/>
      <c r="D111" s="210"/>
      <c r="E111" s="211"/>
      <c r="F111" s="211"/>
      <c r="G111" s="211"/>
      <c r="H111" s="58"/>
      <c r="I111" s="58" t="str">
        <f t="shared" si="15"/>
        <v/>
      </c>
      <c r="J111" s="58" t="str">
        <f t="shared" si="16"/>
        <v/>
      </c>
      <c r="K111" s="58" t="str">
        <f t="shared" si="17"/>
        <v/>
      </c>
      <c r="L111" s="58" t="str">
        <f t="shared" si="18"/>
        <v/>
      </c>
      <c r="M111" s="58" t="str">
        <f t="shared" si="10"/>
        <v/>
      </c>
      <c r="N111" s="32" t="str">
        <f t="shared" si="11"/>
        <v/>
      </c>
      <c r="O111" s="61" t="str">
        <f t="shared" si="12"/>
        <v/>
      </c>
      <c r="P111" s="61" t="str">
        <f t="shared" si="13"/>
        <v/>
      </c>
    </row>
    <row r="112" spans="2:16" x14ac:dyDescent="0.25">
      <c r="B112" s="14">
        <f t="shared" si="14"/>
        <v>46692</v>
      </c>
      <c r="C112" s="210"/>
      <c r="D112" s="210"/>
      <c r="E112" s="211"/>
      <c r="F112" s="211"/>
      <c r="G112" s="211"/>
      <c r="H112" s="58"/>
      <c r="I112" s="58" t="str">
        <f t="shared" si="15"/>
        <v/>
      </c>
      <c r="J112" s="58" t="str">
        <f t="shared" si="16"/>
        <v/>
      </c>
      <c r="K112" s="58" t="str">
        <f t="shared" si="17"/>
        <v/>
      </c>
      <c r="L112" s="58" t="str">
        <f t="shared" si="18"/>
        <v/>
      </c>
      <c r="M112" s="58" t="str">
        <f t="shared" si="10"/>
        <v/>
      </c>
      <c r="N112" s="32" t="str">
        <f t="shared" si="11"/>
        <v/>
      </c>
      <c r="O112" s="61" t="str">
        <f t="shared" si="12"/>
        <v/>
      </c>
      <c r="P112" s="61" t="str">
        <f t="shared" si="13"/>
        <v/>
      </c>
    </row>
    <row r="113" spans="2:16" x14ac:dyDescent="0.25">
      <c r="B113" s="20">
        <f t="shared" si="14"/>
        <v>46722</v>
      </c>
      <c r="C113" s="212"/>
      <c r="D113" s="212"/>
      <c r="E113" s="213"/>
      <c r="F113" s="213"/>
      <c r="G113" s="213"/>
      <c r="H113" s="58"/>
      <c r="I113" s="59" t="str">
        <f t="shared" si="15"/>
        <v/>
      </c>
      <c r="J113" s="59" t="str">
        <f t="shared" si="16"/>
        <v/>
      </c>
      <c r="K113" s="59" t="str">
        <f t="shared" si="17"/>
        <v/>
      </c>
      <c r="L113" s="59" t="str">
        <f t="shared" si="18"/>
        <v/>
      </c>
      <c r="M113" s="59" t="str">
        <f t="shared" si="10"/>
        <v/>
      </c>
      <c r="N113" s="60" t="str">
        <f t="shared" si="11"/>
        <v/>
      </c>
      <c r="O113" s="62" t="str">
        <f t="shared" si="12"/>
        <v/>
      </c>
      <c r="P113" s="62" t="str">
        <f t="shared" si="13"/>
        <v/>
      </c>
    </row>
    <row r="114" spans="2:16" x14ac:dyDescent="0.25">
      <c r="B114" s="14">
        <f t="shared" si="14"/>
        <v>46753</v>
      </c>
      <c r="C114" s="210"/>
      <c r="D114" s="210"/>
      <c r="E114" s="211"/>
      <c r="F114" s="211"/>
      <c r="G114" s="211"/>
      <c r="H114" s="58"/>
      <c r="I114" s="58" t="str">
        <f t="shared" si="15"/>
        <v/>
      </c>
      <c r="J114" s="58" t="str">
        <f t="shared" si="16"/>
        <v/>
      </c>
      <c r="K114" s="58" t="str">
        <f t="shared" si="17"/>
        <v/>
      </c>
      <c r="L114" s="58" t="str">
        <f t="shared" si="18"/>
        <v/>
      </c>
      <c r="M114" s="58" t="str">
        <f t="shared" si="10"/>
        <v/>
      </c>
      <c r="N114" s="32" t="str">
        <f t="shared" si="11"/>
        <v/>
      </c>
      <c r="O114" s="61" t="str">
        <f t="shared" si="12"/>
        <v/>
      </c>
      <c r="P114" s="61" t="str">
        <f t="shared" si="13"/>
        <v/>
      </c>
    </row>
    <row r="115" spans="2:16" x14ac:dyDescent="0.25">
      <c r="B115" s="14">
        <f t="shared" si="14"/>
        <v>46784</v>
      </c>
      <c r="C115" s="210"/>
      <c r="D115" s="210"/>
      <c r="E115" s="211"/>
      <c r="F115" s="211"/>
      <c r="G115" s="211"/>
      <c r="H115" s="58"/>
      <c r="I115" s="58" t="str">
        <f t="shared" si="15"/>
        <v/>
      </c>
      <c r="J115" s="58" t="str">
        <f t="shared" si="16"/>
        <v/>
      </c>
      <c r="K115" s="58" t="str">
        <f t="shared" si="17"/>
        <v/>
      </c>
      <c r="L115" s="58" t="str">
        <f t="shared" si="18"/>
        <v/>
      </c>
      <c r="M115" s="58" t="str">
        <f t="shared" si="10"/>
        <v/>
      </c>
      <c r="N115" s="32" t="str">
        <f t="shared" si="11"/>
        <v/>
      </c>
      <c r="O115" s="61" t="str">
        <f t="shared" si="12"/>
        <v/>
      </c>
      <c r="P115" s="61" t="str">
        <f t="shared" si="13"/>
        <v/>
      </c>
    </row>
    <row r="116" spans="2:16" x14ac:dyDescent="0.25">
      <c r="B116" s="14">
        <f t="shared" si="14"/>
        <v>46813</v>
      </c>
      <c r="C116" s="210"/>
      <c r="D116" s="210"/>
      <c r="E116" s="211"/>
      <c r="F116" s="211"/>
      <c r="G116" s="211"/>
      <c r="H116" s="58"/>
      <c r="I116" s="58" t="str">
        <f t="shared" si="15"/>
        <v/>
      </c>
      <c r="J116" s="58" t="str">
        <f t="shared" si="16"/>
        <v/>
      </c>
      <c r="K116" s="58" t="str">
        <f t="shared" si="17"/>
        <v/>
      </c>
      <c r="L116" s="58" t="str">
        <f t="shared" si="18"/>
        <v/>
      </c>
      <c r="M116" s="58" t="str">
        <f t="shared" si="10"/>
        <v/>
      </c>
      <c r="N116" s="32" t="str">
        <f t="shared" si="11"/>
        <v/>
      </c>
      <c r="O116" s="61" t="str">
        <f t="shared" si="12"/>
        <v/>
      </c>
      <c r="P116" s="61" t="str">
        <f t="shared" si="13"/>
        <v/>
      </c>
    </row>
    <row r="117" spans="2:16" x14ac:dyDescent="0.25">
      <c r="B117" s="14">
        <f t="shared" si="14"/>
        <v>46844</v>
      </c>
      <c r="C117" s="210"/>
      <c r="D117" s="210"/>
      <c r="E117" s="211"/>
      <c r="F117" s="211"/>
      <c r="G117" s="211"/>
      <c r="H117" s="58"/>
      <c r="I117" s="58" t="str">
        <f t="shared" si="15"/>
        <v/>
      </c>
      <c r="J117" s="58" t="str">
        <f t="shared" si="16"/>
        <v/>
      </c>
      <c r="K117" s="58" t="str">
        <f t="shared" si="17"/>
        <v/>
      </c>
      <c r="L117" s="58" t="str">
        <f t="shared" si="18"/>
        <v/>
      </c>
      <c r="M117" s="58" t="str">
        <f t="shared" si="10"/>
        <v/>
      </c>
      <c r="N117" s="32" t="str">
        <f t="shared" si="11"/>
        <v/>
      </c>
      <c r="O117" s="61" t="str">
        <f t="shared" si="12"/>
        <v/>
      </c>
      <c r="P117" s="61" t="str">
        <f t="shared" si="13"/>
        <v/>
      </c>
    </row>
    <row r="118" spans="2:16" x14ac:dyDescent="0.25">
      <c r="B118" s="14">
        <f t="shared" si="14"/>
        <v>46874</v>
      </c>
      <c r="C118" s="210"/>
      <c r="D118" s="210"/>
      <c r="E118" s="211"/>
      <c r="F118" s="211"/>
      <c r="G118" s="211"/>
      <c r="H118" s="58"/>
      <c r="I118" s="58" t="str">
        <f t="shared" si="15"/>
        <v/>
      </c>
      <c r="J118" s="58" t="str">
        <f t="shared" si="16"/>
        <v/>
      </c>
      <c r="K118" s="58" t="str">
        <f t="shared" si="17"/>
        <v/>
      </c>
      <c r="L118" s="58" t="str">
        <f t="shared" si="18"/>
        <v/>
      </c>
      <c r="M118" s="58" t="str">
        <f t="shared" si="10"/>
        <v/>
      </c>
      <c r="N118" s="32" t="str">
        <f t="shared" si="11"/>
        <v/>
      </c>
      <c r="O118" s="61" t="str">
        <f t="shared" si="12"/>
        <v/>
      </c>
      <c r="P118" s="61" t="str">
        <f t="shared" si="13"/>
        <v/>
      </c>
    </row>
    <row r="119" spans="2:16" x14ac:dyDescent="0.25">
      <c r="B119" s="14">
        <f t="shared" si="14"/>
        <v>46905</v>
      </c>
      <c r="C119" s="210"/>
      <c r="D119" s="210"/>
      <c r="E119" s="211"/>
      <c r="F119" s="211"/>
      <c r="G119" s="211"/>
      <c r="H119" s="58"/>
      <c r="I119" s="58" t="str">
        <f t="shared" si="15"/>
        <v/>
      </c>
      <c r="J119" s="58" t="str">
        <f t="shared" si="16"/>
        <v/>
      </c>
      <c r="K119" s="58" t="str">
        <f t="shared" si="17"/>
        <v/>
      </c>
      <c r="L119" s="58" t="str">
        <f t="shared" si="18"/>
        <v/>
      </c>
      <c r="M119" s="58" t="str">
        <f t="shared" si="10"/>
        <v/>
      </c>
      <c r="N119" s="32" t="str">
        <f t="shared" si="11"/>
        <v/>
      </c>
      <c r="O119" s="61" t="str">
        <f t="shared" si="12"/>
        <v/>
      </c>
      <c r="P119" s="61" t="str">
        <f t="shared" si="13"/>
        <v/>
      </c>
    </row>
    <row r="120" spans="2:16" x14ac:dyDescent="0.25">
      <c r="B120" s="14">
        <f t="shared" si="14"/>
        <v>46935</v>
      </c>
      <c r="C120" s="210"/>
      <c r="D120" s="210"/>
      <c r="E120" s="211"/>
      <c r="F120" s="211"/>
      <c r="G120" s="211"/>
      <c r="H120" s="58"/>
      <c r="I120" s="58" t="str">
        <f t="shared" si="15"/>
        <v/>
      </c>
      <c r="J120" s="58" t="str">
        <f t="shared" si="16"/>
        <v/>
      </c>
      <c r="K120" s="58" t="str">
        <f t="shared" si="17"/>
        <v/>
      </c>
      <c r="L120" s="58" t="str">
        <f t="shared" si="18"/>
        <v/>
      </c>
      <c r="M120" s="58" t="str">
        <f t="shared" si="10"/>
        <v/>
      </c>
      <c r="N120" s="32" t="str">
        <f t="shared" si="11"/>
        <v/>
      </c>
      <c r="O120" s="61" t="str">
        <f t="shared" si="12"/>
        <v/>
      </c>
      <c r="P120" s="61" t="str">
        <f t="shared" si="13"/>
        <v/>
      </c>
    </row>
    <row r="121" spans="2:16" x14ac:dyDescent="0.25">
      <c r="B121" s="14">
        <f t="shared" si="14"/>
        <v>46966</v>
      </c>
      <c r="C121" s="210"/>
      <c r="D121" s="210"/>
      <c r="E121" s="211"/>
      <c r="F121" s="211"/>
      <c r="G121" s="211"/>
      <c r="H121" s="58"/>
      <c r="I121" s="58" t="str">
        <f t="shared" si="15"/>
        <v/>
      </c>
      <c r="J121" s="58" t="str">
        <f t="shared" si="16"/>
        <v/>
      </c>
      <c r="K121" s="58" t="str">
        <f t="shared" si="17"/>
        <v/>
      </c>
      <c r="L121" s="58" t="str">
        <f t="shared" si="18"/>
        <v/>
      </c>
      <c r="M121" s="58" t="str">
        <f t="shared" si="10"/>
        <v/>
      </c>
      <c r="N121" s="32" t="str">
        <f t="shared" si="11"/>
        <v/>
      </c>
      <c r="O121" s="61" t="str">
        <f t="shared" si="12"/>
        <v/>
      </c>
      <c r="P121" s="61" t="str">
        <f t="shared" si="13"/>
        <v/>
      </c>
    </row>
    <row r="122" spans="2:16" x14ac:dyDescent="0.25">
      <c r="B122" s="14">
        <f t="shared" si="14"/>
        <v>46997</v>
      </c>
      <c r="C122" s="210"/>
      <c r="D122" s="210"/>
      <c r="E122" s="211"/>
      <c r="F122" s="211"/>
      <c r="G122" s="211"/>
      <c r="H122" s="58"/>
      <c r="I122" s="58" t="str">
        <f t="shared" si="15"/>
        <v/>
      </c>
      <c r="J122" s="58" t="str">
        <f t="shared" si="16"/>
        <v/>
      </c>
      <c r="K122" s="58" t="str">
        <f t="shared" si="17"/>
        <v/>
      </c>
      <c r="L122" s="58" t="str">
        <f t="shared" si="18"/>
        <v/>
      </c>
      <c r="M122" s="58" t="str">
        <f t="shared" si="10"/>
        <v/>
      </c>
      <c r="N122" s="32" t="str">
        <f t="shared" si="11"/>
        <v/>
      </c>
      <c r="O122" s="61" t="str">
        <f t="shared" si="12"/>
        <v/>
      </c>
      <c r="P122" s="61" t="str">
        <f t="shared" si="13"/>
        <v/>
      </c>
    </row>
    <row r="123" spans="2:16" x14ac:dyDescent="0.25">
      <c r="B123" s="14">
        <f t="shared" si="14"/>
        <v>47027</v>
      </c>
      <c r="C123" s="210"/>
      <c r="D123" s="210"/>
      <c r="E123" s="211"/>
      <c r="F123" s="211"/>
      <c r="G123" s="211"/>
      <c r="H123" s="58"/>
      <c r="I123" s="58" t="str">
        <f t="shared" si="15"/>
        <v/>
      </c>
      <c r="J123" s="58" t="str">
        <f t="shared" si="16"/>
        <v/>
      </c>
      <c r="K123" s="58" t="str">
        <f t="shared" si="17"/>
        <v/>
      </c>
      <c r="L123" s="58" t="str">
        <f t="shared" si="18"/>
        <v/>
      </c>
      <c r="M123" s="58" t="str">
        <f t="shared" si="10"/>
        <v/>
      </c>
      <c r="N123" s="32" t="str">
        <f t="shared" si="11"/>
        <v/>
      </c>
      <c r="O123" s="61" t="str">
        <f t="shared" si="12"/>
        <v/>
      </c>
      <c r="P123" s="61" t="str">
        <f t="shared" si="13"/>
        <v/>
      </c>
    </row>
    <row r="124" spans="2:16" x14ac:dyDescent="0.25">
      <c r="B124" s="14">
        <f t="shared" si="14"/>
        <v>47058</v>
      </c>
      <c r="C124" s="210"/>
      <c r="D124" s="210"/>
      <c r="E124" s="211"/>
      <c r="F124" s="211"/>
      <c r="G124" s="211"/>
      <c r="H124" s="58"/>
      <c r="I124" s="58" t="str">
        <f t="shared" si="15"/>
        <v/>
      </c>
      <c r="J124" s="58" t="str">
        <f t="shared" si="16"/>
        <v/>
      </c>
      <c r="K124" s="58" t="str">
        <f t="shared" si="17"/>
        <v/>
      </c>
      <c r="L124" s="58" t="str">
        <f t="shared" si="18"/>
        <v/>
      </c>
      <c r="M124" s="58" t="str">
        <f t="shared" si="10"/>
        <v/>
      </c>
      <c r="N124" s="32" t="str">
        <f t="shared" si="11"/>
        <v/>
      </c>
      <c r="O124" s="61" t="str">
        <f t="shared" si="12"/>
        <v/>
      </c>
      <c r="P124" s="61" t="str">
        <f t="shared" si="13"/>
        <v/>
      </c>
    </row>
    <row r="125" spans="2:16" x14ac:dyDescent="0.25">
      <c r="B125" s="20">
        <f t="shared" si="14"/>
        <v>47088</v>
      </c>
      <c r="C125" s="212"/>
      <c r="D125" s="212"/>
      <c r="E125" s="213"/>
      <c r="F125" s="213"/>
      <c r="G125" s="213"/>
      <c r="H125" s="58"/>
      <c r="I125" s="59" t="str">
        <f t="shared" si="15"/>
        <v/>
      </c>
      <c r="J125" s="59" t="str">
        <f t="shared" si="16"/>
        <v/>
      </c>
      <c r="K125" s="59" t="str">
        <f t="shared" si="17"/>
        <v/>
      </c>
      <c r="L125" s="59" t="str">
        <f t="shared" si="18"/>
        <v/>
      </c>
      <c r="M125" s="59" t="str">
        <f t="shared" si="10"/>
        <v/>
      </c>
      <c r="N125" s="60" t="str">
        <f t="shared" si="11"/>
        <v/>
      </c>
      <c r="O125" s="62" t="str">
        <f t="shared" si="12"/>
        <v/>
      </c>
      <c r="P125" s="62" t="str">
        <f t="shared" si="13"/>
        <v/>
      </c>
    </row>
    <row r="126" spans="2:16" x14ac:dyDescent="0.25">
      <c r="B126" s="14">
        <f t="shared" si="14"/>
        <v>47119</v>
      </c>
      <c r="C126" s="210"/>
      <c r="D126" s="210"/>
      <c r="E126" s="211"/>
      <c r="F126" s="211"/>
      <c r="G126" s="211"/>
      <c r="H126" s="58"/>
      <c r="I126" s="58" t="str">
        <f t="shared" si="15"/>
        <v/>
      </c>
      <c r="J126" s="58" t="str">
        <f t="shared" si="16"/>
        <v/>
      </c>
      <c r="K126" s="58" t="str">
        <f t="shared" si="17"/>
        <v/>
      </c>
      <c r="L126" s="58" t="str">
        <f t="shared" si="18"/>
        <v/>
      </c>
      <c r="M126" s="58" t="str">
        <f t="shared" si="10"/>
        <v/>
      </c>
      <c r="N126" s="32" t="str">
        <f t="shared" si="11"/>
        <v/>
      </c>
      <c r="O126" s="61" t="str">
        <f t="shared" si="12"/>
        <v/>
      </c>
      <c r="P126" s="61" t="str">
        <f t="shared" si="13"/>
        <v/>
      </c>
    </row>
    <row r="127" spans="2:16" x14ac:dyDescent="0.25">
      <c r="B127" s="14">
        <f t="shared" si="14"/>
        <v>47150</v>
      </c>
      <c r="C127" s="210"/>
      <c r="D127" s="210"/>
      <c r="E127" s="211"/>
      <c r="F127" s="211"/>
      <c r="G127" s="211"/>
      <c r="H127" s="58"/>
      <c r="I127" s="58" t="str">
        <f t="shared" si="15"/>
        <v/>
      </c>
      <c r="J127" s="58" t="str">
        <f t="shared" si="16"/>
        <v/>
      </c>
      <c r="K127" s="58" t="str">
        <f t="shared" si="17"/>
        <v/>
      </c>
      <c r="L127" s="58" t="str">
        <f t="shared" si="18"/>
        <v/>
      </c>
      <c r="M127" s="58" t="str">
        <f t="shared" si="10"/>
        <v/>
      </c>
      <c r="N127" s="32" t="str">
        <f t="shared" si="11"/>
        <v/>
      </c>
      <c r="O127" s="61" t="str">
        <f t="shared" si="12"/>
        <v/>
      </c>
      <c r="P127" s="61" t="str">
        <f t="shared" si="13"/>
        <v/>
      </c>
    </row>
    <row r="128" spans="2:16" x14ac:dyDescent="0.25">
      <c r="B128" s="14">
        <f t="shared" si="14"/>
        <v>47178</v>
      </c>
      <c r="C128" s="210"/>
      <c r="D128" s="210"/>
      <c r="E128" s="211"/>
      <c r="F128" s="211"/>
      <c r="G128" s="211"/>
      <c r="H128" s="58"/>
      <c r="I128" s="58" t="str">
        <f t="shared" si="15"/>
        <v/>
      </c>
      <c r="J128" s="58" t="str">
        <f t="shared" si="16"/>
        <v/>
      </c>
      <c r="K128" s="58" t="str">
        <f t="shared" si="17"/>
        <v/>
      </c>
      <c r="L128" s="58" t="str">
        <f t="shared" si="18"/>
        <v/>
      </c>
      <c r="M128" s="58" t="str">
        <f t="shared" si="10"/>
        <v/>
      </c>
      <c r="N128" s="32" t="str">
        <f t="shared" si="11"/>
        <v/>
      </c>
      <c r="O128" s="61" t="str">
        <f t="shared" si="12"/>
        <v/>
      </c>
      <c r="P128" s="61" t="str">
        <f t="shared" si="13"/>
        <v/>
      </c>
    </row>
    <row r="129" spans="2:16" x14ac:dyDescent="0.25">
      <c r="B129" s="14">
        <f t="shared" si="14"/>
        <v>47209</v>
      </c>
      <c r="C129" s="210"/>
      <c r="D129" s="210"/>
      <c r="E129" s="211"/>
      <c r="F129" s="211"/>
      <c r="G129" s="211"/>
      <c r="H129" s="58"/>
      <c r="I129" s="58" t="str">
        <f t="shared" si="15"/>
        <v/>
      </c>
      <c r="J129" s="58" t="str">
        <f t="shared" si="16"/>
        <v/>
      </c>
      <c r="K129" s="58" t="str">
        <f t="shared" si="17"/>
        <v/>
      </c>
      <c r="L129" s="58" t="str">
        <f t="shared" si="18"/>
        <v/>
      </c>
      <c r="M129" s="58" t="str">
        <f t="shared" si="10"/>
        <v/>
      </c>
      <c r="N129" s="32" t="str">
        <f t="shared" si="11"/>
        <v/>
      </c>
      <c r="O129" s="61" t="str">
        <f t="shared" si="12"/>
        <v/>
      </c>
      <c r="P129" s="61" t="str">
        <f t="shared" si="13"/>
        <v/>
      </c>
    </row>
    <row r="130" spans="2:16" x14ac:dyDescent="0.25">
      <c r="B130" s="14">
        <f t="shared" si="14"/>
        <v>47239</v>
      </c>
      <c r="C130" s="210"/>
      <c r="D130" s="210"/>
      <c r="E130" s="211"/>
      <c r="F130" s="211"/>
      <c r="G130" s="211"/>
      <c r="H130" s="58"/>
      <c r="I130" s="58" t="str">
        <f t="shared" si="15"/>
        <v/>
      </c>
      <c r="J130" s="58" t="str">
        <f t="shared" si="16"/>
        <v/>
      </c>
      <c r="K130" s="58" t="str">
        <f t="shared" si="17"/>
        <v/>
      </c>
      <c r="L130" s="58" t="str">
        <f t="shared" si="18"/>
        <v/>
      </c>
      <c r="M130" s="58" t="str">
        <f t="shared" si="10"/>
        <v/>
      </c>
      <c r="N130" s="32" t="str">
        <f t="shared" si="11"/>
        <v/>
      </c>
      <c r="O130" s="61" t="str">
        <f t="shared" si="12"/>
        <v/>
      </c>
      <c r="P130" s="61" t="str">
        <f t="shared" si="13"/>
        <v/>
      </c>
    </row>
    <row r="131" spans="2:16" x14ac:dyDescent="0.25">
      <c r="B131" s="14">
        <f t="shared" si="14"/>
        <v>47270</v>
      </c>
      <c r="C131" s="210"/>
      <c r="D131" s="210"/>
      <c r="E131" s="211"/>
      <c r="F131" s="211"/>
      <c r="G131" s="211"/>
      <c r="H131" s="58"/>
      <c r="I131" s="58" t="str">
        <f t="shared" si="15"/>
        <v/>
      </c>
      <c r="J131" s="58" t="str">
        <f t="shared" si="16"/>
        <v/>
      </c>
      <c r="K131" s="58" t="str">
        <f t="shared" si="17"/>
        <v/>
      </c>
      <c r="L131" s="58" t="str">
        <f t="shared" si="18"/>
        <v/>
      </c>
      <c r="M131" s="58" t="str">
        <f t="shared" si="10"/>
        <v/>
      </c>
      <c r="N131" s="32" t="str">
        <f t="shared" si="11"/>
        <v/>
      </c>
      <c r="O131" s="61" t="str">
        <f t="shared" si="12"/>
        <v/>
      </c>
      <c r="P131" s="61" t="str">
        <f t="shared" si="13"/>
        <v/>
      </c>
    </row>
    <row r="132" spans="2:16" x14ac:dyDescent="0.25">
      <c r="B132" s="14">
        <f t="shared" si="14"/>
        <v>47300</v>
      </c>
      <c r="C132" s="210"/>
      <c r="D132" s="210"/>
      <c r="E132" s="211"/>
      <c r="F132" s="211"/>
      <c r="G132" s="211"/>
      <c r="H132" s="58"/>
      <c r="I132" s="58" t="str">
        <f t="shared" si="15"/>
        <v/>
      </c>
      <c r="J132" s="58" t="str">
        <f t="shared" si="16"/>
        <v/>
      </c>
      <c r="K132" s="58" t="str">
        <f t="shared" si="17"/>
        <v/>
      </c>
      <c r="L132" s="58" t="str">
        <f t="shared" si="18"/>
        <v/>
      </c>
      <c r="M132" s="58" t="str">
        <f t="shared" si="10"/>
        <v/>
      </c>
      <c r="N132" s="32" t="str">
        <f t="shared" si="11"/>
        <v/>
      </c>
      <c r="O132" s="61" t="str">
        <f t="shared" si="12"/>
        <v/>
      </c>
      <c r="P132" s="61" t="str">
        <f t="shared" si="13"/>
        <v/>
      </c>
    </row>
    <row r="133" spans="2:16" x14ac:dyDescent="0.25">
      <c r="B133" s="14">
        <f t="shared" si="14"/>
        <v>47331</v>
      </c>
      <c r="C133" s="210"/>
      <c r="D133" s="210"/>
      <c r="E133" s="211"/>
      <c r="F133" s="211"/>
      <c r="G133" s="211"/>
      <c r="H133" s="58"/>
      <c r="I133" s="58" t="str">
        <f t="shared" si="15"/>
        <v/>
      </c>
      <c r="J133" s="58" t="str">
        <f t="shared" si="16"/>
        <v/>
      </c>
      <c r="K133" s="58" t="str">
        <f t="shared" si="17"/>
        <v/>
      </c>
      <c r="L133" s="58" t="str">
        <f t="shared" si="18"/>
        <v/>
      </c>
      <c r="M133" s="58" t="str">
        <f t="shared" si="10"/>
        <v/>
      </c>
      <c r="N133" s="32" t="str">
        <f t="shared" si="11"/>
        <v/>
      </c>
      <c r="O133" s="61" t="str">
        <f t="shared" si="12"/>
        <v/>
      </c>
      <c r="P133" s="61" t="str">
        <f t="shared" si="13"/>
        <v/>
      </c>
    </row>
    <row r="134" spans="2:16" x14ac:dyDescent="0.25">
      <c r="B134" s="14">
        <f t="shared" si="14"/>
        <v>47362</v>
      </c>
      <c r="C134" s="210"/>
      <c r="D134" s="210"/>
      <c r="E134" s="211"/>
      <c r="F134" s="211"/>
      <c r="G134" s="211"/>
      <c r="H134" s="58"/>
      <c r="I134" s="58" t="str">
        <f t="shared" si="15"/>
        <v/>
      </c>
      <c r="J134" s="58" t="str">
        <f t="shared" si="16"/>
        <v/>
      </c>
      <c r="K134" s="58" t="str">
        <f t="shared" si="17"/>
        <v/>
      </c>
      <c r="L134" s="58" t="str">
        <f t="shared" si="18"/>
        <v/>
      </c>
      <c r="M134" s="58" t="str">
        <f t="shared" ref="M134:M197" si="19">IFERROR(J134*1000/I134,"")</f>
        <v/>
      </c>
      <c r="N134" s="32" t="str">
        <f t="shared" ref="N134:N197" si="20">IFERROR(K134 / (K134+I134),"")</f>
        <v/>
      </c>
      <c r="O134" s="61" t="str">
        <f t="shared" ref="O134:O197" si="21">IFERROR(I134/(J134/1000),"")</f>
        <v/>
      </c>
      <c r="P134" s="61" t="str">
        <f t="shared" ref="P134:P197" si="22">IFERROR(G134/(E134/1000),"")</f>
        <v/>
      </c>
    </row>
    <row r="135" spans="2:16" x14ac:dyDescent="0.25">
      <c r="B135" s="14">
        <f t="shared" ref="B135:B198" si="23">EOMONTH(B134,0)+1</f>
        <v>47392</v>
      </c>
      <c r="C135" s="210"/>
      <c r="D135" s="210"/>
      <c r="E135" s="211"/>
      <c r="F135" s="211"/>
      <c r="G135" s="211"/>
      <c r="H135" s="58"/>
      <c r="I135" s="58" t="str">
        <f t="shared" ref="I135:I198" si="24">IF(D135&gt;0,D135/($B136-$B135),"")</f>
        <v/>
      </c>
      <c r="J135" s="58" t="str">
        <f t="shared" ref="J135:J198" si="25">IF(E135&gt;0,E135/($B136-$B135),"")</f>
        <v/>
      </c>
      <c r="K135" s="58" t="str">
        <f t="shared" ref="K135:K198" si="26">IF(F135&gt;0,F135/($B136-$B135),"")</f>
        <v/>
      </c>
      <c r="L135" s="58" t="str">
        <f t="shared" ref="L135:L198" si="27">IF(G135&gt;0,G135/($B136-$B135),"")</f>
        <v/>
      </c>
      <c r="M135" s="58" t="str">
        <f t="shared" si="19"/>
        <v/>
      </c>
      <c r="N135" s="32" t="str">
        <f t="shared" si="20"/>
        <v/>
      </c>
      <c r="O135" s="61" t="str">
        <f t="shared" si="21"/>
        <v/>
      </c>
      <c r="P135" s="61" t="str">
        <f t="shared" si="22"/>
        <v/>
      </c>
    </row>
    <row r="136" spans="2:16" x14ac:dyDescent="0.25">
      <c r="B136" s="14">
        <f t="shared" si="23"/>
        <v>47423</v>
      </c>
      <c r="C136" s="210"/>
      <c r="D136" s="210"/>
      <c r="E136" s="211"/>
      <c r="F136" s="211"/>
      <c r="G136" s="211"/>
      <c r="H136" s="58"/>
      <c r="I136" s="58" t="str">
        <f t="shared" si="24"/>
        <v/>
      </c>
      <c r="J136" s="58" t="str">
        <f t="shared" si="25"/>
        <v/>
      </c>
      <c r="K136" s="58" t="str">
        <f t="shared" si="26"/>
        <v/>
      </c>
      <c r="L136" s="58" t="str">
        <f t="shared" si="27"/>
        <v/>
      </c>
      <c r="M136" s="58" t="str">
        <f t="shared" si="19"/>
        <v/>
      </c>
      <c r="N136" s="32" t="str">
        <f t="shared" si="20"/>
        <v/>
      </c>
      <c r="O136" s="61" t="str">
        <f t="shared" si="21"/>
        <v/>
      </c>
      <c r="P136" s="61" t="str">
        <f t="shared" si="22"/>
        <v/>
      </c>
    </row>
    <row r="137" spans="2:16" x14ac:dyDescent="0.25">
      <c r="B137" s="20">
        <f t="shared" si="23"/>
        <v>47453</v>
      </c>
      <c r="C137" s="212"/>
      <c r="D137" s="212"/>
      <c r="E137" s="213"/>
      <c r="F137" s="213"/>
      <c r="G137" s="213"/>
      <c r="H137" s="58"/>
      <c r="I137" s="59" t="str">
        <f t="shared" si="24"/>
        <v/>
      </c>
      <c r="J137" s="59" t="str">
        <f t="shared" si="25"/>
        <v/>
      </c>
      <c r="K137" s="59" t="str">
        <f t="shared" si="26"/>
        <v/>
      </c>
      <c r="L137" s="59" t="str">
        <f t="shared" si="27"/>
        <v/>
      </c>
      <c r="M137" s="59" t="str">
        <f t="shared" si="19"/>
        <v/>
      </c>
      <c r="N137" s="60" t="str">
        <f t="shared" si="20"/>
        <v/>
      </c>
      <c r="O137" s="62" t="str">
        <f t="shared" si="21"/>
        <v/>
      </c>
      <c r="P137" s="62" t="str">
        <f t="shared" si="22"/>
        <v/>
      </c>
    </row>
    <row r="138" spans="2:16" x14ac:dyDescent="0.25">
      <c r="B138" s="14">
        <f t="shared" si="23"/>
        <v>47484</v>
      </c>
      <c r="C138" s="210"/>
      <c r="D138" s="210"/>
      <c r="E138" s="211"/>
      <c r="F138" s="211"/>
      <c r="G138" s="211"/>
      <c r="H138" s="58"/>
      <c r="I138" s="58" t="str">
        <f t="shared" si="24"/>
        <v/>
      </c>
      <c r="J138" s="58" t="str">
        <f t="shared" si="25"/>
        <v/>
      </c>
      <c r="K138" s="58" t="str">
        <f t="shared" si="26"/>
        <v/>
      </c>
      <c r="L138" s="58" t="str">
        <f t="shared" si="27"/>
        <v/>
      </c>
      <c r="M138" s="58" t="str">
        <f t="shared" si="19"/>
        <v/>
      </c>
      <c r="N138" s="32" t="str">
        <f t="shared" si="20"/>
        <v/>
      </c>
      <c r="O138" s="61" t="str">
        <f t="shared" si="21"/>
        <v/>
      </c>
      <c r="P138" s="61" t="str">
        <f t="shared" si="22"/>
        <v/>
      </c>
    </row>
    <row r="139" spans="2:16" x14ac:dyDescent="0.25">
      <c r="B139" s="14">
        <f t="shared" si="23"/>
        <v>47515</v>
      </c>
      <c r="C139" s="210"/>
      <c r="D139" s="210"/>
      <c r="E139" s="211"/>
      <c r="F139" s="211"/>
      <c r="G139" s="211"/>
      <c r="H139" s="58"/>
      <c r="I139" s="58" t="str">
        <f t="shared" si="24"/>
        <v/>
      </c>
      <c r="J139" s="58" t="str">
        <f t="shared" si="25"/>
        <v/>
      </c>
      <c r="K139" s="58" t="str">
        <f t="shared" si="26"/>
        <v/>
      </c>
      <c r="L139" s="58" t="str">
        <f t="shared" si="27"/>
        <v/>
      </c>
      <c r="M139" s="58" t="str">
        <f t="shared" si="19"/>
        <v/>
      </c>
      <c r="N139" s="32" t="str">
        <f t="shared" si="20"/>
        <v/>
      </c>
      <c r="O139" s="61" t="str">
        <f t="shared" si="21"/>
        <v/>
      </c>
      <c r="P139" s="61" t="str">
        <f t="shared" si="22"/>
        <v/>
      </c>
    </row>
    <row r="140" spans="2:16" x14ac:dyDescent="0.25">
      <c r="B140" s="14">
        <f t="shared" si="23"/>
        <v>47543</v>
      </c>
      <c r="C140" s="210"/>
      <c r="D140" s="210"/>
      <c r="E140" s="211"/>
      <c r="F140" s="211"/>
      <c r="G140" s="211"/>
      <c r="H140" s="58"/>
      <c r="I140" s="58" t="str">
        <f t="shared" si="24"/>
        <v/>
      </c>
      <c r="J140" s="58" t="str">
        <f t="shared" si="25"/>
        <v/>
      </c>
      <c r="K140" s="58" t="str">
        <f t="shared" si="26"/>
        <v/>
      </c>
      <c r="L140" s="58" t="str">
        <f t="shared" si="27"/>
        <v/>
      </c>
      <c r="M140" s="58" t="str">
        <f t="shared" si="19"/>
        <v/>
      </c>
      <c r="N140" s="32" t="str">
        <f t="shared" si="20"/>
        <v/>
      </c>
      <c r="O140" s="61" t="str">
        <f t="shared" si="21"/>
        <v/>
      </c>
      <c r="P140" s="61" t="str">
        <f t="shared" si="22"/>
        <v/>
      </c>
    </row>
    <row r="141" spans="2:16" x14ac:dyDescent="0.25">
      <c r="B141" s="14">
        <f t="shared" si="23"/>
        <v>47574</v>
      </c>
      <c r="C141" s="210"/>
      <c r="D141" s="210"/>
      <c r="E141" s="211"/>
      <c r="F141" s="211"/>
      <c r="G141" s="211"/>
      <c r="H141" s="58"/>
      <c r="I141" s="58" t="str">
        <f t="shared" si="24"/>
        <v/>
      </c>
      <c r="J141" s="58" t="str">
        <f t="shared" si="25"/>
        <v/>
      </c>
      <c r="K141" s="58" t="str">
        <f t="shared" si="26"/>
        <v/>
      </c>
      <c r="L141" s="58" t="str">
        <f t="shared" si="27"/>
        <v/>
      </c>
      <c r="M141" s="58" t="str">
        <f t="shared" si="19"/>
        <v/>
      </c>
      <c r="N141" s="32" t="str">
        <f t="shared" si="20"/>
        <v/>
      </c>
      <c r="O141" s="61" t="str">
        <f t="shared" si="21"/>
        <v/>
      </c>
      <c r="P141" s="61" t="str">
        <f t="shared" si="22"/>
        <v/>
      </c>
    </row>
    <row r="142" spans="2:16" x14ac:dyDescent="0.25">
      <c r="B142" s="14">
        <f t="shared" si="23"/>
        <v>47604</v>
      </c>
      <c r="C142" s="210"/>
      <c r="D142" s="210"/>
      <c r="E142" s="211"/>
      <c r="F142" s="211"/>
      <c r="G142" s="211"/>
      <c r="H142" s="58"/>
      <c r="I142" s="58" t="str">
        <f t="shared" si="24"/>
        <v/>
      </c>
      <c r="J142" s="58" t="str">
        <f t="shared" si="25"/>
        <v/>
      </c>
      <c r="K142" s="58" t="str">
        <f t="shared" si="26"/>
        <v/>
      </c>
      <c r="L142" s="58" t="str">
        <f t="shared" si="27"/>
        <v/>
      </c>
      <c r="M142" s="58" t="str">
        <f t="shared" si="19"/>
        <v/>
      </c>
      <c r="N142" s="32" t="str">
        <f t="shared" si="20"/>
        <v/>
      </c>
      <c r="O142" s="61" t="str">
        <f t="shared" si="21"/>
        <v/>
      </c>
      <c r="P142" s="61" t="str">
        <f t="shared" si="22"/>
        <v/>
      </c>
    </row>
    <row r="143" spans="2:16" x14ac:dyDescent="0.25">
      <c r="B143" s="14">
        <f t="shared" si="23"/>
        <v>47635</v>
      </c>
      <c r="C143" s="210"/>
      <c r="D143" s="210"/>
      <c r="E143" s="211"/>
      <c r="F143" s="211"/>
      <c r="G143" s="211"/>
      <c r="H143" s="58"/>
      <c r="I143" s="58" t="str">
        <f t="shared" si="24"/>
        <v/>
      </c>
      <c r="J143" s="58" t="str">
        <f t="shared" si="25"/>
        <v/>
      </c>
      <c r="K143" s="58" t="str">
        <f t="shared" si="26"/>
        <v/>
      </c>
      <c r="L143" s="58" t="str">
        <f t="shared" si="27"/>
        <v/>
      </c>
      <c r="M143" s="58" t="str">
        <f t="shared" si="19"/>
        <v/>
      </c>
      <c r="N143" s="32" t="str">
        <f t="shared" si="20"/>
        <v/>
      </c>
      <c r="O143" s="61" t="str">
        <f t="shared" si="21"/>
        <v/>
      </c>
      <c r="P143" s="61" t="str">
        <f t="shared" si="22"/>
        <v/>
      </c>
    </row>
    <row r="144" spans="2:16" x14ac:dyDescent="0.25">
      <c r="B144" s="14">
        <f t="shared" si="23"/>
        <v>47665</v>
      </c>
      <c r="C144" s="210"/>
      <c r="D144" s="210"/>
      <c r="E144" s="211"/>
      <c r="F144" s="211"/>
      <c r="G144" s="211"/>
      <c r="H144" s="58"/>
      <c r="I144" s="58" t="str">
        <f t="shared" si="24"/>
        <v/>
      </c>
      <c r="J144" s="58" t="str">
        <f t="shared" si="25"/>
        <v/>
      </c>
      <c r="K144" s="58" t="str">
        <f t="shared" si="26"/>
        <v/>
      </c>
      <c r="L144" s="58" t="str">
        <f t="shared" si="27"/>
        <v/>
      </c>
      <c r="M144" s="58" t="str">
        <f t="shared" si="19"/>
        <v/>
      </c>
      <c r="N144" s="32" t="str">
        <f t="shared" si="20"/>
        <v/>
      </c>
      <c r="O144" s="61" t="str">
        <f t="shared" si="21"/>
        <v/>
      </c>
      <c r="P144" s="61" t="str">
        <f t="shared" si="22"/>
        <v/>
      </c>
    </row>
    <row r="145" spans="2:16" x14ac:dyDescent="0.25">
      <c r="B145" s="14">
        <f t="shared" si="23"/>
        <v>47696</v>
      </c>
      <c r="C145" s="210"/>
      <c r="D145" s="210"/>
      <c r="E145" s="211"/>
      <c r="F145" s="211"/>
      <c r="G145" s="211"/>
      <c r="H145" s="58"/>
      <c r="I145" s="58" t="str">
        <f t="shared" si="24"/>
        <v/>
      </c>
      <c r="J145" s="58" t="str">
        <f t="shared" si="25"/>
        <v/>
      </c>
      <c r="K145" s="58" t="str">
        <f t="shared" si="26"/>
        <v/>
      </c>
      <c r="L145" s="58" t="str">
        <f t="shared" si="27"/>
        <v/>
      </c>
      <c r="M145" s="58" t="str">
        <f t="shared" si="19"/>
        <v/>
      </c>
      <c r="N145" s="32" t="str">
        <f t="shared" si="20"/>
        <v/>
      </c>
      <c r="O145" s="61" t="str">
        <f t="shared" si="21"/>
        <v/>
      </c>
      <c r="P145" s="61" t="str">
        <f t="shared" si="22"/>
        <v/>
      </c>
    </row>
    <row r="146" spans="2:16" x14ac:dyDescent="0.25">
      <c r="B146" s="14">
        <f t="shared" si="23"/>
        <v>47727</v>
      </c>
      <c r="C146" s="210"/>
      <c r="D146" s="210"/>
      <c r="E146" s="211"/>
      <c r="F146" s="211"/>
      <c r="G146" s="211"/>
      <c r="H146" s="58"/>
      <c r="I146" s="58" t="str">
        <f t="shared" si="24"/>
        <v/>
      </c>
      <c r="J146" s="58" t="str">
        <f t="shared" si="25"/>
        <v/>
      </c>
      <c r="K146" s="58" t="str">
        <f t="shared" si="26"/>
        <v/>
      </c>
      <c r="L146" s="58" t="str">
        <f t="shared" si="27"/>
        <v/>
      </c>
      <c r="M146" s="58" t="str">
        <f t="shared" si="19"/>
        <v/>
      </c>
      <c r="N146" s="32" t="str">
        <f t="shared" si="20"/>
        <v/>
      </c>
      <c r="O146" s="61" t="str">
        <f t="shared" si="21"/>
        <v/>
      </c>
      <c r="P146" s="61" t="str">
        <f t="shared" si="22"/>
        <v/>
      </c>
    </row>
    <row r="147" spans="2:16" x14ac:dyDescent="0.25">
      <c r="B147" s="14">
        <f t="shared" si="23"/>
        <v>47757</v>
      </c>
      <c r="C147" s="210"/>
      <c r="D147" s="210"/>
      <c r="E147" s="211"/>
      <c r="F147" s="211"/>
      <c r="G147" s="211"/>
      <c r="H147" s="58"/>
      <c r="I147" s="58" t="str">
        <f t="shared" si="24"/>
        <v/>
      </c>
      <c r="J147" s="58" t="str">
        <f t="shared" si="25"/>
        <v/>
      </c>
      <c r="K147" s="58" t="str">
        <f t="shared" si="26"/>
        <v/>
      </c>
      <c r="L147" s="58" t="str">
        <f t="shared" si="27"/>
        <v/>
      </c>
      <c r="M147" s="58" t="str">
        <f t="shared" si="19"/>
        <v/>
      </c>
      <c r="N147" s="32" t="str">
        <f t="shared" si="20"/>
        <v/>
      </c>
      <c r="O147" s="61" t="str">
        <f t="shared" si="21"/>
        <v/>
      </c>
      <c r="P147" s="61" t="str">
        <f t="shared" si="22"/>
        <v/>
      </c>
    </row>
    <row r="148" spans="2:16" x14ac:dyDescent="0.25">
      <c r="B148" s="14">
        <f t="shared" si="23"/>
        <v>47788</v>
      </c>
      <c r="C148" s="210"/>
      <c r="D148" s="210"/>
      <c r="E148" s="211"/>
      <c r="F148" s="211"/>
      <c r="G148" s="211"/>
      <c r="H148" s="58"/>
      <c r="I148" s="58" t="str">
        <f t="shared" si="24"/>
        <v/>
      </c>
      <c r="J148" s="58" t="str">
        <f t="shared" si="25"/>
        <v/>
      </c>
      <c r="K148" s="58" t="str">
        <f t="shared" si="26"/>
        <v/>
      </c>
      <c r="L148" s="58" t="str">
        <f t="shared" si="27"/>
        <v/>
      </c>
      <c r="M148" s="58" t="str">
        <f t="shared" si="19"/>
        <v/>
      </c>
      <c r="N148" s="32" t="str">
        <f t="shared" si="20"/>
        <v/>
      </c>
      <c r="O148" s="61" t="str">
        <f t="shared" si="21"/>
        <v/>
      </c>
      <c r="P148" s="61" t="str">
        <f t="shared" si="22"/>
        <v/>
      </c>
    </row>
    <row r="149" spans="2:16" x14ac:dyDescent="0.25">
      <c r="B149" s="20">
        <f t="shared" si="23"/>
        <v>47818</v>
      </c>
      <c r="C149" s="212"/>
      <c r="D149" s="212"/>
      <c r="E149" s="213"/>
      <c r="F149" s="213"/>
      <c r="G149" s="213"/>
      <c r="H149" s="58"/>
      <c r="I149" s="59" t="str">
        <f t="shared" si="24"/>
        <v/>
      </c>
      <c r="J149" s="59" t="str">
        <f t="shared" si="25"/>
        <v/>
      </c>
      <c r="K149" s="59" t="str">
        <f t="shared" si="26"/>
        <v/>
      </c>
      <c r="L149" s="59" t="str">
        <f t="shared" si="27"/>
        <v/>
      </c>
      <c r="M149" s="59" t="str">
        <f t="shared" si="19"/>
        <v/>
      </c>
      <c r="N149" s="60" t="str">
        <f t="shared" si="20"/>
        <v/>
      </c>
      <c r="O149" s="62" t="str">
        <f t="shared" si="21"/>
        <v/>
      </c>
      <c r="P149" s="62" t="str">
        <f t="shared" si="22"/>
        <v/>
      </c>
    </row>
    <row r="150" spans="2:16" x14ac:dyDescent="0.25">
      <c r="B150" s="14">
        <f t="shared" si="23"/>
        <v>47849</v>
      </c>
      <c r="C150" s="210"/>
      <c r="D150" s="210"/>
      <c r="E150" s="211"/>
      <c r="F150" s="211"/>
      <c r="G150" s="211"/>
      <c r="H150" s="58"/>
      <c r="I150" s="58" t="str">
        <f t="shared" si="24"/>
        <v/>
      </c>
      <c r="J150" s="58" t="str">
        <f t="shared" si="25"/>
        <v/>
      </c>
      <c r="K150" s="58" t="str">
        <f t="shared" si="26"/>
        <v/>
      </c>
      <c r="L150" s="58" t="str">
        <f t="shared" si="27"/>
        <v/>
      </c>
      <c r="M150" s="58" t="str">
        <f t="shared" si="19"/>
        <v/>
      </c>
      <c r="N150" s="32" t="str">
        <f t="shared" si="20"/>
        <v/>
      </c>
      <c r="O150" s="61" t="str">
        <f t="shared" si="21"/>
        <v/>
      </c>
      <c r="P150" s="61" t="str">
        <f t="shared" si="22"/>
        <v/>
      </c>
    </row>
    <row r="151" spans="2:16" x14ac:dyDescent="0.25">
      <c r="B151" s="14">
        <f t="shared" si="23"/>
        <v>47880</v>
      </c>
      <c r="C151" s="210"/>
      <c r="D151" s="210"/>
      <c r="E151" s="211"/>
      <c r="F151" s="211"/>
      <c r="G151" s="211"/>
      <c r="H151" s="58"/>
      <c r="I151" s="58" t="str">
        <f t="shared" si="24"/>
        <v/>
      </c>
      <c r="J151" s="58" t="str">
        <f t="shared" si="25"/>
        <v/>
      </c>
      <c r="K151" s="58" t="str">
        <f t="shared" si="26"/>
        <v/>
      </c>
      <c r="L151" s="58" t="str">
        <f t="shared" si="27"/>
        <v/>
      </c>
      <c r="M151" s="58" t="str">
        <f t="shared" si="19"/>
        <v/>
      </c>
      <c r="N151" s="32" t="str">
        <f t="shared" si="20"/>
        <v/>
      </c>
      <c r="O151" s="61" t="str">
        <f t="shared" si="21"/>
        <v/>
      </c>
      <c r="P151" s="61" t="str">
        <f t="shared" si="22"/>
        <v/>
      </c>
    </row>
    <row r="152" spans="2:16" x14ac:dyDescent="0.25">
      <c r="B152" s="14">
        <f t="shared" si="23"/>
        <v>47908</v>
      </c>
      <c r="C152" s="210"/>
      <c r="D152" s="210"/>
      <c r="E152" s="211"/>
      <c r="F152" s="211"/>
      <c r="G152" s="211"/>
      <c r="H152" s="58"/>
      <c r="I152" s="58" t="str">
        <f t="shared" si="24"/>
        <v/>
      </c>
      <c r="J152" s="58" t="str">
        <f t="shared" si="25"/>
        <v/>
      </c>
      <c r="K152" s="58" t="str">
        <f t="shared" si="26"/>
        <v/>
      </c>
      <c r="L152" s="58" t="str">
        <f t="shared" si="27"/>
        <v/>
      </c>
      <c r="M152" s="58" t="str">
        <f t="shared" si="19"/>
        <v/>
      </c>
      <c r="N152" s="32" t="str">
        <f t="shared" si="20"/>
        <v/>
      </c>
      <c r="O152" s="61" t="str">
        <f t="shared" si="21"/>
        <v/>
      </c>
      <c r="P152" s="61" t="str">
        <f t="shared" si="22"/>
        <v/>
      </c>
    </row>
    <row r="153" spans="2:16" x14ac:dyDescent="0.25">
      <c r="B153" s="14">
        <f t="shared" si="23"/>
        <v>47939</v>
      </c>
      <c r="C153" s="210"/>
      <c r="D153" s="210"/>
      <c r="E153" s="211"/>
      <c r="F153" s="211"/>
      <c r="G153" s="211"/>
      <c r="H153" s="58"/>
      <c r="I153" s="58" t="str">
        <f t="shared" si="24"/>
        <v/>
      </c>
      <c r="J153" s="58" t="str">
        <f t="shared" si="25"/>
        <v/>
      </c>
      <c r="K153" s="58" t="str">
        <f t="shared" si="26"/>
        <v/>
      </c>
      <c r="L153" s="58" t="str">
        <f t="shared" si="27"/>
        <v/>
      </c>
      <c r="M153" s="58" t="str">
        <f t="shared" si="19"/>
        <v/>
      </c>
      <c r="N153" s="32" t="str">
        <f t="shared" si="20"/>
        <v/>
      </c>
      <c r="O153" s="61" t="str">
        <f t="shared" si="21"/>
        <v/>
      </c>
      <c r="P153" s="61" t="str">
        <f t="shared" si="22"/>
        <v/>
      </c>
    </row>
    <row r="154" spans="2:16" x14ac:dyDescent="0.25">
      <c r="B154" s="14">
        <f t="shared" si="23"/>
        <v>47969</v>
      </c>
      <c r="C154" s="210"/>
      <c r="D154" s="210"/>
      <c r="E154" s="211"/>
      <c r="F154" s="211"/>
      <c r="G154" s="211"/>
      <c r="H154" s="58"/>
      <c r="I154" s="58" t="str">
        <f t="shared" si="24"/>
        <v/>
      </c>
      <c r="J154" s="58" t="str">
        <f t="shared" si="25"/>
        <v/>
      </c>
      <c r="K154" s="58" t="str">
        <f t="shared" si="26"/>
        <v/>
      </c>
      <c r="L154" s="58" t="str">
        <f t="shared" si="27"/>
        <v/>
      </c>
      <c r="M154" s="58" t="str">
        <f t="shared" si="19"/>
        <v/>
      </c>
      <c r="N154" s="32" t="str">
        <f t="shared" si="20"/>
        <v/>
      </c>
      <c r="O154" s="61" t="str">
        <f t="shared" si="21"/>
        <v/>
      </c>
      <c r="P154" s="61" t="str">
        <f t="shared" si="22"/>
        <v/>
      </c>
    </row>
    <row r="155" spans="2:16" x14ac:dyDescent="0.25">
      <c r="B155" s="14">
        <f t="shared" si="23"/>
        <v>48000</v>
      </c>
      <c r="C155" s="210"/>
      <c r="D155" s="210"/>
      <c r="E155" s="211"/>
      <c r="F155" s="211"/>
      <c r="G155" s="211"/>
      <c r="H155" s="58"/>
      <c r="I155" s="58" t="str">
        <f t="shared" si="24"/>
        <v/>
      </c>
      <c r="J155" s="58" t="str">
        <f t="shared" si="25"/>
        <v/>
      </c>
      <c r="K155" s="58" t="str">
        <f t="shared" si="26"/>
        <v/>
      </c>
      <c r="L155" s="58" t="str">
        <f t="shared" si="27"/>
        <v/>
      </c>
      <c r="M155" s="58" t="str">
        <f t="shared" si="19"/>
        <v/>
      </c>
      <c r="N155" s="32" t="str">
        <f t="shared" si="20"/>
        <v/>
      </c>
      <c r="O155" s="61" t="str">
        <f t="shared" si="21"/>
        <v/>
      </c>
      <c r="P155" s="61" t="str">
        <f t="shared" si="22"/>
        <v/>
      </c>
    </row>
    <row r="156" spans="2:16" x14ac:dyDescent="0.25">
      <c r="B156" s="14">
        <f t="shared" si="23"/>
        <v>48030</v>
      </c>
      <c r="C156" s="210"/>
      <c r="D156" s="210"/>
      <c r="E156" s="211"/>
      <c r="F156" s="211"/>
      <c r="G156" s="211"/>
      <c r="H156" s="58"/>
      <c r="I156" s="58" t="str">
        <f t="shared" si="24"/>
        <v/>
      </c>
      <c r="J156" s="58" t="str">
        <f t="shared" si="25"/>
        <v/>
      </c>
      <c r="K156" s="58" t="str">
        <f t="shared" si="26"/>
        <v/>
      </c>
      <c r="L156" s="58" t="str">
        <f t="shared" si="27"/>
        <v/>
      </c>
      <c r="M156" s="58" t="str">
        <f t="shared" si="19"/>
        <v/>
      </c>
      <c r="N156" s="32" t="str">
        <f t="shared" si="20"/>
        <v/>
      </c>
      <c r="O156" s="61" t="str">
        <f t="shared" si="21"/>
        <v/>
      </c>
      <c r="P156" s="61" t="str">
        <f t="shared" si="22"/>
        <v/>
      </c>
    </row>
    <row r="157" spans="2:16" x14ac:dyDescent="0.25">
      <c r="B157" s="14">
        <f t="shared" si="23"/>
        <v>48061</v>
      </c>
      <c r="C157" s="210"/>
      <c r="D157" s="210"/>
      <c r="E157" s="211"/>
      <c r="F157" s="211"/>
      <c r="G157" s="211"/>
      <c r="H157" s="58"/>
      <c r="I157" s="58" t="str">
        <f t="shared" si="24"/>
        <v/>
      </c>
      <c r="J157" s="58" t="str">
        <f t="shared" si="25"/>
        <v/>
      </c>
      <c r="K157" s="58" t="str">
        <f t="shared" si="26"/>
        <v/>
      </c>
      <c r="L157" s="58" t="str">
        <f t="shared" si="27"/>
        <v/>
      </c>
      <c r="M157" s="58" t="str">
        <f t="shared" si="19"/>
        <v/>
      </c>
      <c r="N157" s="32" t="str">
        <f t="shared" si="20"/>
        <v/>
      </c>
      <c r="O157" s="61" t="str">
        <f t="shared" si="21"/>
        <v/>
      </c>
      <c r="P157" s="61" t="str">
        <f t="shared" si="22"/>
        <v/>
      </c>
    </row>
    <row r="158" spans="2:16" x14ac:dyDescent="0.25">
      <c r="B158" s="14">
        <f t="shared" si="23"/>
        <v>48092</v>
      </c>
      <c r="C158" s="210"/>
      <c r="D158" s="210"/>
      <c r="E158" s="211"/>
      <c r="F158" s="211"/>
      <c r="G158" s="211"/>
      <c r="H158" s="58"/>
      <c r="I158" s="58" t="str">
        <f t="shared" si="24"/>
        <v/>
      </c>
      <c r="J158" s="58" t="str">
        <f t="shared" si="25"/>
        <v/>
      </c>
      <c r="K158" s="58" t="str">
        <f t="shared" si="26"/>
        <v/>
      </c>
      <c r="L158" s="58" t="str">
        <f t="shared" si="27"/>
        <v/>
      </c>
      <c r="M158" s="58" t="str">
        <f t="shared" si="19"/>
        <v/>
      </c>
      <c r="N158" s="32" t="str">
        <f t="shared" si="20"/>
        <v/>
      </c>
      <c r="O158" s="61" t="str">
        <f t="shared" si="21"/>
        <v/>
      </c>
      <c r="P158" s="61" t="str">
        <f t="shared" si="22"/>
        <v/>
      </c>
    </row>
    <row r="159" spans="2:16" x14ac:dyDescent="0.25">
      <c r="B159" s="14">
        <f t="shared" si="23"/>
        <v>48122</v>
      </c>
      <c r="C159" s="210"/>
      <c r="D159" s="210"/>
      <c r="E159" s="211"/>
      <c r="F159" s="211"/>
      <c r="G159" s="211"/>
      <c r="H159" s="58"/>
      <c r="I159" s="58" t="str">
        <f t="shared" si="24"/>
        <v/>
      </c>
      <c r="J159" s="58" t="str">
        <f t="shared" si="25"/>
        <v/>
      </c>
      <c r="K159" s="58" t="str">
        <f t="shared" si="26"/>
        <v/>
      </c>
      <c r="L159" s="58" t="str">
        <f t="shared" si="27"/>
        <v/>
      </c>
      <c r="M159" s="58" t="str">
        <f t="shared" si="19"/>
        <v/>
      </c>
      <c r="N159" s="32" t="str">
        <f t="shared" si="20"/>
        <v/>
      </c>
      <c r="O159" s="61" t="str">
        <f t="shared" si="21"/>
        <v/>
      </c>
      <c r="P159" s="61" t="str">
        <f t="shared" si="22"/>
        <v/>
      </c>
    </row>
    <row r="160" spans="2:16" x14ac:dyDescent="0.25">
      <c r="B160" s="14">
        <f t="shared" si="23"/>
        <v>48153</v>
      </c>
      <c r="C160" s="210"/>
      <c r="D160" s="210"/>
      <c r="E160" s="211"/>
      <c r="F160" s="211"/>
      <c r="G160" s="211"/>
      <c r="H160" s="58"/>
      <c r="I160" s="58" t="str">
        <f t="shared" si="24"/>
        <v/>
      </c>
      <c r="J160" s="58" t="str">
        <f t="shared" si="25"/>
        <v/>
      </c>
      <c r="K160" s="58" t="str">
        <f t="shared" si="26"/>
        <v/>
      </c>
      <c r="L160" s="58" t="str">
        <f t="shared" si="27"/>
        <v/>
      </c>
      <c r="M160" s="58" t="str">
        <f t="shared" si="19"/>
        <v/>
      </c>
      <c r="N160" s="32" t="str">
        <f t="shared" si="20"/>
        <v/>
      </c>
      <c r="O160" s="61" t="str">
        <f t="shared" si="21"/>
        <v/>
      </c>
      <c r="P160" s="61" t="str">
        <f t="shared" si="22"/>
        <v/>
      </c>
    </row>
    <row r="161" spans="2:16" x14ac:dyDescent="0.25">
      <c r="B161" s="20">
        <f t="shared" si="23"/>
        <v>48183</v>
      </c>
      <c r="C161" s="212"/>
      <c r="D161" s="212"/>
      <c r="E161" s="213"/>
      <c r="F161" s="213"/>
      <c r="G161" s="213"/>
      <c r="H161" s="58"/>
      <c r="I161" s="59" t="str">
        <f t="shared" si="24"/>
        <v/>
      </c>
      <c r="J161" s="59" t="str">
        <f t="shared" si="25"/>
        <v/>
      </c>
      <c r="K161" s="59" t="str">
        <f t="shared" si="26"/>
        <v/>
      </c>
      <c r="L161" s="59" t="str">
        <f t="shared" si="27"/>
        <v/>
      </c>
      <c r="M161" s="59" t="str">
        <f t="shared" si="19"/>
        <v/>
      </c>
      <c r="N161" s="60" t="str">
        <f t="shared" si="20"/>
        <v/>
      </c>
      <c r="O161" s="62" t="str">
        <f t="shared" si="21"/>
        <v/>
      </c>
      <c r="P161" s="62" t="str">
        <f t="shared" si="22"/>
        <v/>
      </c>
    </row>
    <row r="162" spans="2:16" x14ac:dyDescent="0.25">
      <c r="B162" s="14">
        <f t="shared" si="23"/>
        <v>48214</v>
      </c>
      <c r="C162" s="210"/>
      <c r="D162" s="210"/>
      <c r="E162" s="211"/>
      <c r="F162" s="211"/>
      <c r="G162" s="211"/>
      <c r="H162" s="58"/>
      <c r="I162" s="58" t="str">
        <f t="shared" si="24"/>
        <v/>
      </c>
      <c r="J162" s="58" t="str">
        <f t="shared" si="25"/>
        <v/>
      </c>
      <c r="K162" s="58" t="str">
        <f t="shared" si="26"/>
        <v/>
      </c>
      <c r="L162" s="58" t="str">
        <f t="shared" si="27"/>
        <v/>
      </c>
      <c r="M162" s="58" t="str">
        <f t="shared" si="19"/>
        <v/>
      </c>
      <c r="N162" s="32" t="str">
        <f t="shared" si="20"/>
        <v/>
      </c>
      <c r="O162" s="61" t="str">
        <f t="shared" si="21"/>
        <v/>
      </c>
      <c r="P162" s="61" t="str">
        <f t="shared" si="22"/>
        <v/>
      </c>
    </row>
    <row r="163" spans="2:16" x14ac:dyDescent="0.25">
      <c r="B163" s="14">
        <f t="shared" si="23"/>
        <v>48245</v>
      </c>
      <c r="C163" s="210"/>
      <c r="D163" s="210"/>
      <c r="E163" s="211"/>
      <c r="F163" s="211"/>
      <c r="G163" s="211"/>
      <c r="H163" s="58"/>
      <c r="I163" s="58" t="str">
        <f t="shared" si="24"/>
        <v/>
      </c>
      <c r="J163" s="58" t="str">
        <f t="shared" si="25"/>
        <v/>
      </c>
      <c r="K163" s="58" t="str">
        <f t="shared" si="26"/>
        <v/>
      </c>
      <c r="L163" s="58" t="str">
        <f t="shared" si="27"/>
        <v/>
      </c>
      <c r="M163" s="58" t="str">
        <f t="shared" si="19"/>
        <v/>
      </c>
      <c r="N163" s="32" t="str">
        <f t="shared" si="20"/>
        <v/>
      </c>
      <c r="O163" s="61" t="str">
        <f t="shared" si="21"/>
        <v/>
      </c>
      <c r="P163" s="61" t="str">
        <f t="shared" si="22"/>
        <v/>
      </c>
    </row>
    <row r="164" spans="2:16" x14ac:dyDescent="0.25">
      <c r="B164" s="14">
        <f t="shared" si="23"/>
        <v>48274</v>
      </c>
      <c r="C164" s="210"/>
      <c r="D164" s="210"/>
      <c r="E164" s="211"/>
      <c r="F164" s="211"/>
      <c r="G164" s="211"/>
      <c r="H164" s="58"/>
      <c r="I164" s="58" t="str">
        <f t="shared" si="24"/>
        <v/>
      </c>
      <c r="J164" s="58" t="str">
        <f t="shared" si="25"/>
        <v/>
      </c>
      <c r="K164" s="58" t="str">
        <f t="shared" si="26"/>
        <v/>
      </c>
      <c r="L164" s="58" t="str">
        <f t="shared" si="27"/>
        <v/>
      </c>
      <c r="M164" s="58" t="str">
        <f t="shared" si="19"/>
        <v/>
      </c>
      <c r="N164" s="32" t="str">
        <f t="shared" si="20"/>
        <v/>
      </c>
      <c r="O164" s="61" t="str">
        <f t="shared" si="21"/>
        <v/>
      </c>
      <c r="P164" s="61" t="str">
        <f t="shared" si="22"/>
        <v/>
      </c>
    </row>
    <row r="165" spans="2:16" x14ac:dyDescent="0.25">
      <c r="B165" s="14">
        <f t="shared" si="23"/>
        <v>48305</v>
      </c>
      <c r="C165" s="210"/>
      <c r="D165" s="210"/>
      <c r="E165" s="211"/>
      <c r="F165" s="211"/>
      <c r="G165" s="211"/>
      <c r="H165" s="58"/>
      <c r="I165" s="58" t="str">
        <f t="shared" si="24"/>
        <v/>
      </c>
      <c r="J165" s="58" t="str">
        <f t="shared" si="25"/>
        <v/>
      </c>
      <c r="K165" s="58" t="str">
        <f t="shared" si="26"/>
        <v/>
      </c>
      <c r="L165" s="58" t="str">
        <f t="shared" si="27"/>
        <v/>
      </c>
      <c r="M165" s="58" t="str">
        <f t="shared" si="19"/>
        <v/>
      </c>
      <c r="N165" s="32" t="str">
        <f t="shared" si="20"/>
        <v/>
      </c>
      <c r="O165" s="61" t="str">
        <f t="shared" si="21"/>
        <v/>
      </c>
      <c r="P165" s="61" t="str">
        <f t="shared" si="22"/>
        <v/>
      </c>
    </row>
    <row r="166" spans="2:16" x14ac:dyDescent="0.25">
      <c r="B166" s="14">
        <f t="shared" si="23"/>
        <v>48335</v>
      </c>
      <c r="C166" s="210"/>
      <c r="D166" s="210"/>
      <c r="E166" s="211"/>
      <c r="F166" s="211"/>
      <c r="G166" s="211"/>
      <c r="H166" s="58"/>
      <c r="I166" s="58" t="str">
        <f t="shared" si="24"/>
        <v/>
      </c>
      <c r="J166" s="58" t="str">
        <f t="shared" si="25"/>
        <v/>
      </c>
      <c r="K166" s="58" t="str">
        <f t="shared" si="26"/>
        <v/>
      </c>
      <c r="L166" s="58" t="str">
        <f t="shared" si="27"/>
        <v/>
      </c>
      <c r="M166" s="58" t="str">
        <f t="shared" si="19"/>
        <v/>
      </c>
      <c r="N166" s="32" t="str">
        <f t="shared" si="20"/>
        <v/>
      </c>
      <c r="O166" s="61" t="str">
        <f t="shared" si="21"/>
        <v/>
      </c>
      <c r="P166" s="61" t="str">
        <f t="shared" si="22"/>
        <v/>
      </c>
    </row>
    <row r="167" spans="2:16" x14ac:dyDescent="0.25">
      <c r="B167" s="14">
        <f t="shared" si="23"/>
        <v>48366</v>
      </c>
      <c r="C167" s="210"/>
      <c r="D167" s="210"/>
      <c r="E167" s="211"/>
      <c r="F167" s="211"/>
      <c r="G167" s="211"/>
      <c r="H167" s="58"/>
      <c r="I167" s="58" t="str">
        <f t="shared" si="24"/>
        <v/>
      </c>
      <c r="J167" s="58" t="str">
        <f t="shared" si="25"/>
        <v/>
      </c>
      <c r="K167" s="58" t="str">
        <f t="shared" si="26"/>
        <v/>
      </c>
      <c r="L167" s="58" t="str">
        <f t="shared" si="27"/>
        <v/>
      </c>
      <c r="M167" s="58" t="str">
        <f t="shared" si="19"/>
        <v/>
      </c>
      <c r="N167" s="32" t="str">
        <f t="shared" si="20"/>
        <v/>
      </c>
      <c r="O167" s="61" t="str">
        <f t="shared" si="21"/>
        <v/>
      </c>
      <c r="P167" s="61" t="str">
        <f t="shared" si="22"/>
        <v/>
      </c>
    </row>
    <row r="168" spans="2:16" x14ac:dyDescent="0.25">
      <c r="B168" s="14">
        <f t="shared" si="23"/>
        <v>48396</v>
      </c>
      <c r="C168" s="210"/>
      <c r="D168" s="210"/>
      <c r="E168" s="211"/>
      <c r="F168" s="211"/>
      <c r="G168" s="211"/>
      <c r="H168" s="58"/>
      <c r="I168" s="58" t="str">
        <f t="shared" si="24"/>
        <v/>
      </c>
      <c r="J168" s="58" t="str">
        <f t="shared" si="25"/>
        <v/>
      </c>
      <c r="K168" s="58" t="str">
        <f t="shared" si="26"/>
        <v/>
      </c>
      <c r="L168" s="58" t="str">
        <f t="shared" si="27"/>
        <v/>
      </c>
      <c r="M168" s="58" t="str">
        <f t="shared" si="19"/>
        <v/>
      </c>
      <c r="N168" s="32" t="str">
        <f t="shared" si="20"/>
        <v/>
      </c>
      <c r="O168" s="61" t="str">
        <f t="shared" si="21"/>
        <v/>
      </c>
      <c r="P168" s="61" t="str">
        <f t="shared" si="22"/>
        <v/>
      </c>
    </row>
    <row r="169" spans="2:16" x14ac:dyDescent="0.25">
      <c r="B169" s="14">
        <f t="shared" si="23"/>
        <v>48427</v>
      </c>
      <c r="C169" s="210"/>
      <c r="D169" s="210"/>
      <c r="E169" s="211"/>
      <c r="F169" s="211"/>
      <c r="G169" s="211"/>
      <c r="H169" s="58"/>
      <c r="I169" s="58" t="str">
        <f t="shared" si="24"/>
        <v/>
      </c>
      <c r="J169" s="58" t="str">
        <f t="shared" si="25"/>
        <v/>
      </c>
      <c r="K169" s="58" t="str">
        <f t="shared" si="26"/>
        <v/>
      </c>
      <c r="L169" s="58" t="str">
        <f t="shared" si="27"/>
        <v/>
      </c>
      <c r="M169" s="58" t="str">
        <f t="shared" si="19"/>
        <v/>
      </c>
      <c r="N169" s="32" t="str">
        <f t="shared" si="20"/>
        <v/>
      </c>
      <c r="O169" s="61" t="str">
        <f t="shared" si="21"/>
        <v/>
      </c>
      <c r="P169" s="61" t="str">
        <f t="shared" si="22"/>
        <v/>
      </c>
    </row>
    <row r="170" spans="2:16" x14ac:dyDescent="0.25">
      <c r="B170" s="14">
        <f t="shared" si="23"/>
        <v>48458</v>
      </c>
      <c r="C170" s="210"/>
      <c r="D170" s="210"/>
      <c r="E170" s="211"/>
      <c r="F170" s="211"/>
      <c r="G170" s="211"/>
      <c r="H170" s="58"/>
      <c r="I170" s="58" t="str">
        <f t="shared" si="24"/>
        <v/>
      </c>
      <c r="J170" s="58" t="str">
        <f t="shared" si="25"/>
        <v/>
      </c>
      <c r="K170" s="58" t="str">
        <f t="shared" si="26"/>
        <v/>
      </c>
      <c r="L170" s="58" t="str">
        <f t="shared" si="27"/>
        <v/>
      </c>
      <c r="M170" s="58" t="str">
        <f t="shared" si="19"/>
        <v/>
      </c>
      <c r="N170" s="32" t="str">
        <f t="shared" si="20"/>
        <v/>
      </c>
      <c r="O170" s="61" t="str">
        <f t="shared" si="21"/>
        <v/>
      </c>
      <c r="P170" s="61" t="str">
        <f t="shared" si="22"/>
        <v/>
      </c>
    </row>
    <row r="171" spans="2:16" x14ac:dyDescent="0.25">
      <c r="B171" s="14">
        <f t="shared" si="23"/>
        <v>48488</v>
      </c>
      <c r="C171" s="210"/>
      <c r="D171" s="210"/>
      <c r="E171" s="211"/>
      <c r="F171" s="211"/>
      <c r="G171" s="211"/>
      <c r="H171" s="58"/>
      <c r="I171" s="58" t="str">
        <f t="shared" si="24"/>
        <v/>
      </c>
      <c r="J171" s="58" t="str">
        <f t="shared" si="25"/>
        <v/>
      </c>
      <c r="K171" s="58" t="str">
        <f t="shared" si="26"/>
        <v/>
      </c>
      <c r="L171" s="58" t="str">
        <f t="shared" si="27"/>
        <v/>
      </c>
      <c r="M171" s="58" t="str">
        <f t="shared" si="19"/>
        <v/>
      </c>
      <c r="N171" s="32" t="str">
        <f t="shared" si="20"/>
        <v/>
      </c>
      <c r="O171" s="61" t="str">
        <f t="shared" si="21"/>
        <v/>
      </c>
      <c r="P171" s="61" t="str">
        <f t="shared" si="22"/>
        <v/>
      </c>
    </row>
    <row r="172" spans="2:16" x14ac:dyDescent="0.25">
      <c r="B172" s="14">
        <f t="shared" si="23"/>
        <v>48519</v>
      </c>
      <c r="C172" s="210"/>
      <c r="D172" s="210"/>
      <c r="E172" s="211"/>
      <c r="F172" s="211"/>
      <c r="G172" s="211"/>
      <c r="H172" s="58"/>
      <c r="I172" s="58" t="str">
        <f t="shared" si="24"/>
        <v/>
      </c>
      <c r="J172" s="58" t="str">
        <f t="shared" si="25"/>
        <v/>
      </c>
      <c r="K172" s="58" t="str">
        <f t="shared" si="26"/>
        <v/>
      </c>
      <c r="L172" s="58" t="str">
        <f t="shared" si="27"/>
        <v/>
      </c>
      <c r="M172" s="58" t="str">
        <f t="shared" si="19"/>
        <v/>
      </c>
      <c r="N172" s="32" t="str">
        <f t="shared" si="20"/>
        <v/>
      </c>
      <c r="O172" s="61" t="str">
        <f t="shared" si="21"/>
        <v/>
      </c>
      <c r="P172" s="61" t="str">
        <f t="shared" si="22"/>
        <v/>
      </c>
    </row>
    <row r="173" spans="2:16" x14ac:dyDescent="0.25">
      <c r="B173" s="20">
        <f t="shared" si="23"/>
        <v>48549</v>
      </c>
      <c r="C173" s="212"/>
      <c r="D173" s="212"/>
      <c r="E173" s="213"/>
      <c r="F173" s="213"/>
      <c r="G173" s="213"/>
      <c r="H173" s="58"/>
      <c r="I173" s="59" t="str">
        <f t="shared" si="24"/>
        <v/>
      </c>
      <c r="J173" s="59" t="str">
        <f t="shared" si="25"/>
        <v/>
      </c>
      <c r="K173" s="59" t="str">
        <f t="shared" si="26"/>
        <v/>
      </c>
      <c r="L173" s="59" t="str">
        <f t="shared" si="27"/>
        <v/>
      </c>
      <c r="M173" s="59" t="str">
        <f t="shared" si="19"/>
        <v/>
      </c>
      <c r="N173" s="60" t="str">
        <f t="shared" si="20"/>
        <v/>
      </c>
      <c r="O173" s="62" t="str">
        <f t="shared" si="21"/>
        <v/>
      </c>
      <c r="P173" s="62" t="str">
        <f t="shared" si="22"/>
        <v/>
      </c>
    </row>
    <row r="174" spans="2:16" x14ac:dyDescent="0.25">
      <c r="B174" s="14">
        <f t="shared" si="23"/>
        <v>48580</v>
      </c>
      <c r="C174" s="210"/>
      <c r="D174" s="210"/>
      <c r="E174" s="211"/>
      <c r="F174" s="211"/>
      <c r="G174" s="211"/>
      <c r="H174" s="58"/>
      <c r="I174" s="58" t="str">
        <f t="shared" si="24"/>
        <v/>
      </c>
      <c r="J174" s="58" t="str">
        <f t="shared" si="25"/>
        <v/>
      </c>
      <c r="K174" s="58" t="str">
        <f t="shared" si="26"/>
        <v/>
      </c>
      <c r="L174" s="58" t="str">
        <f t="shared" si="27"/>
        <v/>
      </c>
      <c r="M174" s="58" t="str">
        <f t="shared" si="19"/>
        <v/>
      </c>
      <c r="N174" s="32" t="str">
        <f t="shared" si="20"/>
        <v/>
      </c>
      <c r="O174" s="61" t="str">
        <f t="shared" si="21"/>
        <v/>
      </c>
      <c r="P174" s="61" t="str">
        <f t="shared" si="22"/>
        <v/>
      </c>
    </row>
    <row r="175" spans="2:16" x14ac:dyDescent="0.25">
      <c r="B175" s="14">
        <f t="shared" si="23"/>
        <v>48611</v>
      </c>
      <c r="C175" s="210"/>
      <c r="D175" s="210"/>
      <c r="E175" s="211"/>
      <c r="F175" s="211"/>
      <c r="G175" s="211"/>
      <c r="H175" s="58"/>
      <c r="I175" s="58" t="str">
        <f t="shared" si="24"/>
        <v/>
      </c>
      <c r="J175" s="58" t="str">
        <f t="shared" si="25"/>
        <v/>
      </c>
      <c r="K175" s="58" t="str">
        <f t="shared" si="26"/>
        <v/>
      </c>
      <c r="L175" s="58" t="str">
        <f t="shared" si="27"/>
        <v/>
      </c>
      <c r="M175" s="58" t="str">
        <f t="shared" si="19"/>
        <v/>
      </c>
      <c r="N175" s="32" t="str">
        <f t="shared" si="20"/>
        <v/>
      </c>
      <c r="O175" s="61" t="str">
        <f t="shared" si="21"/>
        <v/>
      </c>
      <c r="P175" s="61" t="str">
        <f t="shared" si="22"/>
        <v/>
      </c>
    </row>
    <row r="176" spans="2:16" x14ac:dyDescent="0.25">
      <c r="B176" s="14">
        <f t="shared" si="23"/>
        <v>48639</v>
      </c>
      <c r="C176" s="210"/>
      <c r="D176" s="210"/>
      <c r="E176" s="211"/>
      <c r="F176" s="211"/>
      <c r="G176" s="211"/>
      <c r="H176" s="58"/>
      <c r="I176" s="58" t="str">
        <f t="shared" si="24"/>
        <v/>
      </c>
      <c r="J176" s="58" t="str">
        <f t="shared" si="25"/>
        <v/>
      </c>
      <c r="K176" s="58" t="str">
        <f t="shared" si="26"/>
        <v/>
      </c>
      <c r="L176" s="58" t="str">
        <f t="shared" si="27"/>
        <v/>
      </c>
      <c r="M176" s="58" t="str">
        <f t="shared" si="19"/>
        <v/>
      </c>
      <c r="N176" s="32" t="str">
        <f t="shared" si="20"/>
        <v/>
      </c>
      <c r="O176" s="61" t="str">
        <f t="shared" si="21"/>
        <v/>
      </c>
      <c r="P176" s="61" t="str">
        <f t="shared" si="22"/>
        <v/>
      </c>
    </row>
    <row r="177" spans="2:16" x14ac:dyDescent="0.25">
      <c r="B177" s="14">
        <f t="shared" si="23"/>
        <v>48670</v>
      </c>
      <c r="C177" s="210"/>
      <c r="D177" s="210"/>
      <c r="E177" s="211"/>
      <c r="F177" s="211"/>
      <c r="G177" s="211"/>
      <c r="H177" s="58"/>
      <c r="I177" s="58" t="str">
        <f t="shared" si="24"/>
        <v/>
      </c>
      <c r="J177" s="58" t="str">
        <f t="shared" si="25"/>
        <v/>
      </c>
      <c r="K177" s="58" t="str">
        <f t="shared" si="26"/>
        <v/>
      </c>
      <c r="L177" s="58" t="str">
        <f t="shared" si="27"/>
        <v/>
      </c>
      <c r="M177" s="58" t="str">
        <f t="shared" si="19"/>
        <v/>
      </c>
      <c r="N177" s="32" t="str">
        <f t="shared" si="20"/>
        <v/>
      </c>
      <c r="O177" s="61" t="str">
        <f t="shared" si="21"/>
        <v/>
      </c>
      <c r="P177" s="61" t="str">
        <f t="shared" si="22"/>
        <v/>
      </c>
    </row>
    <row r="178" spans="2:16" x14ac:dyDescent="0.25">
      <c r="B178" s="14">
        <f t="shared" si="23"/>
        <v>48700</v>
      </c>
      <c r="C178" s="210"/>
      <c r="D178" s="210"/>
      <c r="E178" s="211"/>
      <c r="F178" s="211"/>
      <c r="G178" s="211"/>
      <c r="H178" s="58"/>
      <c r="I178" s="58" t="str">
        <f t="shared" si="24"/>
        <v/>
      </c>
      <c r="J178" s="58" t="str">
        <f t="shared" si="25"/>
        <v/>
      </c>
      <c r="K178" s="58" t="str">
        <f t="shared" si="26"/>
        <v/>
      </c>
      <c r="L178" s="58" t="str">
        <f t="shared" si="27"/>
        <v/>
      </c>
      <c r="M178" s="58" t="str">
        <f t="shared" si="19"/>
        <v/>
      </c>
      <c r="N178" s="32" t="str">
        <f t="shared" si="20"/>
        <v/>
      </c>
      <c r="O178" s="61" t="str">
        <f t="shared" si="21"/>
        <v/>
      </c>
      <c r="P178" s="61" t="str">
        <f t="shared" si="22"/>
        <v/>
      </c>
    </row>
    <row r="179" spans="2:16" x14ac:dyDescent="0.25">
      <c r="B179" s="14">
        <f t="shared" si="23"/>
        <v>48731</v>
      </c>
      <c r="C179" s="210"/>
      <c r="D179" s="210"/>
      <c r="E179" s="211"/>
      <c r="F179" s="211"/>
      <c r="G179" s="211"/>
      <c r="H179" s="58"/>
      <c r="I179" s="58" t="str">
        <f t="shared" si="24"/>
        <v/>
      </c>
      <c r="J179" s="58" t="str">
        <f t="shared" si="25"/>
        <v/>
      </c>
      <c r="K179" s="58" t="str">
        <f t="shared" si="26"/>
        <v/>
      </c>
      <c r="L179" s="58" t="str">
        <f t="shared" si="27"/>
        <v/>
      </c>
      <c r="M179" s="58" t="str">
        <f t="shared" si="19"/>
        <v/>
      </c>
      <c r="N179" s="32" t="str">
        <f t="shared" si="20"/>
        <v/>
      </c>
      <c r="O179" s="61" t="str">
        <f t="shared" si="21"/>
        <v/>
      </c>
      <c r="P179" s="61" t="str">
        <f t="shared" si="22"/>
        <v/>
      </c>
    </row>
    <row r="180" spans="2:16" x14ac:dyDescent="0.25">
      <c r="B180" s="14">
        <f t="shared" si="23"/>
        <v>48761</v>
      </c>
      <c r="C180" s="210"/>
      <c r="D180" s="210"/>
      <c r="E180" s="211"/>
      <c r="F180" s="211"/>
      <c r="G180" s="211"/>
      <c r="H180" s="58"/>
      <c r="I180" s="58" t="str">
        <f t="shared" si="24"/>
        <v/>
      </c>
      <c r="J180" s="58" t="str">
        <f t="shared" si="25"/>
        <v/>
      </c>
      <c r="K180" s="58" t="str">
        <f t="shared" si="26"/>
        <v/>
      </c>
      <c r="L180" s="58" t="str">
        <f t="shared" si="27"/>
        <v/>
      </c>
      <c r="M180" s="58" t="str">
        <f t="shared" si="19"/>
        <v/>
      </c>
      <c r="N180" s="32" t="str">
        <f t="shared" si="20"/>
        <v/>
      </c>
      <c r="O180" s="61" t="str">
        <f t="shared" si="21"/>
        <v/>
      </c>
      <c r="P180" s="61" t="str">
        <f t="shared" si="22"/>
        <v/>
      </c>
    </row>
    <row r="181" spans="2:16" x14ac:dyDescent="0.25">
      <c r="B181" s="14">
        <f t="shared" si="23"/>
        <v>48792</v>
      </c>
      <c r="C181" s="210"/>
      <c r="D181" s="210"/>
      <c r="E181" s="211"/>
      <c r="F181" s="211"/>
      <c r="G181" s="211"/>
      <c r="H181" s="58"/>
      <c r="I181" s="58" t="str">
        <f t="shared" si="24"/>
        <v/>
      </c>
      <c r="J181" s="58" t="str">
        <f t="shared" si="25"/>
        <v/>
      </c>
      <c r="K181" s="58" t="str">
        <f t="shared" si="26"/>
        <v/>
      </c>
      <c r="L181" s="58" t="str">
        <f t="shared" si="27"/>
        <v/>
      </c>
      <c r="M181" s="58" t="str">
        <f t="shared" si="19"/>
        <v/>
      </c>
      <c r="N181" s="32" t="str">
        <f t="shared" si="20"/>
        <v/>
      </c>
      <c r="O181" s="61" t="str">
        <f t="shared" si="21"/>
        <v/>
      </c>
      <c r="P181" s="61" t="str">
        <f t="shared" si="22"/>
        <v/>
      </c>
    </row>
    <row r="182" spans="2:16" x14ac:dyDescent="0.25">
      <c r="B182" s="14">
        <f t="shared" si="23"/>
        <v>48823</v>
      </c>
      <c r="C182" s="210"/>
      <c r="D182" s="210"/>
      <c r="E182" s="211"/>
      <c r="F182" s="211"/>
      <c r="G182" s="211"/>
      <c r="H182" s="58"/>
      <c r="I182" s="58" t="str">
        <f t="shared" si="24"/>
        <v/>
      </c>
      <c r="J182" s="58" t="str">
        <f t="shared" si="25"/>
        <v/>
      </c>
      <c r="K182" s="58" t="str">
        <f t="shared" si="26"/>
        <v/>
      </c>
      <c r="L182" s="58" t="str">
        <f t="shared" si="27"/>
        <v/>
      </c>
      <c r="M182" s="58" t="str">
        <f t="shared" si="19"/>
        <v/>
      </c>
      <c r="N182" s="32" t="str">
        <f t="shared" si="20"/>
        <v/>
      </c>
      <c r="O182" s="61" t="str">
        <f t="shared" si="21"/>
        <v/>
      </c>
      <c r="P182" s="61" t="str">
        <f t="shared" si="22"/>
        <v/>
      </c>
    </row>
    <row r="183" spans="2:16" x14ac:dyDescent="0.25">
      <c r="B183" s="14">
        <f t="shared" si="23"/>
        <v>48853</v>
      </c>
      <c r="C183" s="210"/>
      <c r="D183" s="210"/>
      <c r="E183" s="211"/>
      <c r="F183" s="211"/>
      <c r="G183" s="211"/>
      <c r="H183" s="58"/>
      <c r="I183" s="58" t="str">
        <f t="shared" si="24"/>
        <v/>
      </c>
      <c r="J183" s="58" t="str">
        <f t="shared" si="25"/>
        <v/>
      </c>
      <c r="K183" s="58" t="str">
        <f t="shared" si="26"/>
        <v/>
      </c>
      <c r="L183" s="58" t="str">
        <f t="shared" si="27"/>
        <v/>
      </c>
      <c r="M183" s="58" t="str">
        <f t="shared" si="19"/>
        <v/>
      </c>
      <c r="N183" s="32" t="str">
        <f t="shared" si="20"/>
        <v/>
      </c>
      <c r="O183" s="61" t="str">
        <f t="shared" si="21"/>
        <v/>
      </c>
      <c r="P183" s="61" t="str">
        <f t="shared" si="22"/>
        <v/>
      </c>
    </row>
    <row r="184" spans="2:16" x14ac:dyDescent="0.25">
      <c r="B184" s="14">
        <f t="shared" si="23"/>
        <v>48884</v>
      </c>
      <c r="C184" s="210"/>
      <c r="D184" s="210"/>
      <c r="E184" s="211"/>
      <c r="F184" s="211"/>
      <c r="G184" s="211"/>
      <c r="H184" s="58"/>
      <c r="I184" s="58" t="str">
        <f t="shared" si="24"/>
        <v/>
      </c>
      <c r="J184" s="58" t="str">
        <f t="shared" si="25"/>
        <v/>
      </c>
      <c r="K184" s="58" t="str">
        <f t="shared" si="26"/>
        <v/>
      </c>
      <c r="L184" s="58" t="str">
        <f t="shared" si="27"/>
        <v/>
      </c>
      <c r="M184" s="58" t="str">
        <f t="shared" si="19"/>
        <v/>
      </c>
      <c r="N184" s="32" t="str">
        <f t="shared" si="20"/>
        <v/>
      </c>
      <c r="O184" s="61" t="str">
        <f t="shared" si="21"/>
        <v/>
      </c>
      <c r="P184" s="61" t="str">
        <f t="shared" si="22"/>
        <v/>
      </c>
    </row>
    <row r="185" spans="2:16" x14ac:dyDescent="0.25">
      <c r="B185" s="20">
        <f t="shared" si="23"/>
        <v>48914</v>
      </c>
      <c r="C185" s="212"/>
      <c r="D185" s="212"/>
      <c r="E185" s="213"/>
      <c r="F185" s="213"/>
      <c r="G185" s="213"/>
      <c r="H185" s="58"/>
      <c r="I185" s="59" t="str">
        <f t="shared" si="24"/>
        <v/>
      </c>
      <c r="J185" s="59" t="str">
        <f t="shared" si="25"/>
        <v/>
      </c>
      <c r="K185" s="59" t="str">
        <f t="shared" si="26"/>
        <v/>
      </c>
      <c r="L185" s="59" t="str">
        <f t="shared" si="27"/>
        <v/>
      </c>
      <c r="M185" s="59" t="str">
        <f t="shared" si="19"/>
        <v/>
      </c>
      <c r="N185" s="60" t="str">
        <f t="shared" si="20"/>
        <v/>
      </c>
      <c r="O185" s="62" t="str">
        <f t="shared" si="21"/>
        <v/>
      </c>
      <c r="P185" s="62" t="str">
        <f t="shared" si="22"/>
        <v/>
      </c>
    </row>
    <row r="186" spans="2:16" x14ac:dyDescent="0.25">
      <c r="B186" s="14">
        <f t="shared" si="23"/>
        <v>48945</v>
      </c>
      <c r="C186" s="210"/>
      <c r="D186" s="210"/>
      <c r="E186" s="211"/>
      <c r="F186" s="211"/>
      <c r="G186" s="211"/>
      <c r="H186" s="58"/>
      <c r="I186" s="58" t="str">
        <f t="shared" si="24"/>
        <v/>
      </c>
      <c r="J186" s="58" t="str">
        <f t="shared" si="25"/>
        <v/>
      </c>
      <c r="K186" s="58" t="str">
        <f t="shared" si="26"/>
        <v/>
      </c>
      <c r="L186" s="58" t="str">
        <f t="shared" si="27"/>
        <v/>
      </c>
      <c r="M186" s="58" t="str">
        <f t="shared" si="19"/>
        <v/>
      </c>
      <c r="N186" s="32" t="str">
        <f t="shared" si="20"/>
        <v/>
      </c>
      <c r="O186" s="61" t="str">
        <f t="shared" si="21"/>
        <v/>
      </c>
      <c r="P186" s="61" t="str">
        <f t="shared" si="22"/>
        <v/>
      </c>
    </row>
    <row r="187" spans="2:16" x14ac:dyDescent="0.25">
      <c r="B187" s="14">
        <f t="shared" si="23"/>
        <v>48976</v>
      </c>
      <c r="C187" s="210"/>
      <c r="D187" s="210"/>
      <c r="E187" s="211"/>
      <c r="F187" s="211"/>
      <c r="G187" s="211"/>
      <c r="H187" s="58"/>
      <c r="I187" s="58" t="str">
        <f t="shared" si="24"/>
        <v/>
      </c>
      <c r="J187" s="58" t="str">
        <f t="shared" si="25"/>
        <v/>
      </c>
      <c r="K187" s="58" t="str">
        <f t="shared" si="26"/>
        <v/>
      </c>
      <c r="L187" s="58" t="str">
        <f t="shared" si="27"/>
        <v/>
      </c>
      <c r="M187" s="58" t="str">
        <f t="shared" si="19"/>
        <v/>
      </c>
      <c r="N187" s="32" t="str">
        <f t="shared" si="20"/>
        <v/>
      </c>
      <c r="O187" s="61" t="str">
        <f t="shared" si="21"/>
        <v/>
      </c>
      <c r="P187" s="61" t="str">
        <f t="shared" si="22"/>
        <v/>
      </c>
    </row>
    <row r="188" spans="2:16" x14ac:dyDescent="0.25">
      <c r="B188" s="14">
        <f t="shared" si="23"/>
        <v>49004</v>
      </c>
      <c r="C188" s="210"/>
      <c r="D188" s="210"/>
      <c r="E188" s="211"/>
      <c r="F188" s="211"/>
      <c r="G188" s="211"/>
      <c r="H188" s="58"/>
      <c r="I188" s="58" t="str">
        <f t="shared" si="24"/>
        <v/>
      </c>
      <c r="J188" s="58" t="str">
        <f t="shared" si="25"/>
        <v/>
      </c>
      <c r="K188" s="58" t="str">
        <f t="shared" si="26"/>
        <v/>
      </c>
      <c r="L188" s="58" t="str">
        <f t="shared" si="27"/>
        <v/>
      </c>
      <c r="M188" s="58" t="str">
        <f t="shared" si="19"/>
        <v/>
      </c>
      <c r="N188" s="32" t="str">
        <f t="shared" si="20"/>
        <v/>
      </c>
      <c r="O188" s="61" t="str">
        <f t="shared" si="21"/>
        <v/>
      </c>
      <c r="P188" s="61" t="str">
        <f t="shared" si="22"/>
        <v/>
      </c>
    </row>
    <row r="189" spans="2:16" x14ac:dyDescent="0.25">
      <c r="B189" s="14">
        <f t="shared" si="23"/>
        <v>49035</v>
      </c>
      <c r="C189" s="210"/>
      <c r="D189" s="210"/>
      <c r="E189" s="211"/>
      <c r="F189" s="211"/>
      <c r="G189" s="211"/>
      <c r="H189" s="58"/>
      <c r="I189" s="58" t="str">
        <f t="shared" si="24"/>
        <v/>
      </c>
      <c r="J189" s="58" t="str">
        <f t="shared" si="25"/>
        <v/>
      </c>
      <c r="K189" s="58" t="str">
        <f t="shared" si="26"/>
        <v/>
      </c>
      <c r="L189" s="58" t="str">
        <f t="shared" si="27"/>
        <v/>
      </c>
      <c r="M189" s="58" t="str">
        <f t="shared" si="19"/>
        <v/>
      </c>
      <c r="N189" s="32" t="str">
        <f t="shared" si="20"/>
        <v/>
      </c>
      <c r="O189" s="61" t="str">
        <f t="shared" si="21"/>
        <v/>
      </c>
      <c r="P189" s="61" t="str">
        <f t="shared" si="22"/>
        <v/>
      </c>
    </row>
    <row r="190" spans="2:16" x14ac:dyDescent="0.25">
      <c r="B190" s="14">
        <f t="shared" si="23"/>
        <v>49065</v>
      </c>
      <c r="C190" s="210"/>
      <c r="D190" s="210"/>
      <c r="E190" s="211"/>
      <c r="F190" s="211"/>
      <c r="G190" s="211"/>
      <c r="H190" s="58"/>
      <c r="I190" s="58" t="str">
        <f t="shared" si="24"/>
        <v/>
      </c>
      <c r="J190" s="58" t="str">
        <f t="shared" si="25"/>
        <v/>
      </c>
      <c r="K190" s="58" t="str">
        <f t="shared" si="26"/>
        <v/>
      </c>
      <c r="L190" s="58" t="str">
        <f t="shared" si="27"/>
        <v/>
      </c>
      <c r="M190" s="58" t="str">
        <f t="shared" si="19"/>
        <v/>
      </c>
      <c r="N190" s="32" t="str">
        <f t="shared" si="20"/>
        <v/>
      </c>
      <c r="O190" s="61" t="str">
        <f t="shared" si="21"/>
        <v/>
      </c>
      <c r="P190" s="61" t="str">
        <f t="shared" si="22"/>
        <v/>
      </c>
    </row>
    <row r="191" spans="2:16" x14ac:dyDescent="0.25">
      <c r="B191" s="14">
        <f t="shared" si="23"/>
        <v>49096</v>
      </c>
      <c r="C191" s="210"/>
      <c r="D191" s="210"/>
      <c r="E191" s="211"/>
      <c r="F191" s="211"/>
      <c r="G191" s="211"/>
      <c r="H191" s="58"/>
      <c r="I191" s="58" t="str">
        <f t="shared" si="24"/>
        <v/>
      </c>
      <c r="J191" s="58" t="str">
        <f t="shared" si="25"/>
        <v/>
      </c>
      <c r="K191" s="58" t="str">
        <f t="shared" si="26"/>
        <v/>
      </c>
      <c r="L191" s="58" t="str">
        <f t="shared" si="27"/>
        <v/>
      </c>
      <c r="M191" s="58" t="str">
        <f t="shared" si="19"/>
        <v/>
      </c>
      <c r="N191" s="32" t="str">
        <f t="shared" si="20"/>
        <v/>
      </c>
      <c r="O191" s="61" t="str">
        <f t="shared" si="21"/>
        <v/>
      </c>
      <c r="P191" s="61" t="str">
        <f t="shared" si="22"/>
        <v/>
      </c>
    </row>
    <row r="192" spans="2:16" x14ac:dyDescent="0.25">
      <c r="B192" s="14">
        <f t="shared" si="23"/>
        <v>49126</v>
      </c>
      <c r="C192" s="210"/>
      <c r="D192" s="210"/>
      <c r="E192" s="211"/>
      <c r="F192" s="211"/>
      <c r="G192" s="211"/>
      <c r="H192" s="58"/>
      <c r="I192" s="58" t="str">
        <f t="shared" si="24"/>
        <v/>
      </c>
      <c r="J192" s="58" t="str">
        <f t="shared" si="25"/>
        <v/>
      </c>
      <c r="K192" s="58" t="str">
        <f t="shared" si="26"/>
        <v/>
      </c>
      <c r="L192" s="58" t="str">
        <f t="shared" si="27"/>
        <v/>
      </c>
      <c r="M192" s="58" t="str">
        <f t="shared" si="19"/>
        <v/>
      </c>
      <c r="N192" s="32" t="str">
        <f t="shared" si="20"/>
        <v/>
      </c>
      <c r="O192" s="61" t="str">
        <f t="shared" si="21"/>
        <v/>
      </c>
      <c r="P192" s="61" t="str">
        <f t="shared" si="22"/>
        <v/>
      </c>
    </row>
    <row r="193" spans="2:16" x14ac:dyDescent="0.25">
      <c r="B193" s="14">
        <f t="shared" si="23"/>
        <v>49157</v>
      </c>
      <c r="C193" s="210"/>
      <c r="D193" s="210"/>
      <c r="E193" s="211"/>
      <c r="F193" s="211"/>
      <c r="G193" s="211"/>
      <c r="H193" s="58"/>
      <c r="I193" s="58" t="str">
        <f t="shared" si="24"/>
        <v/>
      </c>
      <c r="J193" s="58" t="str">
        <f t="shared" si="25"/>
        <v/>
      </c>
      <c r="K193" s="58" t="str">
        <f t="shared" si="26"/>
        <v/>
      </c>
      <c r="L193" s="58" t="str">
        <f t="shared" si="27"/>
        <v/>
      </c>
      <c r="M193" s="58" t="str">
        <f t="shared" si="19"/>
        <v/>
      </c>
      <c r="N193" s="32" t="str">
        <f t="shared" si="20"/>
        <v/>
      </c>
      <c r="O193" s="61" t="str">
        <f t="shared" si="21"/>
        <v/>
      </c>
      <c r="P193" s="61" t="str">
        <f t="shared" si="22"/>
        <v/>
      </c>
    </row>
    <row r="194" spans="2:16" x14ac:dyDescent="0.25">
      <c r="B194" s="14">
        <f t="shared" si="23"/>
        <v>49188</v>
      </c>
      <c r="C194" s="210"/>
      <c r="D194" s="210"/>
      <c r="E194" s="211"/>
      <c r="F194" s="211"/>
      <c r="G194" s="211"/>
      <c r="H194" s="58"/>
      <c r="I194" s="58" t="str">
        <f t="shared" si="24"/>
        <v/>
      </c>
      <c r="J194" s="58" t="str">
        <f t="shared" si="25"/>
        <v/>
      </c>
      <c r="K194" s="58" t="str">
        <f t="shared" si="26"/>
        <v/>
      </c>
      <c r="L194" s="58" t="str">
        <f t="shared" si="27"/>
        <v/>
      </c>
      <c r="M194" s="58" t="str">
        <f t="shared" si="19"/>
        <v/>
      </c>
      <c r="N194" s="32" t="str">
        <f t="shared" si="20"/>
        <v/>
      </c>
      <c r="O194" s="61" t="str">
        <f t="shared" si="21"/>
        <v/>
      </c>
      <c r="P194" s="61" t="str">
        <f t="shared" si="22"/>
        <v/>
      </c>
    </row>
    <row r="195" spans="2:16" x14ac:dyDescent="0.25">
      <c r="B195" s="14">
        <f t="shared" si="23"/>
        <v>49218</v>
      </c>
      <c r="C195" s="210"/>
      <c r="D195" s="210"/>
      <c r="E195" s="211"/>
      <c r="F195" s="211"/>
      <c r="G195" s="211"/>
      <c r="H195" s="58"/>
      <c r="I195" s="58" t="str">
        <f t="shared" si="24"/>
        <v/>
      </c>
      <c r="J195" s="58" t="str">
        <f t="shared" si="25"/>
        <v/>
      </c>
      <c r="K195" s="58" t="str">
        <f t="shared" si="26"/>
        <v/>
      </c>
      <c r="L195" s="58" t="str">
        <f t="shared" si="27"/>
        <v/>
      </c>
      <c r="M195" s="58" t="str">
        <f t="shared" si="19"/>
        <v/>
      </c>
      <c r="N195" s="32" t="str">
        <f t="shared" si="20"/>
        <v/>
      </c>
      <c r="O195" s="61" t="str">
        <f t="shared" si="21"/>
        <v/>
      </c>
      <c r="P195" s="61" t="str">
        <f t="shared" si="22"/>
        <v/>
      </c>
    </row>
    <row r="196" spans="2:16" x14ac:dyDescent="0.25">
      <c r="B196" s="14">
        <f t="shared" si="23"/>
        <v>49249</v>
      </c>
      <c r="C196" s="210"/>
      <c r="D196" s="210"/>
      <c r="E196" s="211"/>
      <c r="F196" s="211"/>
      <c r="G196" s="211"/>
      <c r="H196" s="58"/>
      <c r="I196" s="58" t="str">
        <f t="shared" si="24"/>
        <v/>
      </c>
      <c r="J196" s="58" t="str">
        <f t="shared" si="25"/>
        <v/>
      </c>
      <c r="K196" s="58" t="str">
        <f t="shared" si="26"/>
        <v/>
      </c>
      <c r="L196" s="58" t="str">
        <f t="shared" si="27"/>
        <v/>
      </c>
      <c r="M196" s="58" t="str">
        <f t="shared" si="19"/>
        <v/>
      </c>
      <c r="N196" s="32" t="str">
        <f t="shared" si="20"/>
        <v/>
      </c>
      <c r="O196" s="61" t="str">
        <f t="shared" si="21"/>
        <v/>
      </c>
      <c r="P196" s="61" t="str">
        <f t="shared" si="22"/>
        <v/>
      </c>
    </row>
    <row r="197" spans="2:16" x14ac:dyDescent="0.25">
      <c r="B197" s="20">
        <f t="shared" si="23"/>
        <v>49279</v>
      </c>
      <c r="C197" s="212"/>
      <c r="D197" s="212"/>
      <c r="E197" s="213"/>
      <c r="F197" s="213"/>
      <c r="G197" s="213"/>
      <c r="H197" s="58"/>
      <c r="I197" s="59" t="str">
        <f t="shared" si="24"/>
        <v/>
      </c>
      <c r="J197" s="59" t="str">
        <f t="shared" si="25"/>
        <v/>
      </c>
      <c r="K197" s="59" t="str">
        <f t="shared" si="26"/>
        <v/>
      </c>
      <c r="L197" s="59" t="str">
        <f t="shared" si="27"/>
        <v/>
      </c>
      <c r="M197" s="59" t="str">
        <f t="shared" si="19"/>
        <v/>
      </c>
      <c r="N197" s="60" t="str">
        <f t="shared" si="20"/>
        <v/>
      </c>
      <c r="O197" s="62" t="str">
        <f t="shared" si="21"/>
        <v/>
      </c>
      <c r="P197" s="62" t="str">
        <f t="shared" si="22"/>
        <v/>
      </c>
    </row>
    <row r="198" spans="2:16" x14ac:dyDescent="0.25">
      <c r="B198" s="14">
        <f t="shared" si="23"/>
        <v>49310</v>
      </c>
      <c r="C198" s="210"/>
      <c r="D198" s="210"/>
      <c r="E198" s="211"/>
      <c r="F198" s="211"/>
      <c r="G198" s="211"/>
      <c r="H198" s="58"/>
      <c r="I198" s="58" t="str">
        <f t="shared" si="24"/>
        <v/>
      </c>
      <c r="J198" s="58" t="str">
        <f t="shared" si="25"/>
        <v/>
      </c>
      <c r="K198" s="58" t="str">
        <f t="shared" si="26"/>
        <v/>
      </c>
      <c r="L198" s="58" t="str">
        <f t="shared" si="27"/>
        <v/>
      </c>
      <c r="M198" s="58" t="str">
        <f t="shared" ref="M198:M261" si="28">IFERROR(J198*1000/I198,"")</f>
        <v/>
      </c>
      <c r="N198" s="32" t="str">
        <f t="shared" ref="N198:N261" si="29">IFERROR(K198 / (K198+I198),"")</f>
        <v/>
      </c>
      <c r="O198" s="61" t="str">
        <f t="shared" ref="O198:O261" si="30">IFERROR(I198/(J198/1000),"")</f>
        <v/>
      </c>
      <c r="P198" s="61" t="str">
        <f t="shared" ref="P198:P261" si="31">IFERROR(G198/(E198/1000),"")</f>
        <v/>
      </c>
    </row>
    <row r="199" spans="2:16" x14ac:dyDescent="0.25">
      <c r="B199" s="14">
        <f t="shared" ref="B199:B262" si="32">EOMONTH(B198,0)+1</f>
        <v>49341</v>
      </c>
      <c r="C199" s="210"/>
      <c r="D199" s="210"/>
      <c r="E199" s="211"/>
      <c r="F199" s="211"/>
      <c r="G199" s="211"/>
      <c r="H199" s="58"/>
      <c r="I199" s="58" t="str">
        <f t="shared" ref="I199:I262" si="33">IF(D199&gt;0,D199/($B200-$B199),"")</f>
        <v/>
      </c>
      <c r="J199" s="58" t="str">
        <f t="shared" ref="J199:J262" si="34">IF(E199&gt;0,E199/($B200-$B199),"")</f>
        <v/>
      </c>
      <c r="K199" s="58" t="str">
        <f t="shared" ref="K199:K262" si="35">IF(F199&gt;0,F199/($B200-$B199),"")</f>
        <v/>
      </c>
      <c r="L199" s="58" t="str">
        <f t="shared" ref="L199:L262" si="36">IF(G199&gt;0,G199/($B200-$B199),"")</f>
        <v/>
      </c>
      <c r="M199" s="58" t="str">
        <f t="shared" si="28"/>
        <v/>
      </c>
      <c r="N199" s="32" t="str">
        <f t="shared" si="29"/>
        <v/>
      </c>
      <c r="O199" s="61" t="str">
        <f t="shared" si="30"/>
        <v/>
      </c>
      <c r="P199" s="61" t="str">
        <f t="shared" si="31"/>
        <v/>
      </c>
    </row>
    <row r="200" spans="2:16" x14ac:dyDescent="0.25">
      <c r="B200" s="14">
        <f t="shared" si="32"/>
        <v>49369</v>
      </c>
      <c r="C200" s="210"/>
      <c r="D200" s="210"/>
      <c r="E200" s="211"/>
      <c r="F200" s="211"/>
      <c r="G200" s="211"/>
      <c r="H200" s="58"/>
      <c r="I200" s="58" t="str">
        <f t="shared" si="33"/>
        <v/>
      </c>
      <c r="J200" s="58" t="str">
        <f t="shared" si="34"/>
        <v/>
      </c>
      <c r="K200" s="58" t="str">
        <f t="shared" si="35"/>
        <v/>
      </c>
      <c r="L200" s="58" t="str">
        <f t="shared" si="36"/>
        <v/>
      </c>
      <c r="M200" s="58" t="str">
        <f t="shared" si="28"/>
        <v/>
      </c>
      <c r="N200" s="32" t="str">
        <f t="shared" si="29"/>
        <v/>
      </c>
      <c r="O200" s="61" t="str">
        <f t="shared" si="30"/>
        <v/>
      </c>
      <c r="P200" s="61" t="str">
        <f t="shared" si="31"/>
        <v/>
      </c>
    </row>
    <row r="201" spans="2:16" x14ac:dyDescent="0.25">
      <c r="B201" s="14">
        <f t="shared" si="32"/>
        <v>49400</v>
      </c>
      <c r="C201" s="210"/>
      <c r="D201" s="210"/>
      <c r="E201" s="211"/>
      <c r="F201" s="211"/>
      <c r="G201" s="211"/>
      <c r="H201" s="58"/>
      <c r="I201" s="58" t="str">
        <f t="shared" si="33"/>
        <v/>
      </c>
      <c r="J201" s="58" t="str">
        <f t="shared" si="34"/>
        <v/>
      </c>
      <c r="K201" s="58" t="str">
        <f t="shared" si="35"/>
        <v/>
      </c>
      <c r="L201" s="58" t="str">
        <f t="shared" si="36"/>
        <v/>
      </c>
      <c r="M201" s="58" t="str">
        <f t="shared" si="28"/>
        <v/>
      </c>
      <c r="N201" s="32" t="str">
        <f t="shared" si="29"/>
        <v/>
      </c>
      <c r="O201" s="61" t="str">
        <f t="shared" si="30"/>
        <v/>
      </c>
      <c r="P201" s="61" t="str">
        <f t="shared" si="31"/>
        <v/>
      </c>
    </row>
    <row r="202" spans="2:16" x14ac:dyDescent="0.25">
      <c r="B202" s="14">
        <f t="shared" si="32"/>
        <v>49430</v>
      </c>
      <c r="C202" s="210"/>
      <c r="D202" s="210"/>
      <c r="E202" s="211"/>
      <c r="F202" s="211"/>
      <c r="G202" s="211"/>
      <c r="H202" s="58"/>
      <c r="I202" s="58" t="str">
        <f t="shared" si="33"/>
        <v/>
      </c>
      <c r="J202" s="58" t="str">
        <f t="shared" si="34"/>
        <v/>
      </c>
      <c r="K202" s="58" t="str">
        <f t="shared" si="35"/>
        <v/>
      </c>
      <c r="L202" s="58" t="str">
        <f t="shared" si="36"/>
        <v/>
      </c>
      <c r="M202" s="58" t="str">
        <f t="shared" si="28"/>
        <v/>
      </c>
      <c r="N202" s="32" t="str">
        <f t="shared" si="29"/>
        <v/>
      </c>
      <c r="O202" s="61" t="str">
        <f t="shared" si="30"/>
        <v/>
      </c>
      <c r="P202" s="61" t="str">
        <f t="shared" si="31"/>
        <v/>
      </c>
    </row>
    <row r="203" spans="2:16" x14ac:dyDescent="0.25">
      <c r="B203" s="14">
        <f t="shared" si="32"/>
        <v>49461</v>
      </c>
      <c r="C203" s="210"/>
      <c r="D203" s="210"/>
      <c r="E203" s="211"/>
      <c r="F203" s="211"/>
      <c r="G203" s="211"/>
      <c r="H203" s="58"/>
      <c r="I203" s="58" t="str">
        <f t="shared" si="33"/>
        <v/>
      </c>
      <c r="J203" s="58" t="str">
        <f t="shared" si="34"/>
        <v/>
      </c>
      <c r="K203" s="58" t="str">
        <f t="shared" si="35"/>
        <v/>
      </c>
      <c r="L203" s="58" t="str">
        <f t="shared" si="36"/>
        <v/>
      </c>
      <c r="M203" s="58" t="str">
        <f t="shared" si="28"/>
        <v/>
      </c>
      <c r="N203" s="32" t="str">
        <f t="shared" si="29"/>
        <v/>
      </c>
      <c r="O203" s="61" t="str">
        <f t="shared" si="30"/>
        <v/>
      </c>
      <c r="P203" s="61" t="str">
        <f t="shared" si="31"/>
        <v/>
      </c>
    </row>
    <row r="204" spans="2:16" x14ac:dyDescent="0.25">
      <c r="B204" s="14">
        <f t="shared" si="32"/>
        <v>49491</v>
      </c>
      <c r="C204" s="210"/>
      <c r="D204" s="210"/>
      <c r="E204" s="211"/>
      <c r="F204" s="211"/>
      <c r="G204" s="211"/>
      <c r="H204" s="58"/>
      <c r="I204" s="58" t="str">
        <f t="shared" si="33"/>
        <v/>
      </c>
      <c r="J204" s="58" t="str">
        <f t="shared" si="34"/>
        <v/>
      </c>
      <c r="K204" s="58" t="str">
        <f t="shared" si="35"/>
        <v/>
      </c>
      <c r="L204" s="58" t="str">
        <f t="shared" si="36"/>
        <v/>
      </c>
      <c r="M204" s="58" t="str">
        <f t="shared" si="28"/>
        <v/>
      </c>
      <c r="N204" s="32" t="str">
        <f t="shared" si="29"/>
        <v/>
      </c>
      <c r="O204" s="61" t="str">
        <f t="shared" si="30"/>
        <v/>
      </c>
      <c r="P204" s="61" t="str">
        <f t="shared" si="31"/>
        <v/>
      </c>
    </row>
    <row r="205" spans="2:16" x14ac:dyDescent="0.25">
      <c r="B205" s="14">
        <f t="shared" si="32"/>
        <v>49522</v>
      </c>
      <c r="C205" s="210"/>
      <c r="D205" s="210"/>
      <c r="E205" s="211"/>
      <c r="F205" s="211"/>
      <c r="G205" s="211"/>
      <c r="H205" s="58"/>
      <c r="I205" s="58" t="str">
        <f t="shared" si="33"/>
        <v/>
      </c>
      <c r="J205" s="58" t="str">
        <f t="shared" si="34"/>
        <v/>
      </c>
      <c r="K205" s="58" t="str">
        <f t="shared" si="35"/>
        <v/>
      </c>
      <c r="L205" s="58" t="str">
        <f t="shared" si="36"/>
        <v/>
      </c>
      <c r="M205" s="58" t="str">
        <f t="shared" si="28"/>
        <v/>
      </c>
      <c r="N205" s="32" t="str">
        <f t="shared" si="29"/>
        <v/>
      </c>
      <c r="O205" s="61" t="str">
        <f t="shared" si="30"/>
        <v/>
      </c>
      <c r="P205" s="61" t="str">
        <f t="shared" si="31"/>
        <v/>
      </c>
    </row>
    <row r="206" spans="2:16" x14ac:dyDescent="0.25">
      <c r="B206" s="14">
        <f t="shared" si="32"/>
        <v>49553</v>
      </c>
      <c r="C206" s="210"/>
      <c r="D206" s="210"/>
      <c r="E206" s="211"/>
      <c r="F206" s="211"/>
      <c r="G206" s="211"/>
      <c r="H206" s="58"/>
      <c r="I206" s="58" t="str">
        <f t="shared" si="33"/>
        <v/>
      </c>
      <c r="J206" s="58" t="str">
        <f t="shared" si="34"/>
        <v/>
      </c>
      <c r="K206" s="58" t="str">
        <f t="shared" si="35"/>
        <v/>
      </c>
      <c r="L206" s="58" t="str">
        <f t="shared" si="36"/>
        <v/>
      </c>
      <c r="M206" s="58" t="str">
        <f t="shared" si="28"/>
        <v/>
      </c>
      <c r="N206" s="32" t="str">
        <f t="shared" si="29"/>
        <v/>
      </c>
      <c r="O206" s="61" t="str">
        <f t="shared" si="30"/>
        <v/>
      </c>
      <c r="P206" s="61" t="str">
        <f t="shared" si="31"/>
        <v/>
      </c>
    </row>
    <row r="207" spans="2:16" x14ac:dyDescent="0.25">
      <c r="B207" s="14">
        <f t="shared" si="32"/>
        <v>49583</v>
      </c>
      <c r="C207" s="210"/>
      <c r="D207" s="210"/>
      <c r="E207" s="211"/>
      <c r="F207" s="211"/>
      <c r="G207" s="211"/>
      <c r="H207" s="58"/>
      <c r="I207" s="58" t="str">
        <f t="shared" si="33"/>
        <v/>
      </c>
      <c r="J207" s="58" t="str">
        <f t="shared" si="34"/>
        <v/>
      </c>
      <c r="K207" s="58" t="str">
        <f t="shared" si="35"/>
        <v/>
      </c>
      <c r="L207" s="58" t="str">
        <f t="shared" si="36"/>
        <v/>
      </c>
      <c r="M207" s="58" t="str">
        <f t="shared" si="28"/>
        <v/>
      </c>
      <c r="N207" s="32" t="str">
        <f t="shared" si="29"/>
        <v/>
      </c>
      <c r="O207" s="61" t="str">
        <f t="shared" si="30"/>
        <v/>
      </c>
      <c r="P207" s="61" t="str">
        <f t="shared" si="31"/>
        <v/>
      </c>
    </row>
    <row r="208" spans="2:16" x14ac:dyDescent="0.25">
      <c r="B208" s="14">
        <f t="shared" si="32"/>
        <v>49614</v>
      </c>
      <c r="C208" s="210"/>
      <c r="D208" s="210"/>
      <c r="E208" s="211"/>
      <c r="F208" s="211"/>
      <c r="G208" s="211"/>
      <c r="H208" s="58"/>
      <c r="I208" s="58" t="str">
        <f t="shared" si="33"/>
        <v/>
      </c>
      <c r="J208" s="58" t="str">
        <f t="shared" si="34"/>
        <v/>
      </c>
      <c r="K208" s="58" t="str">
        <f t="shared" si="35"/>
        <v/>
      </c>
      <c r="L208" s="58" t="str">
        <f t="shared" si="36"/>
        <v/>
      </c>
      <c r="M208" s="58" t="str">
        <f t="shared" si="28"/>
        <v/>
      </c>
      <c r="N208" s="32" t="str">
        <f t="shared" si="29"/>
        <v/>
      </c>
      <c r="O208" s="61" t="str">
        <f t="shared" si="30"/>
        <v/>
      </c>
      <c r="P208" s="61" t="str">
        <f t="shared" si="31"/>
        <v/>
      </c>
    </row>
    <row r="209" spans="2:16" x14ac:dyDescent="0.25">
      <c r="B209" s="20">
        <f t="shared" si="32"/>
        <v>49644</v>
      </c>
      <c r="C209" s="212"/>
      <c r="D209" s="212"/>
      <c r="E209" s="213"/>
      <c r="F209" s="213"/>
      <c r="G209" s="213"/>
      <c r="H209" s="58"/>
      <c r="I209" s="59" t="str">
        <f t="shared" si="33"/>
        <v/>
      </c>
      <c r="J209" s="59" t="str">
        <f t="shared" si="34"/>
        <v/>
      </c>
      <c r="K209" s="59" t="str">
        <f t="shared" si="35"/>
        <v/>
      </c>
      <c r="L209" s="59" t="str">
        <f t="shared" si="36"/>
        <v/>
      </c>
      <c r="M209" s="59" t="str">
        <f t="shared" si="28"/>
        <v/>
      </c>
      <c r="N209" s="60" t="str">
        <f t="shared" si="29"/>
        <v/>
      </c>
      <c r="O209" s="62" t="str">
        <f t="shared" si="30"/>
        <v/>
      </c>
      <c r="P209" s="62" t="str">
        <f t="shared" si="31"/>
        <v/>
      </c>
    </row>
    <row r="210" spans="2:16" x14ac:dyDescent="0.25">
      <c r="B210" s="14">
        <f t="shared" si="32"/>
        <v>49675</v>
      </c>
      <c r="C210" s="210"/>
      <c r="D210" s="210"/>
      <c r="E210" s="211"/>
      <c r="F210" s="211"/>
      <c r="G210" s="211"/>
      <c r="H210" s="58"/>
      <c r="I210" s="58" t="str">
        <f t="shared" si="33"/>
        <v/>
      </c>
      <c r="J210" s="58" t="str">
        <f t="shared" si="34"/>
        <v/>
      </c>
      <c r="K210" s="58" t="str">
        <f t="shared" si="35"/>
        <v/>
      </c>
      <c r="L210" s="58" t="str">
        <f t="shared" si="36"/>
        <v/>
      </c>
      <c r="M210" s="58" t="str">
        <f t="shared" si="28"/>
        <v/>
      </c>
      <c r="N210" s="32" t="str">
        <f t="shared" si="29"/>
        <v/>
      </c>
      <c r="O210" s="61" t="str">
        <f t="shared" si="30"/>
        <v/>
      </c>
      <c r="P210" s="61" t="str">
        <f t="shared" si="31"/>
        <v/>
      </c>
    </row>
    <row r="211" spans="2:16" x14ac:dyDescent="0.25">
      <c r="B211" s="14">
        <f t="shared" si="32"/>
        <v>49706</v>
      </c>
      <c r="C211" s="210"/>
      <c r="D211" s="210"/>
      <c r="E211" s="211"/>
      <c r="F211" s="211"/>
      <c r="G211" s="211"/>
      <c r="H211" s="58"/>
      <c r="I211" s="58" t="str">
        <f t="shared" si="33"/>
        <v/>
      </c>
      <c r="J211" s="58" t="str">
        <f t="shared" si="34"/>
        <v/>
      </c>
      <c r="K211" s="58" t="str">
        <f t="shared" si="35"/>
        <v/>
      </c>
      <c r="L211" s="58" t="str">
        <f t="shared" si="36"/>
        <v/>
      </c>
      <c r="M211" s="58" t="str">
        <f t="shared" si="28"/>
        <v/>
      </c>
      <c r="N211" s="32" t="str">
        <f t="shared" si="29"/>
        <v/>
      </c>
      <c r="O211" s="61" t="str">
        <f t="shared" si="30"/>
        <v/>
      </c>
      <c r="P211" s="61" t="str">
        <f t="shared" si="31"/>
        <v/>
      </c>
    </row>
    <row r="212" spans="2:16" x14ac:dyDescent="0.25">
      <c r="B212" s="14">
        <f t="shared" si="32"/>
        <v>49735</v>
      </c>
      <c r="C212" s="210"/>
      <c r="D212" s="210"/>
      <c r="E212" s="211"/>
      <c r="F212" s="211"/>
      <c r="G212" s="211"/>
      <c r="H212" s="58"/>
      <c r="I212" s="58" t="str">
        <f t="shared" si="33"/>
        <v/>
      </c>
      <c r="J212" s="58" t="str">
        <f t="shared" si="34"/>
        <v/>
      </c>
      <c r="K212" s="58" t="str">
        <f t="shared" si="35"/>
        <v/>
      </c>
      <c r="L212" s="58" t="str">
        <f t="shared" si="36"/>
        <v/>
      </c>
      <c r="M212" s="58" t="str">
        <f t="shared" si="28"/>
        <v/>
      </c>
      <c r="N212" s="32" t="str">
        <f t="shared" si="29"/>
        <v/>
      </c>
      <c r="O212" s="61" t="str">
        <f t="shared" si="30"/>
        <v/>
      </c>
      <c r="P212" s="61" t="str">
        <f t="shared" si="31"/>
        <v/>
      </c>
    </row>
    <row r="213" spans="2:16" x14ac:dyDescent="0.25">
      <c r="B213" s="14">
        <f t="shared" si="32"/>
        <v>49766</v>
      </c>
      <c r="C213" s="210"/>
      <c r="D213" s="210"/>
      <c r="E213" s="211"/>
      <c r="F213" s="211"/>
      <c r="G213" s="211"/>
      <c r="H213" s="58"/>
      <c r="I213" s="58" t="str">
        <f t="shared" si="33"/>
        <v/>
      </c>
      <c r="J213" s="58" t="str">
        <f t="shared" si="34"/>
        <v/>
      </c>
      <c r="K213" s="58" t="str">
        <f t="shared" si="35"/>
        <v/>
      </c>
      <c r="L213" s="58" t="str">
        <f t="shared" si="36"/>
        <v/>
      </c>
      <c r="M213" s="58" t="str">
        <f t="shared" si="28"/>
        <v/>
      </c>
      <c r="N213" s="32" t="str">
        <f t="shared" si="29"/>
        <v/>
      </c>
      <c r="O213" s="61" t="str">
        <f t="shared" si="30"/>
        <v/>
      </c>
      <c r="P213" s="61" t="str">
        <f t="shared" si="31"/>
        <v/>
      </c>
    </row>
    <row r="214" spans="2:16" x14ac:dyDescent="0.25">
      <c r="B214" s="14">
        <f t="shared" si="32"/>
        <v>49796</v>
      </c>
      <c r="C214" s="210"/>
      <c r="D214" s="210"/>
      <c r="E214" s="211"/>
      <c r="F214" s="211"/>
      <c r="G214" s="211"/>
      <c r="H214" s="58"/>
      <c r="I214" s="58" t="str">
        <f t="shared" si="33"/>
        <v/>
      </c>
      <c r="J214" s="58" t="str">
        <f t="shared" si="34"/>
        <v/>
      </c>
      <c r="K214" s="58" t="str">
        <f t="shared" si="35"/>
        <v/>
      </c>
      <c r="L214" s="58" t="str">
        <f t="shared" si="36"/>
        <v/>
      </c>
      <c r="M214" s="58" t="str">
        <f t="shared" si="28"/>
        <v/>
      </c>
      <c r="N214" s="32" t="str">
        <f t="shared" si="29"/>
        <v/>
      </c>
      <c r="O214" s="61" t="str">
        <f t="shared" si="30"/>
        <v/>
      </c>
      <c r="P214" s="61" t="str">
        <f t="shared" si="31"/>
        <v/>
      </c>
    </row>
    <row r="215" spans="2:16" x14ac:dyDescent="0.25">
      <c r="B215" s="14">
        <f t="shared" si="32"/>
        <v>49827</v>
      </c>
      <c r="C215" s="210"/>
      <c r="D215" s="210"/>
      <c r="E215" s="211"/>
      <c r="F215" s="211"/>
      <c r="G215" s="211"/>
      <c r="H215" s="58"/>
      <c r="I215" s="58" t="str">
        <f t="shared" si="33"/>
        <v/>
      </c>
      <c r="J215" s="58" t="str">
        <f t="shared" si="34"/>
        <v/>
      </c>
      <c r="K215" s="58" t="str">
        <f t="shared" si="35"/>
        <v/>
      </c>
      <c r="L215" s="58" t="str">
        <f t="shared" si="36"/>
        <v/>
      </c>
      <c r="M215" s="58" t="str">
        <f t="shared" si="28"/>
        <v/>
      </c>
      <c r="N215" s="32" t="str">
        <f t="shared" si="29"/>
        <v/>
      </c>
      <c r="O215" s="61" t="str">
        <f t="shared" si="30"/>
        <v/>
      </c>
      <c r="P215" s="61" t="str">
        <f t="shared" si="31"/>
        <v/>
      </c>
    </row>
    <row r="216" spans="2:16" x14ac:dyDescent="0.25">
      <c r="B216" s="14">
        <f t="shared" si="32"/>
        <v>49857</v>
      </c>
      <c r="C216" s="210"/>
      <c r="D216" s="210"/>
      <c r="E216" s="211"/>
      <c r="F216" s="211"/>
      <c r="G216" s="211"/>
      <c r="H216" s="58"/>
      <c r="I216" s="58" t="str">
        <f t="shared" si="33"/>
        <v/>
      </c>
      <c r="J216" s="58" t="str">
        <f t="shared" si="34"/>
        <v/>
      </c>
      <c r="K216" s="58" t="str">
        <f t="shared" si="35"/>
        <v/>
      </c>
      <c r="L216" s="58" t="str">
        <f t="shared" si="36"/>
        <v/>
      </c>
      <c r="M216" s="58" t="str">
        <f t="shared" si="28"/>
        <v/>
      </c>
      <c r="N216" s="32" t="str">
        <f t="shared" si="29"/>
        <v/>
      </c>
      <c r="O216" s="61" t="str">
        <f t="shared" si="30"/>
        <v/>
      </c>
      <c r="P216" s="61" t="str">
        <f t="shared" si="31"/>
        <v/>
      </c>
    </row>
    <row r="217" spans="2:16" x14ac:dyDescent="0.25">
      <c r="B217" s="14">
        <f t="shared" si="32"/>
        <v>49888</v>
      </c>
      <c r="C217" s="210"/>
      <c r="D217" s="210"/>
      <c r="E217" s="211"/>
      <c r="F217" s="211"/>
      <c r="G217" s="211"/>
      <c r="H217" s="58"/>
      <c r="I217" s="58" t="str">
        <f t="shared" si="33"/>
        <v/>
      </c>
      <c r="J217" s="58" t="str">
        <f t="shared" si="34"/>
        <v/>
      </c>
      <c r="K217" s="58" t="str">
        <f t="shared" si="35"/>
        <v/>
      </c>
      <c r="L217" s="58" t="str">
        <f t="shared" si="36"/>
        <v/>
      </c>
      <c r="M217" s="58" t="str">
        <f t="shared" si="28"/>
        <v/>
      </c>
      <c r="N217" s="32" t="str">
        <f t="shared" si="29"/>
        <v/>
      </c>
      <c r="O217" s="61" t="str">
        <f t="shared" si="30"/>
        <v/>
      </c>
      <c r="P217" s="61" t="str">
        <f t="shared" si="31"/>
        <v/>
      </c>
    </row>
    <row r="218" spans="2:16" x14ac:dyDescent="0.25">
      <c r="B218" s="14">
        <f t="shared" si="32"/>
        <v>49919</v>
      </c>
      <c r="C218" s="210"/>
      <c r="D218" s="210"/>
      <c r="E218" s="211"/>
      <c r="F218" s="211"/>
      <c r="G218" s="211"/>
      <c r="H218" s="58"/>
      <c r="I218" s="58" t="str">
        <f t="shared" si="33"/>
        <v/>
      </c>
      <c r="J218" s="58" t="str">
        <f t="shared" si="34"/>
        <v/>
      </c>
      <c r="K218" s="58" t="str">
        <f t="shared" si="35"/>
        <v/>
      </c>
      <c r="L218" s="58" t="str">
        <f t="shared" si="36"/>
        <v/>
      </c>
      <c r="M218" s="58" t="str">
        <f t="shared" si="28"/>
        <v/>
      </c>
      <c r="N218" s="32" t="str">
        <f t="shared" si="29"/>
        <v/>
      </c>
      <c r="O218" s="61" t="str">
        <f t="shared" si="30"/>
        <v/>
      </c>
      <c r="P218" s="61" t="str">
        <f t="shared" si="31"/>
        <v/>
      </c>
    </row>
    <row r="219" spans="2:16" x14ac:dyDescent="0.25">
      <c r="B219" s="14">
        <f t="shared" si="32"/>
        <v>49949</v>
      </c>
      <c r="C219" s="210"/>
      <c r="D219" s="210"/>
      <c r="E219" s="211"/>
      <c r="F219" s="211"/>
      <c r="G219" s="211"/>
      <c r="H219" s="58"/>
      <c r="I219" s="58" t="str">
        <f t="shared" si="33"/>
        <v/>
      </c>
      <c r="J219" s="58" t="str">
        <f t="shared" si="34"/>
        <v/>
      </c>
      <c r="K219" s="58" t="str">
        <f t="shared" si="35"/>
        <v/>
      </c>
      <c r="L219" s="58" t="str">
        <f t="shared" si="36"/>
        <v/>
      </c>
      <c r="M219" s="58" t="str">
        <f t="shared" si="28"/>
        <v/>
      </c>
      <c r="N219" s="32" t="str">
        <f t="shared" si="29"/>
        <v/>
      </c>
      <c r="O219" s="61" t="str">
        <f t="shared" si="30"/>
        <v/>
      </c>
      <c r="P219" s="61" t="str">
        <f t="shared" si="31"/>
        <v/>
      </c>
    </row>
    <row r="220" spans="2:16" x14ac:dyDescent="0.25">
      <c r="B220" s="14">
        <f t="shared" si="32"/>
        <v>49980</v>
      </c>
      <c r="C220" s="210"/>
      <c r="D220" s="210"/>
      <c r="E220" s="211"/>
      <c r="F220" s="211"/>
      <c r="G220" s="211"/>
      <c r="H220" s="58"/>
      <c r="I220" s="58" t="str">
        <f t="shared" si="33"/>
        <v/>
      </c>
      <c r="J220" s="58" t="str">
        <f t="shared" si="34"/>
        <v/>
      </c>
      <c r="K220" s="58" t="str">
        <f t="shared" si="35"/>
        <v/>
      </c>
      <c r="L220" s="58" t="str">
        <f t="shared" si="36"/>
        <v/>
      </c>
      <c r="M220" s="58" t="str">
        <f t="shared" si="28"/>
        <v/>
      </c>
      <c r="N220" s="32" t="str">
        <f t="shared" si="29"/>
        <v/>
      </c>
      <c r="O220" s="61" t="str">
        <f t="shared" si="30"/>
        <v/>
      </c>
      <c r="P220" s="61" t="str">
        <f t="shared" si="31"/>
        <v/>
      </c>
    </row>
    <row r="221" spans="2:16" x14ac:dyDescent="0.25">
      <c r="B221" s="20">
        <f t="shared" si="32"/>
        <v>50010</v>
      </c>
      <c r="C221" s="212"/>
      <c r="D221" s="212"/>
      <c r="E221" s="213"/>
      <c r="F221" s="213"/>
      <c r="G221" s="213"/>
      <c r="H221" s="58"/>
      <c r="I221" s="59" t="str">
        <f t="shared" si="33"/>
        <v/>
      </c>
      <c r="J221" s="59" t="str">
        <f t="shared" si="34"/>
        <v/>
      </c>
      <c r="K221" s="59" t="str">
        <f t="shared" si="35"/>
        <v/>
      </c>
      <c r="L221" s="59" t="str">
        <f t="shared" si="36"/>
        <v/>
      </c>
      <c r="M221" s="59" t="str">
        <f t="shared" si="28"/>
        <v/>
      </c>
      <c r="N221" s="60" t="str">
        <f t="shared" si="29"/>
        <v/>
      </c>
      <c r="O221" s="62" t="str">
        <f t="shared" si="30"/>
        <v/>
      </c>
      <c r="P221" s="62" t="str">
        <f t="shared" si="31"/>
        <v/>
      </c>
    </row>
    <row r="222" spans="2:16" x14ac:dyDescent="0.25">
      <c r="B222" s="14">
        <f t="shared" si="32"/>
        <v>50041</v>
      </c>
      <c r="C222" s="210"/>
      <c r="D222" s="210"/>
      <c r="E222" s="211"/>
      <c r="F222" s="211"/>
      <c r="G222" s="211"/>
      <c r="H222" s="58"/>
      <c r="I222" s="58" t="str">
        <f t="shared" si="33"/>
        <v/>
      </c>
      <c r="J222" s="58" t="str">
        <f t="shared" si="34"/>
        <v/>
      </c>
      <c r="K222" s="58" t="str">
        <f t="shared" si="35"/>
        <v/>
      </c>
      <c r="L222" s="58" t="str">
        <f t="shared" si="36"/>
        <v/>
      </c>
      <c r="M222" s="58" t="str">
        <f t="shared" si="28"/>
        <v/>
      </c>
      <c r="N222" s="32" t="str">
        <f t="shared" si="29"/>
        <v/>
      </c>
      <c r="O222" s="61" t="str">
        <f t="shared" si="30"/>
        <v/>
      </c>
      <c r="P222" s="61" t="str">
        <f t="shared" si="31"/>
        <v/>
      </c>
    </row>
    <row r="223" spans="2:16" x14ac:dyDescent="0.25">
      <c r="B223" s="14">
        <f t="shared" si="32"/>
        <v>50072</v>
      </c>
      <c r="C223" s="210"/>
      <c r="D223" s="210"/>
      <c r="E223" s="211"/>
      <c r="F223" s="211"/>
      <c r="G223" s="211"/>
      <c r="H223" s="58"/>
      <c r="I223" s="58" t="str">
        <f t="shared" si="33"/>
        <v/>
      </c>
      <c r="J223" s="58" t="str">
        <f t="shared" si="34"/>
        <v/>
      </c>
      <c r="K223" s="58" t="str">
        <f t="shared" si="35"/>
        <v/>
      </c>
      <c r="L223" s="58" t="str">
        <f t="shared" si="36"/>
        <v/>
      </c>
      <c r="M223" s="58" t="str">
        <f t="shared" si="28"/>
        <v/>
      </c>
      <c r="N223" s="32" t="str">
        <f t="shared" si="29"/>
        <v/>
      </c>
      <c r="O223" s="61" t="str">
        <f t="shared" si="30"/>
        <v/>
      </c>
      <c r="P223" s="61" t="str">
        <f t="shared" si="31"/>
        <v/>
      </c>
    </row>
    <row r="224" spans="2:16" x14ac:dyDescent="0.25">
      <c r="B224" s="14">
        <f t="shared" si="32"/>
        <v>50100</v>
      </c>
      <c r="C224" s="210"/>
      <c r="D224" s="210"/>
      <c r="E224" s="211"/>
      <c r="F224" s="211"/>
      <c r="G224" s="211"/>
      <c r="H224" s="58"/>
      <c r="I224" s="58" t="str">
        <f t="shared" si="33"/>
        <v/>
      </c>
      <c r="J224" s="58" t="str">
        <f t="shared" si="34"/>
        <v/>
      </c>
      <c r="K224" s="58" t="str">
        <f t="shared" si="35"/>
        <v/>
      </c>
      <c r="L224" s="58" t="str">
        <f t="shared" si="36"/>
        <v/>
      </c>
      <c r="M224" s="58" t="str">
        <f t="shared" si="28"/>
        <v/>
      </c>
      <c r="N224" s="32" t="str">
        <f t="shared" si="29"/>
        <v/>
      </c>
      <c r="O224" s="61" t="str">
        <f t="shared" si="30"/>
        <v/>
      </c>
      <c r="P224" s="61" t="str">
        <f t="shared" si="31"/>
        <v/>
      </c>
    </row>
    <row r="225" spans="2:16" x14ac:dyDescent="0.25">
      <c r="B225" s="14">
        <f t="shared" si="32"/>
        <v>50131</v>
      </c>
      <c r="C225" s="210"/>
      <c r="D225" s="210"/>
      <c r="E225" s="211"/>
      <c r="F225" s="211"/>
      <c r="G225" s="211"/>
      <c r="H225" s="58"/>
      <c r="I225" s="58" t="str">
        <f t="shared" si="33"/>
        <v/>
      </c>
      <c r="J225" s="58" t="str">
        <f t="shared" si="34"/>
        <v/>
      </c>
      <c r="K225" s="58" t="str">
        <f t="shared" si="35"/>
        <v/>
      </c>
      <c r="L225" s="58" t="str">
        <f t="shared" si="36"/>
        <v/>
      </c>
      <c r="M225" s="58" t="str">
        <f t="shared" si="28"/>
        <v/>
      </c>
      <c r="N225" s="32" t="str">
        <f t="shared" si="29"/>
        <v/>
      </c>
      <c r="O225" s="61" t="str">
        <f t="shared" si="30"/>
        <v/>
      </c>
      <c r="P225" s="61" t="str">
        <f t="shared" si="31"/>
        <v/>
      </c>
    </row>
    <row r="226" spans="2:16" x14ac:dyDescent="0.25">
      <c r="B226" s="14">
        <f t="shared" si="32"/>
        <v>50161</v>
      </c>
      <c r="C226" s="210"/>
      <c r="D226" s="210"/>
      <c r="E226" s="211"/>
      <c r="F226" s="211"/>
      <c r="G226" s="211"/>
      <c r="H226" s="58"/>
      <c r="I226" s="58" t="str">
        <f t="shared" si="33"/>
        <v/>
      </c>
      <c r="J226" s="58" t="str">
        <f t="shared" si="34"/>
        <v/>
      </c>
      <c r="K226" s="58" t="str">
        <f t="shared" si="35"/>
        <v/>
      </c>
      <c r="L226" s="58" t="str">
        <f t="shared" si="36"/>
        <v/>
      </c>
      <c r="M226" s="58" t="str">
        <f t="shared" si="28"/>
        <v/>
      </c>
      <c r="N226" s="32" t="str">
        <f t="shared" si="29"/>
        <v/>
      </c>
      <c r="O226" s="61" t="str">
        <f t="shared" si="30"/>
        <v/>
      </c>
      <c r="P226" s="61" t="str">
        <f t="shared" si="31"/>
        <v/>
      </c>
    </row>
    <row r="227" spans="2:16" x14ac:dyDescent="0.25">
      <c r="B227" s="14">
        <f t="shared" si="32"/>
        <v>50192</v>
      </c>
      <c r="C227" s="210"/>
      <c r="D227" s="210"/>
      <c r="E227" s="211"/>
      <c r="F227" s="211"/>
      <c r="G227" s="211"/>
      <c r="H227" s="58"/>
      <c r="I227" s="58" t="str">
        <f t="shared" si="33"/>
        <v/>
      </c>
      <c r="J227" s="58" t="str">
        <f t="shared" si="34"/>
        <v/>
      </c>
      <c r="K227" s="58" t="str">
        <f t="shared" si="35"/>
        <v/>
      </c>
      <c r="L227" s="58" t="str">
        <f t="shared" si="36"/>
        <v/>
      </c>
      <c r="M227" s="58" t="str">
        <f t="shared" si="28"/>
        <v/>
      </c>
      <c r="N227" s="32" t="str">
        <f t="shared" si="29"/>
        <v/>
      </c>
      <c r="O227" s="61" t="str">
        <f t="shared" si="30"/>
        <v/>
      </c>
      <c r="P227" s="61" t="str">
        <f t="shared" si="31"/>
        <v/>
      </c>
    </row>
    <row r="228" spans="2:16" x14ac:dyDescent="0.25">
      <c r="B228" s="14">
        <f t="shared" si="32"/>
        <v>50222</v>
      </c>
      <c r="C228" s="210"/>
      <c r="D228" s="210"/>
      <c r="E228" s="211"/>
      <c r="F228" s="211"/>
      <c r="G228" s="211"/>
      <c r="H228" s="58"/>
      <c r="I228" s="58" t="str">
        <f t="shared" si="33"/>
        <v/>
      </c>
      <c r="J228" s="58" t="str">
        <f t="shared" si="34"/>
        <v/>
      </c>
      <c r="K228" s="58" t="str">
        <f t="shared" si="35"/>
        <v/>
      </c>
      <c r="L228" s="58" t="str">
        <f t="shared" si="36"/>
        <v/>
      </c>
      <c r="M228" s="58" t="str">
        <f t="shared" si="28"/>
        <v/>
      </c>
      <c r="N228" s="32" t="str">
        <f t="shared" si="29"/>
        <v/>
      </c>
      <c r="O228" s="61" t="str">
        <f t="shared" si="30"/>
        <v/>
      </c>
      <c r="P228" s="61" t="str">
        <f t="shared" si="31"/>
        <v/>
      </c>
    </row>
    <row r="229" spans="2:16" x14ac:dyDescent="0.25">
      <c r="B229" s="14">
        <f t="shared" si="32"/>
        <v>50253</v>
      </c>
      <c r="C229" s="210"/>
      <c r="D229" s="210"/>
      <c r="E229" s="211"/>
      <c r="F229" s="211"/>
      <c r="G229" s="211"/>
      <c r="H229" s="58"/>
      <c r="I229" s="58" t="str">
        <f t="shared" si="33"/>
        <v/>
      </c>
      <c r="J229" s="58" t="str">
        <f t="shared" si="34"/>
        <v/>
      </c>
      <c r="K229" s="58" t="str">
        <f t="shared" si="35"/>
        <v/>
      </c>
      <c r="L229" s="58" t="str">
        <f t="shared" si="36"/>
        <v/>
      </c>
      <c r="M229" s="58" t="str">
        <f t="shared" si="28"/>
        <v/>
      </c>
      <c r="N229" s="32" t="str">
        <f t="shared" si="29"/>
        <v/>
      </c>
      <c r="O229" s="61" t="str">
        <f t="shared" si="30"/>
        <v/>
      </c>
      <c r="P229" s="61" t="str">
        <f t="shared" si="31"/>
        <v/>
      </c>
    </row>
    <row r="230" spans="2:16" x14ac:dyDescent="0.25">
      <c r="B230" s="14">
        <f t="shared" si="32"/>
        <v>50284</v>
      </c>
      <c r="C230" s="210"/>
      <c r="D230" s="210"/>
      <c r="E230" s="211"/>
      <c r="F230" s="211"/>
      <c r="G230" s="211"/>
      <c r="H230" s="58"/>
      <c r="I230" s="58" t="str">
        <f t="shared" si="33"/>
        <v/>
      </c>
      <c r="J230" s="58" t="str">
        <f t="shared" si="34"/>
        <v/>
      </c>
      <c r="K230" s="58" t="str">
        <f t="shared" si="35"/>
        <v/>
      </c>
      <c r="L230" s="58" t="str">
        <f t="shared" si="36"/>
        <v/>
      </c>
      <c r="M230" s="58" t="str">
        <f t="shared" si="28"/>
        <v/>
      </c>
      <c r="N230" s="32" t="str">
        <f t="shared" si="29"/>
        <v/>
      </c>
      <c r="O230" s="61" t="str">
        <f t="shared" si="30"/>
        <v/>
      </c>
      <c r="P230" s="61" t="str">
        <f t="shared" si="31"/>
        <v/>
      </c>
    </row>
    <row r="231" spans="2:16" x14ac:dyDescent="0.25">
      <c r="B231" s="14">
        <f t="shared" si="32"/>
        <v>50314</v>
      </c>
      <c r="C231" s="210"/>
      <c r="D231" s="210"/>
      <c r="E231" s="211"/>
      <c r="F231" s="211"/>
      <c r="G231" s="211"/>
      <c r="H231" s="58"/>
      <c r="I231" s="58" t="str">
        <f t="shared" si="33"/>
        <v/>
      </c>
      <c r="J231" s="58" t="str">
        <f t="shared" si="34"/>
        <v/>
      </c>
      <c r="K231" s="58" t="str">
        <f t="shared" si="35"/>
        <v/>
      </c>
      <c r="L231" s="58" t="str">
        <f t="shared" si="36"/>
        <v/>
      </c>
      <c r="M231" s="58" t="str">
        <f t="shared" si="28"/>
        <v/>
      </c>
      <c r="N231" s="32" t="str">
        <f t="shared" si="29"/>
        <v/>
      </c>
      <c r="O231" s="61" t="str">
        <f t="shared" si="30"/>
        <v/>
      </c>
      <c r="P231" s="61" t="str">
        <f t="shared" si="31"/>
        <v/>
      </c>
    </row>
    <row r="232" spans="2:16" x14ac:dyDescent="0.25">
      <c r="B232" s="14">
        <f t="shared" si="32"/>
        <v>50345</v>
      </c>
      <c r="C232" s="210"/>
      <c r="D232" s="210"/>
      <c r="E232" s="211"/>
      <c r="F232" s="211"/>
      <c r="G232" s="211"/>
      <c r="H232" s="58"/>
      <c r="I232" s="58" t="str">
        <f t="shared" si="33"/>
        <v/>
      </c>
      <c r="J232" s="58" t="str">
        <f t="shared" si="34"/>
        <v/>
      </c>
      <c r="K232" s="58" t="str">
        <f t="shared" si="35"/>
        <v/>
      </c>
      <c r="L232" s="58" t="str">
        <f t="shared" si="36"/>
        <v/>
      </c>
      <c r="M232" s="58" t="str">
        <f t="shared" si="28"/>
        <v/>
      </c>
      <c r="N232" s="32" t="str">
        <f t="shared" si="29"/>
        <v/>
      </c>
      <c r="O232" s="61" t="str">
        <f t="shared" si="30"/>
        <v/>
      </c>
      <c r="P232" s="61" t="str">
        <f t="shared" si="31"/>
        <v/>
      </c>
    </row>
    <row r="233" spans="2:16" x14ac:dyDescent="0.25">
      <c r="B233" s="20">
        <f t="shared" si="32"/>
        <v>50375</v>
      </c>
      <c r="C233" s="212"/>
      <c r="D233" s="212"/>
      <c r="E233" s="213"/>
      <c r="F233" s="213"/>
      <c r="G233" s="213"/>
      <c r="H233" s="58"/>
      <c r="I233" s="59" t="str">
        <f t="shared" si="33"/>
        <v/>
      </c>
      <c r="J233" s="59" t="str">
        <f t="shared" si="34"/>
        <v/>
      </c>
      <c r="K233" s="59" t="str">
        <f t="shared" si="35"/>
        <v/>
      </c>
      <c r="L233" s="59" t="str">
        <f t="shared" si="36"/>
        <v/>
      </c>
      <c r="M233" s="59" t="str">
        <f t="shared" si="28"/>
        <v/>
      </c>
      <c r="N233" s="60" t="str">
        <f t="shared" si="29"/>
        <v/>
      </c>
      <c r="O233" s="62" t="str">
        <f t="shared" si="30"/>
        <v/>
      </c>
      <c r="P233" s="62" t="str">
        <f t="shared" si="31"/>
        <v/>
      </c>
    </row>
    <row r="234" spans="2:16" x14ac:dyDescent="0.25">
      <c r="B234" s="14">
        <f t="shared" si="32"/>
        <v>50406</v>
      </c>
      <c r="C234" s="210"/>
      <c r="D234" s="210"/>
      <c r="E234" s="211"/>
      <c r="F234" s="211"/>
      <c r="G234" s="211"/>
      <c r="H234" s="58"/>
      <c r="I234" s="58" t="str">
        <f t="shared" si="33"/>
        <v/>
      </c>
      <c r="J234" s="58" t="str">
        <f t="shared" si="34"/>
        <v/>
      </c>
      <c r="K234" s="58" t="str">
        <f t="shared" si="35"/>
        <v/>
      </c>
      <c r="L234" s="58" t="str">
        <f t="shared" si="36"/>
        <v/>
      </c>
      <c r="M234" s="58" t="str">
        <f t="shared" si="28"/>
        <v/>
      </c>
      <c r="N234" s="32" t="str">
        <f t="shared" si="29"/>
        <v/>
      </c>
      <c r="O234" s="61" t="str">
        <f t="shared" si="30"/>
        <v/>
      </c>
      <c r="P234" s="61" t="str">
        <f t="shared" si="31"/>
        <v/>
      </c>
    </row>
    <row r="235" spans="2:16" x14ac:dyDescent="0.25">
      <c r="B235" s="14">
        <f t="shared" si="32"/>
        <v>50437</v>
      </c>
      <c r="C235" s="210"/>
      <c r="D235" s="210"/>
      <c r="E235" s="211"/>
      <c r="F235" s="211"/>
      <c r="G235" s="211"/>
      <c r="H235" s="58"/>
      <c r="I235" s="58" t="str">
        <f t="shared" si="33"/>
        <v/>
      </c>
      <c r="J235" s="58" t="str">
        <f t="shared" si="34"/>
        <v/>
      </c>
      <c r="K235" s="58" t="str">
        <f t="shared" si="35"/>
        <v/>
      </c>
      <c r="L235" s="58" t="str">
        <f t="shared" si="36"/>
        <v/>
      </c>
      <c r="M235" s="58" t="str">
        <f t="shared" si="28"/>
        <v/>
      </c>
      <c r="N235" s="32" t="str">
        <f t="shared" si="29"/>
        <v/>
      </c>
      <c r="O235" s="61" t="str">
        <f t="shared" si="30"/>
        <v/>
      </c>
      <c r="P235" s="61" t="str">
        <f t="shared" si="31"/>
        <v/>
      </c>
    </row>
    <row r="236" spans="2:16" x14ac:dyDescent="0.25">
      <c r="B236" s="14">
        <f t="shared" si="32"/>
        <v>50465</v>
      </c>
      <c r="C236" s="210"/>
      <c r="D236" s="210"/>
      <c r="E236" s="211"/>
      <c r="F236" s="211"/>
      <c r="G236" s="211"/>
      <c r="H236" s="58"/>
      <c r="I236" s="58" t="str">
        <f t="shared" si="33"/>
        <v/>
      </c>
      <c r="J236" s="58" t="str">
        <f t="shared" si="34"/>
        <v/>
      </c>
      <c r="K236" s="58" t="str">
        <f t="shared" si="35"/>
        <v/>
      </c>
      <c r="L236" s="58" t="str">
        <f t="shared" si="36"/>
        <v/>
      </c>
      <c r="M236" s="58" t="str">
        <f t="shared" si="28"/>
        <v/>
      </c>
      <c r="N236" s="32" t="str">
        <f t="shared" si="29"/>
        <v/>
      </c>
      <c r="O236" s="61" t="str">
        <f t="shared" si="30"/>
        <v/>
      </c>
      <c r="P236" s="61" t="str">
        <f t="shared" si="31"/>
        <v/>
      </c>
    </row>
    <row r="237" spans="2:16" x14ac:dyDescent="0.25">
      <c r="B237" s="14">
        <f t="shared" si="32"/>
        <v>50496</v>
      </c>
      <c r="C237" s="210"/>
      <c r="D237" s="210"/>
      <c r="E237" s="211"/>
      <c r="F237" s="211"/>
      <c r="G237" s="211"/>
      <c r="H237" s="58"/>
      <c r="I237" s="58" t="str">
        <f t="shared" si="33"/>
        <v/>
      </c>
      <c r="J237" s="58" t="str">
        <f t="shared" si="34"/>
        <v/>
      </c>
      <c r="K237" s="58" t="str">
        <f t="shared" si="35"/>
        <v/>
      </c>
      <c r="L237" s="58" t="str">
        <f t="shared" si="36"/>
        <v/>
      </c>
      <c r="M237" s="58" t="str">
        <f t="shared" si="28"/>
        <v/>
      </c>
      <c r="N237" s="32" t="str">
        <f t="shared" si="29"/>
        <v/>
      </c>
      <c r="O237" s="61" t="str">
        <f t="shared" si="30"/>
        <v/>
      </c>
      <c r="P237" s="61" t="str">
        <f t="shared" si="31"/>
        <v/>
      </c>
    </row>
    <row r="238" spans="2:16" x14ac:dyDescent="0.25">
      <c r="B238" s="14">
        <f t="shared" si="32"/>
        <v>50526</v>
      </c>
      <c r="C238" s="210"/>
      <c r="D238" s="210"/>
      <c r="E238" s="211"/>
      <c r="F238" s="211"/>
      <c r="G238" s="211"/>
      <c r="H238" s="58"/>
      <c r="I238" s="58" t="str">
        <f t="shared" si="33"/>
        <v/>
      </c>
      <c r="J238" s="58" t="str">
        <f t="shared" si="34"/>
        <v/>
      </c>
      <c r="K238" s="58" t="str">
        <f t="shared" si="35"/>
        <v/>
      </c>
      <c r="L238" s="58" t="str">
        <f t="shared" si="36"/>
        <v/>
      </c>
      <c r="M238" s="58" t="str">
        <f t="shared" si="28"/>
        <v/>
      </c>
      <c r="N238" s="32" t="str">
        <f t="shared" si="29"/>
        <v/>
      </c>
      <c r="O238" s="61" t="str">
        <f t="shared" si="30"/>
        <v/>
      </c>
      <c r="P238" s="61" t="str">
        <f t="shared" si="31"/>
        <v/>
      </c>
    </row>
    <row r="239" spans="2:16" x14ac:dyDescent="0.25">
      <c r="B239" s="14">
        <f t="shared" si="32"/>
        <v>50557</v>
      </c>
      <c r="C239" s="210"/>
      <c r="D239" s="210"/>
      <c r="E239" s="211"/>
      <c r="F239" s="211"/>
      <c r="G239" s="211"/>
      <c r="H239" s="58"/>
      <c r="I239" s="58" t="str">
        <f t="shared" si="33"/>
        <v/>
      </c>
      <c r="J239" s="58" t="str">
        <f t="shared" si="34"/>
        <v/>
      </c>
      <c r="K239" s="58" t="str">
        <f t="shared" si="35"/>
        <v/>
      </c>
      <c r="L239" s="58" t="str">
        <f t="shared" si="36"/>
        <v/>
      </c>
      <c r="M239" s="58" t="str">
        <f t="shared" si="28"/>
        <v/>
      </c>
      <c r="N239" s="32" t="str">
        <f t="shared" si="29"/>
        <v/>
      </c>
      <c r="O239" s="61" t="str">
        <f t="shared" si="30"/>
        <v/>
      </c>
      <c r="P239" s="61" t="str">
        <f t="shared" si="31"/>
        <v/>
      </c>
    </row>
    <row r="240" spans="2:16" x14ac:dyDescent="0.25">
      <c r="B240" s="14">
        <f t="shared" si="32"/>
        <v>50587</v>
      </c>
      <c r="C240" s="210"/>
      <c r="D240" s="210"/>
      <c r="E240" s="211"/>
      <c r="F240" s="211"/>
      <c r="G240" s="211"/>
      <c r="H240" s="58"/>
      <c r="I240" s="58" t="str">
        <f t="shared" si="33"/>
        <v/>
      </c>
      <c r="J240" s="58" t="str">
        <f t="shared" si="34"/>
        <v/>
      </c>
      <c r="K240" s="58" t="str">
        <f t="shared" si="35"/>
        <v/>
      </c>
      <c r="L240" s="58" t="str">
        <f t="shared" si="36"/>
        <v/>
      </c>
      <c r="M240" s="58" t="str">
        <f t="shared" si="28"/>
        <v/>
      </c>
      <c r="N240" s="32" t="str">
        <f t="shared" si="29"/>
        <v/>
      </c>
      <c r="O240" s="61" t="str">
        <f t="shared" si="30"/>
        <v/>
      </c>
      <c r="P240" s="61" t="str">
        <f t="shared" si="31"/>
        <v/>
      </c>
    </row>
    <row r="241" spans="2:16" x14ac:dyDescent="0.25">
      <c r="B241" s="14">
        <f t="shared" si="32"/>
        <v>50618</v>
      </c>
      <c r="C241" s="210"/>
      <c r="D241" s="210"/>
      <c r="E241" s="211"/>
      <c r="F241" s="211"/>
      <c r="G241" s="211"/>
      <c r="H241" s="58"/>
      <c r="I241" s="58" t="str">
        <f t="shared" si="33"/>
        <v/>
      </c>
      <c r="J241" s="58" t="str">
        <f t="shared" si="34"/>
        <v/>
      </c>
      <c r="K241" s="58" t="str">
        <f t="shared" si="35"/>
        <v/>
      </c>
      <c r="L241" s="58" t="str">
        <f t="shared" si="36"/>
        <v/>
      </c>
      <c r="M241" s="58" t="str">
        <f t="shared" si="28"/>
        <v/>
      </c>
      <c r="N241" s="32" t="str">
        <f t="shared" si="29"/>
        <v/>
      </c>
      <c r="O241" s="61" t="str">
        <f t="shared" si="30"/>
        <v/>
      </c>
      <c r="P241" s="61" t="str">
        <f t="shared" si="31"/>
        <v/>
      </c>
    </row>
    <row r="242" spans="2:16" x14ac:dyDescent="0.25">
      <c r="B242" s="14">
        <f t="shared" si="32"/>
        <v>50649</v>
      </c>
      <c r="C242" s="210"/>
      <c r="D242" s="210"/>
      <c r="E242" s="211"/>
      <c r="F242" s="211"/>
      <c r="G242" s="211"/>
      <c r="H242" s="58"/>
      <c r="I242" s="58" t="str">
        <f t="shared" si="33"/>
        <v/>
      </c>
      <c r="J242" s="58" t="str">
        <f t="shared" si="34"/>
        <v/>
      </c>
      <c r="K242" s="58" t="str">
        <f t="shared" si="35"/>
        <v/>
      </c>
      <c r="L242" s="58" t="str">
        <f t="shared" si="36"/>
        <v/>
      </c>
      <c r="M242" s="58" t="str">
        <f t="shared" si="28"/>
        <v/>
      </c>
      <c r="N242" s="32" t="str">
        <f t="shared" si="29"/>
        <v/>
      </c>
      <c r="O242" s="61" t="str">
        <f t="shared" si="30"/>
        <v/>
      </c>
      <c r="P242" s="61" t="str">
        <f t="shared" si="31"/>
        <v/>
      </c>
    </row>
    <row r="243" spans="2:16" x14ac:dyDescent="0.25">
      <c r="B243" s="14">
        <f t="shared" si="32"/>
        <v>50679</v>
      </c>
      <c r="C243" s="210"/>
      <c r="D243" s="210"/>
      <c r="E243" s="211"/>
      <c r="F243" s="211"/>
      <c r="G243" s="211"/>
      <c r="H243" s="58"/>
      <c r="I243" s="58" t="str">
        <f t="shared" si="33"/>
        <v/>
      </c>
      <c r="J243" s="58" t="str">
        <f t="shared" si="34"/>
        <v/>
      </c>
      <c r="K243" s="58" t="str">
        <f t="shared" si="35"/>
        <v/>
      </c>
      <c r="L243" s="58" t="str">
        <f t="shared" si="36"/>
        <v/>
      </c>
      <c r="M243" s="58" t="str">
        <f t="shared" si="28"/>
        <v/>
      </c>
      <c r="N243" s="32" t="str">
        <f t="shared" si="29"/>
        <v/>
      </c>
      <c r="O243" s="61" t="str">
        <f t="shared" si="30"/>
        <v/>
      </c>
      <c r="P243" s="61" t="str">
        <f t="shared" si="31"/>
        <v/>
      </c>
    </row>
    <row r="244" spans="2:16" x14ac:dyDescent="0.25">
      <c r="B244" s="14">
        <f t="shared" si="32"/>
        <v>50710</v>
      </c>
      <c r="C244" s="210"/>
      <c r="D244" s="210"/>
      <c r="E244" s="211"/>
      <c r="F244" s="211"/>
      <c r="G244" s="211"/>
      <c r="H244" s="58"/>
      <c r="I244" s="58" t="str">
        <f t="shared" si="33"/>
        <v/>
      </c>
      <c r="J244" s="58" t="str">
        <f t="shared" si="34"/>
        <v/>
      </c>
      <c r="K244" s="58" t="str">
        <f t="shared" si="35"/>
        <v/>
      </c>
      <c r="L244" s="58" t="str">
        <f t="shared" si="36"/>
        <v/>
      </c>
      <c r="M244" s="58" t="str">
        <f t="shared" si="28"/>
        <v/>
      </c>
      <c r="N244" s="32" t="str">
        <f t="shared" si="29"/>
        <v/>
      </c>
      <c r="O244" s="61" t="str">
        <f t="shared" si="30"/>
        <v/>
      </c>
      <c r="P244" s="61" t="str">
        <f t="shared" si="31"/>
        <v/>
      </c>
    </row>
    <row r="245" spans="2:16" x14ac:dyDescent="0.25">
      <c r="B245" s="20">
        <f t="shared" si="32"/>
        <v>50740</v>
      </c>
      <c r="C245" s="212"/>
      <c r="D245" s="212"/>
      <c r="E245" s="213"/>
      <c r="F245" s="213"/>
      <c r="G245" s="213"/>
      <c r="H245" s="58"/>
      <c r="I245" s="59" t="str">
        <f t="shared" si="33"/>
        <v/>
      </c>
      <c r="J245" s="59" t="str">
        <f t="shared" si="34"/>
        <v/>
      </c>
      <c r="K245" s="59" t="str">
        <f t="shared" si="35"/>
        <v/>
      </c>
      <c r="L245" s="59" t="str">
        <f t="shared" si="36"/>
        <v/>
      </c>
      <c r="M245" s="59" t="str">
        <f t="shared" si="28"/>
        <v/>
      </c>
      <c r="N245" s="60" t="str">
        <f t="shared" si="29"/>
        <v/>
      </c>
      <c r="O245" s="62" t="str">
        <f t="shared" si="30"/>
        <v/>
      </c>
      <c r="P245" s="62" t="str">
        <f t="shared" si="31"/>
        <v/>
      </c>
    </row>
    <row r="246" spans="2:16" x14ac:dyDescent="0.25">
      <c r="B246" s="14">
        <f t="shared" si="32"/>
        <v>50771</v>
      </c>
      <c r="C246" s="210"/>
      <c r="D246" s="210"/>
      <c r="E246" s="211"/>
      <c r="F246" s="211"/>
      <c r="G246" s="211"/>
      <c r="H246" s="58"/>
      <c r="I246" s="58" t="str">
        <f t="shared" si="33"/>
        <v/>
      </c>
      <c r="J246" s="58" t="str">
        <f t="shared" si="34"/>
        <v/>
      </c>
      <c r="K246" s="58" t="str">
        <f t="shared" si="35"/>
        <v/>
      </c>
      <c r="L246" s="58" t="str">
        <f t="shared" si="36"/>
        <v/>
      </c>
      <c r="M246" s="58" t="str">
        <f t="shared" si="28"/>
        <v/>
      </c>
      <c r="N246" s="32" t="str">
        <f t="shared" si="29"/>
        <v/>
      </c>
      <c r="O246" s="61" t="str">
        <f t="shared" si="30"/>
        <v/>
      </c>
      <c r="P246" s="61" t="str">
        <f t="shared" si="31"/>
        <v/>
      </c>
    </row>
    <row r="247" spans="2:16" x14ac:dyDescent="0.25">
      <c r="B247" s="14">
        <f t="shared" si="32"/>
        <v>50802</v>
      </c>
      <c r="C247" s="210"/>
      <c r="D247" s="210"/>
      <c r="E247" s="211"/>
      <c r="F247" s="211"/>
      <c r="G247" s="211"/>
      <c r="H247" s="58"/>
      <c r="I247" s="58" t="str">
        <f t="shared" si="33"/>
        <v/>
      </c>
      <c r="J247" s="58" t="str">
        <f t="shared" si="34"/>
        <v/>
      </c>
      <c r="K247" s="58" t="str">
        <f t="shared" si="35"/>
        <v/>
      </c>
      <c r="L247" s="58" t="str">
        <f t="shared" si="36"/>
        <v/>
      </c>
      <c r="M247" s="58" t="str">
        <f t="shared" si="28"/>
        <v/>
      </c>
      <c r="N247" s="32" t="str">
        <f t="shared" si="29"/>
        <v/>
      </c>
      <c r="O247" s="61" t="str">
        <f t="shared" si="30"/>
        <v/>
      </c>
      <c r="P247" s="61" t="str">
        <f t="shared" si="31"/>
        <v/>
      </c>
    </row>
    <row r="248" spans="2:16" x14ac:dyDescent="0.25">
      <c r="B248" s="14">
        <f t="shared" si="32"/>
        <v>50830</v>
      </c>
      <c r="C248" s="210"/>
      <c r="D248" s="210"/>
      <c r="E248" s="211"/>
      <c r="F248" s="211"/>
      <c r="G248" s="211"/>
      <c r="H248" s="58"/>
      <c r="I248" s="58" t="str">
        <f t="shared" si="33"/>
        <v/>
      </c>
      <c r="J248" s="58" t="str">
        <f t="shared" si="34"/>
        <v/>
      </c>
      <c r="K248" s="58" t="str">
        <f t="shared" si="35"/>
        <v/>
      </c>
      <c r="L248" s="58" t="str">
        <f t="shared" si="36"/>
        <v/>
      </c>
      <c r="M248" s="58" t="str">
        <f t="shared" si="28"/>
        <v/>
      </c>
      <c r="N248" s="32" t="str">
        <f t="shared" si="29"/>
        <v/>
      </c>
      <c r="O248" s="61" t="str">
        <f t="shared" si="30"/>
        <v/>
      </c>
      <c r="P248" s="61" t="str">
        <f t="shared" si="31"/>
        <v/>
      </c>
    </row>
    <row r="249" spans="2:16" x14ac:dyDescent="0.25">
      <c r="B249" s="14">
        <f t="shared" si="32"/>
        <v>50861</v>
      </c>
      <c r="C249" s="210"/>
      <c r="D249" s="210"/>
      <c r="E249" s="211"/>
      <c r="F249" s="211"/>
      <c r="G249" s="211"/>
      <c r="H249" s="58"/>
      <c r="I249" s="58" t="str">
        <f t="shared" si="33"/>
        <v/>
      </c>
      <c r="J249" s="58" t="str">
        <f t="shared" si="34"/>
        <v/>
      </c>
      <c r="K249" s="58" t="str">
        <f t="shared" si="35"/>
        <v/>
      </c>
      <c r="L249" s="58" t="str">
        <f t="shared" si="36"/>
        <v/>
      </c>
      <c r="M249" s="58" t="str">
        <f t="shared" si="28"/>
        <v/>
      </c>
      <c r="N249" s="32" t="str">
        <f t="shared" si="29"/>
        <v/>
      </c>
      <c r="O249" s="61" t="str">
        <f t="shared" si="30"/>
        <v/>
      </c>
      <c r="P249" s="61" t="str">
        <f t="shared" si="31"/>
        <v/>
      </c>
    </row>
    <row r="250" spans="2:16" x14ac:dyDescent="0.25">
      <c r="B250" s="14">
        <f t="shared" si="32"/>
        <v>50891</v>
      </c>
      <c r="C250" s="210"/>
      <c r="D250" s="210"/>
      <c r="E250" s="211"/>
      <c r="F250" s="211"/>
      <c r="G250" s="211"/>
      <c r="H250" s="58"/>
      <c r="I250" s="58" t="str">
        <f t="shared" si="33"/>
        <v/>
      </c>
      <c r="J250" s="58" t="str">
        <f t="shared" si="34"/>
        <v/>
      </c>
      <c r="K250" s="58" t="str">
        <f t="shared" si="35"/>
        <v/>
      </c>
      <c r="L250" s="58" t="str">
        <f t="shared" si="36"/>
        <v/>
      </c>
      <c r="M250" s="58" t="str">
        <f t="shared" si="28"/>
        <v/>
      </c>
      <c r="N250" s="32" t="str">
        <f t="shared" si="29"/>
        <v/>
      </c>
      <c r="O250" s="61" t="str">
        <f t="shared" si="30"/>
        <v/>
      </c>
      <c r="P250" s="61" t="str">
        <f t="shared" si="31"/>
        <v/>
      </c>
    </row>
    <row r="251" spans="2:16" x14ac:dyDescent="0.25">
      <c r="B251" s="14">
        <f t="shared" si="32"/>
        <v>50922</v>
      </c>
      <c r="C251" s="210"/>
      <c r="D251" s="210"/>
      <c r="E251" s="211"/>
      <c r="F251" s="211"/>
      <c r="G251" s="211"/>
      <c r="H251" s="58"/>
      <c r="I251" s="58" t="str">
        <f t="shared" si="33"/>
        <v/>
      </c>
      <c r="J251" s="58" t="str">
        <f t="shared" si="34"/>
        <v/>
      </c>
      <c r="K251" s="58" t="str">
        <f t="shared" si="35"/>
        <v/>
      </c>
      <c r="L251" s="58" t="str">
        <f t="shared" si="36"/>
        <v/>
      </c>
      <c r="M251" s="58" t="str">
        <f t="shared" si="28"/>
        <v/>
      </c>
      <c r="N251" s="32" t="str">
        <f t="shared" si="29"/>
        <v/>
      </c>
      <c r="O251" s="61" t="str">
        <f t="shared" si="30"/>
        <v/>
      </c>
      <c r="P251" s="61" t="str">
        <f t="shared" si="31"/>
        <v/>
      </c>
    </row>
    <row r="252" spans="2:16" x14ac:dyDescent="0.25">
      <c r="B252" s="14">
        <f t="shared" si="32"/>
        <v>50952</v>
      </c>
      <c r="C252" s="210"/>
      <c r="D252" s="210"/>
      <c r="E252" s="211"/>
      <c r="F252" s="211"/>
      <c r="G252" s="211"/>
      <c r="H252" s="58"/>
      <c r="I252" s="58" t="str">
        <f t="shared" si="33"/>
        <v/>
      </c>
      <c r="J252" s="58" t="str">
        <f t="shared" si="34"/>
        <v/>
      </c>
      <c r="K252" s="58" t="str">
        <f t="shared" si="35"/>
        <v/>
      </c>
      <c r="L252" s="58" t="str">
        <f t="shared" si="36"/>
        <v/>
      </c>
      <c r="M252" s="58" t="str">
        <f t="shared" si="28"/>
        <v/>
      </c>
      <c r="N252" s="32" t="str">
        <f t="shared" si="29"/>
        <v/>
      </c>
      <c r="O252" s="61" t="str">
        <f t="shared" si="30"/>
        <v/>
      </c>
      <c r="P252" s="61" t="str">
        <f t="shared" si="31"/>
        <v/>
      </c>
    </row>
    <row r="253" spans="2:16" x14ac:dyDescent="0.25">
      <c r="B253" s="14">
        <f t="shared" si="32"/>
        <v>50983</v>
      </c>
      <c r="C253" s="210"/>
      <c r="D253" s="210"/>
      <c r="E253" s="211"/>
      <c r="F253" s="211"/>
      <c r="G253" s="211"/>
      <c r="H253" s="58"/>
      <c r="I253" s="58" t="str">
        <f t="shared" si="33"/>
        <v/>
      </c>
      <c r="J253" s="58" t="str">
        <f t="shared" si="34"/>
        <v/>
      </c>
      <c r="K253" s="58" t="str">
        <f t="shared" si="35"/>
        <v/>
      </c>
      <c r="L253" s="58" t="str">
        <f t="shared" si="36"/>
        <v/>
      </c>
      <c r="M253" s="58" t="str">
        <f t="shared" si="28"/>
        <v/>
      </c>
      <c r="N253" s="32" t="str">
        <f t="shared" si="29"/>
        <v/>
      </c>
      <c r="O253" s="61" t="str">
        <f t="shared" si="30"/>
        <v/>
      </c>
      <c r="P253" s="61" t="str">
        <f t="shared" si="31"/>
        <v/>
      </c>
    </row>
    <row r="254" spans="2:16" x14ac:dyDescent="0.25">
      <c r="B254" s="14">
        <f t="shared" si="32"/>
        <v>51014</v>
      </c>
      <c r="C254" s="210"/>
      <c r="D254" s="210"/>
      <c r="E254" s="211"/>
      <c r="F254" s="211"/>
      <c r="G254" s="211"/>
      <c r="H254" s="58"/>
      <c r="I254" s="58" t="str">
        <f t="shared" si="33"/>
        <v/>
      </c>
      <c r="J254" s="58" t="str">
        <f t="shared" si="34"/>
        <v/>
      </c>
      <c r="K254" s="58" t="str">
        <f t="shared" si="35"/>
        <v/>
      </c>
      <c r="L254" s="58" t="str">
        <f t="shared" si="36"/>
        <v/>
      </c>
      <c r="M254" s="58" t="str">
        <f t="shared" si="28"/>
        <v/>
      </c>
      <c r="N254" s="32" t="str">
        <f t="shared" si="29"/>
        <v/>
      </c>
      <c r="O254" s="61" t="str">
        <f t="shared" si="30"/>
        <v/>
      </c>
      <c r="P254" s="61" t="str">
        <f t="shared" si="31"/>
        <v/>
      </c>
    </row>
    <row r="255" spans="2:16" x14ac:dyDescent="0.25">
      <c r="B255" s="14">
        <f t="shared" si="32"/>
        <v>51044</v>
      </c>
      <c r="C255" s="210"/>
      <c r="D255" s="210"/>
      <c r="E255" s="211"/>
      <c r="F255" s="211"/>
      <c r="G255" s="211"/>
      <c r="H255" s="58"/>
      <c r="I255" s="58" t="str">
        <f t="shared" si="33"/>
        <v/>
      </c>
      <c r="J255" s="58" t="str">
        <f t="shared" si="34"/>
        <v/>
      </c>
      <c r="K255" s="58" t="str">
        <f t="shared" si="35"/>
        <v/>
      </c>
      <c r="L255" s="58" t="str">
        <f t="shared" si="36"/>
        <v/>
      </c>
      <c r="M255" s="58" t="str">
        <f t="shared" si="28"/>
        <v/>
      </c>
      <c r="N255" s="32" t="str">
        <f t="shared" si="29"/>
        <v/>
      </c>
      <c r="O255" s="61" t="str">
        <f t="shared" si="30"/>
        <v/>
      </c>
      <c r="P255" s="61" t="str">
        <f t="shared" si="31"/>
        <v/>
      </c>
    </row>
    <row r="256" spans="2:16" x14ac:dyDescent="0.25">
      <c r="B256" s="14">
        <f t="shared" si="32"/>
        <v>51075</v>
      </c>
      <c r="C256" s="210"/>
      <c r="D256" s="210"/>
      <c r="E256" s="211"/>
      <c r="F256" s="211"/>
      <c r="G256" s="211"/>
      <c r="H256" s="58"/>
      <c r="I256" s="58" t="str">
        <f t="shared" si="33"/>
        <v/>
      </c>
      <c r="J256" s="58" t="str">
        <f t="shared" si="34"/>
        <v/>
      </c>
      <c r="K256" s="58" t="str">
        <f t="shared" si="35"/>
        <v/>
      </c>
      <c r="L256" s="58" t="str">
        <f t="shared" si="36"/>
        <v/>
      </c>
      <c r="M256" s="58" t="str">
        <f t="shared" si="28"/>
        <v/>
      </c>
      <c r="N256" s="32" t="str">
        <f t="shared" si="29"/>
        <v/>
      </c>
      <c r="O256" s="61" t="str">
        <f t="shared" si="30"/>
        <v/>
      </c>
      <c r="P256" s="61" t="str">
        <f t="shared" si="31"/>
        <v/>
      </c>
    </row>
    <row r="257" spans="2:16" x14ac:dyDescent="0.25">
      <c r="B257" s="20">
        <f t="shared" si="32"/>
        <v>51105</v>
      </c>
      <c r="C257" s="212"/>
      <c r="D257" s="212"/>
      <c r="E257" s="213"/>
      <c r="F257" s="213"/>
      <c r="G257" s="213"/>
      <c r="H257" s="58"/>
      <c r="I257" s="59" t="str">
        <f t="shared" si="33"/>
        <v/>
      </c>
      <c r="J257" s="59" t="str">
        <f t="shared" si="34"/>
        <v/>
      </c>
      <c r="K257" s="59" t="str">
        <f t="shared" si="35"/>
        <v/>
      </c>
      <c r="L257" s="59" t="str">
        <f t="shared" si="36"/>
        <v/>
      </c>
      <c r="M257" s="59" t="str">
        <f t="shared" si="28"/>
        <v/>
      </c>
      <c r="N257" s="60" t="str">
        <f t="shared" si="29"/>
        <v/>
      </c>
      <c r="O257" s="62" t="str">
        <f t="shared" si="30"/>
        <v/>
      </c>
      <c r="P257" s="62" t="str">
        <f t="shared" si="31"/>
        <v/>
      </c>
    </row>
    <row r="258" spans="2:16" x14ac:dyDescent="0.25">
      <c r="B258" s="14">
        <f t="shared" si="32"/>
        <v>51136</v>
      </c>
      <c r="C258" s="210"/>
      <c r="D258" s="210"/>
      <c r="E258" s="211"/>
      <c r="F258" s="211"/>
      <c r="G258" s="211"/>
      <c r="H258" s="58"/>
      <c r="I258" s="58" t="str">
        <f t="shared" si="33"/>
        <v/>
      </c>
      <c r="J258" s="58" t="str">
        <f t="shared" si="34"/>
        <v/>
      </c>
      <c r="K258" s="58" t="str">
        <f t="shared" si="35"/>
        <v/>
      </c>
      <c r="L258" s="58" t="str">
        <f t="shared" si="36"/>
        <v/>
      </c>
      <c r="M258" s="58" t="str">
        <f t="shared" si="28"/>
        <v/>
      </c>
      <c r="N258" s="32" t="str">
        <f t="shared" si="29"/>
        <v/>
      </c>
      <c r="O258" s="61" t="str">
        <f t="shared" si="30"/>
        <v/>
      </c>
      <c r="P258" s="61" t="str">
        <f t="shared" si="31"/>
        <v/>
      </c>
    </row>
    <row r="259" spans="2:16" x14ac:dyDescent="0.25">
      <c r="B259" s="14">
        <f t="shared" si="32"/>
        <v>51167</v>
      </c>
      <c r="C259" s="210"/>
      <c r="D259" s="210"/>
      <c r="E259" s="211"/>
      <c r="F259" s="211"/>
      <c r="G259" s="211"/>
      <c r="H259" s="58"/>
      <c r="I259" s="58" t="str">
        <f t="shared" si="33"/>
        <v/>
      </c>
      <c r="J259" s="58" t="str">
        <f t="shared" si="34"/>
        <v/>
      </c>
      <c r="K259" s="58" t="str">
        <f t="shared" si="35"/>
        <v/>
      </c>
      <c r="L259" s="58" t="str">
        <f t="shared" si="36"/>
        <v/>
      </c>
      <c r="M259" s="58" t="str">
        <f t="shared" si="28"/>
        <v/>
      </c>
      <c r="N259" s="32" t="str">
        <f t="shared" si="29"/>
        <v/>
      </c>
      <c r="O259" s="61" t="str">
        <f t="shared" si="30"/>
        <v/>
      </c>
      <c r="P259" s="61" t="str">
        <f t="shared" si="31"/>
        <v/>
      </c>
    </row>
    <row r="260" spans="2:16" x14ac:dyDescent="0.25">
      <c r="B260" s="14">
        <f t="shared" si="32"/>
        <v>51196</v>
      </c>
      <c r="C260" s="210"/>
      <c r="D260" s="210"/>
      <c r="E260" s="211"/>
      <c r="F260" s="211"/>
      <c r="G260" s="211"/>
      <c r="H260" s="58"/>
      <c r="I260" s="58" t="str">
        <f t="shared" si="33"/>
        <v/>
      </c>
      <c r="J260" s="58" t="str">
        <f t="shared" si="34"/>
        <v/>
      </c>
      <c r="K260" s="58" t="str">
        <f t="shared" si="35"/>
        <v/>
      </c>
      <c r="L260" s="58" t="str">
        <f t="shared" si="36"/>
        <v/>
      </c>
      <c r="M260" s="58" t="str">
        <f t="shared" si="28"/>
        <v/>
      </c>
      <c r="N260" s="32" t="str">
        <f t="shared" si="29"/>
        <v/>
      </c>
      <c r="O260" s="61" t="str">
        <f t="shared" si="30"/>
        <v/>
      </c>
      <c r="P260" s="61" t="str">
        <f t="shared" si="31"/>
        <v/>
      </c>
    </row>
    <row r="261" spans="2:16" x14ac:dyDescent="0.25">
      <c r="B261" s="14">
        <f t="shared" si="32"/>
        <v>51227</v>
      </c>
      <c r="C261" s="210"/>
      <c r="D261" s="210"/>
      <c r="E261" s="211"/>
      <c r="F261" s="211"/>
      <c r="G261" s="211"/>
      <c r="H261" s="58"/>
      <c r="I261" s="58" t="str">
        <f t="shared" si="33"/>
        <v/>
      </c>
      <c r="J261" s="58" t="str">
        <f t="shared" si="34"/>
        <v/>
      </c>
      <c r="K261" s="58" t="str">
        <f t="shared" si="35"/>
        <v/>
      </c>
      <c r="L261" s="58" t="str">
        <f t="shared" si="36"/>
        <v/>
      </c>
      <c r="M261" s="58" t="str">
        <f t="shared" si="28"/>
        <v/>
      </c>
      <c r="N261" s="32" t="str">
        <f t="shared" si="29"/>
        <v/>
      </c>
      <c r="O261" s="61" t="str">
        <f t="shared" si="30"/>
        <v/>
      </c>
      <c r="P261" s="61" t="str">
        <f t="shared" si="31"/>
        <v/>
      </c>
    </row>
    <row r="262" spans="2:16" x14ac:dyDescent="0.25">
      <c r="B262" s="14">
        <f t="shared" si="32"/>
        <v>51257</v>
      </c>
      <c r="C262" s="210"/>
      <c r="D262" s="210"/>
      <c r="E262" s="211"/>
      <c r="F262" s="211"/>
      <c r="G262" s="211"/>
      <c r="H262" s="58"/>
      <c r="I262" s="58" t="str">
        <f t="shared" si="33"/>
        <v/>
      </c>
      <c r="J262" s="58" t="str">
        <f t="shared" si="34"/>
        <v/>
      </c>
      <c r="K262" s="58" t="str">
        <f t="shared" si="35"/>
        <v/>
      </c>
      <c r="L262" s="58" t="str">
        <f t="shared" si="36"/>
        <v/>
      </c>
      <c r="M262" s="58" t="str">
        <f t="shared" ref="M262:M325" si="37">IFERROR(J262*1000/I262,"")</f>
        <v/>
      </c>
      <c r="N262" s="32" t="str">
        <f t="shared" ref="N262:N325" si="38">IFERROR(K262 / (K262+I262),"")</f>
        <v/>
      </c>
      <c r="O262" s="61" t="str">
        <f t="shared" ref="O262:O325" si="39">IFERROR(I262/(J262/1000),"")</f>
        <v/>
      </c>
      <c r="P262" s="61" t="str">
        <f t="shared" ref="P262:P325" si="40">IFERROR(G262/(E262/1000),"")</f>
        <v/>
      </c>
    </row>
    <row r="263" spans="2:16" x14ac:dyDescent="0.25">
      <c r="B263" s="14">
        <f t="shared" ref="B263:B326" si="41">EOMONTH(B262,0)+1</f>
        <v>51288</v>
      </c>
      <c r="C263" s="210"/>
      <c r="D263" s="210"/>
      <c r="E263" s="211"/>
      <c r="F263" s="211"/>
      <c r="G263" s="211"/>
      <c r="H263" s="58"/>
      <c r="I263" s="58" t="str">
        <f t="shared" ref="I263:I326" si="42">IF(D263&gt;0,D263/($B264-$B263),"")</f>
        <v/>
      </c>
      <c r="J263" s="58" t="str">
        <f t="shared" ref="J263:J326" si="43">IF(E263&gt;0,E263/($B264-$B263),"")</f>
        <v/>
      </c>
      <c r="K263" s="58" t="str">
        <f t="shared" ref="K263:K326" si="44">IF(F263&gt;0,F263/($B264-$B263),"")</f>
        <v/>
      </c>
      <c r="L263" s="58" t="str">
        <f t="shared" ref="L263:L326" si="45">IF(G263&gt;0,G263/($B264-$B263),"")</f>
        <v/>
      </c>
      <c r="M263" s="58" t="str">
        <f t="shared" si="37"/>
        <v/>
      </c>
      <c r="N263" s="32" t="str">
        <f t="shared" si="38"/>
        <v/>
      </c>
      <c r="O263" s="61" t="str">
        <f t="shared" si="39"/>
        <v/>
      </c>
      <c r="P263" s="61" t="str">
        <f t="shared" si="40"/>
        <v/>
      </c>
    </row>
    <row r="264" spans="2:16" x14ac:dyDescent="0.25">
      <c r="B264" s="14">
        <f t="shared" si="41"/>
        <v>51318</v>
      </c>
      <c r="C264" s="210"/>
      <c r="D264" s="210"/>
      <c r="E264" s="211"/>
      <c r="F264" s="211"/>
      <c r="G264" s="211"/>
      <c r="H264" s="58"/>
      <c r="I264" s="58" t="str">
        <f t="shared" si="42"/>
        <v/>
      </c>
      <c r="J264" s="58" t="str">
        <f t="shared" si="43"/>
        <v/>
      </c>
      <c r="K264" s="58" t="str">
        <f t="shared" si="44"/>
        <v/>
      </c>
      <c r="L264" s="58" t="str">
        <f t="shared" si="45"/>
        <v/>
      </c>
      <c r="M264" s="58" t="str">
        <f t="shared" si="37"/>
        <v/>
      </c>
      <c r="N264" s="32" t="str">
        <f t="shared" si="38"/>
        <v/>
      </c>
      <c r="O264" s="61" t="str">
        <f t="shared" si="39"/>
        <v/>
      </c>
      <c r="P264" s="61" t="str">
        <f t="shared" si="40"/>
        <v/>
      </c>
    </row>
    <row r="265" spans="2:16" x14ac:dyDescent="0.25">
      <c r="B265" s="14">
        <f t="shared" si="41"/>
        <v>51349</v>
      </c>
      <c r="C265" s="210"/>
      <c r="D265" s="210"/>
      <c r="E265" s="211"/>
      <c r="F265" s="211"/>
      <c r="G265" s="211"/>
      <c r="H265" s="58"/>
      <c r="I265" s="58" t="str">
        <f t="shared" si="42"/>
        <v/>
      </c>
      <c r="J265" s="58" t="str">
        <f t="shared" si="43"/>
        <v/>
      </c>
      <c r="K265" s="58" t="str">
        <f t="shared" si="44"/>
        <v/>
      </c>
      <c r="L265" s="58" t="str">
        <f t="shared" si="45"/>
        <v/>
      </c>
      <c r="M265" s="58" t="str">
        <f t="shared" si="37"/>
        <v/>
      </c>
      <c r="N265" s="32" t="str">
        <f t="shared" si="38"/>
        <v/>
      </c>
      <c r="O265" s="61" t="str">
        <f t="shared" si="39"/>
        <v/>
      </c>
      <c r="P265" s="61" t="str">
        <f t="shared" si="40"/>
        <v/>
      </c>
    </row>
    <row r="266" spans="2:16" x14ac:dyDescent="0.25">
      <c r="B266" s="14">
        <f t="shared" si="41"/>
        <v>51380</v>
      </c>
      <c r="C266" s="210"/>
      <c r="D266" s="210"/>
      <c r="E266" s="211"/>
      <c r="F266" s="211"/>
      <c r="G266" s="211"/>
      <c r="H266" s="58"/>
      <c r="I266" s="58" t="str">
        <f t="shared" si="42"/>
        <v/>
      </c>
      <c r="J266" s="58" t="str">
        <f t="shared" si="43"/>
        <v/>
      </c>
      <c r="K266" s="58" t="str">
        <f t="shared" si="44"/>
        <v/>
      </c>
      <c r="L266" s="58" t="str">
        <f t="shared" si="45"/>
        <v/>
      </c>
      <c r="M266" s="58" t="str">
        <f t="shared" si="37"/>
        <v/>
      </c>
      <c r="N266" s="32" t="str">
        <f t="shared" si="38"/>
        <v/>
      </c>
      <c r="O266" s="61" t="str">
        <f t="shared" si="39"/>
        <v/>
      </c>
      <c r="P266" s="61" t="str">
        <f t="shared" si="40"/>
        <v/>
      </c>
    </row>
    <row r="267" spans="2:16" x14ac:dyDescent="0.25">
      <c r="B267" s="14">
        <f t="shared" si="41"/>
        <v>51410</v>
      </c>
      <c r="C267" s="210"/>
      <c r="D267" s="210"/>
      <c r="E267" s="211"/>
      <c r="F267" s="211"/>
      <c r="G267" s="211"/>
      <c r="H267" s="58"/>
      <c r="I267" s="58" t="str">
        <f t="shared" si="42"/>
        <v/>
      </c>
      <c r="J267" s="58" t="str">
        <f t="shared" si="43"/>
        <v/>
      </c>
      <c r="K267" s="58" t="str">
        <f t="shared" si="44"/>
        <v/>
      </c>
      <c r="L267" s="58" t="str">
        <f t="shared" si="45"/>
        <v/>
      </c>
      <c r="M267" s="58" t="str">
        <f t="shared" si="37"/>
        <v/>
      </c>
      <c r="N267" s="32" t="str">
        <f t="shared" si="38"/>
        <v/>
      </c>
      <c r="O267" s="61" t="str">
        <f t="shared" si="39"/>
        <v/>
      </c>
      <c r="P267" s="61" t="str">
        <f t="shared" si="40"/>
        <v/>
      </c>
    </row>
    <row r="268" spans="2:16" x14ac:dyDescent="0.25">
      <c r="B268" s="14">
        <f t="shared" si="41"/>
        <v>51441</v>
      </c>
      <c r="C268" s="210"/>
      <c r="D268" s="210"/>
      <c r="E268" s="211"/>
      <c r="F268" s="211"/>
      <c r="G268" s="211"/>
      <c r="H268" s="58"/>
      <c r="I268" s="58" t="str">
        <f t="shared" si="42"/>
        <v/>
      </c>
      <c r="J268" s="58" t="str">
        <f t="shared" si="43"/>
        <v/>
      </c>
      <c r="K268" s="58" t="str">
        <f t="shared" si="44"/>
        <v/>
      </c>
      <c r="L268" s="58" t="str">
        <f t="shared" si="45"/>
        <v/>
      </c>
      <c r="M268" s="58" t="str">
        <f t="shared" si="37"/>
        <v/>
      </c>
      <c r="N268" s="32" t="str">
        <f t="shared" si="38"/>
        <v/>
      </c>
      <c r="O268" s="61" t="str">
        <f t="shared" si="39"/>
        <v/>
      </c>
      <c r="P268" s="61" t="str">
        <f t="shared" si="40"/>
        <v/>
      </c>
    </row>
    <row r="269" spans="2:16" x14ac:dyDescent="0.25">
      <c r="B269" s="20">
        <f t="shared" si="41"/>
        <v>51471</v>
      </c>
      <c r="C269" s="212"/>
      <c r="D269" s="212"/>
      <c r="E269" s="213"/>
      <c r="F269" s="213"/>
      <c r="G269" s="213"/>
      <c r="H269" s="58"/>
      <c r="I269" s="59" t="str">
        <f t="shared" si="42"/>
        <v/>
      </c>
      <c r="J269" s="59" t="str">
        <f t="shared" si="43"/>
        <v/>
      </c>
      <c r="K269" s="59" t="str">
        <f t="shared" si="44"/>
        <v/>
      </c>
      <c r="L269" s="59" t="str">
        <f t="shared" si="45"/>
        <v/>
      </c>
      <c r="M269" s="59" t="str">
        <f t="shared" si="37"/>
        <v/>
      </c>
      <c r="N269" s="60" t="str">
        <f t="shared" si="38"/>
        <v/>
      </c>
      <c r="O269" s="62" t="str">
        <f t="shared" si="39"/>
        <v/>
      </c>
      <c r="P269" s="62" t="str">
        <f t="shared" si="40"/>
        <v/>
      </c>
    </row>
    <row r="270" spans="2:16" x14ac:dyDescent="0.25">
      <c r="B270" s="14">
        <f t="shared" si="41"/>
        <v>51502</v>
      </c>
      <c r="C270" s="210"/>
      <c r="D270" s="210"/>
      <c r="E270" s="211"/>
      <c r="F270" s="211"/>
      <c r="G270" s="211"/>
      <c r="H270" s="58"/>
      <c r="I270" s="58" t="str">
        <f t="shared" si="42"/>
        <v/>
      </c>
      <c r="J270" s="58" t="str">
        <f t="shared" si="43"/>
        <v/>
      </c>
      <c r="K270" s="58" t="str">
        <f t="shared" si="44"/>
        <v/>
      </c>
      <c r="L270" s="58" t="str">
        <f t="shared" si="45"/>
        <v/>
      </c>
      <c r="M270" s="58" t="str">
        <f t="shared" si="37"/>
        <v/>
      </c>
      <c r="N270" s="32" t="str">
        <f t="shared" si="38"/>
        <v/>
      </c>
      <c r="O270" s="61" t="str">
        <f t="shared" si="39"/>
        <v/>
      </c>
      <c r="P270" s="61" t="str">
        <f t="shared" si="40"/>
        <v/>
      </c>
    </row>
    <row r="271" spans="2:16" x14ac:dyDescent="0.25">
      <c r="B271" s="14">
        <f t="shared" si="41"/>
        <v>51533</v>
      </c>
      <c r="C271" s="210"/>
      <c r="D271" s="210"/>
      <c r="E271" s="211"/>
      <c r="F271" s="211"/>
      <c r="G271" s="211"/>
      <c r="H271" s="58"/>
      <c r="I271" s="58" t="str">
        <f t="shared" si="42"/>
        <v/>
      </c>
      <c r="J271" s="58" t="str">
        <f t="shared" si="43"/>
        <v/>
      </c>
      <c r="K271" s="58" t="str">
        <f t="shared" si="44"/>
        <v/>
      </c>
      <c r="L271" s="58" t="str">
        <f t="shared" si="45"/>
        <v/>
      </c>
      <c r="M271" s="58" t="str">
        <f t="shared" si="37"/>
        <v/>
      </c>
      <c r="N271" s="32" t="str">
        <f t="shared" si="38"/>
        <v/>
      </c>
      <c r="O271" s="61" t="str">
        <f t="shared" si="39"/>
        <v/>
      </c>
      <c r="P271" s="61" t="str">
        <f t="shared" si="40"/>
        <v/>
      </c>
    </row>
    <row r="272" spans="2:16" x14ac:dyDescent="0.25">
      <c r="B272" s="14">
        <f t="shared" si="41"/>
        <v>51561</v>
      </c>
      <c r="C272" s="210"/>
      <c r="D272" s="210"/>
      <c r="E272" s="211"/>
      <c r="F272" s="211"/>
      <c r="G272" s="211"/>
      <c r="H272" s="58"/>
      <c r="I272" s="58" t="str">
        <f t="shared" si="42"/>
        <v/>
      </c>
      <c r="J272" s="58" t="str">
        <f t="shared" si="43"/>
        <v/>
      </c>
      <c r="K272" s="58" t="str">
        <f t="shared" si="44"/>
        <v/>
      </c>
      <c r="L272" s="58" t="str">
        <f t="shared" si="45"/>
        <v/>
      </c>
      <c r="M272" s="58" t="str">
        <f t="shared" si="37"/>
        <v/>
      </c>
      <c r="N272" s="32" t="str">
        <f t="shared" si="38"/>
        <v/>
      </c>
      <c r="O272" s="61" t="str">
        <f t="shared" si="39"/>
        <v/>
      </c>
      <c r="P272" s="61" t="str">
        <f t="shared" si="40"/>
        <v/>
      </c>
    </row>
    <row r="273" spans="2:16" x14ac:dyDescent="0.25">
      <c r="B273" s="14">
        <f t="shared" si="41"/>
        <v>51592</v>
      </c>
      <c r="C273" s="210"/>
      <c r="D273" s="210"/>
      <c r="E273" s="211"/>
      <c r="F273" s="211"/>
      <c r="G273" s="211"/>
      <c r="H273" s="58"/>
      <c r="I273" s="58" t="str">
        <f t="shared" si="42"/>
        <v/>
      </c>
      <c r="J273" s="58" t="str">
        <f t="shared" si="43"/>
        <v/>
      </c>
      <c r="K273" s="58" t="str">
        <f t="shared" si="44"/>
        <v/>
      </c>
      <c r="L273" s="58" t="str">
        <f t="shared" si="45"/>
        <v/>
      </c>
      <c r="M273" s="58" t="str">
        <f t="shared" si="37"/>
        <v/>
      </c>
      <c r="N273" s="32" t="str">
        <f t="shared" si="38"/>
        <v/>
      </c>
      <c r="O273" s="61" t="str">
        <f t="shared" si="39"/>
        <v/>
      </c>
      <c r="P273" s="61" t="str">
        <f t="shared" si="40"/>
        <v/>
      </c>
    </row>
    <row r="274" spans="2:16" x14ac:dyDescent="0.25">
      <c r="B274" s="14">
        <f t="shared" si="41"/>
        <v>51622</v>
      </c>
      <c r="C274" s="210"/>
      <c r="D274" s="210"/>
      <c r="E274" s="211"/>
      <c r="F274" s="211"/>
      <c r="G274" s="211"/>
      <c r="H274" s="58"/>
      <c r="I274" s="58" t="str">
        <f t="shared" si="42"/>
        <v/>
      </c>
      <c r="J274" s="58" t="str">
        <f t="shared" si="43"/>
        <v/>
      </c>
      <c r="K274" s="58" t="str">
        <f t="shared" si="44"/>
        <v/>
      </c>
      <c r="L274" s="58" t="str">
        <f t="shared" si="45"/>
        <v/>
      </c>
      <c r="M274" s="58" t="str">
        <f t="shared" si="37"/>
        <v/>
      </c>
      <c r="N274" s="32" t="str">
        <f t="shared" si="38"/>
        <v/>
      </c>
      <c r="O274" s="61" t="str">
        <f t="shared" si="39"/>
        <v/>
      </c>
      <c r="P274" s="61" t="str">
        <f t="shared" si="40"/>
        <v/>
      </c>
    </row>
    <row r="275" spans="2:16" x14ac:dyDescent="0.25">
      <c r="B275" s="14">
        <f t="shared" si="41"/>
        <v>51653</v>
      </c>
      <c r="C275" s="210"/>
      <c r="D275" s="210"/>
      <c r="E275" s="211"/>
      <c r="F275" s="211"/>
      <c r="G275" s="211"/>
      <c r="H275" s="58"/>
      <c r="I275" s="58" t="str">
        <f t="shared" si="42"/>
        <v/>
      </c>
      <c r="J275" s="58" t="str">
        <f t="shared" si="43"/>
        <v/>
      </c>
      <c r="K275" s="58" t="str">
        <f t="shared" si="44"/>
        <v/>
      </c>
      <c r="L275" s="58" t="str">
        <f t="shared" si="45"/>
        <v/>
      </c>
      <c r="M275" s="58" t="str">
        <f t="shared" si="37"/>
        <v/>
      </c>
      <c r="N275" s="32" t="str">
        <f t="shared" si="38"/>
        <v/>
      </c>
      <c r="O275" s="61" t="str">
        <f t="shared" si="39"/>
        <v/>
      </c>
      <c r="P275" s="61" t="str">
        <f t="shared" si="40"/>
        <v/>
      </c>
    </row>
    <row r="276" spans="2:16" x14ac:dyDescent="0.25">
      <c r="B276" s="14">
        <f t="shared" si="41"/>
        <v>51683</v>
      </c>
      <c r="C276" s="210"/>
      <c r="D276" s="210"/>
      <c r="E276" s="211"/>
      <c r="F276" s="211"/>
      <c r="G276" s="211"/>
      <c r="H276" s="58"/>
      <c r="I276" s="58" t="str">
        <f t="shared" si="42"/>
        <v/>
      </c>
      <c r="J276" s="58" t="str">
        <f t="shared" si="43"/>
        <v/>
      </c>
      <c r="K276" s="58" t="str">
        <f t="shared" si="44"/>
        <v/>
      </c>
      <c r="L276" s="58" t="str">
        <f t="shared" si="45"/>
        <v/>
      </c>
      <c r="M276" s="58" t="str">
        <f t="shared" si="37"/>
        <v/>
      </c>
      <c r="N276" s="32" t="str">
        <f t="shared" si="38"/>
        <v/>
      </c>
      <c r="O276" s="61" t="str">
        <f t="shared" si="39"/>
        <v/>
      </c>
      <c r="P276" s="61" t="str">
        <f t="shared" si="40"/>
        <v/>
      </c>
    </row>
    <row r="277" spans="2:16" x14ac:dyDescent="0.25">
      <c r="B277" s="14">
        <f t="shared" si="41"/>
        <v>51714</v>
      </c>
      <c r="C277" s="210"/>
      <c r="D277" s="210"/>
      <c r="E277" s="211"/>
      <c r="F277" s="211"/>
      <c r="G277" s="211"/>
      <c r="H277" s="58"/>
      <c r="I277" s="58" t="str">
        <f t="shared" si="42"/>
        <v/>
      </c>
      <c r="J277" s="58" t="str">
        <f t="shared" si="43"/>
        <v/>
      </c>
      <c r="K277" s="58" t="str">
        <f t="shared" si="44"/>
        <v/>
      </c>
      <c r="L277" s="58" t="str">
        <f t="shared" si="45"/>
        <v/>
      </c>
      <c r="M277" s="58" t="str">
        <f t="shared" si="37"/>
        <v/>
      </c>
      <c r="N277" s="32" t="str">
        <f t="shared" si="38"/>
        <v/>
      </c>
      <c r="O277" s="61" t="str">
        <f t="shared" si="39"/>
        <v/>
      </c>
      <c r="P277" s="61" t="str">
        <f t="shared" si="40"/>
        <v/>
      </c>
    </row>
    <row r="278" spans="2:16" x14ac:dyDescent="0.25">
      <c r="B278" s="14">
        <f t="shared" si="41"/>
        <v>51745</v>
      </c>
      <c r="C278" s="210"/>
      <c r="D278" s="210"/>
      <c r="E278" s="211"/>
      <c r="F278" s="211"/>
      <c r="G278" s="211"/>
      <c r="H278" s="58"/>
      <c r="I278" s="58" t="str">
        <f t="shared" si="42"/>
        <v/>
      </c>
      <c r="J278" s="58" t="str">
        <f t="shared" si="43"/>
        <v/>
      </c>
      <c r="K278" s="58" t="str">
        <f t="shared" si="44"/>
        <v/>
      </c>
      <c r="L278" s="58" t="str">
        <f t="shared" si="45"/>
        <v/>
      </c>
      <c r="M278" s="58" t="str">
        <f t="shared" si="37"/>
        <v/>
      </c>
      <c r="N278" s="32" t="str">
        <f t="shared" si="38"/>
        <v/>
      </c>
      <c r="O278" s="61" t="str">
        <f t="shared" si="39"/>
        <v/>
      </c>
      <c r="P278" s="61" t="str">
        <f t="shared" si="40"/>
        <v/>
      </c>
    </row>
    <row r="279" spans="2:16" x14ac:dyDescent="0.25">
      <c r="B279" s="14">
        <f t="shared" si="41"/>
        <v>51775</v>
      </c>
      <c r="C279" s="210"/>
      <c r="D279" s="210"/>
      <c r="E279" s="211"/>
      <c r="F279" s="211"/>
      <c r="G279" s="211"/>
      <c r="H279" s="58"/>
      <c r="I279" s="58" t="str">
        <f t="shared" si="42"/>
        <v/>
      </c>
      <c r="J279" s="58" t="str">
        <f t="shared" si="43"/>
        <v/>
      </c>
      <c r="K279" s="58" t="str">
        <f t="shared" si="44"/>
        <v/>
      </c>
      <c r="L279" s="58" t="str">
        <f t="shared" si="45"/>
        <v/>
      </c>
      <c r="M279" s="58" t="str">
        <f t="shared" si="37"/>
        <v/>
      </c>
      <c r="N279" s="32" t="str">
        <f t="shared" si="38"/>
        <v/>
      </c>
      <c r="O279" s="61" t="str">
        <f t="shared" si="39"/>
        <v/>
      </c>
      <c r="P279" s="61" t="str">
        <f t="shared" si="40"/>
        <v/>
      </c>
    </row>
    <row r="280" spans="2:16" x14ac:dyDescent="0.25">
      <c r="B280" s="14">
        <f t="shared" si="41"/>
        <v>51806</v>
      </c>
      <c r="C280" s="210"/>
      <c r="D280" s="210"/>
      <c r="E280" s="211"/>
      <c r="F280" s="211"/>
      <c r="G280" s="211"/>
      <c r="H280" s="58"/>
      <c r="I280" s="58" t="str">
        <f t="shared" si="42"/>
        <v/>
      </c>
      <c r="J280" s="58" t="str">
        <f t="shared" si="43"/>
        <v/>
      </c>
      <c r="K280" s="58" t="str">
        <f t="shared" si="44"/>
        <v/>
      </c>
      <c r="L280" s="58" t="str">
        <f t="shared" si="45"/>
        <v/>
      </c>
      <c r="M280" s="58" t="str">
        <f t="shared" si="37"/>
        <v/>
      </c>
      <c r="N280" s="32" t="str">
        <f t="shared" si="38"/>
        <v/>
      </c>
      <c r="O280" s="61" t="str">
        <f t="shared" si="39"/>
        <v/>
      </c>
      <c r="P280" s="61" t="str">
        <f t="shared" si="40"/>
        <v/>
      </c>
    </row>
    <row r="281" spans="2:16" x14ac:dyDescent="0.25">
      <c r="B281" s="20">
        <f t="shared" si="41"/>
        <v>51836</v>
      </c>
      <c r="C281" s="212"/>
      <c r="D281" s="212"/>
      <c r="E281" s="213"/>
      <c r="F281" s="213"/>
      <c r="G281" s="213"/>
      <c r="H281" s="58"/>
      <c r="I281" s="59" t="str">
        <f t="shared" si="42"/>
        <v/>
      </c>
      <c r="J281" s="59" t="str">
        <f t="shared" si="43"/>
        <v/>
      </c>
      <c r="K281" s="59" t="str">
        <f t="shared" si="44"/>
        <v/>
      </c>
      <c r="L281" s="59" t="str">
        <f t="shared" si="45"/>
        <v/>
      </c>
      <c r="M281" s="59" t="str">
        <f t="shared" si="37"/>
        <v/>
      </c>
      <c r="N281" s="60" t="str">
        <f t="shared" si="38"/>
        <v/>
      </c>
      <c r="O281" s="62" t="str">
        <f t="shared" si="39"/>
        <v/>
      </c>
      <c r="P281" s="62" t="str">
        <f t="shared" si="40"/>
        <v/>
      </c>
    </row>
    <row r="282" spans="2:16" x14ac:dyDescent="0.25">
      <c r="B282" s="14">
        <f t="shared" si="41"/>
        <v>51867</v>
      </c>
      <c r="C282" s="210"/>
      <c r="D282" s="210"/>
      <c r="E282" s="211"/>
      <c r="F282" s="211"/>
      <c r="G282" s="211"/>
      <c r="H282" s="58"/>
      <c r="I282" s="58" t="str">
        <f t="shared" si="42"/>
        <v/>
      </c>
      <c r="J282" s="58" t="str">
        <f t="shared" si="43"/>
        <v/>
      </c>
      <c r="K282" s="58" t="str">
        <f t="shared" si="44"/>
        <v/>
      </c>
      <c r="L282" s="58" t="str">
        <f t="shared" si="45"/>
        <v/>
      </c>
      <c r="M282" s="58" t="str">
        <f t="shared" si="37"/>
        <v/>
      </c>
      <c r="N282" s="32" t="str">
        <f t="shared" si="38"/>
        <v/>
      </c>
      <c r="O282" s="61" t="str">
        <f t="shared" si="39"/>
        <v/>
      </c>
      <c r="P282" s="61" t="str">
        <f t="shared" si="40"/>
        <v/>
      </c>
    </row>
    <row r="283" spans="2:16" x14ac:dyDescent="0.25">
      <c r="B283" s="14">
        <f t="shared" si="41"/>
        <v>51898</v>
      </c>
      <c r="C283" s="210"/>
      <c r="D283" s="210"/>
      <c r="E283" s="211"/>
      <c r="F283" s="211"/>
      <c r="G283" s="211"/>
      <c r="H283" s="58"/>
      <c r="I283" s="58" t="str">
        <f t="shared" si="42"/>
        <v/>
      </c>
      <c r="J283" s="58" t="str">
        <f t="shared" si="43"/>
        <v/>
      </c>
      <c r="K283" s="58" t="str">
        <f t="shared" si="44"/>
        <v/>
      </c>
      <c r="L283" s="58" t="str">
        <f t="shared" si="45"/>
        <v/>
      </c>
      <c r="M283" s="58" t="str">
        <f t="shared" si="37"/>
        <v/>
      </c>
      <c r="N283" s="32" t="str">
        <f t="shared" si="38"/>
        <v/>
      </c>
      <c r="O283" s="61" t="str">
        <f t="shared" si="39"/>
        <v/>
      </c>
      <c r="P283" s="61" t="str">
        <f t="shared" si="40"/>
        <v/>
      </c>
    </row>
    <row r="284" spans="2:16" x14ac:dyDescent="0.25">
      <c r="B284" s="14">
        <f t="shared" si="41"/>
        <v>51926</v>
      </c>
      <c r="C284" s="210"/>
      <c r="D284" s="210"/>
      <c r="E284" s="211"/>
      <c r="F284" s="211"/>
      <c r="G284" s="211"/>
      <c r="H284" s="58"/>
      <c r="I284" s="58" t="str">
        <f t="shared" si="42"/>
        <v/>
      </c>
      <c r="J284" s="58" t="str">
        <f t="shared" si="43"/>
        <v/>
      </c>
      <c r="K284" s="58" t="str">
        <f t="shared" si="44"/>
        <v/>
      </c>
      <c r="L284" s="58" t="str">
        <f t="shared" si="45"/>
        <v/>
      </c>
      <c r="M284" s="58" t="str">
        <f t="shared" si="37"/>
        <v/>
      </c>
      <c r="N284" s="32" t="str">
        <f t="shared" si="38"/>
        <v/>
      </c>
      <c r="O284" s="61" t="str">
        <f t="shared" si="39"/>
        <v/>
      </c>
      <c r="P284" s="61" t="str">
        <f t="shared" si="40"/>
        <v/>
      </c>
    </row>
    <row r="285" spans="2:16" x14ac:dyDescent="0.25">
      <c r="B285" s="14">
        <f t="shared" si="41"/>
        <v>51957</v>
      </c>
      <c r="C285" s="210"/>
      <c r="D285" s="210"/>
      <c r="E285" s="211"/>
      <c r="F285" s="211"/>
      <c r="G285" s="211"/>
      <c r="H285" s="58"/>
      <c r="I285" s="58" t="str">
        <f t="shared" si="42"/>
        <v/>
      </c>
      <c r="J285" s="58" t="str">
        <f t="shared" si="43"/>
        <v/>
      </c>
      <c r="K285" s="58" t="str">
        <f t="shared" si="44"/>
        <v/>
      </c>
      <c r="L285" s="58" t="str">
        <f t="shared" si="45"/>
        <v/>
      </c>
      <c r="M285" s="58" t="str">
        <f t="shared" si="37"/>
        <v/>
      </c>
      <c r="N285" s="32" t="str">
        <f t="shared" si="38"/>
        <v/>
      </c>
      <c r="O285" s="61" t="str">
        <f t="shared" si="39"/>
        <v/>
      </c>
      <c r="P285" s="61" t="str">
        <f t="shared" si="40"/>
        <v/>
      </c>
    </row>
    <row r="286" spans="2:16" x14ac:dyDescent="0.25">
      <c r="B286" s="14">
        <f t="shared" si="41"/>
        <v>51987</v>
      </c>
      <c r="C286" s="210"/>
      <c r="D286" s="210"/>
      <c r="E286" s="211"/>
      <c r="F286" s="211"/>
      <c r="G286" s="211"/>
      <c r="H286" s="58"/>
      <c r="I286" s="58" t="str">
        <f t="shared" si="42"/>
        <v/>
      </c>
      <c r="J286" s="58" t="str">
        <f t="shared" si="43"/>
        <v/>
      </c>
      <c r="K286" s="58" t="str">
        <f t="shared" si="44"/>
        <v/>
      </c>
      <c r="L286" s="58" t="str">
        <f t="shared" si="45"/>
        <v/>
      </c>
      <c r="M286" s="58" t="str">
        <f t="shared" si="37"/>
        <v/>
      </c>
      <c r="N286" s="32" t="str">
        <f t="shared" si="38"/>
        <v/>
      </c>
      <c r="O286" s="61" t="str">
        <f t="shared" si="39"/>
        <v/>
      </c>
      <c r="P286" s="61" t="str">
        <f t="shared" si="40"/>
        <v/>
      </c>
    </row>
    <row r="287" spans="2:16" x14ac:dyDescent="0.25">
      <c r="B287" s="14">
        <f t="shared" si="41"/>
        <v>52018</v>
      </c>
      <c r="C287" s="210"/>
      <c r="D287" s="210"/>
      <c r="E287" s="211"/>
      <c r="F287" s="211"/>
      <c r="G287" s="211"/>
      <c r="H287" s="58"/>
      <c r="I287" s="58" t="str">
        <f t="shared" si="42"/>
        <v/>
      </c>
      <c r="J287" s="58" t="str">
        <f t="shared" si="43"/>
        <v/>
      </c>
      <c r="K287" s="58" t="str">
        <f t="shared" si="44"/>
        <v/>
      </c>
      <c r="L287" s="58" t="str">
        <f t="shared" si="45"/>
        <v/>
      </c>
      <c r="M287" s="58" t="str">
        <f t="shared" si="37"/>
        <v/>
      </c>
      <c r="N287" s="32" t="str">
        <f t="shared" si="38"/>
        <v/>
      </c>
      <c r="O287" s="61" t="str">
        <f t="shared" si="39"/>
        <v/>
      </c>
      <c r="P287" s="61" t="str">
        <f t="shared" si="40"/>
        <v/>
      </c>
    </row>
    <row r="288" spans="2:16" x14ac:dyDescent="0.25">
      <c r="B288" s="14">
        <f t="shared" si="41"/>
        <v>52048</v>
      </c>
      <c r="C288" s="210"/>
      <c r="D288" s="210"/>
      <c r="E288" s="211"/>
      <c r="F288" s="211"/>
      <c r="G288" s="211"/>
      <c r="H288" s="58"/>
      <c r="I288" s="58" t="str">
        <f t="shared" si="42"/>
        <v/>
      </c>
      <c r="J288" s="58" t="str">
        <f t="shared" si="43"/>
        <v/>
      </c>
      <c r="K288" s="58" t="str">
        <f t="shared" si="44"/>
        <v/>
      </c>
      <c r="L288" s="58" t="str">
        <f t="shared" si="45"/>
        <v/>
      </c>
      <c r="M288" s="58" t="str">
        <f t="shared" si="37"/>
        <v/>
      </c>
      <c r="N288" s="32" t="str">
        <f t="shared" si="38"/>
        <v/>
      </c>
      <c r="O288" s="61" t="str">
        <f t="shared" si="39"/>
        <v/>
      </c>
      <c r="P288" s="61" t="str">
        <f t="shared" si="40"/>
        <v/>
      </c>
    </row>
    <row r="289" spans="2:16" x14ac:dyDescent="0.25">
      <c r="B289" s="14">
        <f t="shared" si="41"/>
        <v>52079</v>
      </c>
      <c r="C289" s="210"/>
      <c r="D289" s="210"/>
      <c r="E289" s="211"/>
      <c r="F289" s="211"/>
      <c r="G289" s="211"/>
      <c r="H289" s="58"/>
      <c r="I289" s="58" t="str">
        <f t="shared" si="42"/>
        <v/>
      </c>
      <c r="J289" s="58" t="str">
        <f t="shared" si="43"/>
        <v/>
      </c>
      <c r="K289" s="58" t="str">
        <f t="shared" si="44"/>
        <v/>
      </c>
      <c r="L289" s="58" t="str">
        <f t="shared" si="45"/>
        <v/>
      </c>
      <c r="M289" s="58" t="str">
        <f t="shared" si="37"/>
        <v/>
      </c>
      <c r="N289" s="32" t="str">
        <f t="shared" si="38"/>
        <v/>
      </c>
      <c r="O289" s="61" t="str">
        <f t="shared" si="39"/>
        <v/>
      </c>
      <c r="P289" s="61" t="str">
        <f t="shared" si="40"/>
        <v/>
      </c>
    </row>
    <row r="290" spans="2:16" x14ac:dyDescent="0.25">
      <c r="B290" s="14">
        <f t="shared" si="41"/>
        <v>52110</v>
      </c>
      <c r="C290" s="210"/>
      <c r="D290" s="210"/>
      <c r="E290" s="211"/>
      <c r="F290" s="211"/>
      <c r="G290" s="211"/>
      <c r="H290" s="58"/>
      <c r="I290" s="58" t="str">
        <f t="shared" si="42"/>
        <v/>
      </c>
      <c r="J290" s="58" t="str">
        <f t="shared" si="43"/>
        <v/>
      </c>
      <c r="K290" s="58" t="str">
        <f t="shared" si="44"/>
        <v/>
      </c>
      <c r="L290" s="58" t="str">
        <f t="shared" si="45"/>
        <v/>
      </c>
      <c r="M290" s="58" t="str">
        <f t="shared" si="37"/>
        <v/>
      </c>
      <c r="N290" s="32" t="str">
        <f t="shared" si="38"/>
        <v/>
      </c>
      <c r="O290" s="61" t="str">
        <f t="shared" si="39"/>
        <v/>
      </c>
      <c r="P290" s="61" t="str">
        <f t="shared" si="40"/>
        <v/>
      </c>
    </row>
    <row r="291" spans="2:16" x14ac:dyDescent="0.25">
      <c r="B291" s="14">
        <f t="shared" si="41"/>
        <v>52140</v>
      </c>
      <c r="C291" s="210"/>
      <c r="D291" s="210"/>
      <c r="E291" s="211"/>
      <c r="F291" s="211"/>
      <c r="G291" s="211"/>
      <c r="H291" s="58"/>
      <c r="I291" s="58" t="str">
        <f t="shared" si="42"/>
        <v/>
      </c>
      <c r="J291" s="58" t="str">
        <f t="shared" si="43"/>
        <v/>
      </c>
      <c r="K291" s="58" t="str">
        <f t="shared" si="44"/>
        <v/>
      </c>
      <c r="L291" s="58" t="str">
        <f t="shared" si="45"/>
        <v/>
      </c>
      <c r="M291" s="58" t="str">
        <f t="shared" si="37"/>
        <v/>
      </c>
      <c r="N291" s="32" t="str">
        <f t="shared" si="38"/>
        <v/>
      </c>
      <c r="O291" s="61" t="str">
        <f t="shared" si="39"/>
        <v/>
      </c>
      <c r="P291" s="61" t="str">
        <f t="shared" si="40"/>
        <v/>
      </c>
    </row>
    <row r="292" spans="2:16" x14ac:dyDescent="0.25">
      <c r="B292" s="14">
        <f t="shared" si="41"/>
        <v>52171</v>
      </c>
      <c r="C292" s="210"/>
      <c r="D292" s="210"/>
      <c r="E292" s="211"/>
      <c r="F292" s="211"/>
      <c r="G292" s="211"/>
      <c r="H292" s="58"/>
      <c r="I292" s="58" t="str">
        <f t="shared" si="42"/>
        <v/>
      </c>
      <c r="J292" s="58" t="str">
        <f t="shared" si="43"/>
        <v/>
      </c>
      <c r="K292" s="58" t="str">
        <f t="shared" si="44"/>
        <v/>
      </c>
      <c r="L292" s="58" t="str">
        <f t="shared" si="45"/>
        <v/>
      </c>
      <c r="M292" s="58" t="str">
        <f t="shared" si="37"/>
        <v/>
      </c>
      <c r="N292" s="32" t="str">
        <f t="shared" si="38"/>
        <v/>
      </c>
      <c r="O292" s="61" t="str">
        <f t="shared" si="39"/>
        <v/>
      </c>
      <c r="P292" s="61" t="str">
        <f t="shared" si="40"/>
        <v/>
      </c>
    </row>
    <row r="293" spans="2:16" x14ac:dyDescent="0.25">
      <c r="B293" s="20">
        <f t="shared" si="41"/>
        <v>52201</v>
      </c>
      <c r="C293" s="212"/>
      <c r="D293" s="212"/>
      <c r="E293" s="213"/>
      <c r="F293" s="213"/>
      <c r="G293" s="213"/>
      <c r="H293" s="58"/>
      <c r="I293" s="59" t="str">
        <f t="shared" si="42"/>
        <v/>
      </c>
      <c r="J293" s="59" t="str">
        <f t="shared" si="43"/>
        <v/>
      </c>
      <c r="K293" s="59" t="str">
        <f t="shared" si="44"/>
        <v/>
      </c>
      <c r="L293" s="59" t="str">
        <f t="shared" si="45"/>
        <v/>
      </c>
      <c r="M293" s="59" t="str">
        <f t="shared" si="37"/>
        <v/>
      </c>
      <c r="N293" s="60" t="str">
        <f t="shared" si="38"/>
        <v/>
      </c>
      <c r="O293" s="62" t="str">
        <f t="shared" si="39"/>
        <v/>
      </c>
      <c r="P293" s="62" t="str">
        <f t="shared" si="40"/>
        <v/>
      </c>
    </row>
    <row r="294" spans="2:16" x14ac:dyDescent="0.25">
      <c r="B294" s="14">
        <f t="shared" si="41"/>
        <v>52232</v>
      </c>
      <c r="C294" s="210"/>
      <c r="D294" s="210"/>
      <c r="E294" s="211"/>
      <c r="F294" s="211"/>
      <c r="G294" s="211"/>
      <c r="H294" s="58"/>
      <c r="I294" s="58" t="str">
        <f t="shared" si="42"/>
        <v/>
      </c>
      <c r="J294" s="58" t="str">
        <f t="shared" si="43"/>
        <v/>
      </c>
      <c r="K294" s="58" t="str">
        <f t="shared" si="44"/>
        <v/>
      </c>
      <c r="L294" s="58" t="str">
        <f t="shared" si="45"/>
        <v/>
      </c>
      <c r="M294" s="58" t="str">
        <f t="shared" si="37"/>
        <v/>
      </c>
      <c r="N294" s="32" t="str">
        <f t="shared" si="38"/>
        <v/>
      </c>
      <c r="O294" s="61" t="str">
        <f t="shared" si="39"/>
        <v/>
      </c>
      <c r="P294" s="61" t="str">
        <f t="shared" si="40"/>
        <v/>
      </c>
    </row>
    <row r="295" spans="2:16" x14ac:dyDescent="0.25">
      <c r="B295" s="14">
        <f t="shared" si="41"/>
        <v>52263</v>
      </c>
      <c r="C295" s="210"/>
      <c r="D295" s="210"/>
      <c r="E295" s="211"/>
      <c r="F295" s="211"/>
      <c r="G295" s="211"/>
      <c r="H295" s="58"/>
      <c r="I295" s="58" t="str">
        <f t="shared" si="42"/>
        <v/>
      </c>
      <c r="J295" s="58" t="str">
        <f t="shared" si="43"/>
        <v/>
      </c>
      <c r="K295" s="58" t="str">
        <f t="shared" si="44"/>
        <v/>
      </c>
      <c r="L295" s="58" t="str">
        <f t="shared" si="45"/>
        <v/>
      </c>
      <c r="M295" s="58" t="str">
        <f t="shared" si="37"/>
        <v/>
      </c>
      <c r="N295" s="32" t="str">
        <f t="shared" si="38"/>
        <v/>
      </c>
      <c r="O295" s="61" t="str">
        <f t="shared" si="39"/>
        <v/>
      </c>
      <c r="P295" s="61" t="str">
        <f t="shared" si="40"/>
        <v/>
      </c>
    </row>
    <row r="296" spans="2:16" x14ac:dyDescent="0.25">
      <c r="B296" s="14">
        <f t="shared" si="41"/>
        <v>52291</v>
      </c>
      <c r="C296" s="210"/>
      <c r="D296" s="210"/>
      <c r="E296" s="211"/>
      <c r="F296" s="211"/>
      <c r="G296" s="211"/>
      <c r="H296" s="58"/>
      <c r="I296" s="58" t="str">
        <f t="shared" si="42"/>
        <v/>
      </c>
      <c r="J296" s="58" t="str">
        <f t="shared" si="43"/>
        <v/>
      </c>
      <c r="K296" s="58" t="str">
        <f t="shared" si="44"/>
        <v/>
      </c>
      <c r="L296" s="58" t="str">
        <f t="shared" si="45"/>
        <v/>
      </c>
      <c r="M296" s="58" t="str">
        <f t="shared" si="37"/>
        <v/>
      </c>
      <c r="N296" s="32" t="str">
        <f t="shared" si="38"/>
        <v/>
      </c>
      <c r="O296" s="61" t="str">
        <f t="shared" si="39"/>
        <v/>
      </c>
      <c r="P296" s="61" t="str">
        <f t="shared" si="40"/>
        <v/>
      </c>
    </row>
    <row r="297" spans="2:16" x14ac:dyDescent="0.25">
      <c r="B297" s="14">
        <f t="shared" si="41"/>
        <v>52322</v>
      </c>
      <c r="C297" s="210"/>
      <c r="D297" s="210"/>
      <c r="E297" s="211"/>
      <c r="F297" s="211"/>
      <c r="G297" s="211"/>
      <c r="H297" s="58"/>
      <c r="I297" s="58" t="str">
        <f t="shared" si="42"/>
        <v/>
      </c>
      <c r="J297" s="58" t="str">
        <f t="shared" si="43"/>
        <v/>
      </c>
      <c r="K297" s="58" t="str">
        <f t="shared" si="44"/>
        <v/>
      </c>
      <c r="L297" s="58" t="str">
        <f t="shared" si="45"/>
        <v/>
      </c>
      <c r="M297" s="58" t="str">
        <f t="shared" si="37"/>
        <v/>
      </c>
      <c r="N297" s="32" t="str">
        <f t="shared" si="38"/>
        <v/>
      </c>
      <c r="O297" s="61" t="str">
        <f t="shared" si="39"/>
        <v/>
      </c>
      <c r="P297" s="61" t="str">
        <f t="shared" si="40"/>
        <v/>
      </c>
    </row>
    <row r="298" spans="2:16" x14ac:dyDescent="0.25">
      <c r="B298" s="14">
        <f t="shared" si="41"/>
        <v>52352</v>
      </c>
      <c r="C298" s="210"/>
      <c r="D298" s="210"/>
      <c r="E298" s="211"/>
      <c r="F298" s="211"/>
      <c r="G298" s="211"/>
      <c r="H298" s="58"/>
      <c r="I298" s="58" t="str">
        <f t="shared" si="42"/>
        <v/>
      </c>
      <c r="J298" s="58" t="str">
        <f t="shared" si="43"/>
        <v/>
      </c>
      <c r="K298" s="58" t="str">
        <f t="shared" si="44"/>
        <v/>
      </c>
      <c r="L298" s="58" t="str">
        <f t="shared" si="45"/>
        <v/>
      </c>
      <c r="M298" s="58" t="str">
        <f t="shared" si="37"/>
        <v/>
      </c>
      <c r="N298" s="32" t="str">
        <f t="shared" si="38"/>
        <v/>
      </c>
      <c r="O298" s="61" t="str">
        <f t="shared" si="39"/>
        <v/>
      </c>
      <c r="P298" s="61" t="str">
        <f t="shared" si="40"/>
        <v/>
      </c>
    </row>
    <row r="299" spans="2:16" x14ac:dyDescent="0.25">
      <c r="B299" s="14">
        <f t="shared" si="41"/>
        <v>52383</v>
      </c>
      <c r="C299" s="210"/>
      <c r="D299" s="210"/>
      <c r="E299" s="211"/>
      <c r="F299" s="211"/>
      <c r="G299" s="211"/>
      <c r="H299" s="58"/>
      <c r="I299" s="58" t="str">
        <f t="shared" si="42"/>
        <v/>
      </c>
      <c r="J299" s="58" t="str">
        <f t="shared" si="43"/>
        <v/>
      </c>
      <c r="K299" s="58" t="str">
        <f t="shared" si="44"/>
        <v/>
      </c>
      <c r="L299" s="58" t="str">
        <f t="shared" si="45"/>
        <v/>
      </c>
      <c r="M299" s="58" t="str">
        <f t="shared" si="37"/>
        <v/>
      </c>
      <c r="N299" s="32" t="str">
        <f t="shared" si="38"/>
        <v/>
      </c>
      <c r="O299" s="61" t="str">
        <f t="shared" si="39"/>
        <v/>
      </c>
      <c r="P299" s="61" t="str">
        <f t="shared" si="40"/>
        <v/>
      </c>
    </row>
    <row r="300" spans="2:16" x14ac:dyDescent="0.25">
      <c r="B300" s="14">
        <f t="shared" si="41"/>
        <v>52413</v>
      </c>
      <c r="C300" s="210"/>
      <c r="D300" s="210"/>
      <c r="E300" s="211"/>
      <c r="F300" s="211"/>
      <c r="G300" s="211"/>
      <c r="H300" s="58"/>
      <c r="I300" s="58" t="str">
        <f t="shared" si="42"/>
        <v/>
      </c>
      <c r="J300" s="58" t="str">
        <f t="shared" si="43"/>
        <v/>
      </c>
      <c r="K300" s="58" t="str">
        <f t="shared" si="44"/>
        <v/>
      </c>
      <c r="L300" s="58" t="str">
        <f t="shared" si="45"/>
        <v/>
      </c>
      <c r="M300" s="58" t="str">
        <f t="shared" si="37"/>
        <v/>
      </c>
      <c r="N300" s="32" t="str">
        <f t="shared" si="38"/>
        <v/>
      </c>
      <c r="O300" s="61" t="str">
        <f t="shared" si="39"/>
        <v/>
      </c>
      <c r="P300" s="61" t="str">
        <f t="shared" si="40"/>
        <v/>
      </c>
    </row>
    <row r="301" spans="2:16" x14ac:dyDescent="0.25">
      <c r="B301" s="14">
        <f t="shared" si="41"/>
        <v>52444</v>
      </c>
      <c r="C301" s="210"/>
      <c r="D301" s="210"/>
      <c r="E301" s="211"/>
      <c r="F301" s="211"/>
      <c r="G301" s="211"/>
      <c r="H301" s="58"/>
      <c r="I301" s="58" t="str">
        <f t="shared" si="42"/>
        <v/>
      </c>
      <c r="J301" s="58" t="str">
        <f t="shared" si="43"/>
        <v/>
      </c>
      <c r="K301" s="58" t="str">
        <f t="shared" si="44"/>
        <v/>
      </c>
      <c r="L301" s="58" t="str">
        <f t="shared" si="45"/>
        <v/>
      </c>
      <c r="M301" s="58" t="str">
        <f t="shared" si="37"/>
        <v/>
      </c>
      <c r="N301" s="32" t="str">
        <f t="shared" si="38"/>
        <v/>
      </c>
      <c r="O301" s="61" t="str">
        <f t="shared" si="39"/>
        <v/>
      </c>
      <c r="P301" s="61" t="str">
        <f t="shared" si="40"/>
        <v/>
      </c>
    </row>
    <row r="302" spans="2:16" x14ac:dyDescent="0.25">
      <c r="B302" s="14">
        <f t="shared" si="41"/>
        <v>52475</v>
      </c>
      <c r="C302" s="210"/>
      <c r="D302" s="210"/>
      <c r="E302" s="211"/>
      <c r="F302" s="211"/>
      <c r="G302" s="211"/>
      <c r="H302" s="58"/>
      <c r="I302" s="58" t="str">
        <f t="shared" si="42"/>
        <v/>
      </c>
      <c r="J302" s="58" t="str">
        <f t="shared" si="43"/>
        <v/>
      </c>
      <c r="K302" s="58" t="str">
        <f t="shared" si="44"/>
        <v/>
      </c>
      <c r="L302" s="58" t="str">
        <f t="shared" si="45"/>
        <v/>
      </c>
      <c r="M302" s="58" t="str">
        <f t="shared" si="37"/>
        <v/>
      </c>
      <c r="N302" s="32" t="str">
        <f t="shared" si="38"/>
        <v/>
      </c>
      <c r="O302" s="61" t="str">
        <f t="shared" si="39"/>
        <v/>
      </c>
      <c r="P302" s="61" t="str">
        <f t="shared" si="40"/>
        <v/>
      </c>
    </row>
    <row r="303" spans="2:16" x14ac:dyDescent="0.25">
      <c r="B303" s="14">
        <f t="shared" si="41"/>
        <v>52505</v>
      </c>
      <c r="C303" s="210"/>
      <c r="D303" s="210"/>
      <c r="E303" s="211"/>
      <c r="F303" s="211"/>
      <c r="G303" s="211"/>
      <c r="H303" s="58"/>
      <c r="I303" s="58" t="str">
        <f t="shared" si="42"/>
        <v/>
      </c>
      <c r="J303" s="58" t="str">
        <f t="shared" si="43"/>
        <v/>
      </c>
      <c r="K303" s="58" t="str">
        <f t="shared" si="44"/>
        <v/>
      </c>
      <c r="L303" s="58" t="str">
        <f t="shared" si="45"/>
        <v/>
      </c>
      <c r="M303" s="58" t="str">
        <f t="shared" si="37"/>
        <v/>
      </c>
      <c r="N303" s="32" t="str">
        <f t="shared" si="38"/>
        <v/>
      </c>
      <c r="O303" s="61" t="str">
        <f t="shared" si="39"/>
        <v/>
      </c>
      <c r="P303" s="61" t="str">
        <f t="shared" si="40"/>
        <v/>
      </c>
    </row>
    <row r="304" spans="2:16" x14ac:dyDescent="0.25">
      <c r="B304" s="14">
        <f t="shared" si="41"/>
        <v>52536</v>
      </c>
      <c r="C304" s="210"/>
      <c r="D304" s="210"/>
      <c r="E304" s="211"/>
      <c r="F304" s="211"/>
      <c r="G304" s="211"/>
      <c r="H304" s="58"/>
      <c r="I304" s="58" t="str">
        <f t="shared" si="42"/>
        <v/>
      </c>
      <c r="J304" s="58" t="str">
        <f t="shared" si="43"/>
        <v/>
      </c>
      <c r="K304" s="58" t="str">
        <f t="shared" si="44"/>
        <v/>
      </c>
      <c r="L304" s="58" t="str">
        <f t="shared" si="45"/>
        <v/>
      </c>
      <c r="M304" s="58" t="str">
        <f t="shared" si="37"/>
        <v/>
      </c>
      <c r="N304" s="32" t="str">
        <f t="shared" si="38"/>
        <v/>
      </c>
      <c r="O304" s="61" t="str">
        <f t="shared" si="39"/>
        <v/>
      </c>
      <c r="P304" s="61" t="str">
        <f t="shared" si="40"/>
        <v/>
      </c>
    </row>
    <row r="305" spans="2:16" x14ac:dyDescent="0.25">
      <c r="B305" s="20">
        <f t="shared" si="41"/>
        <v>52566</v>
      </c>
      <c r="C305" s="212"/>
      <c r="D305" s="212"/>
      <c r="E305" s="213"/>
      <c r="F305" s="213"/>
      <c r="G305" s="213"/>
      <c r="H305" s="58"/>
      <c r="I305" s="59" t="str">
        <f t="shared" si="42"/>
        <v/>
      </c>
      <c r="J305" s="59" t="str">
        <f t="shared" si="43"/>
        <v/>
      </c>
      <c r="K305" s="59" t="str">
        <f t="shared" si="44"/>
        <v/>
      </c>
      <c r="L305" s="59" t="str">
        <f t="shared" si="45"/>
        <v/>
      </c>
      <c r="M305" s="59" t="str">
        <f t="shared" si="37"/>
        <v/>
      </c>
      <c r="N305" s="60" t="str">
        <f t="shared" si="38"/>
        <v/>
      </c>
      <c r="O305" s="62" t="str">
        <f t="shared" si="39"/>
        <v/>
      </c>
      <c r="P305" s="62" t="str">
        <f t="shared" si="40"/>
        <v/>
      </c>
    </row>
    <row r="306" spans="2:16" x14ac:dyDescent="0.25">
      <c r="B306" s="14">
        <f t="shared" si="41"/>
        <v>52597</v>
      </c>
      <c r="C306" s="210"/>
      <c r="D306" s="210"/>
      <c r="E306" s="211"/>
      <c r="F306" s="211"/>
      <c r="G306" s="211"/>
      <c r="H306" s="58"/>
      <c r="I306" s="58" t="str">
        <f t="shared" si="42"/>
        <v/>
      </c>
      <c r="J306" s="58" t="str">
        <f t="shared" si="43"/>
        <v/>
      </c>
      <c r="K306" s="58" t="str">
        <f t="shared" si="44"/>
        <v/>
      </c>
      <c r="L306" s="58" t="str">
        <f t="shared" si="45"/>
        <v/>
      </c>
      <c r="M306" s="58" t="str">
        <f t="shared" si="37"/>
        <v/>
      </c>
      <c r="N306" s="32" t="str">
        <f t="shared" si="38"/>
        <v/>
      </c>
      <c r="O306" s="61" t="str">
        <f t="shared" si="39"/>
        <v/>
      </c>
      <c r="P306" s="61" t="str">
        <f t="shared" si="40"/>
        <v/>
      </c>
    </row>
    <row r="307" spans="2:16" x14ac:dyDescent="0.25">
      <c r="B307" s="14">
        <f t="shared" si="41"/>
        <v>52628</v>
      </c>
      <c r="C307" s="210"/>
      <c r="D307" s="210"/>
      <c r="E307" s="211"/>
      <c r="F307" s="211"/>
      <c r="G307" s="211"/>
      <c r="H307" s="58"/>
      <c r="I307" s="58" t="str">
        <f t="shared" si="42"/>
        <v/>
      </c>
      <c r="J307" s="58" t="str">
        <f t="shared" si="43"/>
        <v/>
      </c>
      <c r="K307" s="58" t="str">
        <f t="shared" si="44"/>
        <v/>
      </c>
      <c r="L307" s="58" t="str">
        <f t="shared" si="45"/>
        <v/>
      </c>
      <c r="M307" s="58" t="str">
        <f t="shared" si="37"/>
        <v/>
      </c>
      <c r="N307" s="32" t="str">
        <f t="shared" si="38"/>
        <v/>
      </c>
      <c r="O307" s="61" t="str">
        <f t="shared" si="39"/>
        <v/>
      </c>
      <c r="P307" s="61" t="str">
        <f t="shared" si="40"/>
        <v/>
      </c>
    </row>
    <row r="308" spans="2:16" x14ac:dyDescent="0.25">
      <c r="B308" s="14">
        <f t="shared" si="41"/>
        <v>52657</v>
      </c>
      <c r="C308" s="210"/>
      <c r="D308" s="210"/>
      <c r="E308" s="211"/>
      <c r="F308" s="211"/>
      <c r="G308" s="211"/>
      <c r="H308" s="58"/>
      <c r="I308" s="58" t="str">
        <f t="shared" si="42"/>
        <v/>
      </c>
      <c r="J308" s="58" t="str">
        <f t="shared" si="43"/>
        <v/>
      </c>
      <c r="K308" s="58" t="str">
        <f t="shared" si="44"/>
        <v/>
      </c>
      <c r="L308" s="58" t="str">
        <f t="shared" si="45"/>
        <v/>
      </c>
      <c r="M308" s="58" t="str">
        <f t="shared" si="37"/>
        <v/>
      </c>
      <c r="N308" s="32" t="str">
        <f t="shared" si="38"/>
        <v/>
      </c>
      <c r="O308" s="61" t="str">
        <f t="shared" si="39"/>
        <v/>
      </c>
      <c r="P308" s="61" t="str">
        <f t="shared" si="40"/>
        <v/>
      </c>
    </row>
    <row r="309" spans="2:16" x14ac:dyDescent="0.25">
      <c r="B309" s="14">
        <f t="shared" si="41"/>
        <v>52688</v>
      </c>
      <c r="C309" s="210"/>
      <c r="D309" s="210"/>
      <c r="E309" s="211"/>
      <c r="F309" s="211"/>
      <c r="G309" s="211"/>
      <c r="H309" s="58"/>
      <c r="I309" s="58" t="str">
        <f t="shared" si="42"/>
        <v/>
      </c>
      <c r="J309" s="58" t="str">
        <f t="shared" si="43"/>
        <v/>
      </c>
      <c r="K309" s="58" t="str">
        <f t="shared" si="44"/>
        <v/>
      </c>
      <c r="L309" s="58" t="str">
        <f t="shared" si="45"/>
        <v/>
      </c>
      <c r="M309" s="58" t="str">
        <f t="shared" si="37"/>
        <v/>
      </c>
      <c r="N309" s="32" t="str">
        <f t="shared" si="38"/>
        <v/>
      </c>
      <c r="O309" s="61" t="str">
        <f t="shared" si="39"/>
        <v/>
      </c>
      <c r="P309" s="61" t="str">
        <f t="shared" si="40"/>
        <v/>
      </c>
    </row>
    <row r="310" spans="2:16" x14ac:dyDescent="0.25">
      <c r="B310" s="14">
        <f t="shared" si="41"/>
        <v>52718</v>
      </c>
      <c r="C310" s="210"/>
      <c r="D310" s="210"/>
      <c r="E310" s="211"/>
      <c r="F310" s="211"/>
      <c r="G310" s="211"/>
      <c r="H310" s="58"/>
      <c r="I310" s="58" t="str">
        <f t="shared" si="42"/>
        <v/>
      </c>
      <c r="J310" s="58" t="str">
        <f t="shared" si="43"/>
        <v/>
      </c>
      <c r="K310" s="58" t="str">
        <f t="shared" si="44"/>
        <v/>
      </c>
      <c r="L310" s="58" t="str">
        <f t="shared" si="45"/>
        <v/>
      </c>
      <c r="M310" s="58" t="str">
        <f t="shared" si="37"/>
        <v/>
      </c>
      <c r="N310" s="32" t="str">
        <f t="shared" si="38"/>
        <v/>
      </c>
      <c r="O310" s="61" t="str">
        <f t="shared" si="39"/>
        <v/>
      </c>
      <c r="P310" s="61" t="str">
        <f t="shared" si="40"/>
        <v/>
      </c>
    </row>
    <row r="311" spans="2:16" x14ac:dyDescent="0.25">
      <c r="B311" s="14">
        <f t="shared" si="41"/>
        <v>52749</v>
      </c>
      <c r="C311" s="210"/>
      <c r="D311" s="210"/>
      <c r="E311" s="211"/>
      <c r="F311" s="211"/>
      <c r="G311" s="211"/>
      <c r="H311" s="58"/>
      <c r="I311" s="58" t="str">
        <f t="shared" si="42"/>
        <v/>
      </c>
      <c r="J311" s="58" t="str">
        <f t="shared" si="43"/>
        <v/>
      </c>
      <c r="K311" s="58" t="str">
        <f t="shared" si="44"/>
        <v/>
      </c>
      <c r="L311" s="58" t="str">
        <f t="shared" si="45"/>
        <v/>
      </c>
      <c r="M311" s="58" t="str">
        <f t="shared" si="37"/>
        <v/>
      </c>
      <c r="N311" s="32" t="str">
        <f t="shared" si="38"/>
        <v/>
      </c>
      <c r="O311" s="61" t="str">
        <f t="shared" si="39"/>
        <v/>
      </c>
      <c r="P311" s="61" t="str">
        <f t="shared" si="40"/>
        <v/>
      </c>
    </row>
    <row r="312" spans="2:16" x14ac:dyDescent="0.25">
      <c r="B312" s="14">
        <f t="shared" si="41"/>
        <v>52779</v>
      </c>
      <c r="C312" s="210"/>
      <c r="D312" s="210"/>
      <c r="E312" s="211"/>
      <c r="F312" s="211"/>
      <c r="G312" s="211"/>
      <c r="H312" s="58"/>
      <c r="I312" s="58" t="str">
        <f t="shared" si="42"/>
        <v/>
      </c>
      <c r="J312" s="58" t="str">
        <f t="shared" si="43"/>
        <v/>
      </c>
      <c r="K312" s="58" t="str">
        <f t="shared" si="44"/>
        <v/>
      </c>
      <c r="L312" s="58" t="str">
        <f t="shared" si="45"/>
        <v/>
      </c>
      <c r="M312" s="58" t="str">
        <f t="shared" si="37"/>
        <v/>
      </c>
      <c r="N312" s="32" t="str">
        <f t="shared" si="38"/>
        <v/>
      </c>
      <c r="O312" s="61" t="str">
        <f t="shared" si="39"/>
        <v/>
      </c>
      <c r="P312" s="61" t="str">
        <f t="shared" si="40"/>
        <v/>
      </c>
    </row>
    <row r="313" spans="2:16" x14ac:dyDescent="0.25">
      <c r="B313" s="14">
        <f t="shared" si="41"/>
        <v>52810</v>
      </c>
      <c r="C313" s="210"/>
      <c r="D313" s="210"/>
      <c r="E313" s="211"/>
      <c r="F313" s="211"/>
      <c r="G313" s="211"/>
      <c r="H313" s="58"/>
      <c r="I313" s="58" t="str">
        <f t="shared" si="42"/>
        <v/>
      </c>
      <c r="J313" s="58" t="str">
        <f t="shared" si="43"/>
        <v/>
      </c>
      <c r="K313" s="58" t="str">
        <f t="shared" si="44"/>
        <v/>
      </c>
      <c r="L313" s="58" t="str">
        <f t="shared" si="45"/>
        <v/>
      </c>
      <c r="M313" s="58" t="str">
        <f t="shared" si="37"/>
        <v/>
      </c>
      <c r="N313" s="32" t="str">
        <f t="shared" si="38"/>
        <v/>
      </c>
      <c r="O313" s="61" t="str">
        <f t="shared" si="39"/>
        <v/>
      </c>
      <c r="P313" s="61" t="str">
        <f t="shared" si="40"/>
        <v/>
      </c>
    </row>
    <row r="314" spans="2:16" x14ac:dyDescent="0.25">
      <c r="B314" s="14">
        <f t="shared" si="41"/>
        <v>52841</v>
      </c>
      <c r="C314" s="210"/>
      <c r="D314" s="210"/>
      <c r="E314" s="211"/>
      <c r="F314" s="211"/>
      <c r="G314" s="211"/>
      <c r="H314" s="58"/>
      <c r="I314" s="58" t="str">
        <f t="shared" si="42"/>
        <v/>
      </c>
      <c r="J314" s="58" t="str">
        <f t="shared" si="43"/>
        <v/>
      </c>
      <c r="K314" s="58" t="str">
        <f t="shared" si="44"/>
        <v/>
      </c>
      <c r="L314" s="58" t="str">
        <f t="shared" si="45"/>
        <v/>
      </c>
      <c r="M314" s="58" t="str">
        <f t="shared" si="37"/>
        <v/>
      </c>
      <c r="N314" s="32" t="str">
        <f t="shared" si="38"/>
        <v/>
      </c>
      <c r="O314" s="61" t="str">
        <f t="shared" si="39"/>
        <v/>
      </c>
      <c r="P314" s="61" t="str">
        <f t="shared" si="40"/>
        <v/>
      </c>
    </row>
    <row r="315" spans="2:16" x14ac:dyDescent="0.25">
      <c r="B315" s="14">
        <f t="shared" si="41"/>
        <v>52871</v>
      </c>
      <c r="C315" s="210"/>
      <c r="D315" s="210"/>
      <c r="E315" s="211"/>
      <c r="F315" s="211"/>
      <c r="G315" s="211"/>
      <c r="H315" s="58"/>
      <c r="I315" s="58" t="str">
        <f t="shared" si="42"/>
        <v/>
      </c>
      <c r="J315" s="58" t="str">
        <f t="shared" si="43"/>
        <v/>
      </c>
      <c r="K315" s="58" t="str">
        <f t="shared" si="44"/>
        <v/>
      </c>
      <c r="L315" s="58" t="str">
        <f t="shared" si="45"/>
        <v/>
      </c>
      <c r="M315" s="58" t="str">
        <f t="shared" si="37"/>
        <v/>
      </c>
      <c r="N315" s="32" t="str">
        <f t="shared" si="38"/>
        <v/>
      </c>
      <c r="O315" s="61" t="str">
        <f t="shared" si="39"/>
        <v/>
      </c>
      <c r="P315" s="61" t="str">
        <f t="shared" si="40"/>
        <v/>
      </c>
    </row>
    <row r="316" spans="2:16" x14ac:dyDescent="0.25">
      <c r="B316" s="14">
        <f t="shared" si="41"/>
        <v>52902</v>
      </c>
      <c r="C316" s="210"/>
      <c r="D316" s="210"/>
      <c r="E316" s="211"/>
      <c r="F316" s="211"/>
      <c r="G316" s="211"/>
      <c r="H316" s="58"/>
      <c r="I316" s="58" t="str">
        <f t="shared" si="42"/>
        <v/>
      </c>
      <c r="J316" s="58" t="str">
        <f t="shared" si="43"/>
        <v/>
      </c>
      <c r="K316" s="58" t="str">
        <f t="shared" si="44"/>
        <v/>
      </c>
      <c r="L316" s="58" t="str">
        <f t="shared" si="45"/>
        <v/>
      </c>
      <c r="M316" s="58" t="str">
        <f t="shared" si="37"/>
        <v/>
      </c>
      <c r="N316" s="32" t="str">
        <f t="shared" si="38"/>
        <v/>
      </c>
      <c r="O316" s="61" t="str">
        <f t="shared" si="39"/>
        <v/>
      </c>
      <c r="P316" s="61" t="str">
        <f t="shared" si="40"/>
        <v/>
      </c>
    </row>
    <row r="317" spans="2:16" x14ac:dyDescent="0.25">
      <c r="B317" s="20">
        <f t="shared" si="41"/>
        <v>52932</v>
      </c>
      <c r="C317" s="212"/>
      <c r="D317" s="212"/>
      <c r="E317" s="213"/>
      <c r="F317" s="213"/>
      <c r="G317" s="213"/>
      <c r="H317" s="58"/>
      <c r="I317" s="59" t="str">
        <f t="shared" si="42"/>
        <v/>
      </c>
      <c r="J317" s="59" t="str">
        <f t="shared" si="43"/>
        <v/>
      </c>
      <c r="K317" s="59" t="str">
        <f t="shared" si="44"/>
        <v/>
      </c>
      <c r="L317" s="59" t="str">
        <f t="shared" si="45"/>
        <v/>
      </c>
      <c r="M317" s="59" t="str">
        <f t="shared" si="37"/>
        <v/>
      </c>
      <c r="N317" s="60" t="str">
        <f t="shared" si="38"/>
        <v/>
      </c>
      <c r="O317" s="62" t="str">
        <f t="shared" si="39"/>
        <v/>
      </c>
      <c r="P317" s="62" t="str">
        <f t="shared" si="40"/>
        <v/>
      </c>
    </row>
    <row r="318" spans="2:16" x14ac:dyDescent="0.25">
      <c r="B318" s="14">
        <f t="shared" si="41"/>
        <v>52963</v>
      </c>
      <c r="C318" s="210"/>
      <c r="D318" s="210"/>
      <c r="E318" s="211"/>
      <c r="F318" s="211"/>
      <c r="G318" s="211"/>
      <c r="H318" s="58"/>
      <c r="I318" s="58" t="str">
        <f t="shared" si="42"/>
        <v/>
      </c>
      <c r="J318" s="58" t="str">
        <f t="shared" si="43"/>
        <v/>
      </c>
      <c r="K318" s="58" t="str">
        <f t="shared" si="44"/>
        <v/>
      </c>
      <c r="L318" s="58" t="str">
        <f t="shared" si="45"/>
        <v/>
      </c>
      <c r="M318" s="58" t="str">
        <f t="shared" si="37"/>
        <v/>
      </c>
      <c r="N318" s="32" t="str">
        <f t="shared" si="38"/>
        <v/>
      </c>
      <c r="O318" s="61" t="str">
        <f t="shared" si="39"/>
        <v/>
      </c>
      <c r="P318" s="61" t="str">
        <f t="shared" si="40"/>
        <v/>
      </c>
    </row>
    <row r="319" spans="2:16" x14ac:dyDescent="0.25">
      <c r="B319" s="14">
        <f t="shared" si="41"/>
        <v>52994</v>
      </c>
      <c r="C319" s="210"/>
      <c r="D319" s="210"/>
      <c r="E319" s="211"/>
      <c r="F319" s="211"/>
      <c r="G319" s="211"/>
      <c r="H319" s="58"/>
      <c r="I319" s="58" t="str">
        <f t="shared" si="42"/>
        <v/>
      </c>
      <c r="J319" s="58" t="str">
        <f t="shared" si="43"/>
        <v/>
      </c>
      <c r="K319" s="58" t="str">
        <f t="shared" si="44"/>
        <v/>
      </c>
      <c r="L319" s="58" t="str">
        <f t="shared" si="45"/>
        <v/>
      </c>
      <c r="M319" s="58" t="str">
        <f t="shared" si="37"/>
        <v/>
      </c>
      <c r="N319" s="32" t="str">
        <f t="shared" si="38"/>
        <v/>
      </c>
      <c r="O319" s="61" t="str">
        <f t="shared" si="39"/>
        <v/>
      </c>
      <c r="P319" s="61" t="str">
        <f t="shared" si="40"/>
        <v/>
      </c>
    </row>
    <row r="320" spans="2:16" x14ac:dyDescent="0.25">
      <c r="B320" s="14">
        <f t="shared" si="41"/>
        <v>53022</v>
      </c>
      <c r="C320" s="210"/>
      <c r="D320" s="210"/>
      <c r="E320" s="211"/>
      <c r="F320" s="211"/>
      <c r="G320" s="211"/>
      <c r="H320" s="58"/>
      <c r="I320" s="58" t="str">
        <f t="shared" si="42"/>
        <v/>
      </c>
      <c r="J320" s="58" t="str">
        <f t="shared" si="43"/>
        <v/>
      </c>
      <c r="K320" s="58" t="str">
        <f t="shared" si="44"/>
        <v/>
      </c>
      <c r="L320" s="58" t="str">
        <f t="shared" si="45"/>
        <v/>
      </c>
      <c r="M320" s="58" t="str">
        <f t="shared" si="37"/>
        <v/>
      </c>
      <c r="N320" s="32" t="str">
        <f t="shared" si="38"/>
        <v/>
      </c>
      <c r="O320" s="61" t="str">
        <f t="shared" si="39"/>
        <v/>
      </c>
      <c r="P320" s="61" t="str">
        <f t="shared" si="40"/>
        <v/>
      </c>
    </row>
    <row r="321" spans="2:16" x14ac:dyDescent="0.25">
      <c r="B321" s="14">
        <f t="shared" si="41"/>
        <v>53053</v>
      </c>
      <c r="C321" s="210"/>
      <c r="D321" s="210"/>
      <c r="E321" s="211"/>
      <c r="F321" s="211"/>
      <c r="G321" s="211"/>
      <c r="H321" s="58"/>
      <c r="I321" s="58" t="str">
        <f t="shared" si="42"/>
        <v/>
      </c>
      <c r="J321" s="58" t="str">
        <f t="shared" si="43"/>
        <v/>
      </c>
      <c r="K321" s="58" t="str">
        <f t="shared" si="44"/>
        <v/>
      </c>
      <c r="L321" s="58" t="str">
        <f t="shared" si="45"/>
        <v/>
      </c>
      <c r="M321" s="58" t="str">
        <f t="shared" si="37"/>
        <v/>
      </c>
      <c r="N321" s="32" t="str">
        <f t="shared" si="38"/>
        <v/>
      </c>
      <c r="O321" s="61" t="str">
        <f t="shared" si="39"/>
        <v/>
      </c>
      <c r="P321" s="61" t="str">
        <f t="shared" si="40"/>
        <v/>
      </c>
    </row>
    <row r="322" spans="2:16" x14ac:dyDescent="0.25">
      <c r="B322" s="14">
        <f t="shared" si="41"/>
        <v>53083</v>
      </c>
      <c r="C322" s="210"/>
      <c r="D322" s="210"/>
      <c r="E322" s="211"/>
      <c r="F322" s="211"/>
      <c r="G322" s="211"/>
      <c r="H322" s="58"/>
      <c r="I322" s="58" t="str">
        <f t="shared" si="42"/>
        <v/>
      </c>
      <c r="J322" s="58" t="str">
        <f t="shared" si="43"/>
        <v/>
      </c>
      <c r="K322" s="58" t="str">
        <f t="shared" si="44"/>
        <v/>
      </c>
      <c r="L322" s="58" t="str">
        <f t="shared" si="45"/>
        <v/>
      </c>
      <c r="M322" s="58" t="str">
        <f t="shared" si="37"/>
        <v/>
      </c>
      <c r="N322" s="32" t="str">
        <f t="shared" si="38"/>
        <v/>
      </c>
      <c r="O322" s="61" t="str">
        <f t="shared" si="39"/>
        <v/>
      </c>
      <c r="P322" s="61" t="str">
        <f t="shared" si="40"/>
        <v/>
      </c>
    </row>
    <row r="323" spans="2:16" x14ac:dyDescent="0.25">
      <c r="B323" s="14">
        <f t="shared" si="41"/>
        <v>53114</v>
      </c>
      <c r="C323" s="210"/>
      <c r="D323" s="210"/>
      <c r="E323" s="211"/>
      <c r="F323" s="211"/>
      <c r="G323" s="211"/>
      <c r="H323" s="58"/>
      <c r="I323" s="58" t="str">
        <f t="shared" si="42"/>
        <v/>
      </c>
      <c r="J323" s="58" t="str">
        <f t="shared" si="43"/>
        <v/>
      </c>
      <c r="K323" s="58" t="str">
        <f t="shared" si="44"/>
        <v/>
      </c>
      <c r="L323" s="58" t="str">
        <f t="shared" si="45"/>
        <v/>
      </c>
      <c r="M323" s="58" t="str">
        <f t="shared" si="37"/>
        <v/>
      </c>
      <c r="N323" s="32" t="str">
        <f t="shared" si="38"/>
        <v/>
      </c>
      <c r="O323" s="61" t="str">
        <f t="shared" si="39"/>
        <v/>
      </c>
      <c r="P323" s="61" t="str">
        <f t="shared" si="40"/>
        <v/>
      </c>
    </row>
    <row r="324" spans="2:16" x14ac:dyDescent="0.25">
      <c r="B324" s="14">
        <f t="shared" si="41"/>
        <v>53144</v>
      </c>
      <c r="C324" s="210"/>
      <c r="D324" s="210"/>
      <c r="E324" s="211"/>
      <c r="F324" s="211"/>
      <c r="G324" s="211"/>
      <c r="H324" s="58"/>
      <c r="I324" s="58" t="str">
        <f t="shared" si="42"/>
        <v/>
      </c>
      <c r="J324" s="58" t="str">
        <f t="shared" si="43"/>
        <v/>
      </c>
      <c r="K324" s="58" t="str">
        <f t="shared" si="44"/>
        <v/>
      </c>
      <c r="L324" s="58" t="str">
        <f t="shared" si="45"/>
        <v/>
      </c>
      <c r="M324" s="58" t="str">
        <f t="shared" si="37"/>
        <v/>
      </c>
      <c r="N324" s="32" t="str">
        <f t="shared" si="38"/>
        <v/>
      </c>
      <c r="O324" s="61" t="str">
        <f t="shared" si="39"/>
        <v/>
      </c>
      <c r="P324" s="61" t="str">
        <f t="shared" si="40"/>
        <v/>
      </c>
    </row>
    <row r="325" spans="2:16" x14ac:dyDescent="0.25">
      <c r="B325" s="14">
        <f t="shared" si="41"/>
        <v>53175</v>
      </c>
      <c r="C325" s="210"/>
      <c r="D325" s="210"/>
      <c r="E325" s="211"/>
      <c r="F325" s="211"/>
      <c r="G325" s="211"/>
      <c r="H325" s="58"/>
      <c r="I325" s="58" t="str">
        <f t="shared" si="42"/>
        <v/>
      </c>
      <c r="J325" s="58" t="str">
        <f t="shared" si="43"/>
        <v/>
      </c>
      <c r="K325" s="58" t="str">
        <f t="shared" si="44"/>
        <v/>
      </c>
      <c r="L325" s="58" t="str">
        <f t="shared" si="45"/>
        <v/>
      </c>
      <c r="M325" s="58" t="str">
        <f t="shared" si="37"/>
        <v/>
      </c>
      <c r="N325" s="32" t="str">
        <f t="shared" si="38"/>
        <v/>
      </c>
      <c r="O325" s="61" t="str">
        <f t="shared" si="39"/>
        <v/>
      </c>
      <c r="P325" s="61" t="str">
        <f t="shared" si="40"/>
        <v/>
      </c>
    </row>
    <row r="326" spans="2:16" x14ac:dyDescent="0.25">
      <c r="B326" s="14">
        <f t="shared" si="41"/>
        <v>53206</v>
      </c>
      <c r="C326" s="210"/>
      <c r="D326" s="210"/>
      <c r="E326" s="211"/>
      <c r="F326" s="211"/>
      <c r="G326" s="211"/>
      <c r="H326" s="58"/>
      <c r="I326" s="58" t="str">
        <f t="shared" si="42"/>
        <v/>
      </c>
      <c r="J326" s="58" t="str">
        <f t="shared" si="43"/>
        <v/>
      </c>
      <c r="K326" s="58" t="str">
        <f t="shared" si="44"/>
        <v/>
      </c>
      <c r="L326" s="58" t="str">
        <f t="shared" si="45"/>
        <v/>
      </c>
      <c r="M326" s="58" t="str">
        <f t="shared" ref="M326:M365" si="46">IFERROR(J326*1000/I326,"")</f>
        <v/>
      </c>
      <c r="N326" s="32" t="str">
        <f t="shared" ref="N326:N365" si="47">IFERROR(K326 / (K326+I326),"")</f>
        <v/>
      </c>
      <c r="O326" s="61" t="str">
        <f t="shared" ref="O326:O365" si="48">IFERROR(I326/(J326/1000),"")</f>
        <v/>
      </c>
      <c r="P326" s="61" t="str">
        <f t="shared" ref="P326:P365" si="49">IFERROR(G326/(E326/1000),"")</f>
        <v/>
      </c>
    </row>
    <row r="327" spans="2:16" x14ac:dyDescent="0.25">
      <c r="B327" s="14">
        <f t="shared" ref="B327:B366" si="50">EOMONTH(B326,0)+1</f>
        <v>53236</v>
      </c>
      <c r="C327" s="210"/>
      <c r="D327" s="210"/>
      <c r="E327" s="211"/>
      <c r="F327" s="211"/>
      <c r="G327" s="211"/>
      <c r="H327" s="58"/>
      <c r="I327" s="58" t="str">
        <f t="shared" ref="I327:I365" si="51">IF(D327&gt;0,D327/($B328-$B327),"")</f>
        <v/>
      </c>
      <c r="J327" s="58" t="str">
        <f t="shared" ref="J327:J365" si="52">IF(E327&gt;0,E327/($B328-$B327),"")</f>
        <v/>
      </c>
      <c r="K327" s="58" t="str">
        <f t="shared" ref="K327:K365" si="53">IF(F327&gt;0,F327/($B328-$B327),"")</f>
        <v/>
      </c>
      <c r="L327" s="58" t="str">
        <f t="shared" ref="L327:L365" si="54">IF(G327&gt;0,G327/($B328-$B327),"")</f>
        <v/>
      </c>
      <c r="M327" s="58" t="str">
        <f t="shared" si="46"/>
        <v/>
      </c>
      <c r="N327" s="32" t="str">
        <f t="shared" si="47"/>
        <v/>
      </c>
      <c r="O327" s="61" t="str">
        <f t="shared" si="48"/>
        <v/>
      </c>
      <c r="P327" s="61" t="str">
        <f t="shared" si="49"/>
        <v/>
      </c>
    </row>
    <row r="328" spans="2:16" x14ac:dyDescent="0.25">
      <c r="B328" s="14">
        <f t="shared" si="50"/>
        <v>53267</v>
      </c>
      <c r="C328" s="210"/>
      <c r="D328" s="210"/>
      <c r="E328" s="211"/>
      <c r="F328" s="211"/>
      <c r="G328" s="211"/>
      <c r="H328" s="58"/>
      <c r="I328" s="58" t="str">
        <f t="shared" si="51"/>
        <v/>
      </c>
      <c r="J328" s="58" t="str">
        <f t="shared" si="52"/>
        <v/>
      </c>
      <c r="K328" s="58" t="str">
        <f t="shared" si="53"/>
        <v/>
      </c>
      <c r="L328" s="58" t="str">
        <f t="shared" si="54"/>
        <v/>
      </c>
      <c r="M328" s="58" t="str">
        <f t="shared" si="46"/>
        <v/>
      </c>
      <c r="N328" s="32" t="str">
        <f t="shared" si="47"/>
        <v/>
      </c>
      <c r="O328" s="61" t="str">
        <f t="shared" si="48"/>
        <v/>
      </c>
      <c r="P328" s="61" t="str">
        <f t="shared" si="49"/>
        <v/>
      </c>
    </row>
    <row r="329" spans="2:16" x14ac:dyDescent="0.25">
      <c r="B329" s="20">
        <f t="shared" si="50"/>
        <v>53297</v>
      </c>
      <c r="C329" s="212"/>
      <c r="D329" s="212"/>
      <c r="E329" s="213"/>
      <c r="F329" s="213"/>
      <c r="G329" s="213"/>
      <c r="H329" s="58"/>
      <c r="I329" s="59" t="str">
        <f t="shared" si="51"/>
        <v/>
      </c>
      <c r="J329" s="59" t="str">
        <f t="shared" si="52"/>
        <v/>
      </c>
      <c r="K329" s="59" t="str">
        <f t="shared" si="53"/>
        <v/>
      </c>
      <c r="L329" s="59" t="str">
        <f t="shared" si="54"/>
        <v/>
      </c>
      <c r="M329" s="59" t="str">
        <f t="shared" si="46"/>
        <v/>
      </c>
      <c r="N329" s="60" t="str">
        <f t="shared" si="47"/>
        <v/>
      </c>
      <c r="O329" s="62" t="str">
        <f t="shared" si="48"/>
        <v/>
      </c>
      <c r="P329" s="62" t="str">
        <f t="shared" si="49"/>
        <v/>
      </c>
    </row>
    <row r="330" spans="2:16" x14ac:dyDescent="0.25">
      <c r="B330" s="14">
        <f t="shared" si="50"/>
        <v>53328</v>
      </c>
      <c r="C330" s="210"/>
      <c r="D330" s="210"/>
      <c r="E330" s="211"/>
      <c r="F330" s="211"/>
      <c r="G330" s="211"/>
      <c r="H330" s="58"/>
      <c r="I330" s="58" t="str">
        <f t="shared" si="51"/>
        <v/>
      </c>
      <c r="J330" s="58" t="str">
        <f t="shared" si="52"/>
        <v/>
      </c>
      <c r="K330" s="58" t="str">
        <f t="shared" si="53"/>
        <v/>
      </c>
      <c r="L330" s="58" t="str">
        <f t="shared" si="54"/>
        <v/>
      </c>
      <c r="M330" s="58" t="str">
        <f t="shared" si="46"/>
        <v/>
      </c>
      <c r="N330" s="32" t="str">
        <f t="shared" si="47"/>
        <v/>
      </c>
      <c r="O330" s="61" t="str">
        <f t="shared" si="48"/>
        <v/>
      </c>
      <c r="P330" s="61" t="str">
        <f t="shared" si="49"/>
        <v/>
      </c>
    </row>
    <row r="331" spans="2:16" x14ac:dyDescent="0.25">
      <c r="B331" s="14">
        <f t="shared" si="50"/>
        <v>53359</v>
      </c>
      <c r="C331" s="210"/>
      <c r="D331" s="210"/>
      <c r="E331" s="211"/>
      <c r="F331" s="211"/>
      <c r="G331" s="211"/>
      <c r="H331" s="58"/>
      <c r="I331" s="58" t="str">
        <f t="shared" si="51"/>
        <v/>
      </c>
      <c r="J331" s="58" t="str">
        <f t="shared" si="52"/>
        <v/>
      </c>
      <c r="K331" s="58" t="str">
        <f t="shared" si="53"/>
        <v/>
      </c>
      <c r="L331" s="58" t="str">
        <f t="shared" si="54"/>
        <v/>
      </c>
      <c r="M331" s="58" t="str">
        <f t="shared" si="46"/>
        <v/>
      </c>
      <c r="N331" s="32" t="str">
        <f t="shared" si="47"/>
        <v/>
      </c>
      <c r="O331" s="61" t="str">
        <f t="shared" si="48"/>
        <v/>
      </c>
      <c r="P331" s="61" t="str">
        <f t="shared" si="49"/>
        <v/>
      </c>
    </row>
    <row r="332" spans="2:16" x14ac:dyDescent="0.25">
      <c r="B332" s="14">
        <f t="shared" si="50"/>
        <v>53387</v>
      </c>
      <c r="C332" s="210"/>
      <c r="D332" s="210"/>
      <c r="E332" s="211"/>
      <c r="F332" s="211"/>
      <c r="G332" s="211"/>
      <c r="H332" s="58"/>
      <c r="I332" s="58" t="str">
        <f t="shared" si="51"/>
        <v/>
      </c>
      <c r="J332" s="58" t="str">
        <f t="shared" si="52"/>
        <v/>
      </c>
      <c r="K332" s="58" t="str">
        <f t="shared" si="53"/>
        <v/>
      </c>
      <c r="L332" s="58" t="str">
        <f t="shared" si="54"/>
        <v/>
      </c>
      <c r="M332" s="58" t="str">
        <f t="shared" si="46"/>
        <v/>
      </c>
      <c r="N332" s="32" t="str">
        <f t="shared" si="47"/>
        <v/>
      </c>
      <c r="O332" s="61" t="str">
        <f t="shared" si="48"/>
        <v/>
      </c>
      <c r="P332" s="61" t="str">
        <f t="shared" si="49"/>
        <v/>
      </c>
    </row>
    <row r="333" spans="2:16" x14ac:dyDescent="0.25">
      <c r="B333" s="14">
        <f t="shared" si="50"/>
        <v>53418</v>
      </c>
      <c r="C333" s="210"/>
      <c r="D333" s="210"/>
      <c r="E333" s="211"/>
      <c r="F333" s="211"/>
      <c r="G333" s="211"/>
      <c r="H333" s="58"/>
      <c r="I333" s="58" t="str">
        <f t="shared" si="51"/>
        <v/>
      </c>
      <c r="J333" s="58" t="str">
        <f t="shared" si="52"/>
        <v/>
      </c>
      <c r="K333" s="58" t="str">
        <f t="shared" si="53"/>
        <v/>
      </c>
      <c r="L333" s="58" t="str">
        <f t="shared" si="54"/>
        <v/>
      </c>
      <c r="M333" s="58" t="str">
        <f t="shared" si="46"/>
        <v/>
      </c>
      <c r="N333" s="32" t="str">
        <f t="shared" si="47"/>
        <v/>
      </c>
      <c r="O333" s="61" t="str">
        <f t="shared" si="48"/>
        <v/>
      </c>
      <c r="P333" s="61" t="str">
        <f t="shared" si="49"/>
        <v/>
      </c>
    </row>
    <row r="334" spans="2:16" x14ac:dyDescent="0.25">
      <c r="B334" s="14">
        <f t="shared" si="50"/>
        <v>53448</v>
      </c>
      <c r="C334" s="210"/>
      <c r="D334" s="210"/>
      <c r="E334" s="211"/>
      <c r="F334" s="211"/>
      <c r="G334" s="211"/>
      <c r="H334" s="58"/>
      <c r="I334" s="58" t="str">
        <f t="shared" si="51"/>
        <v/>
      </c>
      <c r="J334" s="58" t="str">
        <f t="shared" si="52"/>
        <v/>
      </c>
      <c r="K334" s="58" t="str">
        <f t="shared" si="53"/>
        <v/>
      </c>
      <c r="L334" s="58" t="str">
        <f t="shared" si="54"/>
        <v/>
      </c>
      <c r="M334" s="58" t="str">
        <f t="shared" si="46"/>
        <v/>
      </c>
      <c r="N334" s="32" t="str">
        <f t="shared" si="47"/>
        <v/>
      </c>
      <c r="O334" s="61" t="str">
        <f t="shared" si="48"/>
        <v/>
      </c>
      <c r="P334" s="61" t="str">
        <f t="shared" si="49"/>
        <v/>
      </c>
    </row>
    <row r="335" spans="2:16" x14ac:dyDescent="0.25">
      <c r="B335" s="14">
        <f t="shared" si="50"/>
        <v>53479</v>
      </c>
      <c r="C335" s="210"/>
      <c r="D335" s="210"/>
      <c r="E335" s="211"/>
      <c r="F335" s="211"/>
      <c r="G335" s="211"/>
      <c r="H335" s="58"/>
      <c r="I335" s="58" t="str">
        <f t="shared" si="51"/>
        <v/>
      </c>
      <c r="J335" s="58" t="str">
        <f t="shared" si="52"/>
        <v/>
      </c>
      <c r="K335" s="58" t="str">
        <f t="shared" si="53"/>
        <v/>
      </c>
      <c r="L335" s="58" t="str">
        <f t="shared" si="54"/>
        <v/>
      </c>
      <c r="M335" s="58" t="str">
        <f t="shared" si="46"/>
        <v/>
      </c>
      <c r="N335" s="32" t="str">
        <f t="shared" si="47"/>
        <v/>
      </c>
      <c r="O335" s="61" t="str">
        <f t="shared" si="48"/>
        <v/>
      </c>
      <c r="P335" s="61" t="str">
        <f t="shared" si="49"/>
        <v/>
      </c>
    </row>
    <row r="336" spans="2:16" x14ac:dyDescent="0.25">
      <c r="B336" s="14">
        <f t="shared" si="50"/>
        <v>53509</v>
      </c>
      <c r="C336" s="210"/>
      <c r="D336" s="210"/>
      <c r="E336" s="211"/>
      <c r="F336" s="211"/>
      <c r="G336" s="211"/>
      <c r="H336" s="58"/>
      <c r="I336" s="58" t="str">
        <f t="shared" si="51"/>
        <v/>
      </c>
      <c r="J336" s="58" t="str">
        <f t="shared" si="52"/>
        <v/>
      </c>
      <c r="K336" s="58" t="str">
        <f t="shared" si="53"/>
        <v/>
      </c>
      <c r="L336" s="58" t="str">
        <f t="shared" si="54"/>
        <v/>
      </c>
      <c r="M336" s="58" t="str">
        <f t="shared" si="46"/>
        <v/>
      </c>
      <c r="N336" s="32" t="str">
        <f t="shared" si="47"/>
        <v/>
      </c>
      <c r="O336" s="61" t="str">
        <f t="shared" si="48"/>
        <v/>
      </c>
      <c r="P336" s="61" t="str">
        <f t="shared" si="49"/>
        <v/>
      </c>
    </row>
    <row r="337" spans="2:16" x14ac:dyDescent="0.25">
      <c r="B337" s="14">
        <f t="shared" si="50"/>
        <v>53540</v>
      </c>
      <c r="C337" s="210"/>
      <c r="D337" s="210"/>
      <c r="E337" s="211"/>
      <c r="F337" s="211"/>
      <c r="G337" s="211"/>
      <c r="H337" s="58"/>
      <c r="I337" s="58" t="str">
        <f t="shared" si="51"/>
        <v/>
      </c>
      <c r="J337" s="58" t="str">
        <f t="shared" si="52"/>
        <v/>
      </c>
      <c r="K337" s="58" t="str">
        <f t="shared" si="53"/>
        <v/>
      </c>
      <c r="L337" s="58" t="str">
        <f t="shared" si="54"/>
        <v/>
      </c>
      <c r="M337" s="58" t="str">
        <f t="shared" si="46"/>
        <v/>
      </c>
      <c r="N337" s="32" t="str">
        <f t="shared" si="47"/>
        <v/>
      </c>
      <c r="O337" s="61" t="str">
        <f t="shared" si="48"/>
        <v/>
      </c>
      <c r="P337" s="61" t="str">
        <f t="shared" si="49"/>
        <v/>
      </c>
    </row>
    <row r="338" spans="2:16" x14ac:dyDescent="0.25">
      <c r="B338" s="14">
        <f t="shared" si="50"/>
        <v>53571</v>
      </c>
      <c r="C338" s="210"/>
      <c r="D338" s="210"/>
      <c r="E338" s="211"/>
      <c r="F338" s="211"/>
      <c r="G338" s="211"/>
      <c r="H338" s="58"/>
      <c r="I338" s="58" t="str">
        <f t="shared" si="51"/>
        <v/>
      </c>
      <c r="J338" s="58" t="str">
        <f t="shared" si="52"/>
        <v/>
      </c>
      <c r="K338" s="58" t="str">
        <f t="shared" si="53"/>
        <v/>
      </c>
      <c r="L338" s="58" t="str">
        <f t="shared" si="54"/>
        <v/>
      </c>
      <c r="M338" s="58" t="str">
        <f t="shared" si="46"/>
        <v/>
      </c>
      <c r="N338" s="32" t="str">
        <f t="shared" si="47"/>
        <v/>
      </c>
      <c r="O338" s="61" t="str">
        <f t="shared" si="48"/>
        <v/>
      </c>
      <c r="P338" s="61" t="str">
        <f t="shared" si="49"/>
        <v/>
      </c>
    </row>
    <row r="339" spans="2:16" x14ac:dyDescent="0.25">
      <c r="B339" s="14">
        <f t="shared" si="50"/>
        <v>53601</v>
      </c>
      <c r="C339" s="210"/>
      <c r="D339" s="210"/>
      <c r="E339" s="211"/>
      <c r="F339" s="211"/>
      <c r="G339" s="211"/>
      <c r="H339" s="58"/>
      <c r="I339" s="58" t="str">
        <f t="shared" si="51"/>
        <v/>
      </c>
      <c r="J339" s="58" t="str">
        <f t="shared" si="52"/>
        <v/>
      </c>
      <c r="K339" s="58" t="str">
        <f t="shared" si="53"/>
        <v/>
      </c>
      <c r="L339" s="58" t="str">
        <f t="shared" si="54"/>
        <v/>
      </c>
      <c r="M339" s="58" t="str">
        <f t="shared" si="46"/>
        <v/>
      </c>
      <c r="N339" s="32" t="str">
        <f t="shared" si="47"/>
        <v/>
      </c>
      <c r="O339" s="61" t="str">
        <f t="shared" si="48"/>
        <v/>
      </c>
      <c r="P339" s="61" t="str">
        <f t="shared" si="49"/>
        <v/>
      </c>
    </row>
    <row r="340" spans="2:16" x14ac:dyDescent="0.25">
      <c r="B340" s="14">
        <f t="shared" si="50"/>
        <v>53632</v>
      </c>
      <c r="C340" s="210"/>
      <c r="D340" s="210"/>
      <c r="E340" s="211"/>
      <c r="F340" s="211"/>
      <c r="G340" s="211"/>
      <c r="H340" s="58"/>
      <c r="I340" s="58" t="str">
        <f t="shared" si="51"/>
        <v/>
      </c>
      <c r="J340" s="58" t="str">
        <f t="shared" si="52"/>
        <v/>
      </c>
      <c r="K340" s="58" t="str">
        <f t="shared" si="53"/>
        <v/>
      </c>
      <c r="L340" s="58" t="str">
        <f t="shared" si="54"/>
        <v/>
      </c>
      <c r="M340" s="58" t="str">
        <f t="shared" si="46"/>
        <v/>
      </c>
      <c r="N340" s="32" t="str">
        <f t="shared" si="47"/>
        <v/>
      </c>
      <c r="O340" s="61" t="str">
        <f t="shared" si="48"/>
        <v/>
      </c>
      <c r="P340" s="61" t="str">
        <f t="shared" si="49"/>
        <v/>
      </c>
    </row>
    <row r="341" spans="2:16" x14ac:dyDescent="0.25">
      <c r="B341" s="20">
        <f t="shared" si="50"/>
        <v>53662</v>
      </c>
      <c r="C341" s="212"/>
      <c r="D341" s="212"/>
      <c r="E341" s="213"/>
      <c r="F341" s="213"/>
      <c r="G341" s="213"/>
      <c r="H341" s="58"/>
      <c r="I341" s="59" t="str">
        <f t="shared" si="51"/>
        <v/>
      </c>
      <c r="J341" s="59" t="str">
        <f t="shared" si="52"/>
        <v/>
      </c>
      <c r="K341" s="59" t="str">
        <f t="shared" si="53"/>
        <v/>
      </c>
      <c r="L341" s="59" t="str">
        <f t="shared" si="54"/>
        <v/>
      </c>
      <c r="M341" s="59" t="str">
        <f t="shared" si="46"/>
        <v/>
      </c>
      <c r="N341" s="60" t="str">
        <f t="shared" si="47"/>
        <v/>
      </c>
      <c r="O341" s="62" t="str">
        <f t="shared" si="48"/>
        <v/>
      </c>
      <c r="P341" s="62" t="str">
        <f t="shared" si="49"/>
        <v/>
      </c>
    </row>
    <row r="342" spans="2:16" x14ac:dyDescent="0.25">
      <c r="B342" s="14">
        <f t="shared" si="50"/>
        <v>53693</v>
      </c>
      <c r="C342" s="210"/>
      <c r="D342" s="210"/>
      <c r="E342" s="211"/>
      <c r="F342" s="211"/>
      <c r="G342" s="211"/>
      <c r="H342" s="58"/>
      <c r="I342" s="58" t="str">
        <f t="shared" si="51"/>
        <v/>
      </c>
      <c r="J342" s="58" t="str">
        <f t="shared" si="52"/>
        <v/>
      </c>
      <c r="K342" s="58" t="str">
        <f t="shared" si="53"/>
        <v/>
      </c>
      <c r="L342" s="58" t="str">
        <f t="shared" si="54"/>
        <v/>
      </c>
      <c r="M342" s="58" t="str">
        <f t="shared" si="46"/>
        <v/>
      </c>
      <c r="N342" s="32" t="str">
        <f t="shared" si="47"/>
        <v/>
      </c>
      <c r="O342" s="61" t="str">
        <f t="shared" si="48"/>
        <v/>
      </c>
      <c r="P342" s="61" t="str">
        <f t="shared" si="49"/>
        <v/>
      </c>
    </row>
    <row r="343" spans="2:16" x14ac:dyDescent="0.25">
      <c r="B343" s="14">
        <f t="shared" si="50"/>
        <v>53724</v>
      </c>
      <c r="C343" s="210"/>
      <c r="D343" s="210"/>
      <c r="E343" s="211"/>
      <c r="F343" s="211"/>
      <c r="G343" s="211"/>
      <c r="H343" s="58"/>
      <c r="I343" s="58" t="str">
        <f t="shared" si="51"/>
        <v/>
      </c>
      <c r="J343" s="58" t="str">
        <f t="shared" si="52"/>
        <v/>
      </c>
      <c r="K343" s="58" t="str">
        <f t="shared" si="53"/>
        <v/>
      </c>
      <c r="L343" s="58" t="str">
        <f t="shared" si="54"/>
        <v/>
      </c>
      <c r="M343" s="58" t="str">
        <f t="shared" si="46"/>
        <v/>
      </c>
      <c r="N343" s="32" t="str">
        <f t="shared" si="47"/>
        <v/>
      </c>
      <c r="O343" s="61" t="str">
        <f t="shared" si="48"/>
        <v/>
      </c>
      <c r="P343" s="61" t="str">
        <f t="shared" si="49"/>
        <v/>
      </c>
    </row>
    <row r="344" spans="2:16" x14ac:dyDescent="0.25">
      <c r="B344" s="14">
        <f t="shared" si="50"/>
        <v>53752</v>
      </c>
      <c r="C344" s="210"/>
      <c r="D344" s="210"/>
      <c r="E344" s="211"/>
      <c r="F344" s="211"/>
      <c r="G344" s="211"/>
      <c r="H344" s="58"/>
      <c r="I344" s="58" t="str">
        <f t="shared" si="51"/>
        <v/>
      </c>
      <c r="J344" s="58" t="str">
        <f t="shared" si="52"/>
        <v/>
      </c>
      <c r="K344" s="58" t="str">
        <f t="shared" si="53"/>
        <v/>
      </c>
      <c r="L344" s="58" t="str">
        <f t="shared" si="54"/>
        <v/>
      </c>
      <c r="M344" s="58" t="str">
        <f t="shared" si="46"/>
        <v/>
      </c>
      <c r="N344" s="32" t="str">
        <f t="shared" si="47"/>
        <v/>
      </c>
      <c r="O344" s="61" t="str">
        <f t="shared" si="48"/>
        <v/>
      </c>
      <c r="P344" s="61" t="str">
        <f t="shared" si="49"/>
        <v/>
      </c>
    </row>
    <row r="345" spans="2:16" x14ac:dyDescent="0.25">
      <c r="B345" s="14">
        <f t="shared" si="50"/>
        <v>53783</v>
      </c>
      <c r="C345" s="210"/>
      <c r="D345" s="210"/>
      <c r="E345" s="211"/>
      <c r="F345" s="211"/>
      <c r="G345" s="211"/>
      <c r="H345" s="58"/>
      <c r="I345" s="58" t="str">
        <f t="shared" si="51"/>
        <v/>
      </c>
      <c r="J345" s="58" t="str">
        <f t="shared" si="52"/>
        <v/>
      </c>
      <c r="K345" s="58" t="str">
        <f t="shared" si="53"/>
        <v/>
      </c>
      <c r="L345" s="58" t="str">
        <f t="shared" si="54"/>
        <v/>
      </c>
      <c r="M345" s="58" t="str">
        <f t="shared" si="46"/>
        <v/>
      </c>
      <c r="N345" s="32" t="str">
        <f t="shared" si="47"/>
        <v/>
      </c>
      <c r="O345" s="61" t="str">
        <f t="shared" si="48"/>
        <v/>
      </c>
      <c r="P345" s="61" t="str">
        <f t="shared" si="49"/>
        <v/>
      </c>
    </row>
    <row r="346" spans="2:16" x14ac:dyDescent="0.25">
      <c r="B346" s="14">
        <f t="shared" si="50"/>
        <v>53813</v>
      </c>
      <c r="C346" s="210"/>
      <c r="D346" s="210"/>
      <c r="E346" s="211"/>
      <c r="F346" s="211"/>
      <c r="G346" s="211"/>
      <c r="H346" s="58"/>
      <c r="I346" s="58" t="str">
        <f t="shared" si="51"/>
        <v/>
      </c>
      <c r="J346" s="58" t="str">
        <f t="shared" si="52"/>
        <v/>
      </c>
      <c r="K346" s="58" t="str">
        <f t="shared" si="53"/>
        <v/>
      </c>
      <c r="L346" s="58" t="str">
        <f t="shared" si="54"/>
        <v/>
      </c>
      <c r="M346" s="58" t="str">
        <f t="shared" si="46"/>
        <v/>
      </c>
      <c r="N346" s="32" t="str">
        <f t="shared" si="47"/>
        <v/>
      </c>
      <c r="O346" s="61" t="str">
        <f t="shared" si="48"/>
        <v/>
      </c>
      <c r="P346" s="61" t="str">
        <f t="shared" si="49"/>
        <v/>
      </c>
    </row>
    <row r="347" spans="2:16" x14ac:dyDescent="0.25">
      <c r="B347" s="14">
        <f t="shared" si="50"/>
        <v>53844</v>
      </c>
      <c r="C347" s="210"/>
      <c r="D347" s="210"/>
      <c r="E347" s="211"/>
      <c r="F347" s="211"/>
      <c r="G347" s="211"/>
      <c r="H347" s="58"/>
      <c r="I347" s="58" t="str">
        <f t="shared" si="51"/>
        <v/>
      </c>
      <c r="J347" s="58" t="str">
        <f t="shared" si="52"/>
        <v/>
      </c>
      <c r="K347" s="58" t="str">
        <f t="shared" si="53"/>
        <v/>
      </c>
      <c r="L347" s="58" t="str">
        <f t="shared" si="54"/>
        <v/>
      </c>
      <c r="M347" s="58" t="str">
        <f t="shared" si="46"/>
        <v/>
      </c>
      <c r="N347" s="32" t="str">
        <f t="shared" si="47"/>
        <v/>
      </c>
      <c r="O347" s="61" t="str">
        <f t="shared" si="48"/>
        <v/>
      </c>
      <c r="P347" s="61" t="str">
        <f t="shared" si="49"/>
        <v/>
      </c>
    </row>
    <row r="348" spans="2:16" x14ac:dyDescent="0.25">
      <c r="B348" s="14">
        <f t="shared" si="50"/>
        <v>53874</v>
      </c>
      <c r="C348" s="210"/>
      <c r="D348" s="210"/>
      <c r="E348" s="211"/>
      <c r="F348" s="211"/>
      <c r="G348" s="211"/>
      <c r="H348" s="58"/>
      <c r="I348" s="58" t="str">
        <f t="shared" si="51"/>
        <v/>
      </c>
      <c r="J348" s="58" t="str">
        <f t="shared" si="52"/>
        <v/>
      </c>
      <c r="K348" s="58" t="str">
        <f t="shared" si="53"/>
        <v/>
      </c>
      <c r="L348" s="58" t="str">
        <f t="shared" si="54"/>
        <v/>
      </c>
      <c r="M348" s="58" t="str">
        <f t="shared" si="46"/>
        <v/>
      </c>
      <c r="N348" s="32" t="str">
        <f t="shared" si="47"/>
        <v/>
      </c>
      <c r="O348" s="61" t="str">
        <f t="shared" si="48"/>
        <v/>
      </c>
      <c r="P348" s="61" t="str">
        <f t="shared" si="49"/>
        <v/>
      </c>
    </row>
    <row r="349" spans="2:16" x14ac:dyDescent="0.25">
      <c r="B349" s="14">
        <f t="shared" si="50"/>
        <v>53905</v>
      </c>
      <c r="C349" s="210"/>
      <c r="D349" s="210"/>
      <c r="E349" s="211"/>
      <c r="F349" s="211"/>
      <c r="G349" s="211"/>
      <c r="H349" s="58"/>
      <c r="I349" s="58" t="str">
        <f t="shared" si="51"/>
        <v/>
      </c>
      <c r="J349" s="58" t="str">
        <f t="shared" si="52"/>
        <v/>
      </c>
      <c r="K349" s="58" t="str">
        <f t="shared" si="53"/>
        <v/>
      </c>
      <c r="L349" s="58" t="str">
        <f t="shared" si="54"/>
        <v/>
      </c>
      <c r="M349" s="58" t="str">
        <f t="shared" si="46"/>
        <v/>
      </c>
      <c r="N349" s="32" t="str">
        <f t="shared" si="47"/>
        <v/>
      </c>
      <c r="O349" s="61" t="str">
        <f t="shared" si="48"/>
        <v/>
      </c>
      <c r="P349" s="61" t="str">
        <f t="shared" si="49"/>
        <v/>
      </c>
    </row>
    <row r="350" spans="2:16" x14ac:dyDescent="0.25">
      <c r="B350" s="14">
        <f t="shared" si="50"/>
        <v>53936</v>
      </c>
      <c r="C350" s="210"/>
      <c r="D350" s="210"/>
      <c r="E350" s="211"/>
      <c r="F350" s="211"/>
      <c r="G350" s="211"/>
      <c r="H350" s="58"/>
      <c r="I350" s="58" t="str">
        <f t="shared" si="51"/>
        <v/>
      </c>
      <c r="J350" s="58" t="str">
        <f t="shared" si="52"/>
        <v/>
      </c>
      <c r="K350" s="58" t="str">
        <f t="shared" si="53"/>
        <v/>
      </c>
      <c r="L350" s="58" t="str">
        <f t="shared" si="54"/>
        <v/>
      </c>
      <c r="M350" s="58" t="str">
        <f t="shared" si="46"/>
        <v/>
      </c>
      <c r="N350" s="32" t="str">
        <f t="shared" si="47"/>
        <v/>
      </c>
      <c r="O350" s="61" t="str">
        <f t="shared" si="48"/>
        <v/>
      </c>
      <c r="P350" s="61" t="str">
        <f t="shared" si="49"/>
        <v/>
      </c>
    </row>
    <row r="351" spans="2:16" x14ac:dyDescent="0.25">
      <c r="B351" s="14">
        <f t="shared" si="50"/>
        <v>53966</v>
      </c>
      <c r="C351" s="210"/>
      <c r="D351" s="210"/>
      <c r="E351" s="211"/>
      <c r="F351" s="211"/>
      <c r="G351" s="211"/>
      <c r="H351" s="58"/>
      <c r="I351" s="58" t="str">
        <f t="shared" si="51"/>
        <v/>
      </c>
      <c r="J351" s="58" t="str">
        <f t="shared" si="52"/>
        <v/>
      </c>
      <c r="K351" s="58" t="str">
        <f t="shared" si="53"/>
        <v/>
      </c>
      <c r="L351" s="58" t="str">
        <f t="shared" si="54"/>
        <v/>
      </c>
      <c r="M351" s="58" t="str">
        <f t="shared" si="46"/>
        <v/>
      </c>
      <c r="N351" s="32" t="str">
        <f t="shared" si="47"/>
        <v/>
      </c>
      <c r="O351" s="61" t="str">
        <f t="shared" si="48"/>
        <v/>
      </c>
      <c r="P351" s="61" t="str">
        <f t="shared" si="49"/>
        <v/>
      </c>
    </row>
    <row r="352" spans="2:16" x14ac:dyDescent="0.25">
      <c r="B352" s="14">
        <f t="shared" si="50"/>
        <v>53997</v>
      </c>
      <c r="C352" s="210"/>
      <c r="D352" s="210"/>
      <c r="E352" s="211"/>
      <c r="F352" s="211"/>
      <c r="G352" s="211"/>
      <c r="H352" s="58"/>
      <c r="I352" s="58" t="str">
        <f t="shared" si="51"/>
        <v/>
      </c>
      <c r="J352" s="58" t="str">
        <f t="shared" si="52"/>
        <v/>
      </c>
      <c r="K352" s="58" t="str">
        <f t="shared" si="53"/>
        <v/>
      </c>
      <c r="L352" s="58" t="str">
        <f t="shared" si="54"/>
        <v/>
      </c>
      <c r="M352" s="58" t="str">
        <f t="shared" si="46"/>
        <v/>
      </c>
      <c r="N352" s="32" t="str">
        <f t="shared" si="47"/>
        <v/>
      </c>
      <c r="O352" s="61" t="str">
        <f t="shared" si="48"/>
        <v/>
      </c>
      <c r="P352" s="61" t="str">
        <f t="shared" si="49"/>
        <v/>
      </c>
    </row>
    <row r="353" spans="1:16" x14ac:dyDescent="0.25">
      <c r="B353" s="20">
        <f t="shared" si="50"/>
        <v>54027</v>
      </c>
      <c r="C353" s="212"/>
      <c r="D353" s="212"/>
      <c r="E353" s="213"/>
      <c r="F353" s="213"/>
      <c r="G353" s="213"/>
      <c r="H353" s="58"/>
      <c r="I353" s="59" t="str">
        <f t="shared" si="51"/>
        <v/>
      </c>
      <c r="J353" s="59" t="str">
        <f t="shared" si="52"/>
        <v/>
      </c>
      <c r="K353" s="59" t="str">
        <f t="shared" si="53"/>
        <v/>
      </c>
      <c r="L353" s="59" t="str">
        <f t="shared" si="54"/>
        <v/>
      </c>
      <c r="M353" s="59" t="str">
        <f t="shared" si="46"/>
        <v/>
      </c>
      <c r="N353" s="60" t="str">
        <f t="shared" si="47"/>
        <v/>
      </c>
      <c r="O353" s="62" t="str">
        <f t="shared" si="48"/>
        <v/>
      </c>
      <c r="P353" s="62" t="str">
        <f t="shared" si="49"/>
        <v/>
      </c>
    </row>
    <row r="354" spans="1:16" x14ac:dyDescent="0.25">
      <c r="B354" s="14">
        <f t="shared" si="50"/>
        <v>54058</v>
      </c>
      <c r="C354" s="210"/>
      <c r="D354" s="210"/>
      <c r="E354" s="211"/>
      <c r="F354" s="211"/>
      <c r="G354" s="211"/>
      <c r="H354" s="58"/>
      <c r="I354" s="58" t="str">
        <f t="shared" si="51"/>
        <v/>
      </c>
      <c r="J354" s="58" t="str">
        <f t="shared" si="52"/>
        <v/>
      </c>
      <c r="K354" s="58" t="str">
        <f t="shared" si="53"/>
        <v/>
      </c>
      <c r="L354" s="58" t="str">
        <f t="shared" si="54"/>
        <v/>
      </c>
      <c r="M354" s="58" t="str">
        <f t="shared" si="46"/>
        <v/>
      </c>
      <c r="N354" s="32" t="str">
        <f t="shared" si="47"/>
        <v/>
      </c>
      <c r="O354" s="61" t="str">
        <f t="shared" si="48"/>
        <v/>
      </c>
      <c r="P354" s="61" t="str">
        <f t="shared" si="49"/>
        <v/>
      </c>
    </row>
    <row r="355" spans="1:16" x14ac:dyDescent="0.25">
      <c r="B355" s="14">
        <f t="shared" si="50"/>
        <v>54089</v>
      </c>
      <c r="C355" s="210"/>
      <c r="D355" s="210"/>
      <c r="E355" s="211"/>
      <c r="F355" s="211"/>
      <c r="G355" s="211"/>
      <c r="H355" s="58"/>
      <c r="I355" s="58" t="str">
        <f t="shared" si="51"/>
        <v/>
      </c>
      <c r="J355" s="58" t="str">
        <f t="shared" si="52"/>
        <v/>
      </c>
      <c r="K355" s="58" t="str">
        <f t="shared" si="53"/>
        <v/>
      </c>
      <c r="L355" s="58" t="str">
        <f t="shared" si="54"/>
        <v/>
      </c>
      <c r="M355" s="58" t="str">
        <f t="shared" si="46"/>
        <v/>
      </c>
      <c r="N355" s="32" t="str">
        <f t="shared" si="47"/>
        <v/>
      </c>
      <c r="O355" s="61" t="str">
        <f t="shared" si="48"/>
        <v/>
      </c>
      <c r="P355" s="61" t="str">
        <f t="shared" si="49"/>
        <v/>
      </c>
    </row>
    <row r="356" spans="1:16" x14ac:dyDescent="0.25">
      <c r="B356" s="14">
        <f t="shared" si="50"/>
        <v>54118</v>
      </c>
      <c r="C356" s="210"/>
      <c r="D356" s="210"/>
      <c r="E356" s="211"/>
      <c r="F356" s="211"/>
      <c r="G356" s="211"/>
      <c r="H356" s="58"/>
      <c r="I356" s="58" t="str">
        <f t="shared" si="51"/>
        <v/>
      </c>
      <c r="J356" s="58" t="str">
        <f t="shared" si="52"/>
        <v/>
      </c>
      <c r="K356" s="58" t="str">
        <f t="shared" si="53"/>
        <v/>
      </c>
      <c r="L356" s="58" t="str">
        <f t="shared" si="54"/>
        <v/>
      </c>
      <c r="M356" s="58" t="str">
        <f t="shared" si="46"/>
        <v/>
      </c>
      <c r="N356" s="32" t="str">
        <f t="shared" si="47"/>
        <v/>
      </c>
      <c r="O356" s="61" t="str">
        <f t="shared" si="48"/>
        <v/>
      </c>
      <c r="P356" s="61" t="str">
        <f t="shared" si="49"/>
        <v/>
      </c>
    </row>
    <row r="357" spans="1:16" x14ac:dyDescent="0.25">
      <c r="B357" s="14">
        <f t="shared" si="50"/>
        <v>54149</v>
      </c>
      <c r="C357" s="210"/>
      <c r="D357" s="210"/>
      <c r="E357" s="211"/>
      <c r="F357" s="211"/>
      <c r="G357" s="211"/>
      <c r="H357" s="58"/>
      <c r="I357" s="58" t="str">
        <f t="shared" si="51"/>
        <v/>
      </c>
      <c r="J357" s="58" t="str">
        <f t="shared" si="52"/>
        <v/>
      </c>
      <c r="K357" s="58" t="str">
        <f t="shared" si="53"/>
        <v/>
      </c>
      <c r="L357" s="58" t="str">
        <f t="shared" si="54"/>
        <v/>
      </c>
      <c r="M357" s="58" t="str">
        <f t="shared" si="46"/>
        <v/>
      </c>
      <c r="N357" s="32" t="str">
        <f t="shared" si="47"/>
        <v/>
      </c>
      <c r="O357" s="61" t="str">
        <f t="shared" si="48"/>
        <v/>
      </c>
      <c r="P357" s="61" t="str">
        <f t="shared" si="49"/>
        <v/>
      </c>
    </row>
    <row r="358" spans="1:16" x14ac:dyDescent="0.25">
      <c r="B358" s="14">
        <f t="shared" si="50"/>
        <v>54179</v>
      </c>
      <c r="C358" s="210"/>
      <c r="D358" s="210"/>
      <c r="E358" s="211"/>
      <c r="F358" s="211"/>
      <c r="G358" s="211"/>
      <c r="H358" s="58"/>
      <c r="I358" s="58" t="str">
        <f t="shared" si="51"/>
        <v/>
      </c>
      <c r="J358" s="58" t="str">
        <f t="shared" si="52"/>
        <v/>
      </c>
      <c r="K358" s="58" t="str">
        <f t="shared" si="53"/>
        <v/>
      </c>
      <c r="L358" s="58" t="str">
        <f t="shared" si="54"/>
        <v/>
      </c>
      <c r="M358" s="58" t="str">
        <f t="shared" si="46"/>
        <v/>
      </c>
      <c r="N358" s="32" t="str">
        <f t="shared" si="47"/>
        <v/>
      </c>
      <c r="O358" s="61" t="str">
        <f t="shared" si="48"/>
        <v/>
      </c>
      <c r="P358" s="61" t="str">
        <f t="shared" si="49"/>
        <v/>
      </c>
    </row>
    <row r="359" spans="1:16" x14ac:dyDescent="0.25">
      <c r="B359" s="14">
        <f t="shared" si="50"/>
        <v>54210</v>
      </c>
      <c r="C359" s="210"/>
      <c r="D359" s="210"/>
      <c r="E359" s="211"/>
      <c r="F359" s="211"/>
      <c r="G359" s="211"/>
      <c r="H359" s="58"/>
      <c r="I359" s="58" t="str">
        <f t="shared" si="51"/>
        <v/>
      </c>
      <c r="J359" s="58" t="str">
        <f t="shared" si="52"/>
        <v/>
      </c>
      <c r="K359" s="58" t="str">
        <f t="shared" si="53"/>
        <v/>
      </c>
      <c r="L359" s="58" t="str">
        <f t="shared" si="54"/>
        <v/>
      </c>
      <c r="M359" s="58" t="str">
        <f t="shared" si="46"/>
        <v/>
      </c>
      <c r="N359" s="32" t="str">
        <f t="shared" si="47"/>
        <v/>
      </c>
      <c r="O359" s="61" t="str">
        <f t="shared" si="48"/>
        <v/>
      </c>
      <c r="P359" s="61" t="str">
        <f t="shared" si="49"/>
        <v/>
      </c>
    </row>
    <row r="360" spans="1:16" x14ac:dyDescent="0.25">
      <c r="B360" s="14">
        <f t="shared" si="50"/>
        <v>54240</v>
      </c>
      <c r="C360" s="210"/>
      <c r="D360" s="210"/>
      <c r="E360" s="211"/>
      <c r="F360" s="211"/>
      <c r="G360" s="211"/>
      <c r="H360" s="58"/>
      <c r="I360" s="58" t="str">
        <f t="shared" si="51"/>
        <v/>
      </c>
      <c r="J360" s="58" t="str">
        <f t="shared" si="52"/>
        <v/>
      </c>
      <c r="K360" s="58" t="str">
        <f t="shared" si="53"/>
        <v/>
      </c>
      <c r="L360" s="58" t="str">
        <f t="shared" si="54"/>
        <v/>
      </c>
      <c r="M360" s="58" t="str">
        <f t="shared" si="46"/>
        <v/>
      </c>
      <c r="N360" s="32" t="str">
        <f t="shared" si="47"/>
        <v/>
      </c>
      <c r="O360" s="61" t="str">
        <f t="shared" si="48"/>
        <v/>
      </c>
      <c r="P360" s="61" t="str">
        <f t="shared" si="49"/>
        <v/>
      </c>
    </row>
    <row r="361" spans="1:16" x14ac:dyDescent="0.25">
      <c r="B361" s="14">
        <f t="shared" si="50"/>
        <v>54271</v>
      </c>
      <c r="C361" s="210"/>
      <c r="D361" s="210"/>
      <c r="E361" s="211"/>
      <c r="F361" s="211"/>
      <c r="G361" s="211"/>
      <c r="H361" s="58"/>
      <c r="I361" s="58" t="str">
        <f t="shared" si="51"/>
        <v/>
      </c>
      <c r="J361" s="58" t="str">
        <f t="shared" si="52"/>
        <v/>
      </c>
      <c r="K361" s="58" t="str">
        <f t="shared" si="53"/>
        <v/>
      </c>
      <c r="L361" s="58" t="str">
        <f t="shared" si="54"/>
        <v/>
      </c>
      <c r="M361" s="58" t="str">
        <f t="shared" si="46"/>
        <v/>
      </c>
      <c r="N361" s="32" t="str">
        <f t="shared" si="47"/>
        <v/>
      </c>
      <c r="O361" s="61" t="str">
        <f t="shared" si="48"/>
        <v/>
      </c>
      <c r="P361" s="61" t="str">
        <f t="shared" si="49"/>
        <v/>
      </c>
    </row>
    <row r="362" spans="1:16" x14ac:dyDescent="0.25">
      <c r="B362" s="14">
        <f t="shared" si="50"/>
        <v>54302</v>
      </c>
      <c r="C362" s="210"/>
      <c r="D362" s="210"/>
      <c r="E362" s="211"/>
      <c r="F362" s="211"/>
      <c r="G362" s="211"/>
      <c r="H362" s="58"/>
      <c r="I362" s="58" t="str">
        <f t="shared" si="51"/>
        <v/>
      </c>
      <c r="J362" s="58" t="str">
        <f t="shared" si="52"/>
        <v/>
      </c>
      <c r="K362" s="58" t="str">
        <f t="shared" si="53"/>
        <v/>
      </c>
      <c r="L362" s="58" t="str">
        <f t="shared" si="54"/>
        <v/>
      </c>
      <c r="M362" s="58" t="str">
        <f t="shared" si="46"/>
        <v/>
      </c>
      <c r="N362" s="32" t="str">
        <f t="shared" si="47"/>
        <v/>
      </c>
      <c r="O362" s="61" t="str">
        <f t="shared" si="48"/>
        <v/>
      </c>
      <c r="P362" s="61" t="str">
        <f t="shared" si="49"/>
        <v/>
      </c>
    </row>
    <row r="363" spans="1:16" x14ac:dyDescent="0.25">
      <c r="B363" s="14">
        <f t="shared" si="50"/>
        <v>54332</v>
      </c>
      <c r="C363" s="210"/>
      <c r="D363" s="210"/>
      <c r="E363" s="211"/>
      <c r="F363" s="211"/>
      <c r="G363" s="211"/>
      <c r="H363" s="58"/>
      <c r="I363" s="58" t="str">
        <f t="shared" si="51"/>
        <v/>
      </c>
      <c r="J363" s="58" t="str">
        <f t="shared" si="52"/>
        <v/>
      </c>
      <c r="K363" s="58" t="str">
        <f t="shared" si="53"/>
        <v/>
      </c>
      <c r="L363" s="58" t="str">
        <f t="shared" si="54"/>
        <v/>
      </c>
      <c r="M363" s="58" t="str">
        <f t="shared" si="46"/>
        <v/>
      </c>
      <c r="N363" s="32" t="str">
        <f t="shared" si="47"/>
        <v/>
      </c>
      <c r="O363" s="61" t="str">
        <f t="shared" si="48"/>
        <v/>
      </c>
      <c r="P363" s="61" t="str">
        <f t="shared" si="49"/>
        <v/>
      </c>
    </row>
    <row r="364" spans="1:16" x14ac:dyDescent="0.25">
      <c r="B364" s="14">
        <f t="shared" si="50"/>
        <v>54363</v>
      </c>
      <c r="C364" s="210"/>
      <c r="D364" s="210"/>
      <c r="E364" s="211"/>
      <c r="F364" s="211"/>
      <c r="G364" s="211"/>
      <c r="H364" s="58"/>
      <c r="I364" s="58" t="str">
        <f t="shared" si="51"/>
        <v/>
      </c>
      <c r="J364" s="58" t="str">
        <f t="shared" si="52"/>
        <v/>
      </c>
      <c r="K364" s="58" t="str">
        <f t="shared" si="53"/>
        <v/>
      </c>
      <c r="L364" s="58" t="str">
        <f t="shared" si="54"/>
        <v/>
      </c>
      <c r="M364" s="58" t="str">
        <f t="shared" si="46"/>
        <v/>
      </c>
      <c r="N364" s="32" t="str">
        <f t="shared" si="47"/>
        <v/>
      </c>
      <c r="O364" s="61" t="str">
        <f t="shared" si="48"/>
        <v/>
      </c>
      <c r="P364" s="61" t="str">
        <f t="shared" si="49"/>
        <v/>
      </c>
    </row>
    <row r="365" spans="1:16" x14ac:dyDescent="0.25">
      <c r="B365" s="20">
        <f t="shared" si="50"/>
        <v>54393</v>
      </c>
      <c r="C365" s="212"/>
      <c r="D365" s="212"/>
      <c r="E365" s="213"/>
      <c r="F365" s="213"/>
      <c r="G365" s="213"/>
      <c r="H365" s="58"/>
      <c r="I365" s="59" t="str">
        <f t="shared" si="51"/>
        <v/>
      </c>
      <c r="J365" s="59" t="str">
        <f t="shared" si="52"/>
        <v/>
      </c>
      <c r="K365" s="59" t="str">
        <f t="shared" si="53"/>
        <v/>
      </c>
      <c r="L365" s="59" t="str">
        <f t="shared" si="54"/>
        <v/>
      </c>
      <c r="M365" s="59" t="str">
        <f t="shared" si="46"/>
        <v/>
      </c>
      <c r="N365" s="60" t="str">
        <f t="shared" si="47"/>
        <v/>
      </c>
      <c r="O365" s="62" t="str">
        <f t="shared" si="48"/>
        <v/>
      </c>
      <c r="P365" s="62" t="str">
        <f t="shared" si="49"/>
        <v/>
      </c>
    </row>
    <row r="366" spans="1:16" x14ac:dyDescent="0.25">
      <c r="A366" s="18" t="s">
        <v>18</v>
      </c>
      <c r="B366" s="14">
        <f t="shared" si="50"/>
        <v>54424</v>
      </c>
      <c r="C366" s="18" t="s">
        <v>18</v>
      </c>
      <c r="D366" s="18" t="s">
        <v>18</v>
      </c>
      <c r="E366" s="18" t="s">
        <v>18</v>
      </c>
      <c r="F366" s="18" t="s">
        <v>18</v>
      </c>
      <c r="G366" s="18" t="s">
        <v>18</v>
      </c>
      <c r="H366" s="18"/>
      <c r="I366" s="18" t="s">
        <v>18</v>
      </c>
      <c r="J366" s="18" t="s">
        <v>18</v>
      </c>
      <c r="K366" s="18" t="s">
        <v>18</v>
      </c>
      <c r="L366" s="18" t="s">
        <v>18</v>
      </c>
      <c r="M366" s="18" t="s">
        <v>18</v>
      </c>
      <c r="N366" s="18" t="s">
        <v>18</v>
      </c>
      <c r="O366" s="18" t="s">
        <v>18</v>
      </c>
      <c r="P366" s="18" t="s">
        <v>18</v>
      </c>
    </row>
  </sheetData>
  <customSheetViews>
    <customSheetView guid="{67117C0F-1B5D-4D89-8B0C-855EE265FFB6}" scale="70" showPageBreaks="1" showGridLines="0" fitToPage="1">
      <pane xSplit="2" ySplit="5" topLeftCell="C6" activePane="bottomRight" state="frozen"/>
      <selection pane="bottomRight" activeCell="C6" sqref="C6"/>
      <pageMargins left="0.7" right="0.7" top="0.75" bottom="0.75" header="0.3" footer="0.3"/>
      <printOptions horizontalCentered="1"/>
      <pageSetup scale="10" orientation="landscape" verticalDpi="0" r:id="rId1"/>
      <headerFooter>
        <oddFooter>&amp;L&amp;K01+047&amp;D,  &amp;T&amp;R&amp;K01+045 © AAPL 2018</oddFooter>
      </headerFooter>
    </customSheetView>
  </customSheetViews>
  <printOptions horizontalCentered="1"/>
  <pageMargins left="0.7" right="0.7" top="0.75" bottom="0.75" header="0.3" footer="0.3"/>
  <pageSetup scale="10" orientation="landscape" verticalDpi="0" r:id="rId2"/>
  <headerFooter>
    <oddFooter>&amp;L&amp;K01+047&amp;D,  &amp;T&amp;R&amp;K01+045 © AAPL 2018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0366C-D66D-46E8-9B6C-43D129D22F66}">
  <sheetPr>
    <tabColor theme="1" tint="0.499984740745262"/>
    <pageSetUpPr fitToPage="1"/>
  </sheetPr>
  <dimension ref="A1:AL535"/>
  <sheetViews>
    <sheetView showGridLines="0" zoomScale="70" zoomScaleNormal="70" workbookViewId="0">
      <selection activeCell="I8" sqref="I8"/>
    </sheetView>
  </sheetViews>
  <sheetFormatPr defaultColWidth="11.125" defaultRowHeight="15.75" x14ac:dyDescent="0.25"/>
  <cols>
    <col min="1" max="1" width="3" style="6" customWidth="1"/>
    <col min="2" max="2" width="7.625" style="6" customWidth="1"/>
    <col min="3" max="6" width="12.5" style="6" customWidth="1"/>
    <col min="7" max="7" width="7.625" style="6" customWidth="1"/>
    <col min="8" max="8" width="15.25" style="6" customWidth="1"/>
    <col min="9" max="13" width="11.25" style="6" customWidth="1"/>
    <col min="14" max="14" width="4.875" style="6" customWidth="1"/>
    <col min="15" max="15" width="15.75" style="2" customWidth="1"/>
    <col min="16" max="16" width="10.375" style="2" customWidth="1"/>
    <col min="17" max="19" width="11.25" style="6" customWidth="1"/>
    <col min="20" max="20" width="4.875" style="6" customWidth="1"/>
    <col min="21" max="21" width="11.25" style="2" customWidth="1"/>
    <col min="22" max="24" width="11.25" style="6" customWidth="1"/>
    <col min="25" max="25" width="7.125" style="54" customWidth="1"/>
    <col min="26" max="26" width="15.25" style="2" customWidth="1"/>
    <col min="27" max="36" width="11.25" style="6" customWidth="1"/>
    <col min="37" max="37" width="16.375" style="6" customWidth="1"/>
    <col min="38" max="38" width="11.25" style="6" customWidth="1"/>
    <col min="39" max="16384" width="11.125" style="6"/>
  </cols>
  <sheetData>
    <row r="1" spans="2:38" ht="23.25" x14ac:dyDescent="0.35">
      <c r="B1" s="1" t="s">
        <v>243</v>
      </c>
      <c r="H1" s="17"/>
      <c r="I1" s="17"/>
      <c r="J1" s="17"/>
      <c r="K1" s="17"/>
      <c r="L1" s="17"/>
      <c r="M1" s="17"/>
      <c r="O1" s="1" t="s">
        <v>52</v>
      </c>
      <c r="P1" s="1"/>
      <c r="V1" s="17"/>
      <c r="W1" s="17"/>
      <c r="X1" s="17"/>
      <c r="Y1" s="49"/>
    </row>
    <row r="2" spans="2:38" s="7" customFormat="1" ht="18.75" x14ac:dyDescent="0.3">
      <c r="G2" s="35"/>
      <c r="H2" s="35"/>
      <c r="I2" s="35"/>
      <c r="J2" s="35"/>
      <c r="K2" s="35"/>
      <c r="L2" s="35"/>
      <c r="M2" s="35"/>
      <c r="O2" s="5" t="s">
        <v>82</v>
      </c>
      <c r="P2" s="5"/>
      <c r="U2" s="2"/>
      <c r="V2" s="34"/>
      <c r="W2" s="35"/>
      <c r="X2" s="35"/>
      <c r="Y2" s="50"/>
      <c r="Z2" s="3"/>
    </row>
    <row r="3" spans="2:38" s="7" customFormat="1" x14ac:dyDescent="0.25">
      <c r="G3" s="23"/>
      <c r="H3" s="23"/>
      <c r="I3" s="23"/>
      <c r="J3" s="23"/>
      <c r="K3" s="23"/>
      <c r="L3" s="23"/>
      <c r="M3" s="23"/>
      <c r="U3" s="10"/>
      <c r="V3" s="31"/>
      <c r="W3" s="32"/>
      <c r="X3" s="23"/>
      <c r="Y3" s="51"/>
      <c r="Z3" s="3"/>
    </row>
    <row r="4" spans="2:38" s="7" customFormat="1" x14ac:dyDescent="0.25">
      <c r="C4" s="266" t="s">
        <v>247</v>
      </c>
      <c r="D4" s="127" t="s">
        <v>128</v>
      </c>
      <c r="E4" s="123"/>
      <c r="F4" s="126"/>
      <c r="G4" s="36"/>
      <c r="H4" s="30"/>
      <c r="I4" s="30"/>
      <c r="J4" s="30"/>
      <c r="K4" s="30"/>
      <c r="L4" s="30"/>
      <c r="M4" s="30"/>
      <c r="U4" s="10"/>
      <c r="V4" s="28"/>
      <c r="W4" s="29"/>
      <c r="X4" s="30"/>
      <c r="Y4" s="52"/>
      <c r="Z4" s="3"/>
    </row>
    <row r="5" spans="2:38" x14ac:dyDescent="0.25">
      <c r="C5" s="126" t="s">
        <v>245</v>
      </c>
      <c r="D5" s="326">
        <v>5000000</v>
      </c>
      <c r="E5" s="327" t="s">
        <v>246</v>
      </c>
      <c r="F5" s="327"/>
      <c r="H5" s="13" t="s">
        <v>80</v>
      </c>
      <c r="O5" s="13" t="s">
        <v>85</v>
      </c>
      <c r="P5" s="13"/>
      <c r="U5" s="13" t="s">
        <v>244</v>
      </c>
      <c r="Y5" s="52"/>
      <c r="Z5" s="13" t="s">
        <v>86</v>
      </c>
    </row>
    <row r="6" spans="2:38" ht="36.75" customHeight="1" thickBot="1" x14ac:dyDescent="0.3">
      <c r="B6" s="16"/>
      <c r="C6" s="267" t="s">
        <v>250</v>
      </c>
      <c r="D6" s="267" t="s">
        <v>7</v>
      </c>
      <c r="E6" s="267" t="s">
        <v>8</v>
      </c>
      <c r="F6" s="267" t="s">
        <v>13</v>
      </c>
      <c r="G6" s="125"/>
      <c r="H6" s="15" t="s">
        <v>15</v>
      </c>
      <c r="I6" s="22" t="s">
        <v>81</v>
      </c>
      <c r="J6" s="22" t="s">
        <v>63</v>
      </c>
      <c r="K6" s="15" t="s">
        <v>28</v>
      </c>
      <c r="L6" s="15" t="s">
        <v>20</v>
      </c>
      <c r="M6" s="15" t="s">
        <v>21</v>
      </c>
      <c r="N6" s="16"/>
      <c r="O6" s="63" t="s">
        <v>15</v>
      </c>
      <c r="P6" s="63" t="s">
        <v>53</v>
      </c>
      <c r="Q6" s="15" t="s">
        <v>28</v>
      </c>
      <c r="R6" s="15" t="s">
        <v>20</v>
      </c>
      <c r="S6" s="15" t="s">
        <v>21</v>
      </c>
      <c r="T6" s="16"/>
      <c r="U6" s="63" t="s">
        <v>53</v>
      </c>
      <c r="V6" s="15" t="s">
        <v>28</v>
      </c>
      <c r="W6" s="15" t="s">
        <v>20</v>
      </c>
      <c r="X6" s="15" t="s">
        <v>21</v>
      </c>
      <c r="Y6" s="52"/>
      <c r="Z6" s="15" t="s">
        <v>15</v>
      </c>
      <c r="AA6" s="15" t="s">
        <v>28</v>
      </c>
      <c r="AB6" s="15" t="s">
        <v>20</v>
      </c>
      <c r="AC6" s="15" t="s">
        <v>21</v>
      </c>
      <c r="AD6" s="15" t="s">
        <v>108</v>
      </c>
      <c r="AE6" s="15" t="s">
        <v>19</v>
      </c>
      <c r="AF6" s="15" t="s">
        <v>25</v>
      </c>
      <c r="AG6" s="15" t="s">
        <v>26</v>
      </c>
      <c r="AH6" s="15" t="s">
        <v>103</v>
      </c>
      <c r="AI6" s="15" t="s">
        <v>22</v>
      </c>
      <c r="AJ6" s="15" t="s">
        <v>23</v>
      </c>
      <c r="AK6" s="15" t="s">
        <v>24</v>
      </c>
      <c r="AL6" s="15" t="s">
        <v>104</v>
      </c>
    </row>
    <row r="7" spans="2:38" x14ac:dyDescent="0.25">
      <c r="B7" s="19"/>
      <c r="C7" s="124" t="s">
        <v>12</v>
      </c>
      <c r="D7" s="268">
        <v>100</v>
      </c>
      <c r="E7" s="259">
        <v>250</v>
      </c>
      <c r="F7" s="259">
        <v>50</v>
      </c>
      <c r="G7" s="19"/>
      <c r="H7" s="42">
        <f>as_of</f>
        <v>44197</v>
      </c>
      <c r="I7" s="264">
        <v>0</v>
      </c>
      <c r="J7" s="64">
        <f ca="1">OFFSET($I$7,ROW($I$366)-ROW(),0)</f>
        <v>0</v>
      </c>
      <c r="K7" s="19">
        <f ca="1">SUMPRODUCT(V7:V$7,OFFSET($J$366,ROW($I$7)-ROW(),0):$J$366)</f>
        <v>0</v>
      </c>
      <c r="L7" s="19">
        <f ca="1">SUMPRODUCT(W7:W$7,OFFSET($J$366,ROW($I$7)-ROW(),0):$J$366)</f>
        <v>0</v>
      </c>
      <c r="M7" s="19">
        <f ca="1">SUMPRODUCT(X7:X$7,OFFSET($J$366,ROW($I$7)-ROW(),0):$J$366)</f>
        <v>0</v>
      </c>
      <c r="N7" s="19"/>
      <c r="O7" s="42">
        <f>qi_start</f>
        <v>43466</v>
      </c>
      <c r="P7" s="24">
        <v>0</v>
      </c>
      <c r="Q7" s="19">
        <f t="shared" ref="Q7" si="0">IF(days&lt;tlim_oil,
qi_oil/(1+b_oil*(d_oil/365)*days)^(1/b_oil),
qlim_oil * EXP((-dmin_oil/365)* ( days-tlim_oil)))</f>
        <v>100</v>
      </c>
      <c r="R7" s="19">
        <f t="shared" ref="R7:R70" si="1">IF(days&lt;tlim_gas,
qi_gas/(1+b_gas*(d_gas/365)*days)^(1/b_gas),
qlim_gas * EXP((-dmin_gas/365)* ( days-tlim_gas)))</f>
        <v>250</v>
      </c>
      <c r="S7" s="19">
        <f t="shared" ref="S7:S70" si="2">IF(days&lt;tlim_water,
qi_water/(1+b_water*(d_water/365)*days)^(1/b_water),
qlim_water * EXP((-dmin_water/365)* ( days-tlim_water)))</f>
        <v>50</v>
      </c>
      <c r="T7" s="19"/>
      <c r="U7" s="24">
        <v>0</v>
      </c>
      <c r="V7" s="19">
        <f t="shared" ref="V7:V70" si="3">IF(days&lt;tlim_oil_new,
qi_oil_new/(1+b_oil_new*(d_oil_new/365)*days)^(1/b_oil_new),
qlim_oil_new * EXP((-dmin_oil_new/365)* ( days-tlim_oil_new)))</f>
        <v>100</v>
      </c>
      <c r="W7" s="19">
        <f t="shared" ref="W7:W70" si="4">IF(days&lt;tlim_gas_new,
qi_gas_new/(1+b_gas_new*(d_gas_new/365)*days)^(1/b_gas_new),
qlim_gas_new * EXP((-dmin_gas_new/365)* ( days-tlim_gas_new)))</f>
        <v>250</v>
      </c>
      <c r="X7" s="19">
        <f t="shared" ref="X7:X70" si="5">IF(days&lt;tlim_water_new,
qi_water_new/(1+b_water_new*(d_water_new/365)*days)^(1/b_water_new),
qlim_water_new * EXP((-dmin_water_new/365)* ( days-tlim_water_new)))</f>
        <v>50</v>
      </c>
      <c r="Y7" s="52"/>
      <c r="Z7" s="42">
        <f>H7</f>
        <v>44197</v>
      </c>
      <c r="AA7" s="19">
        <f t="shared" ref="AA7:AA70" ca="1" si="6">mult_vol * OFFSET(Q$6,MATCH($Z7,$O$7:$O$534,0),0)  +K7</f>
        <v>32.246815816070743</v>
      </c>
      <c r="AB7" s="19">
        <f t="shared" ref="AB7:AB70" ca="1" si="7">mult_vol * (  VLOOKUP($Z7-qi_start, daily_base, 3, TRUE)  +  L7  )</f>
        <v>134.21045705335172</v>
      </c>
      <c r="AC7" s="19">
        <f t="shared" ref="AC7:AC70" ca="1" si="8">mult_vol * (  VLOOKUP($Z7-qi_start, daily_base, 4, TRUE)  +  M7  )</f>
        <v>21.13926980300365</v>
      </c>
      <c r="AD7" s="19">
        <f t="shared" ref="AD7:AD70" ca="1" si="9">NGL_yield*(AB7/1000)</f>
        <v>20.131568558002758</v>
      </c>
      <c r="AE7" s="114">
        <f t="shared" ref="AE7:AE70" ca="1" si="10">AA7*($Z8-$Z7)</f>
        <v>999.65129029819309</v>
      </c>
      <c r="AF7" s="19">
        <f t="shared" ref="AF7:AF70" ca="1" si="11">AB7*($Z8-$Z7)</f>
        <v>4160.524168653903</v>
      </c>
      <c r="AG7" s="19">
        <f t="shared" ref="AG7:AG70" ca="1" si="12">AC7*($Z8-$Z7)</f>
        <v>655.31736389311311</v>
      </c>
      <c r="AH7" s="19">
        <f t="shared" ref="AH7:AH70" ca="1" si="13">AD7*($Z8-$Z7)</f>
        <v>624.07862529808551</v>
      </c>
      <c r="AI7" s="45">
        <f ca="1">AF7/AE7*1000</f>
        <v>4161.9754898859092</v>
      </c>
      <c r="AJ7" s="55">
        <f ca="1">AG7/(AG7+AE7)</f>
        <v>0.39596965310097149</v>
      </c>
      <c r="AK7" s="19">
        <f ca="1">AE7/(AF7/1000)</f>
        <v>240.2705163521789</v>
      </c>
      <c r="AL7" s="19">
        <f t="shared" ref="AL7:AL70" ca="1" si="14">AH7/(AF7/1000)</f>
        <v>150.00000000000003</v>
      </c>
    </row>
    <row r="8" spans="2:38" x14ac:dyDescent="0.25">
      <c r="B8" s="19"/>
      <c r="C8" s="122" t="s">
        <v>59</v>
      </c>
      <c r="D8" s="269">
        <v>0.15</v>
      </c>
      <c r="E8" s="260">
        <v>0.15</v>
      </c>
      <c r="F8" s="261">
        <v>0.15</v>
      </c>
      <c r="G8" s="19"/>
      <c r="H8" s="42">
        <f>EOMONTH(H7,0)+1</f>
        <v>44228</v>
      </c>
      <c r="I8" s="264">
        <v>0</v>
      </c>
      <c r="J8" s="64">
        <f t="shared" ref="J8:J71" ca="1" si="15">OFFSET($I$7,ROW($I$366)-ROW(),0)</f>
        <v>0</v>
      </c>
      <c r="K8" s="19">
        <f ca="1">SUMPRODUCT(V$7:V8,OFFSET($J$366,ROW($I$7)-ROW(),0):$J$366)</f>
        <v>0</v>
      </c>
      <c r="L8" s="19">
        <f ca="1">SUMPRODUCT(W$7:W8,OFFSET($J$366,ROW($I$7)-ROW(),0):$J$366)</f>
        <v>0</v>
      </c>
      <c r="M8" s="19">
        <f ca="1">SUMPRODUCT(X$7:X8,OFFSET($J$366,ROW($I$7)-ROW(),0):$J$366)</f>
        <v>0</v>
      </c>
      <c r="N8" s="19"/>
      <c r="O8" s="42">
        <f t="shared" ref="O8:O71" si="16">EOMONTH(O7,0)+1</f>
        <v>43497</v>
      </c>
      <c r="P8" s="24">
        <f t="shared" ref="P8:P71" si="17">O8-$O$7</f>
        <v>31</v>
      </c>
      <c r="Q8" s="19">
        <f>IF(days&lt;tlim_oil,
qi_oil/(1+b_oil*(d_oil)*(days/365.25))^(1/b_oil),
Q7 * EXP((-dmin_oil/365)* (O8-O7)))</f>
        <v>91.818768983399892</v>
      </c>
      <c r="R8" s="19">
        <f t="shared" si="1"/>
        <v>241.17608056545268</v>
      </c>
      <c r="S8" s="19">
        <f t="shared" si="2"/>
        <v>48.203870051608732</v>
      </c>
      <c r="T8" s="19"/>
      <c r="U8" s="24">
        <f>U7+30.43</f>
        <v>30.43</v>
      </c>
      <c r="V8" s="19">
        <f t="shared" si="3"/>
        <v>98.638495064710042</v>
      </c>
      <c r="W8" s="19">
        <f t="shared" si="4"/>
        <v>246.59623766177512</v>
      </c>
      <c r="X8" s="19">
        <f t="shared" si="5"/>
        <v>49.319247532355021</v>
      </c>
      <c r="Y8" s="52"/>
      <c r="Z8" s="42">
        <f t="shared" ref="Z8:Z71" si="18">H8</f>
        <v>44228</v>
      </c>
      <c r="AA8" s="19">
        <f t="shared" ca="1" si="6"/>
        <v>31.346160976653252</v>
      </c>
      <c r="AB8" s="19">
        <f t="shared" ca="1" si="7"/>
        <v>131.62514768850764</v>
      </c>
      <c r="AC8" s="19">
        <f t="shared" ca="1" si="8"/>
        <v>20.383094632745951</v>
      </c>
      <c r="AD8" s="19">
        <f t="shared" ca="1" si="9"/>
        <v>19.743772153276147</v>
      </c>
      <c r="AE8" s="115">
        <f t="shared" ca="1" si="10"/>
        <v>877.69250734629099</v>
      </c>
      <c r="AF8" s="19">
        <f t="shared" ca="1" si="11"/>
        <v>3685.5041352782137</v>
      </c>
      <c r="AG8" s="19">
        <f t="shared" ca="1" si="12"/>
        <v>570.72664971688664</v>
      </c>
      <c r="AH8" s="19">
        <f t="shared" ca="1" si="13"/>
        <v>552.82562029173209</v>
      </c>
      <c r="AI8" s="46">
        <f t="shared" ref="AI8:AI71" ca="1" si="19">AF8/AE8*1000</f>
        <v>4199.0835109454893</v>
      </c>
      <c r="AJ8" s="55">
        <f t="shared" ref="AJ8:AJ71" ca="1" si="20">AG8/(AG8+AE8)</f>
        <v>0.39403417645627875</v>
      </c>
      <c r="AK8" s="19">
        <f t="shared" ref="AK8:AK71" ca="1" si="21">AE8/(AF8/1000)</f>
        <v>238.14720459675598</v>
      </c>
      <c r="AL8" s="19">
        <f t="shared" ca="1" si="14"/>
        <v>150</v>
      </c>
    </row>
    <row r="9" spans="2:38" x14ac:dyDescent="0.25">
      <c r="B9" s="19"/>
      <c r="C9" s="122" t="s">
        <v>9</v>
      </c>
      <c r="D9" s="270">
        <v>1</v>
      </c>
      <c r="E9" s="262">
        <v>1</v>
      </c>
      <c r="F9" s="263">
        <v>1</v>
      </c>
      <c r="G9" s="19"/>
      <c r="H9" s="43">
        <f t="shared" ref="H9:H72" si="22">EOMONTH(H8,0)+1</f>
        <v>44256</v>
      </c>
      <c r="I9" s="264">
        <v>0</v>
      </c>
      <c r="J9" s="64">
        <f t="shared" ca="1" si="15"/>
        <v>0</v>
      </c>
      <c r="K9" s="19">
        <f ca="1">SUMPRODUCT(V$7:V9,OFFSET($J$366,ROW($I$7)-ROW(),0):$J$366)</f>
        <v>0</v>
      </c>
      <c r="L9" s="19">
        <f ca="1">SUMPRODUCT(W$7:W9,OFFSET($J$366,ROW($I$7)-ROW(),0):$J$366)</f>
        <v>0</v>
      </c>
      <c r="M9" s="19">
        <f ca="1">SUMPRODUCT(X$7:X9,OFFSET($J$366,ROW($I$7)-ROW(),0):$J$366)</f>
        <v>0</v>
      </c>
      <c r="N9" s="19"/>
      <c r="O9" s="43">
        <f t="shared" si="16"/>
        <v>43525</v>
      </c>
      <c r="P9" s="24">
        <f t="shared" si="17"/>
        <v>59</v>
      </c>
      <c r="Q9" s="19">
        <f t="shared" ref="Q9:Q71" si="23">IF(days&lt;tlim_oil,
qi_oil/(1+b_oil*(d_oil)*(days/365.25))^(1/b_oil),
qlim_oil * EXP((-dmin_oil/365)* ( days-tlim_oil)))</f>
        <v>85.500695927598173</v>
      </c>
      <c r="R9" s="19">
        <f t="shared" si="1"/>
        <v>233.72493728037074</v>
      </c>
      <c r="S9" s="19">
        <f t="shared" si="2"/>
        <v>46.637349977651233</v>
      </c>
      <c r="T9" s="19"/>
      <c r="U9" s="24">
        <f t="shared" ref="U9:U72" si="24">U8+30.43</f>
        <v>60.86</v>
      </c>
      <c r="V9" s="19">
        <f t="shared" si="3"/>
        <v>97.440227382975991</v>
      </c>
      <c r="W9" s="19">
        <f t="shared" si="4"/>
        <v>243.60056845743998</v>
      </c>
      <c r="X9" s="19">
        <f t="shared" si="5"/>
        <v>48.720113691487995</v>
      </c>
      <c r="Y9" s="52"/>
      <c r="Z9" s="42">
        <f t="shared" si="18"/>
        <v>44256</v>
      </c>
      <c r="AA9" s="19">
        <f t="shared" ca="1" si="6"/>
        <v>30.574845304532118</v>
      </c>
      <c r="AB9" s="19">
        <f t="shared" ca="1" si="7"/>
        <v>129.37417566621133</v>
      </c>
      <c r="AC9" s="19">
        <f t="shared" ca="1" si="8"/>
        <v>19.723486639582742</v>
      </c>
      <c r="AD9" s="19">
        <f t="shared" ca="1" si="9"/>
        <v>19.406126349931696</v>
      </c>
      <c r="AE9" s="115">
        <f t="shared" ca="1" si="10"/>
        <v>947.82020444049567</v>
      </c>
      <c r="AF9" s="19">
        <f t="shared" ca="1" si="11"/>
        <v>4010.5994456525514</v>
      </c>
      <c r="AG9" s="19">
        <f t="shared" ca="1" si="12"/>
        <v>611.42808582706505</v>
      </c>
      <c r="AH9" s="19">
        <f t="shared" ca="1" si="13"/>
        <v>601.58991684788259</v>
      </c>
      <c r="AI9" s="46">
        <f t="shared" ca="1" si="19"/>
        <v>4231.3926490098765</v>
      </c>
      <c r="AJ9" s="55">
        <f t="shared" ca="1" si="20"/>
        <v>0.39213003448100398</v>
      </c>
      <c r="AK9" s="19">
        <f t="shared" ca="1" si="21"/>
        <v>236.32881250904353</v>
      </c>
      <c r="AL9" s="19">
        <f t="shared" ca="1" si="14"/>
        <v>149.99999999999997</v>
      </c>
    </row>
    <row r="10" spans="2:38" x14ac:dyDescent="0.25">
      <c r="B10" s="19"/>
      <c r="C10" s="122" t="s">
        <v>10</v>
      </c>
      <c r="D10" s="271">
        <v>0.08</v>
      </c>
      <c r="E10" s="260">
        <v>0.06</v>
      </c>
      <c r="F10" s="261">
        <v>0.08</v>
      </c>
      <c r="G10" s="19"/>
      <c r="H10" s="43">
        <f t="shared" si="22"/>
        <v>44287</v>
      </c>
      <c r="I10" s="264">
        <v>0</v>
      </c>
      <c r="J10" s="64">
        <f t="shared" ca="1" si="15"/>
        <v>0</v>
      </c>
      <c r="K10" s="19">
        <f ca="1">SUMPRODUCT(V$7:V10,OFFSET($J$366,ROW($I$7)-ROW(),0):$J$366)</f>
        <v>0</v>
      </c>
      <c r="L10" s="19">
        <f ca="1">SUMPRODUCT(W$7:W10,OFFSET($J$366,ROW($I$7)-ROW(),0):$J$366)</f>
        <v>0</v>
      </c>
      <c r="M10" s="19">
        <f ca="1">SUMPRODUCT(X$7:X10,OFFSET($J$366,ROW($I$7)-ROW(),0):$J$366)</f>
        <v>0</v>
      </c>
      <c r="N10" s="19"/>
      <c r="O10" s="43">
        <f t="shared" si="16"/>
        <v>43556</v>
      </c>
      <c r="P10" s="24">
        <f t="shared" si="17"/>
        <v>90</v>
      </c>
      <c r="Q10" s="19">
        <f t="shared" si="23"/>
        <v>79.448117169397179</v>
      </c>
      <c r="R10" s="19">
        <f t="shared" si="1"/>
        <v>225.99473831417077</v>
      </c>
      <c r="S10" s="19">
        <f t="shared" si="2"/>
        <v>44.96258760127477</v>
      </c>
      <c r="T10" s="19"/>
      <c r="U10" s="24">
        <f t="shared" si="24"/>
        <v>91.289999999999992</v>
      </c>
      <c r="V10" s="19">
        <f t="shared" si="3"/>
        <v>96.147082511850897</v>
      </c>
      <c r="W10" s="19">
        <f t="shared" si="4"/>
        <v>240.36770627962724</v>
      </c>
      <c r="X10" s="19">
        <f t="shared" si="5"/>
        <v>48.073541255925448</v>
      </c>
      <c r="Y10" s="52"/>
      <c r="Z10" s="42">
        <f t="shared" si="18"/>
        <v>44287</v>
      </c>
      <c r="AA10" s="19">
        <f t="shared" ca="1" si="6"/>
        <v>29.763991369584929</v>
      </c>
      <c r="AB10" s="19">
        <f t="shared" ca="1" si="7"/>
        <v>126.97016401207293</v>
      </c>
      <c r="AC10" s="19">
        <f t="shared" ca="1" si="8"/>
        <v>19.018195662544148</v>
      </c>
      <c r="AD10" s="19">
        <f t="shared" ca="1" si="9"/>
        <v>19.045524601810939</v>
      </c>
      <c r="AE10" s="115">
        <f t="shared" ca="1" si="10"/>
        <v>892.91974108754789</v>
      </c>
      <c r="AF10" s="19">
        <f t="shared" ca="1" si="11"/>
        <v>3809.1049203621878</v>
      </c>
      <c r="AG10" s="19">
        <f t="shared" ca="1" si="12"/>
        <v>570.54586987632445</v>
      </c>
      <c r="AH10" s="19">
        <f t="shared" ca="1" si="13"/>
        <v>571.36573805432818</v>
      </c>
      <c r="AI10" s="46">
        <f t="shared" ca="1" si="19"/>
        <v>4265.8984285898068</v>
      </c>
      <c r="AJ10" s="55">
        <f t="shared" ca="1" si="20"/>
        <v>0.38985943065689788</v>
      </c>
      <c r="AK10" s="19">
        <f t="shared" ca="1" si="21"/>
        <v>234.41720817777968</v>
      </c>
      <c r="AL10" s="19">
        <f t="shared" ca="1" si="14"/>
        <v>150</v>
      </c>
    </row>
    <row r="11" spans="2:38" x14ac:dyDescent="0.25">
      <c r="B11" s="19"/>
      <c r="C11" s="19"/>
      <c r="D11" s="19"/>
      <c r="E11" s="19"/>
      <c r="F11" s="19"/>
      <c r="G11" s="19"/>
      <c r="H11" s="43">
        <f t="shared" si="22"/>
        <v>44317</v>
      </c>
      <c r="I11" s="264">
        <v>0</v>
      </c>
      <c r="J11" s="64">
        <f t="shared" ca="1" si="15"/>
        <v>0</v>
      </c>
      <c r="K11" s="19">
        <f ca="1">SUMPRODUCT(V$7:V11,OFFSET($J$366,ROW($I$7)-ROW(),0):$J$366)</f>
        <v>0</v>
      </c>
      <c r="L11" s="19">
        <f ca="1">SUMPRODUCT(W$7:W11,OFFSET($J$366,ROW($I$7)-ROW(),0):$J$366)</f>
        <v>0</v>
      </c>
      <c r="M11" s="19">
        <f ca="1">SUMPRODUCT(X$7:X11,OFFSET($J$366,ROW($I$7)-ROW(),0):$J$366)</f>
        <v>0</v>
      </c>
      <c r="N11" s="19"/>
      <c r="O11" s="43">
        <f t="shared" si="16"/>
        <v>43586</v>
      </c>
      <c r="P11" s="24">
        <f t="shared" si="17"/>
        <v>120</v>
      </c>
      <c r="Q11" s="19">
        <f t="shared" si="23"/>
        <v>74.354375773280282</v>
      </c>
      <c r="R11" s="19">
        <f t="shared" si="1"/>
        <v>218.98566085514156</v>
      </c>
      <c r="S11" s="19">
        <f t="shared" si="2"/>
        <v>43.39941090445604</v>
      </c>
      <c r="T11" s="19"/>
      <c r="U11" s="24">
        <f t="shared" si="24"/>
        <v>121.72</v>
      </c>
      <c r="V11" s="19">
        <f t="shared" si="3"/>
        <v>94.927917730723294</v>
      </c>
      <c r="W11" s="19">
        <f t="shared" si="4"/>
        <v>237.31979432680822</v>
      </c>
      <c r="X11" s="19">
        <f t="shared" si="5"/>
        <v>47.463958865361647</v>
      </c>
      <c r="Y11" s="27"/>
      <c r="Z11" s="42">
        <f t="shared" si="18"/>
        <v>44317</v>
      </c>
      <c r="AA11" s="19">
        <f t="shared" ca="1" si="6"/>
        <v>29.01921885819441</v>
      </c>
      <c r="AB11" s="19">
        <f t="shared" ca="1" si="7"/>
        <v>124.72726391616615</v>
      </c>
      <c r="AC11" s="19">
        <f t="shared" ca="1" si="8"/>
        <v>18.359794437784302</v>
      </c>
      <c r="AD11" s="19">
        <f t="shared" ca="1" si="9"/>
        <v>18.709089587424923</v>
      </c>
      <c r="AE11" s="115">
        <f t="shared" ca="1" si="10"/>
        <v>899.59578460402668</v>
      </c>
      <c r="AF11" s="19">
        <f t="shared" ca="1" si="11"/>
        <v>3866.5451814011508</v>
      </c>
      <c r="AG11" s="19">
        <f t="shared" ca="1" si="12"/>
        <v>569.15362757131334</v>
      </c>
      <c r="AH11" s="19">
        <f t="shared" ca="1" si="13"/>
        <v>579.9817772101726</v>
      </c>
      <c r="AI11" s="46">
        <f t="shared" ca="1" si="19"/>
        <v>4298.0917069360003</v>
      </c>
      <c r="AJ11" s="55">
        <f t="shared" ca="1" si="20"/>
        <v>0.38750900790377135</v>
      </c>
      <c r="AK11" s="19">
        <f t="shared" ca="1" si="21"/>
        <v>232.66139212112685</v>
      </c>
      <c r="AL11" s="19">
        <f t="shared" ca="1" si="14"/>
        <v>150</v>
      </c>
    </row>
    <row r="12" spans="2:38" x14ac:dyDescent="0.25">
      <c r="B12" s="19"/>
      <c r="C12" s="19"/>
      <c r="D12" s="19"/>
      <c r="E12" s="19"/>
      <c r="F12" s="19"/>
      <c r="G12" s="19"/>
      <c r="H12" s="43">
        <f t="shared" si="22"/>
        <v>44348</v>
      </c>
      <c r="I12" s="264">
        <v>0</v>
      </c>
      <c r="J12" s="64">
        <f t="shared" ca="1" si="15"/>
        <v>0</v>
      </c>
      <c r="K12" s="19">
        <f ca="1">SUMPRODUCT(V$7:V12,OFFSET($J$366,ROW($I$7)-ROW(),0):$J$366)</f>
        <v>0</v>
      </c>
      <c r="L12" s="19">
        <f ca="1">SUMPRODUCT(W$7:W12,OFFSET($J$366,ROW($I$7)-ROW(),0):$J$366)</f>
        <v>0</v>
      </c>
      <c r="M12" s="19">
        <f ca="1">SUMPRODUCT(X$7:X12,OFFSET($J$366,ROW($I$7)-ROW(),0):$J$366)</f>
        <v>0</v>
      </c>
      <c r="N12" s="19"/>
      <c r="O12" s="43">
        <f t="shared" si="16"/>
        <v>43617</v>
      </c>
      <c r="P12" s="24">
        <f t="shared" si="17"/>
        <v>151</v>
      </c>
      <c r="Q12" s="19">
        <f t="shared" si="23"/>
        <v>69.734389098801969</v>
      </c>
      <c r="R12" s="19">
        <f t="shared" si="1"/>
        <v>212.18550777860943</v>
      </c>
      <c r="S12" s="19">
        <f t="shared" si="2"/>
        <v>41.841474346452259</v>
      </c>
      <c r="T12" s="19"/>
      <c r="U12" s="24">
        <f t="shared" si="24"/>
        <v>152.15</v>
      </c>
      <c r="V12" s="19">
        <f t="shared" si="3"/>
        <v>93.70017564859036</v>
      </c>
      <c r="W12" s="19">
        <f t="shared" si="4"/>
        <v>234.25043912147589</v>
      </c>
      <c r="X12" s="19">
        <f t="shared" si="5"/>
        <v>46.85008782429518</v>
      </c>
      <c r="Y12" s="27"/>
      <c r="Z12" s="42">
        <f t="shared" si="18"/>
        <v>44348</v>
      </c>
      <c r="AA12" s="19">
        <f t="shared" ca="1" si="6"/>
        <v>28.287790268865979</v>
      </c>
      <c r="AB12" s="19">
        <f t="shared" ca="1" si="7"/>
        <v>122.49135490353704</v>
      </c>
      <c r="AC12" s="19">
        <f t="shared" ca="1" si="8"/>
        <v>17.703498522213689</v>
      </c>
      <c r="AD12" s="19">
        <f t="shared" ca="1" si="9"/>
        <v>18.373703235530556</v>
      </c>
      <c r="AE12" s="115">
        <f t="shared" ca="1" si="10"/>
        <v>848.63370806597936</v>
      </c>
      <c r="AF12" s="19">
        <f t="shared" ca="1" si="11"/>
        <v>3674.7406471061113</v>
      </c>
      <c r="AG12" s="19">
        <f t="shared" ca="1" si="12"/>
        <v>531.10495566641066</v>
      </c>
      <c r="AH12" s="19">
        <f t="shared" ca="1" si="13"/>
        <v>551.21109706591665</v>
      </c>
      <c r="AI12" s="46">
        <f t="shared" ca="1" si="19"/>
        <v>4330.1846393549204</v>
      </c>
      <c r="AJ12" s="55">
        <f t="shared" ca="1" si="20"/>
        <v>0.38493155959672531</v>
      </c>
      <c r="AK12" s="19">
        <f t="shared" ca="1" si="21"/>
        <v>230.93703462699753</v>
      </c>
      <c r="AL12" s="19">
        <f t="shared" ca="1" si="14"/>
        <v>150</v>
      </c>
    </row>
    <row r="13" spans="2:38" x14ac:dyDescent="0.25">
      <c r="B13" s="19"/>
      <c r="H13" s="43">
        <f t="shared" si="22"/>
        <v>44378</v>
      </c>
      <c r="I13" s="264">
        <v>0</v>
      </c>
      <c r="J13" s="64">
        <f t="shared" ca="1" si="15"/>
        <v>0</v>
      </c>
      <c r="K13" s="19">
        <f ca="1">SUMPRODUCT(V$7:V13,OFFSET($J$366,ROW($I$7)-ROW(),0):$J$366)</f>
        <v>0</v>
      </c>
      <c r="L13" s="19">
        <f ca="1">SUMPRODUCT(W$7:W13,OFFSET($J$366,ROW($I$7)-ROW(),0):$J$366)</f>
        <v>0</v>
      </c>
      <c r="M13" s="19">
        <f ca="1">SUMPRODUCT(X$7:X13,OFFSET($J$366,ROW($I$7)-ROW(),0):$J$366)</f>
        <v>0</v>
      </c>
      <c r="N13" s="19"/>
      <c r="O13" s="43">
        <f t="shared" si="16"/>
        <v>43647</v>
      </c>
      <c r="P13" s="24">
        <f t="shared" si="17"/>
        <v>181</v>
      </c>
      <c r="Q13" s="19">
        <f t="shared" si="23"/>
        <v>65.779070390432409</v>
      </c>
      <c r="R13" s="19">
        <f t="shared" si="1"/>
        <v>205.99509718254021</v>
      </c>
      <c r="S13" s="19">
        <f t="shared" si="2"/>
        <v>40.387320710804048</v>
      </c>
      <c r="T13" s="19"/>
      <c r="U13" s="24">
        <f t="shared" si="24"/>
        <v>182.58</v>
      </c>
      <c r="V13" s="19">
        <f t="shared" si="3"/>
        <v>92.541902017094216</v>
      </c>
      <c r="W13" s="19">
        <f t="shared" si="4"/>
        <v>231.35475504273552</v>
      </c>
      <c r="X13" s="19">
        <f t="shared" si="5"/>
        <v>46.270951008547108</v>
      </c>
      <c r="Y13" s="27"/>
      <c r="Z13" s="42">
        <f t="shared" si="18"/>
        <v>44378</v>
      </c>
      <c r="AA13" s="19">
        <f t="shared" ca="1" si="6"/>
        <v>27.614226592351095</v>
      </c>
      <c r="AB13" s="19">
        <f t="shared" ca="1" si="7"/>
        <v>120.40259681028866</v>
      </c>
      <c r="AC13" s="19">
        <f t="shared" ca="1" si="8"/>
        <v>17.090827127208993</v>
      </c>
      <c r="AD13" s="19">
        <f t="shared" ca="1" si="9"/>
        <v>18.0603895215433</v>
      </c>
      <c r="AE13" s="115">
        <f t="shared" ca="1" si="10"/>
        <v>856.04102436288395</v>
      </c>
      <c r="AF13" s="19">
        <f t="shared" ca="1" si="11"/>
        <v>3732.4805011189483</v>
      </c>
      <c r="AG13" s="19">
        <f t="shared" ca="1" si="12"/>
        <v>529.8156409434788</v>
      </c>
      <c r="AH13" s="19">
        <f t="shared" ca="1" si="13"/>
        <v>559.87207516784224</v>
      </c>
      <c r="AI13" s="46">
        <f t="shared" ca="1" si="19"/>
        <v>4360.1654533985447</v>
      </c>
      <c r="AJ13" s="55">
        <f t="shared" ca="1" si="20"/>
        <v>0.38230190336917402</v>
      </c>
      <c r="AK13" s="19">
        <f t="shared" ca="1" si="21"/>
        <v>229.34909481945161</v>
      </c>
      <c r="AL13" s="19">
        <f t="shared" ca="1" si="14"/>
        <v>150</v>
      </c>
    </row>
    <row r="14" spans="2:38" x14ac:dyDescent="0.25">
      <c r="B14" s="19"/>
      <c r="H14" s="43">
        <f t="shared" si="22"/>
        <v>44409</v>
      </c>
      <c r="I14" s="264">
        <v>0</v>
      </c>
      <c r="J14" s="64">
        <f t="shared" ca="1" si="15"/>
        <v>0</v>
      </c>
      <c r="K14" s="19">
        <f ca="1">SUMPRODUCT(V$7:V14,OFFSET($J$366,ROW($I$7)-ROW(),0):$J$366)</f>
        <v>0</v>
      </c>
      <c r="L14" s="19">
        <f ca="1">SUMPRODUCT(W$7:W14,OFFSET($J$366,ROW($I$7)-ROW(),0):$J$366)</f>
        <v>0</v>
      </c>
      <c r="M14" s="19">
        <f ca="1">SUMPRODUCT(X$7:X14,OFFSET($J$366,ROW($I$7)-ROW(),0):$J$366)</f>
        <v>0</v>
      </c>
      <c r="N14" s="19"/>
      <c r="O14" s="43">
        <f t="shared" si="16"/>
        <v>43678</v>
      </c>
      <c r="P14" s="24">
        <f t="shared" si="17"/>
        <v>212</v>
      </c>
      <c r="Q14" s="19">
        <f t="shared" si="23"/>
        <v>62.137183241839615</v>
      </c>
      <c r="R14" s="19">
        <f t="shared" si="1"/>
        <v>199.96670002795017</v>
      </c>
      <c r="S14" s="19">
        <f t="shared" si="2"/>
        <v>38.938022906600345</v>
      </c>
      <c r="T14" s="19"/>
      <c r="U14" s="24">
        <f t="shared" si="24"/>
        <v>213.01000000000002</v>
      </c>
      <c r="V14" s="19">
        <f t="shared" si="3"/>
        <v>91.374723515692565</v>
      </c>
      <c r="W14" s="19">
        <f t="shared" si="4"/>
        <v>228.43680878923143</v>
      </c>
      <c r="X14" s="19">
        <f t="shared" si="5"/>
        <v>45.687361757846283</v>
      </c>
      <c r="Y14" s="27"/>
      <c r="Z14" s="42">
        <f t="shared" si="18"/>
        <v>44409</v>
      </c>
      <c r="AA14" s="19">
        <f t="shared" ca="1" si="6"/>
        <v>26.951099812445086</v>
      </c>
      <c r="AB14" s="19">
        <f t="shared" ca="1" si="7"/>
        <v>118.31775519381934</v>
      </c>
      <c r="AC14" s="19">
        <f t="shared" ca="1" si="8"/>
        <v>16.480106945878568</v>
      </c>
      <c r="AD14" s="19">
        <f t="shared" ca="1" si="9"/>
        <v>17.747663279072899</v>
      </c>
      <c r="AE14" s="115">
        <f t="shared" ca="1" si="10"/>
        <v>835.48409418579763</v>
      </c>
      <c r="AF14" s="19">
        <f t="shared" ca="1" si="11"/>
        <v>3667.8504110083995</v>
      </c>
      <c r="AG14" s="19">
        <f t="shared" ca="1" si="12"/>
        <v>510.8833153222356</v>
      </c>
      <c r="AH14" s="19">
        <f t="shared" ca="1" si="13"/>
        <v>550.17756165125991</v>
      </c>
      <c r="AI14" s="46">
        <f t="shared" ca="1" si="19"/>
        <v>4390.0900526213145</v>
      </c>
      <c r="AJ14" s="55">
        <f t="shared" ca="1" si="20"/>
        <v>0.37945312083045291</v>
      </c>
      <c r="AK14" s="19">
        <f t="shared" ca="1" si="21"/>
        <v>227.78576020391699</v>
      </c>
      <c r="AL14" s="19">
        <f t="shared" ca="1" si="14"/>
        <v>150</v>
      </c>
    </row>
    <row r="15" spans="2:38" x14ac:dyDescent="0.25">
      <c r="B15" s="19"/>
      <c r="H15" s="43">
        <f t="shared" si="22"/>
        <v>44440</v>
      </c>
      <c r="I15" s="264">
        <v>0</v>
      </c>
      <c r="J15" s="64">
        <f t="shared" ca="1" si="15"/>
        <v>0</v>
      </c>
      <c r="K15" s="19">
        <f ca="1">SUMPRODUCT(V$7:V15,OFFSET($J$366,ROW($I$7)-ROW(),0):$J$366)</f>
        <v>0</v>
      </c>
      <c r="L15" s="19">
        <f ca="1">SUMPRODUCT(W$7:W15,OFFSET($J$366,ROW($I$7)-ROW(),0):$J$366)</f>
        <v>0</v>
      </c>
      <c r="M15" s="19">
        <f ca="1">SUMPRODUCT(X$7:X15,OFFSET($J$366,ROW($I$7)-ROW(),0):$J$366)</f>
        <v>0</v>
      </c>
      <c r="N15" s="19"/>
      <c r="O15" s="43">
        <f t="shared" si="16"/>
        <v>43709</v>
      </c>
      <c r="P15" s="24">
        <f t="shared" si="17"/>
        <v>243</v>
      </c>
      <c r="Q15" s="19">
        <f t="shared" si="23"/>
        <v>58.877409578086876</v>
      </c>
      <c r="R15" s="19">
        <f t="shared" si="1"/>
        <v>194.28110990394026</v>
      </c>
      <c r="S15" s="19">
        <f t="shared" si="2"/>
        <v>37.540983746709749</v>
      </c>
      <c r="T15" s="19"/>
      <c r="U15" s="24">
        <f t="shared" si="24"/>
        <v>243.44000000000003</v>
      </c>
      <c r="V15" s="19">
        <f t="shared" si="3"/>
        <v>90.236620225499848</v>
      </c>
      <c r="W15" s="19">
        <f t="shared" si="4"/>
        <v>225.59155056374962</v>
      </c>
      <c r="X15" s="19">
        <f t="shared" si="5"/>
        <v>45.118310112749924</v>
      </c>
      <c r="Y15" s="27"/>
      <c r="Z15" s="42">
        <f t="shared" si="18"/>
        <v>44440</v>
      </c>
      <c r="AA15" s="19">
        <f t="shared" ca="1" si="6"/>
        <v>26.319074749905599</v>
      </c>
      <c r="AB15" s="19">
        <f t="shared" ca="1" si="7"/>
        <v>116.30388517446382</v>
      </c>
      <c r="AC15" s="19">
        <f t="shared" ca="1" si="8"/>
        <v>15.891315303961013</v>
      </c>
      <c r="AD15" s="19">
        <f t="shared" ca="1" si="9"/>
        <v>17.445582776169573</v>
      </c>
      <c r="AE15" s="115">
        <f t="shared" ca="1" si="10"/>
        <v>789.57224249716796</v>
      </c>
      <c r="AF15" s="19">
        <f t="shared" ca="1" si="11"/>
        <v>3489.1165552339144</v>
      </c>
      <c r="AG15" s="19">
        <f t="shared" ca="1" si="12"/>
        <v>476.73945911883038</v>
      </c>
      <c r="AH15" s="19">
        <f t="shared" ca="1" si="13"/>
        <v>523.36748328508725</v>
      </c>
      <c r="AI15" s="46">
        <f t="shared" ca="1" si="19"/>
        <v>4418.9959669794616</v>
      </c>
      <c r="AJ15" s="55">
        <f t="shared" ca="1" si="20"/>
        <v>0.37647875993757407</v>
      </c>
      <c r="AK15" s="19">
        <f t="shared" ca="1" si="21"/>
        <v>226.29574850767176</v>
      </c>
      <c r="AL15" s="19">
        <f t="shared" ca="1" si="14"/>
        <v>150.00000000000003</v>
      </c>
    </row>
    <row r="16" spans="2:38" x14ac:dyDescent="0.25">
      <c r="B16" s="19"/>
      <c r="H16" s="43">
        <f t="shared" si="22"/>
        <v>44470</v>
      </c>
      <c r="I16" s="264">
        <v>0</v>
      </c>
      <c r="J16" s="64">
        <f t="shared" ca="1" si="15"/>
        <v>0</v>
      </c>
      <c r="K16" s="19">
        <f ca="1">SUMPRODUCT(V$7:V16,OFFSET($J$366,ROW($I$7)-ROW(),0):$J$366)</f>
        <v>0</v>
      </c>
      <c r="L16" s="19">
        <f ca="1">SUMPRODUCT(W$7:W16,OFFSET($J$366,ROW($I$7)-ROW(),0):$J$366)</f>
        <v>0</v>
      </c>
      <c r="M16" s="19">
        <f ca="1">SUMPRODUCT(X$7:X16,OFFSET($J$366,ROW($I$7)-ROW(),0):$J$366)</f>
        <v>0</v>
      </c>
      <c r="N16" s="19"/>
      <c r="O16" s="43">
        <f t="shared" si="16"/>
        <v>43739</v>
      </c>
      <c r="P16" s="24">
        <f t="shared" si="17"/>
        <v>273</v>
      </c>
      <c r="Q16" s="19">
        <f t="shared" si="23"/>
        <v>56.03270585804735</v>
      </c>
      <c r="R16" s="19">
        <f t="shared" si="1"/>
        <v>189.07851965400101</v>
      </c>
      <c r="S16" s="19">
        <f t="shared" si="2"/>
        <v>36.236983671091608</v>
      </c>
      <c r="T16" s="19"/>
      <c r="U16" s="24">
        <f t="shared" si="24"/>
        <v>273.87</v>
      </c>
      <c r="V16" s="19">
        <f t="shared" si="3"/>
        <v>89.161902307420561</v>
      </c>
      <c r="W16" s="19">
        <f t="shared" si="4"/>
        <v>222.90475576855138</v>
      </c>
      <c r="X16" s="19">
        <f t="shared" si="5"/>
        <v>44.580951153710281</v>
      </c>
      <c r="Y16" s="27"/>
      <c r="Z16" s="42">
        <f t="shared" si="18"/>
        <v>44470</v>
      </c>
      <c r="AA16" s="19">
        <f t="shared" ca="1" si="6"/>
        <v>25.735035360770443</v>
      </c>
      <c r="AB16" s="19">
        <f t="shared" ca="1" si="7"/>
        <v>114.41919501007219</v>
      </c>
      <c r="AC16" s="19">
        <f t="shared" ca="1" si="8"/>
        <v>15.34165043838383</v>
      </c>
      <c r="AD16" s="19">
        <f t="shared" ca="1" si="9"/>
        <v>17.162879251510827</v>
      </c>
      <c r="AE16" s="115">
        <f t="shared" ca="1" si="10"/>
        <v>797.78609618388373</v>
      </c>
      <c r="AF16" s="19">
        <f t="shared" ca="1" si="11"/>
        <v>3546.9950453122378</v>
      </c>
      <c r="AG16" s="19">
        <f t="shared" ca="1" si="12"/>
        <v>475.59116358989871</v>
      </c>
      <c r="AH16" s="19">
        <f t="shared" ca="1" si="13"/>
        <v>532.04925679683561</v>
      </c>
      <c r="AI16" s="46">
        <f t="shared" ca="1" si="19"/>
        <v>4446.0477091276389</v>
      </c>
      <c r="AJ16" s="55">
        <f t="shared" ca="1" si="20"/>
        <v>0.37348802952110849</v>
      </c>
      <c r="AK16" s="19">
        <f t="shared" ca="1" si="21"/>
        <v>224.91886399397424</v>
      </c>
      <c r="AL16" s="19">
        <f t="shared" ca="1" si="14"/>
        <v>149.99999999999997</v>
      </c>
    </row>
    <row r="17" spans="2:38" x14ac:dyDescent="0.25">
      <c r="B17" s="19"/>
      <c r="H17" s="43">
        <f t="shared" si="22"/>
        <v>44501</v>
      </c>
      <c r="I17" s="264">
        <v>0</v>
      </c>
      <c r="J17" s="64">
        <f t="shared" ca="1" si="15"/>
        <v>0</v>
      </c>
      <c r="K17" s="19">
        <f ca="1">SUMPRODUCT(V$7:V17,OFFSET($J$366,ROW($I$7)-ROW(),0):$J$366)</f>
        <v>0</v>
      </c>
      <c r="L17" s="19">
        <f ca="1">SUMPRODUCT(W$7:W17,OFFSET($J$366,ROW($I$7)-ROW(),0):$J$366)</f>
        <v>0</v>
      </c>
      <c r="M17" s="19">
        <f ca="1">SUMPRODUCT(X$7:X17,OFFSET($J$366,ROW($I$7)-ROW(),0):$J$366)</f>
        <v>0</v>
      </c>
      <c r="N17" s="19"/>
      <c r="O17" s="43">
        <f t="shared" si="16"/>
        <v>43770</v>
      </c>
      <c r="P17" s="24">
        <f t="shared" si="17"/>
        <v>304</v>
      </c>
      <c r="Q17" s="19">
        <f t="shared" si="23"/>
        <v>53.368231195656506</v>
      </c>
      <c r="R17" s="19">
        <f t="shared" si="1"/>
        <v>183.98735135945904</v>
      </c>
      <c r="S17" s="19">
        <f t="shared" si="2"/>
        <v>34.937312568838514</v>
      </c>
      <c r="T17" s="19"/>
      <c r="U17" s="24">
        <f t="shared" si="24"/>
        <v>304.3</v>
      </c>
      <c r="V17" s="19">
        <f t="shared" si="3"/>
        <v>88.077927484644221</v>
      </c>
      <c r="W17" s="19">
        <f t="shared" si="4"/>
        <v>220.19481871161057</v>
      </c>
      <c r="X17" s="19">
        <f t="shared" si="5"/>
        <v>44.03896374232211</v>
      </c>
      <c r="Y17" s="27"/>
      <c r="Z17" s="42">
        <f t="shared" si="18"/>
        <v>44501</v>
      </c>
      <c r="AA17" s="19">
        <f t="shared" ca="1" si="6"/>
        <v>25.158148515095895</v>
      </c>
      <c r="AB17" s="19">
        <f t="shared" ca="1" si="7"/>
        <v>112.53479539799044</v>
      </c>
      <c r="AC17" s="19">
        <f t="shared" ca="1" si="8"/>
        <v>14.793725486860563</v>
      </c>
      <c r="AD17" s="19">
        <f t="shared" ca="1" si="9"/>
        <v>16.880219309698568</v>
      </c>
      <c r="AE17" s="115">
        <f t="shared" ca="1" si="10"/>
        <v>754.74445545287688</v>
      </c>
      <c r="AF17" s="19">
        <f t="shared" ca="1" si="11"/>
        <v>3376.0438619397132</v>
      </c>
      <c r="AG17" s="19">
        <f t="shared" ca="1" si="12"/>
        <v>443.8117646058169</v>
      </c>
      <c r="AH17" s="19">
        <f t="shared" ca="1" si="13"/>
        <v>506.40657929095704</v>
      </c>
      <c r="AI17" s="46">
        <f t="shared" ca="1" si="19"/>
        <v>4473.0952808576139</v>
      </c>
      <c r="AJ17" s="55">
        <f t="shared" ca="1" si="20"/>
        <v>0.37028864994258115</v>
      </c>
      <c r="AK17" s="19">
        <f t="shared" ca="1" si="21"/>
        <v>223.55884174420555</v>
      </c>
      <c r="AL17" s="19">
        <f t="shared" ca="1" si="14"/>
        <v>150.00000000000003</v>
      </c>
    </row>
    <row r="18" spans="2:38" x14ac:dyDescent="0.25">
      <c r="B18" s="19"/>
      <c r="H18" s="44">
        <f t="shared" si="22"/>
        <v>44531</v>
      </c>
      <c r="I18" s="265">
        <v>0</v>
      </c>
      <c r="J18" s="65">
        <f t="shared" ca="1" si="15"/>
        <v>0</v>
      </c>
      <c r="K18" s="21">
        <f ca="1">SUMPRODUCT(V$7:V18,OFFSET($J$366,ROW($I$7)-ROW(),0):$J$366)</f>
        <v>0</v>
      </c>
      <c r="L18" s="21">
        <f ca="1">SUMPRODUCT(W$7:W18,OFFSET($J$366,ROW($I$7)-ROW(),0):$J$366)</f>
        <v>0</v>
      </c>
      <c r="M18" s="21">
        <f ca="1">SUMPRODUCT(X$7:X18,OFFSET($J$366,ROW($I$7)-ROW(),0):$J$366)</f>
        <v>0</v>
      </c>
      <c r="N18" s="19"/>
      <c r="O18" s="44">
        <f t="shared" si="16"/>
        <v>43800</v>
      </c>
      <c r="P18" s="25">
        <f t="shared" si="17"/>
        <v>334</v>
      </c>
      <c r="Q18" s="21">
        <f t="shared" si="23"/>
        <v>51.020366144633947</v>
      </c>
      <c r="R18" s="21">
        <f t="shared" si="1"/>
        <v>179.31483278600899</v>
      </c>
      <c r="S18" s="21">
        <f t="shared" si="2"/>
        <v>33.7241803474218</v>
      </c>
      <c r="T18" s="19"/>
      <c r="U18" s="25">
        <f t="shared" si="24"/>
        <v>334.73</v>
      </c>
      <c r="V18" s="21">
        <f t="shared" si="3"/>
        <v>87.053722752356137</v>
      </c>
      <c r="W18" s="21">
        <f t="shared" si="4"/>
        <v>217.63430688089034</v>
      </c>
      <c r="X18" s="21">
        <f t="shared" si="5"/>
        <v>43.526861376178068</v>
      </c>
      <c r="Y18" s="27"/>
      <c r="Z18" s="48">
        <f t="shared" si="18"/>
        <v>44531</v>
      </c>
      <c r="AA18" s="21">
        <f t="shared" ca="1" si="6"/>
        <v>24.623973509766579</v>
      </c>
      <c r="AB18" s="21">
        <f t="shared" ca="1" si="7"/>
        <v>110.76935401671048</v>
      </c>
      <c r="AC18" s="21">
        <f t="shared" ca="1" si="8"/>
        <v>14.282205026682595</v>
      </c>
      <c r="AD18" s="21">
        <f t="shared" ca="1" si="9"/>
        <v>16.615403102506573</v>
      </c>
      <c r="AE18" s="116">
        <f t="shared" ca="1" si="10"/>
        <v>763.34317880276399</v>
      </c>
      <c r="AF18" s="21">
        <f t="shared" ca="1" si="11"/>
        <v>3433.8499745180247</v>
      </c>
      <c r="AG18" s="21">
        <f t="shared" ca="1" si="12"/>
        <v>442.74835582716042</v>
      </c>
      <c r="AH18" s="21">
        <f t="shared" ca="1" si="13"/>
        <v>515.07749617770378</v>
      </c>
      <c r="AI18" s="47">
        <f t="shared" ca="1" si="19"/>
        <v>4498.4353956024252</v>
      </c>
      <c r="AJ18" s="57">
        <f t="shared" ca="1" si="20"/>
        <v>0.36709349424545357</v>
      </c>
      <c r="AK18" s="21">
        <f t="shared" ca="1" si="21"/>
        <v>222.29951351031485</v>
      </c>
      <c r="AL18" s="21">
        <f t="shared" ca="1" si="14"/>
        <v>150</v>
      </c>
    </row>
    <row r="19" spans="2:38" x14ac:dyDescent="0.25">
      <c r="B19" s="19"/>
      <c r="H19" s="43">
        <f t="shared" si="22"/>
        <v>44562</v>
      </c>
      <c r="I19" s="264">
        <v>0</v>
      </c>
      <c r="J19" s="64">
        <f t="shared" ca="1" si="15"/>
        <v>0</v>
      </c>
      <c r="K19" s="19">
        <f ca="1">SUMPRODUCT(V$7:V19,OFFSET($J$366,ROW($I$7)-ROW(),0):$J$366)</f>
        <v>0</v>
      </c>
      <c r="L19" s="19">
        <f ca="1">SUMPRODUCT(W$7:W19,OFFSET($J$366,ROW($I$7)-ROW(),0):$J$366)</f>
        <v>0</v>
      </c>
      <c r="M19" s="19">
        <f ca="1">SUMPRODUCT(X$7:X19,OFFSET($J$366,ROW($I$7)-ROW(),0):$J$366)</f>
        <v>0</v>
      </c>
      <c r="N19" s="19"/>
      <c r="O19" s="43">
        <f t="shared" si="16"/>
        <v>43831</v>
      </c>
      <c r="P19" s="24">
        <f t="shared" si="17"/>
        <v>365</v>
      </c>
      <c r="Q19" s="19">
        <f t="shared" si="23"/>
        <v>48.801828239314865</v>
      </c>
      <c r="R19" s="19">
        <f t="shared" si="1"/>
        <v>174.72951150602466</v>
      </c>
      <c r="S19" s="19">
        <f t="shared" si="2"/>
        <v>32.515059753095528</v>
      </c>
      <c r="T19" s="19"/>
      <c r="U19" s="24">
        <f t="shared" si="24"/>
        <v>365.16</v>
      </c>
      <c r="V19" s="19">
        <f t="shared" si="3"/>
        <v>86.020104673221496</v>
      </c>
      <c r="W19" s="19">
        <f t="shared" si="4"/>
        <v>215.05026168305375</v>
      </c>
      <c r="X19" s="19">
        <f t="shared" si="5"/>
        <v>43.010052336610748</v>
      </c>
      <c r="Y19" s="27"/>
      <c r="Z19" s="42">
        <f t="shared" si="18"/>
        <v>44562</v>
      </c>
      <c r="AA19" s="19">
        <f t="shared" ca="1" si="6"/>
        <v>24.095311776237747</v>
      </c>
      <c r="AB19" s="19">
        <f t="shared" ca="1" si="7"/>
        <v>109.0023290207277</v>
      </c>
      <c r="AC19" s="19">
        <f t="shared" ca="1" si="8"/>
        <v>13.772297179288524</v>
      </c>
      <c r="AD19" s="19">
        <f t="shared" ca="1" si="9"/>
        <v>16.350349353109156</v>
      </c>
      <c r="AE19" s="115">
        <f t="shared" ca="1" si="10"/>
        <v>746.95466506337016</v>
      </c>
      <c r="AF19" s="19">
        <f t="shared" ca="1" si="11"/>
        <v>3379.0721996425586</v>
      </c>
      <c r="AG19" s="19">
        <f t="shared" ca="1" si="12"/>
        <v>426.94121255794425</v>
      </c>
      <c r="AH19" s="19">
        <f t="shared" ca="1" si="13"/>
        <v>506.86082994638383</v>
      </c>
      <c r="AI19" s="46">
        <f t="shared" ca="1" si="19"/>
        <v>4523.7982406280098</v>
      </c>
      <c r="AJ19" s="55">
        <f t="shared" ca="1" si="20"/>
        <v>0.36369598079095622</v>
      </c>
      <c r="AK19" s="19">
        <f t="shared" ca="1" si="21"/>
        <v>221.05318292470452</v>
      </c>
      <c r="AL19" s="19">
        <f t="shared" ca="1" si="14"/>
        <v>150</v>
      </c>
    </row>
    <row r="20" spans="2:38" x14ac:dyDescent="0.25">
      <c r="B20" s="19"/>
      <c r="H20" s="43">
        <f t="shared" si="22"/>
        <v>44593</v>
      </c>
      <c r="I20" s="264">
        <v>0</v>
      </c>
      <c r="J20" s="64">
        <f t="shared" ca="1" si="15"/>
        <v>0</v>
      </c>
      <c r="K20" s="19">
        <f ca="1">SUMPRODUCT(V$7:V20,OFFSET($J$366,ROW($I$7)-ROW(),0):$J$366)</f>
        <v>0</v>
      </c>
      <c r="L20" s="19">
        <f ca="1">SUMPRODUCT(W$7:W20,OFFSET($J$366,ROW($I$7)-ROW(),0):$J$366)</f>
        <v>0</v>
      </c>
      <c r="M20" s="19">
        <f ca="1">SUMPRODUCT(X$7:X20,OFFSET($J$366,ROW($I$7)-ROW(),0):$J$366)</f>
        <v>0</v>
      </c>
      <c r="N20" s="19"/>
      <c r="O20" s="43">
        <f t="shared" si="16"/>
        <v>43862</v>
      </c>
      <c r="P20" s="24">
        <f t="shared" si="17"/>
        <v>396</v>
      </c>
      <c r="Q20" s="19">
        <f t="shared" si="23"/>
        <v>46.768189348172314</v>
      </c>
      <c r="R20" s="19">
        <f t="shared" si="1"/>
        <v>170.37284877553924</v>
      </c>
      <c r="S20" s="19">
        <f t="shared" si="2"/>
        <v>31.349498952715383</v>
      </c>
      <c r="T20" s="19"/>
      <c r="U20" s="24">
        <f t="shared" si="24"/>
        <v>395.59000000000003</v>
      </c>
      <c r="V20" s="19">
        <f t="shared" si="3"/>
        <v>85.010743571841644</v>
      </c>
      <c r="W20" s="19">
        <f t="shared" si="4"/>
        <v>212.52685892960412</v>
      </c>
      <c r="X20" s="19">
        <f t="shared" si="5"/>
        <v>42.505371785920822</v>
      </c>
      <c r="Y20" s="27"/>
      <c r="Z20" s="42">
        <f t="shared" si="18"/>
        <v>44593</v>
      </c>
      <c r="AA20" s="19">
        <f t="shared" ca="1" si="6"/>
        <v>23.588873020603231</v>
      </c>
      <c r="AB20" s="19">
        <f t="shared" ca="1" si="7"/>
        <v>107.29079501110549</v>
      </c>
      <c r="AC20" s="19">
        <f t="shared" ca="1" si="8"/>
        <v>13.28068197414235</v>
      </c>
      <c r="AD20" s="19">
        <f t="shared" ca="1" si="9"/>
        <v>16.093619251665825</v>
      </c>
      <c r="AE20" s="115">
        <f t="shared" ca="1" si="10"/>
        <v>660.48844457689052</v>
      </c>
      <c r="AF20" s="19">
        <f t="shared" ca="1" si="11"/>
        <v>3004.1422603109536</v>
      </c>
      <c r="AG20" s="19">
        <f t="shared" ca="1" si="12"/>
        <v>371.85909527598579</v>
      </c>
      <c r="AH20" s="19">
        <f t="shared" ca="1" si="13"/>
        <v>450.62133904664307</v>
      </c>
      <c r="AI20" s="46">
        <f t="shared" ca="1" si="19"/>
        <v>4548.3646004365901</v>
      </c>
      <c r="AJ20" s="55">
        <f t="shared" ca="1" si="20"/>
        <v>0.36020727605839098</v>
      </c>
      <c r="AK20" s="19">
        <f t="shared" ca="1" si="21"/>
        <v>219.85924345291309</v>
      </c>
      <c r="AL20" s="19">
        <f t="shared" ca="1" si="14"/>
        <v>150</v>
      </c>
    </row>
    <row r="21" spans="2:38" x14ac:dyDescent="0.25">
      <c r="B21" s="19"/>
      <c r="C21" s="328" t="s">
        <v>118</v>
      </c>
      <c r="D21" s="329"/>
      <c r="E21" s="329"/>
      <c r="F21" s="329"/>
      <c r="G21" s="329"/>
      <c r="H21" s="43">
        <f t="shared" si="22"/>
        <v>44621</v>
      </c>
      <c r="I21" s="264">
        <v>0</v>
      </c>
      <c r="J21" s="64">
        <f t="shared" ca="1" si="15"/>
        <v>0</v>
      </c>
      <c r="K21" s="19">
        <f ca="1">SUMPRODUCT(V$7:V21,OFFSET($J$366,ROW($I$7)-ROW(),0):$J$366)</f>
        <v>0</v>
      </c>
      <c r="L21" s="19">
        <f ca="1">SUMPRODUCT(W$7:W21,OFFSET($J$366,ROW($I$7)-ROW(),0):$J$366)</f>
        <v>0</v>
      </c>
      <c r="M21" s="19">
        <f ca="1">SUMPRODUCT(X$7:X21,OFFSET($J$366,ROW($I$7)-ROW(),0):$J$366)</f>
        <v>0</v>
      </c>
      <c r="N21" s="19"/>
      <c r="O21" s="43">
        <f t="shared" si="16"/>
        <v>43891</v>
      </c>
      <c r="P21" s="24">
        <f t="shared" si="17"/>
        <v>425</v>
      </c>
      <c r="Q21" s="19">
        <f t="shared" si="23"/>
        <v>45.013435470912214</v>
      </c>
      <c r="R21" s="19">
        <f t="shared" si="1"/>
        <v>166.48946126272969</v>
      </c>
      <c r="S21" s="19">
        <f t="shared" si="2"/>
        <v>30.29717298471602</v>
      </c>
      <c r="T21" s="19"/>
      <c r="U21" s="24">
        <f t="shared" si="24"/>
        <v>426.02000000000004</v>
      </c>
      <c r="V21" s="19">
        <f t="shared" si="3"/>
        <v>84.087714352804625</v>
      </c>
      <c r="W21" s="19">
        <f t="shared" si="4"/>
        <v>210.21928588201158</v>
      </c>
      <c r="X21" s="19">
        <f t="shared" si="5"/>
        <v>42.043857176402312</v>
      </c>
      <c r="Y21" s="27"/>
      <c r="Z21" s="42">
        <f t="shared" si="18"/>
        <v>44621</v>
      </c>
      <c r="AA21" s="19">
        <f t="shared" ca="1" si="6"/>
        <v>23.149401746967307</v>
      </c>
      <c r="AB21" s="19">
        <f t="shared" ca="1" si="7"/>
        <v>105.79044516514875</v>
      </c>
      <c r="AC21" s="19">
        <f t="shared" ca="1" si="8"/>
        <v>12.851816393095474</v>
      </c>
      <c r="AD21" s="19">
        <f t="shared" ca="1" si="9"/>
        <v>15.868566774772313</v>
      </c>
      <c r="AE21" s="115">
        <f t="shared" ca="1" si="10"/>
        <v>717.63145415598649</v>
      </c>
      <c r="AF21" s="19">
        <f t="shared" ca="1" si="11"/>
        <v>3279.5038001196112</v>
      </c>
      <c r="AG21" s="19">
        <f t="shared" ca="1" si="12"/>
        <v>398.40630818595969</v>
      </c>
      <c r="AH21" s="19">
        <f t="shared" ca="1" si="13"/>
        <v>491.92557001794171</v>
      </c>
      <c r="AI21" s="46">
        <f t="shared" ca="1" si="19"/>
        <v>4569.8997460704513</v>
      </c>
      <c r="AJ21" s="55">
        <f t="shared" ca="1" si="20"/>
        <v>0.35698282050055824</v>
      </c>
      <c r="AK21" s="19">
        <f t="shared" ca="1" si="21"/>
        <v>218.8231811561898</v>
      </c>
      <c r="AL21" s="19">
        <f t="shared" ca="1" si="14"/>
        <v>150.00000000000003</v>
      </c>
    </row>
    <row r="22" spans="2:38" x14ac:dyDescent="0.25">
      <c r="B22" s="19"/>
      <c r="C22" s="330" t="s">
        <v>133</v>
      </c>
      <c r="D22" s="331">
        <f>-LN(1-assumptions!C17)</f>
        <v>1.0498221244986778</v>
      </c>
      <c r="E22" s="331">
        <f>-LN(1-assumptions!D17)</f>
        <v>0.43078291609245423</v>
      </c>
      <c r="F22" s="331">
        <f>-LN(1-assumptions!E17)</f>
        <v>0.43078291609245423</v>
      </c>
      <c r="G22" s="173"/>
      <c r="H22" s="43">
        <f t="shared" si="22"/>
        <v>44652</v>
      </c>
      <c r="I22" s="264">
        <v>0</v>
      </c>
      <c r="J22" s="64">
        <f t="shared" ca="1" si="15"/>
        <v>0</v>
      </c>
      <c r="K22" s="19">
        <f ca="1">SUMPRODUCT(V$7:V22,OFFSET($J$366,ROW($I$7)-ROW(),0):$J$366)</f>
        <v>0</v>
      </c>
      <c r="L22" s="19">
        <f ca="1">SUMPRODUCT(W$7:W22,OFFSET($J$366,ROW($I$7)-ROW(),0):$J$366)</f>
        <v>0</v>
      </c>
      <c r="M22" s="19">
        <f ca="1">SUMPRODUCT(X$7:X22,OFFSET($J$366,ROW($I$7)-ROW(),0):$J$366)</f>
        <v>0</v>
      </c>
      <c r="N22" s="19"/>
      <c r="O22" s="43">
        <f t="shared" si="16"/>
        <v>43922</v>
      </c>
      <c r="P22" s="24">
        <f t="shared" si="17"/>
        <v>456</v>
      </c>
      <c r="Q22" s="19">
        <f t="shared" si="23"/>
        <v>43.277661636522012</v>
      </c>
      <c r="R22" s="19">
        <f t="shared" si="1"/>
        <v>162.52936378839158</v>
      </c>
      <c r="S22" s="19">
        <f t="shared" si="2"/>
        <v>29.211492910271961</v>
      </c>
      <c r="T22" s="19"/>
      <c r="U22" s="24">
        <f t="shared" si="24"/>
        <v>456.45000000000005</v>
      </c>
      <c r="V22" s="19">
        <f t="shared" si="3"/>
        <v>83.122938955084209</v>
      </c>
      <c r="W22" s="19">
        <f t="shared" si="4"/>
        <v>207.80734738771051</v>
      </c>
      <c r="X22" s="19">
        <f t="shared" si="5"/>
        <v>41.561469477542104</v>
      </c>
      <c r="Y22" s="27"/>
      <c r="Z22" s="42">
        <f t="shared" si="18"/>
        <v>44652</v>
      </c>
      <c r="AA22" s="19">
        <f t="shared" ca="1" si="6"/>
        <v>22.681559038533493</v>
      </c>
      <c r="AB22" s="19">
        <f t="shared" ca="1" si="7"/>
        <v>104.17754364829139</v>
      </c>
      <c r="AC22" s="19">
        <f t="shared" ca="1" si="8"/>
        <v>12.393214386417208</v>
      </c>
      <c r="AD22" s="19">
        <f t="shared" ca="1" si="9"/>
        <v>15.626631547243708</v>
      </c>
      <c r="AE22" s="115">
        <f t="shared" ca="1" si="10"/>
        <v>680.44677115600484</v>
      </c>
      <c r="AF22" s="19">
        <f t="shared" ca="1" si="11"/>
        <v>3125.3263094487415</v>
      </c>
      <c r="AG22" s="19">
        <f t="shared" ca="1" si="12"/>
        <v>371.79643159251623</v>
      </c>
      <c r="AH22" s="19">
        <f t="shared" ca="1" si="13"/>
        <v>468.79894641731124</v>
      </c>
      <c r="AI22" s="46">
        <f t="shared" ca="1" si="19"/>
        <v>4593.0503926694419</v>
      </c>
      <c r="AJ22" s="55">
        <f t="shared" ca="1" si="20"/>
        <v>0.35333697630107003</v>
      </c>
      <c r="AK22" s="19">
        <f t="shared" ca="1" si="21"/>
        <v>217.72023263581235</v>
      </c>
      <c r="AL22" s="19">
        <f t="shared" ca="1" si="14"/>
        <v>150</v>
      </c>
    </row>
    <row r="23" spans="2:38" x14ac:dyDescent="0.25">
      <c r="B23" s="19"/>
      <c r="C23" s="330" t="s">
        <v>134</v>
      </c>
      <c r="D23" s="332">
        <f>-LN(1-assumptions!C19)</f>
        <v>8.3381608939051013E-2</v>
      </c>
      <c r="E23" s="332">
        <f>-LN(1-assumptions!D19)</f>
        <v>6.1875403718087529E-2</v>
      </c>
      <c r="F23" s="332">
        <f>-LN(1-assumptions!E19)</f>
        <v>8.3381608939051013E-2</v>
      </c>
      <c r="G23" s="173"/>
      <c r="H23" s="43">
        <f t="shared" si="22"/>
        <v>44682</v>
      </c>
      <c r="I23" s="264">
        <v>0</v>
      </c>
      <c r="J23" s="64">
        <f t="shared" ca="1" si="15"/>
        <v>0</v>
      </c>
      <c r="K23" s="19">
        <f ca="1">SUMPRODUCT(V$7:V23,OFFSET($J$366,ROW($I$7)-ROW(),0):$J$366)</f>
        <v>0</v>
      </c>
      <c r="L23" s="19">
        <f ca="1">SUMPRODUCT(W$7:W23,OFFSET($J$366,ROW($I$7)-ROW(),0):$J$366)</f>
        <v>0</v>
      </c>
      <c r="M23" s="19">
        <f ca="1">SUMPRODUCT(X$7:X23,OFFSET($J$366,ROW($I$7)-ROW(),0):$J$366)</f>
        <v>0</v>
      </c>
      <c r="N23" s="19"/>
      <c r="O23" s="43">
        <f t="shared" si="16"/>
        <v>43952</v>
      </c>
      <c r="P23" s="24">
        <f t="shared" si="17"/>
        <v>486</v>
      </c>
      <c r="Q23" s="19">
        <f t="shared" si="23"/>
        <v>41.720754559607741</v>
      </c>
      <c r="R23" s="19">
        <f t="shared" si="1"/>
        <v>158.87234662118468</v>
      </c>
      <c r="S23" s="19">
        <f t="shared" si="2"/>
        <v>28.198070333505914</v>
      </c>
      <c r="T23" s="19"/>
      <c r="U23" s="24">
        <f t="shared" si="24"/>
        <v>486.88000000000005</v>
      </c>
      <c r="V23" s="19">
        <f t="shared" si="3"/>
        <v>82.210132751819017</v>
      </c>
      <c r="W23" s="19">
        <f t="shared" si="4"/>
        <v>205.52533187954756</v>
      </c>
      <c r="X23" s="19">
        <f t="shared" si="5"/>
        <v>41.105066375909509</v>
      </c>
      <c r="Y23" s="27"/>
      <c r="Z23" s="42">
        <f t="shared" si="18"/>
        <v>44682</v>
      </c>
      <c r="AA23" s="19">
        <f t="shared" ca="1" si="6"/>
        <v>22.246467425157462</v>
      </c>
      <c r="AB23" s="19">
        <f t="shared" ca="1" si="7"/>
        <v>102.66281742107438</v>
      </c>
      <c r="AC23" s="19">
        <f t="shared" ca="1" si="8"/>
        <v>11.965068571131056</v>
      </c>
      <c r="AD23" s="19">
        <f t="shared" ca="1" si="9"/>
        <v>15.399422613161155</v>
      </c>
      <c r="AE23" s="115">
        <f t="shared" ca="1" si="10"/>
        <v>689.64049017988134</v>
      </c>
      <c r="AF23" s="19">
        <f t="shared" ca="1" si="11"/>
        <v>3182.5473400533056</v>
      </c>
      <c r="AG23" s="19">
        <f t="shared" ca="1" si="12"/>
        <v>370.91712570506274</v>
      </c>
      <c r="AH23" s="19">
        <f t="shared" ca="1" si="13"/>
        <v>477.3821010079958</v>
      </c>
      <c r="AI23" s="46">
        <f t="shared" ca="1" si="19"/>
        <v>4614.7918884855362</v>
      </c>
      <c r="AJ23" s="55">
        <f t="shared" ca="1" si="20"/>
        <v>0.34973783616231385</v>
      </c>
      <c r="AK23" s="19">
        <f t="shared" ca="1" si="21"/>
        <v>216.69449547554265</v>
      </c>
      <c r="AL23" s="19">
        <f t="shared" ca="1" si="14"/>
        <v>150</v>
      </c>
    </row>
    <row r="24" spans="2:38" x14ac:dyDescent="0.25">
      <c r="B24" s="19"/>
      <c r="C24" s="330" t="s">
        <v>9</v>
      </c>
      <c r="D24" s="333">
        <f>MAX(0.005, assumptions!C18)</f>
        <v>1</v>
      </c>
      <c r="E24" s="333">
        <f>MAX(0.005, assumptions!D18)</f>
        <v>1</v>
      </c>
      <c r="F24" s="333">
        <f>MAX(0.005, assumptions!E18)</f>
        <v>5.0000000000000001E-3</v>
      </c>
      <c r="G24" s="173"/>
      <c r="H24" s="43">
        <f t="shared" si="22"/>
        <v>44713</v>
      </c>
      <c r="I24" s="264">
        <v>0</v>
      </c>
      <c r="J24" s="64">
        <f t="shared" ca="1" si="15"/>
        <v>0</v>
      </c>
      <c r="K24" s="19">
        <f ca="1">SUMPRODUCT(V$7:V24,OFFSET($J$366,ROW($I$7)-ROW(),0):$J$366)</f>
        <v>0</v>
      </c>
      <c r="L24" s="19">
        <f ca="1">SUMPRODUCT(W$7:W24,OFFSET($J$366,ROW($I$7)-ROW(),0):$J$366)</f>
        <v>0</v>
      </c>
      <c r="M24" s="19">
        <f ca="1">SUMPRODUCT(X$7:X24,OFFSET($J$366,ROW($I$7)-ROW(),0):$J$366)</f>
        <v>0</v>
      </c>
      <c r="N24" s="19"/>
      <c r="O24" s="43">
        <f t="shared" si="16"/>
        <v>43983</v>
      </c>
      <c r="P24" s="24">
        <f t="shared" si="17"/>
        <v>517</v>
      </c>
      <c r="Q24" s="19">
        <f t="shared" si="23"/>
        <v>40.225414816520463</v>
      </c>
      <c r="R24" s="19">
        <f t="shared" si="1"/>
        <v>155.26239092060885</v>
      </c>
      <c r="S24" s="19">
        <f t="shared" si="2"/>
        <v>27.187966364643973</v>
      </c>
      <c r="T24" s="19"/>
      <c r="U24" s="24">
        <f t="shared" si="24"/>
        <v>517.31000000000006</v>
      </c>
      <c r="V24" s="19">
        <f t="shared" si="3"/>
        <v>81.287724670448384</v>
      </c>
      <c r="W24" s="19">
        <f t="shared" si="4"/>
        <v>203.21931167612098</v>
      </c>
      <c r="X24" s="19">
        <f t="shared" si="5"/>
        <v>40.643862335224192</v>
      </c>
      <c r="Y24" s="27"/>
      <c r="Z24" s="42">
        <f t="shared" si="18"/>
        <v>44713</v>
      </c>
      <c r="AA24" s="19">
        <f t="shared" ca="1" si="6"/>
        <v>21.814068192302354</v>
      </c>
      <c r="AB24" s="19">
        <f t="shared" ca="1" si="7"/>
        <v>101.14319001233319</v>
      </c>
      <c r="AC24" s="19">
        <f t="shared" ca="1" si="8"/>
        <v>11.538258950329086</v>
      </c>
      <c r="AD24" s="19">
        <f t="shared" ca="1" si="9"/>
        <v>15.171478501849979</v>
      </c>
      <c r="AE24" s="115">
        <f t="shared" ca="1" si="10"/>
        <v>654.42204576907068</v>
      </c>
      <c r="AF24" s="19">
        <f t="shared" ca="1" si="11"/>
        <v>3034.2957003699958</v>
      </c>
      <c r="AG24" s="19">
        <f t="shared" ca="1" si="12"/>
        <v>346.14776850987255</v>
      </c>
      <c r="AH24" s="19">
        <f t="shared" ca="1" si="13"/>
        <v>455.14435505549937</v>
      </c>
      <c r="AI24" s="46">
        <f t="shared" ca="1" si="19"/>
        <v>4636.6037329994278</v>
      </c>
      <c r="AJ24" s="55">
        <f t="shared" ca="1" si="20"/>
        <v>0.34595064089488109</v>
      </c>
      <c r="AK24" s="19">
        <f t="shared" ca="1" si="21"/>
        <v>215.67510565607424</v>
      </c>
      <c r="AL24" s="19">
        <f t="shared" ca="1" si="14"/>
        <v>150</v>
      </c>
    </row>
    <row r="25" spans="2:38" x14ac:dyDescent="0.25">
      <c r="B25" s="19"/>
      <c r="C25" s="334" t="s">
        <v>135</v>
      </c>
      <c r="D25" s="335">
        <f>qi_oil * (dmin_oil / d_oil) ^ (1/b_oil)</f>
        <v>7.9424511060736389</v>
      </c>
      <c r="E25" s="335">
        <f>qi_gas * (dmin_gas / d_gas) ^ (1/b_gas)</f>
        <v>35.908691713767901</v>
      </c>
      <c r="F25" s="335">
        <f>qi_water * (dmin_water / d_water) ^ (1/b_water)</f>
        <v>1.1516747783098554E-141</v>
      </c>
      <c r="G25" s="336" t="s">
        <v>57</v>
      </c>
      <c r="H25" s="43">
        <f t="shared" si="22"/>
        <v>44743</v>
      </c>
      <c r="I25" s="264">
        <v>0</v>
      </c>
      <c r="J25" s="64">
        <f t="shared" ca="1" si="15"/>
        <v>0</v>
      </c>
      <c r="K25" s="19">
        <f ca="1">SUMPRODUCT(V$7:V25,OFFSET($J$366,ROW($I$7)-ROW(),0):$J$366)</f>
        <v>0</v>
      </c>
      <c r="L25" s="19">
        <f ca="1">SUMPRODUCT(W$7:W25,OFFSET($J$366,ROW($I$7)-ROW(),0):$J$366)</f>
        <v>0</v>
      </c>
      <c r="M25" s="19">
        <f ca="1">SUMPRODUCT(X$7:X25,OFFSET($J$366,ROW($I$7)-ROW(),0):$J$366)</f>
        <v>0</v>
      </c>
      <c r="N25" s="19"/>
      <c r="O25" s="43">
        <f t="shared" si="16"/>
        <v>44013</v>
      </c>
      <c r="P25" s="24">
        <f t="shared" si="17"/>
        <v>547</v>
      </c>
      <c r="Q25" s="19">
        <f t="shared" si="23"/>
        <v>38.876950452966454</v>
      </c>
      <c r="R25" s="19">
        <f t="shared" si="1"/>
        <v>151.92172530605299</v>
      </c>
      <c r="S25" s="19">
        <f t="shared" si="2"/>
        <v>26.245077710517975</v>
      </c>
      <c r="T25" s="19"/>
      <c r="U25" s="24">
        <f t="shared" si="24"/>
        <v>547.74</v>
      </c>
      <c r="V25" s="19">
        <f t="shared" si="3"/>
        <v>80.414568263186609</v>
      </c>
      <c r="W25" s="19">
        <f t="shared" si="4"/>
        <v>201.03642065796654</v>
      </c>
      <c r="X25" s="19">
        <f t="shared" si="5"/>
        <v>40.207284131593305</v>
      </c>
      <c r="Y25" s="27"/>
      <c r="Z25" s="42">
        <f t="shared" si="18"/>
        <v>44743</v>
      </c>
      <c r="AA25" s="19">
        <f t="shared" ca="1" si="6"/>
        <v>21.411326134940964</v>
      </c>
      <c r="AB25" s="19">
        <f t="shared" ca="1" si="7"/>
        <v>99.714811938838196</v>
      </c>
      <c r="AC25" s="19">
        <f t="shared" ca="1" si="8"/>
        <v>11.139789042219109</v>
      </c>
      <c r="AD25" s="19">
        <f t="shared" ca="1" si="9"/>
        <v>14.957221790825731</v>
      </c>
      <c r="AE25" s="115">
        <f t="shared" ca="1" si="10"/>
        <v>663.75111018316989</v>
      </c>
      <c r="AF25" s="19">
        <f t="shared" ca="1" si="11"/>
        <v>3091.1591701039843</v>
      </c>
      <c r="AG25" s="19">
        <f t="shared" ca="1" si="12"/>
        <v>345.33346030879238</v>
      </c>
      <c r="AH25" s="19">
        <f t="shared" ca="1" si="13"/>
        <v>463.67387551559767</v>
      </c>
      <c r="AI25" s="46">
        <f t="shared" ca="1" si="19"/>
        <v>4657.1058378357257</v>
      </c>
      <c r="AJ25" s="55">
        <f t="shared" ca="1" si="20"/>
        <v>0.34222449773504199</v>
      </c>
      <c r="AK25" s="19">
        <f t="shared" ca="1" si="21"/>
        <v>214.72563321960601</v>
      </c>
      <c r="AL25" s="19">
        <f t="shared" ca="1" si="14"/>
        <v>150</v>
      </c>
    </row>
    <row r="26" spans="2:38" x14ac:dyDescent="0.25">
      <c r="B26" s="19"/>
      <c r="C26" s="334" t="s">
        <v>136</v>
      </c>
      <c r="D26" s="337">
        <f>IFERROR(((qi_oil/D25)^b_oil-1)/(b_oil*d_oil)*365.25,0)</f>
        <v>4032.5462846470814</v>
      </c>
      <c r="E26" s="337">
        <f>IFERROR(   (  (qi_gas / E25) ^ b_gas  -  1  )   /  (b_gas * d_gas)  * 365.25,0)</f>
        <v>5055.1169384087671</v>
      </c>
      <c r="F26" s="337">
        <f>IFERROR(  (  (qi_water / F25) ^ b_water  -  1  )   /  (b_water * d_water)  * 365.25, 0)</f>
        <v>706517.50343146711</v>
      </c>
      <c r="G26" s="338" t="s">
        <v>56</v>
      </c>
      <c r="H26" s="43">
        <f t="shared" si="22"/>
        <v>44774</v>
      </c>
      <c r="I26" s="264">
        <v>0</v>
      </c>
      <c r="J26" s="64">
        <f t="shared" ca="1" si="15"/>
        <v>0</v>
      </c>
      <c r="K26" s="19">
        <f ca="1">SUMPRODUCT(V$7:V26,OFFSET($J$366,ROW($I$7)-ROW(),0):$J$366)</f>
        <v>0</v>
      </c>
      <c r="L26" s="19">
        <f ca="1">SUMPRODUCT(W$7:W26,OFFSET($J$366,ROW($I$7)-ROW(),0):$J$366)</f>
        <v>0</v>
      </c>
      <c r="M26" s="19">
        <f ca="1">SUMPRODUCT(X$7:X26,OFFSET($J$366,ROW($I$7)-ROW(),0):$J$366)</f>
        <v>0</v>
      </c>
      <c r="N26" s="19"/>
      <c r="O26" s="43">
        <f t="shared" si="16"/>
        <v>44044</v>
      </c>
      <c r="P26" s="24">
        <f t="shared" si="17"/>
        <v>578</v>
      </c>
      <c r="Q26" s="19">
        <f t="shared" si="23"/>
        <v>37.575336313296503</v>
      </c>
      <c r="R26" s="19">
        <f t="shared" si="1"/>
        <v>148.61744436624448</v>
      </c>
      <c r="S26" s="19">
        <f t="shared" si="2"/>
        <v>25.305264528111458</v>
      </c>
      <c r="T26" s="19"/>
      <c r="U26" s="24">
        <f t="shared" si="24"/>
        <v>578.16999999999996</v>
      </c>
      <c r="V26" s="19">
        <f t="shared" si="3"/>
        <v>79.531796748382803</v>
      </c>
      <c r="W26" s="19">
        <f t="shared" si="4"/>
        <v>198.82949187095701</v>
      </c>
      <c r="X26" s="19">
        <f t="shared" si="5"/>
        <v>39.765898374191401</v>
      </c>
      <c r="Y26" s="27"/>
      <c r="Z26" s="42">
        <f t="shared" si="18"/>
        <v>44774</v>
      </c>
      <c r="AA26" s="19">
        <f t="shared" ca="1" si="6"/>
        <v>21.010489934645058</v>
      </c>
      <c r="AB26" s="19">
        <f t="shared" ca="1" si="7"/>
        <v>98.280595336365067</v>
      </c>
      <c r="AC26" s="19">
        <f t="shared" ca="1" si="8"/>
        <v>10.742557616794631</v>
      </c>
      <c r="AD26" s="19">
        <f t="shared" ca="1" si="9"/>
        <v>14.742089300454762</v>
      </c>
      <c r="AE26" s="115">
        <f t="shared" ca="1" si="10"/>
        <v>651.32518797399678</v>
      </c>
      <c r="AF26" s="19">
        <f t="shared" ca="1" si="11"/>
        <v>3046.6984554273172</v>
      </c>
      <c r="AG26" s="19">
        <f t="shared" ca="1" si="12"/>
        <v>333.01928612063358</v>
      </c>
      <c r="AH26" s="19">
        <f t="shared" ca="1" si="13"/>
        <v>457.00476831409759</v>
      </c>
      <c r="AI26" s="46">
        <f t="shared" ca="1" si="19"/>
        <v>4677.6917455078556</v>
      </c>
      <c r="AJ26" s="55">
        <f t="shared" ca="1" si="20"/>
        <v>0.33831579785819837</v>
      </c>
      <c r="AK26" s="19">
        <f t="shared" ca="1" si="21"/>
        <v>213.78065387919875</v>
      </c>
      <c r="AL26" s="19">
        <f t="shared" ca="1" si="14"/>
        <v>150</v>
      </c>
    </row>
    <row r="27" spans="2:38" x14ac:dyDescent="0.25">
      <c r="B27" s="19"/>
      <c r="C27" s="329"/>
      <c r="D27" s="329"/>
      <c r="E27" s="329"/>
      <c r="F27" s="329"/>
      <c r="G27" s="329"/>
      <c r="H27" s="43">
        <f t="shared" si="22"/>
        <v>44805</v>
      </c>
      <c r="I27" s="264">
        <v>0</v>
      </c>
      <c r="J27" s="64">
        <f t="shared" ca="1" si="15"/>
        <v>0</v>
      </c>
      <c r="K27" s="19">
        <f ca="1">SUMPRODUCT(V$7:V27,OFFSET($J$366,ROW($I$7)-ROW(),0):$J$366)</f>
        <v>0</v>
      </c>
      <c r="L27" s="19">
        <f ca="1">SUMPRODUCT(W$7:W27,OFFSET($J$366,ROW($I$7)-ROW(),0):$J$366)</f>
        <v>0</v>
      </c>
      <c r="M27" s="19">
        <f ca="1">SUMPRODUCT(X$7:X27,OFFSET($J$366,ROW($I$7)-ROW(),0):$J$366)</f>
        <v>0</v>
      </c>
      <c r="N27" s="19"/>
      <c r="O27" s="43">
        <f t="shared" si="16"/>
        <v>44075</v>
      </c>
      <c r="P27" s="24">
        <f t="shared" si="17"/>
        <v>609</v>
      </c>
      <c r="Q27" s="19">
        <f t="shared" si="23"/>
        <v>36.358055667655819</v>
      </c>
      <c r="R27" s="19">
        <f t="shared" si="1"/>
        <v>145.4538392422125</v>
      </c>
      <c r="S27" s="19">
        <f t="shared" si="2"/>
        <v>24.399267427182373</v>
      </c>
      <c r="T27" s="19"/>
      <c r="U27" s="24">
        <f t="shared" si="24"/>
        <v>608.59999999999991</v>
      </c>
      <c r="V27" s="19">
        <f t="shared" si="3"/>
        <v>78.668196477053314</v>
      </c>
      <c r="W27" s="19">
        <f t="shared" si="4"/>
        <v>196.67049119263328</v>
      </c>
      <c r="X27" s="19">
        <f t="shared" si="5"/>
        <v>39.334098238526657</v>
      </c>
      <c r="Y27" s="27"/>
      <c r="Z27" s="42">
        <f t="shared" si="18"/>
        <v>44805</v>
      </c>
      <c r="AA27" s="19">
        <f t="shared" ca="1" si="6"/>
        <v>20.624385850954404</v>
      </c>
      <c r="AB27" s="19">
        <f t="shared" ca="1" si="7"/>
        <v>96.887050943847356</v>
      </c>
      <c r="AC27" s="19">
        <f t="shared" ca="1" si="8"/>
        <v>10.359559263118944</v>
      </c>
      <c r="AD27" s="19">
        <f t="shared" ca="1" si="9"/>
        <v>14.533057641577102</v>
      </c>
      <c r="AE27" s="115">
        <f t="shared" ca="1" si="10"/>
        <v>618.73157552863211</v>
      </c>
      <c r="AF27" s="19">
        <f t="shared" ca="1" si="11"/>
        <v>2906.6115283154209</v>
      </c>
      <c r="AG27" s="19">
        <f t="shared" ca="1" si="12"/>
        <v>310.78677789356834</v>
      </c>
      <c r="AH27" s="19">
        <f t="shared" ca="1" si="13"/>
        <v>435.99172924731306</v>
      </c>
      <c r="AI27" s="46">
        <f t="shared" ca="1" si="19"/>
        <v>4697.6938680268076</v>
      </c>
      <c r="AJ27" s="55">
        <f t="shared" ca="1" si="20"/>
        <v>0.33435249207220824</v>
      </c>
      <c r="AK27" s="19">
        <f t="shared" ca="1" si="21"/>
        <v>212.87040579765028</v>
      </c>
      <c r="AL27" s="19">
        <f t="shared" ca="1" si="14"/>
        <v>149.99999999999997</v>
      </c>
    </row>
    <row r="28" spans="2:38" x14ac:dyDescent="0.25">
      <c r="B28" s="19"/>
      <c r="C28" s="328" t="s">
        <v>119</v>
      </c>
      <c r="D28" s="329"/>
      <c r="E28" s="329"/>
      <c r="F28" s="329"/>
      <c r="G28" s="329"/>
      <c r="H28" s="43">
        <f t="shared" si="22"/>
        <v>44835</v>
      </c>
      <c r="I28" s="264">
        <v>0</v>
      </c>
      <c r="J28" s="64">
        <f t="shared" ca="1" si="15"/>
        <v>0</v>
      </c>
      <c r="K28" s="19">
        <f ca="1">SUMPRODUCT(V$7:V28,OFFSET($J$366,ROW($I$7)-ROW(),0):$J$366)</f>
        <v>0</v>
      </c>
      <c r="L28" s="19">
        <f ca="1">SUMPRODUCT(W$7:W28,OFFSET($J$366,ROW($I$7)-ROW(),0):$J$366)</f>
        <v>0</v>
      </c>
      <c r="M28" s="19">
        <f ca="1">SUMPRODUCT(X$7:X28,OFFSET($J$366,ROW($I$7)-ROW(),0):$J$366)</f>
        <v>0</v>
      </c>
      <c r="N28" s="19"/>
      <c r="O28" s="43">
        <f t="shared" si="16"/>
        <v>44105</v>
      </c>
      <c r="P28" s="24">
        <f t="shared" si="17"/>
        <v>639</v>
      </c>
      <c r="Q28" s="19">
        <f t="shared" si="23"/>
        <v>35.252853624346969</v>
      </c>
      <c r="R28" s="19">
        <f t="shared" si="1"/>
        <v>142.51793714031311</v>
      </c>
      <c r="S28" s="19">
        <f t="shared" si="2"/>
        <v>23.553541557218598</v>
      </c>
      <c r="T28" s="19"/>
      <c r="U28" s="24">
        <f t="shared" si="24"/>
        <v>639.02999999999986</v>
      </c>
      <c r="V28" s="19">
        <f t="shared" si="3"/>
        <v>77.850125744726611</v>
      </c>
      <c r="W28" s="19">
        <f t="shared" si="4"/>
        <v>194.62531436181655</v>
      </c>
      <c r="X28" s="19">
        <f t="shared" si="5"/>
        <v>38.925062872363306</v>
      </c>
      <c r="Y28" s="27"/>
      <c r="Z28" s="42">
        <f t="shared" si="18"/>
        <v>44835</v>
      </c>
      <c r="AA28" s="19">
        <f t="shared" ca="1" si="6"/>
        <v>20.264012049266391</v>
      </c>
      <c r="AB28" s="19">
        <f t="shared" ca="1" si="7"/>
        <v>95.575577439485514</v>
      </c>
      <c r="AC28" s="19">
        <f t="shared" ca="1" si="8"/>
        <v>10.001984681438795</v>
      </c>
      <c r="AD28" s="19">
        <f t="shared" ca="1" si="9"/>
        <v>14.336336615922827</v>
      </c>
      <c r="AE28" s="115">
        <f t="shared" ca="1" si="10"/>
        <v>628.18437352725812</v>
      </c>
      <c r="AF28" s="19">
        <f t="shared" ca="1" si="11"/>
        <v>2962.8429006240508</v>
      </c>
      <c r="AG28" s="19">
        <f t="shared" ca="1" si="12"/>
        <v>310.06152512460267</v>
      </c>
      <c r="AH28" s="19">
        <f t="shared" ca="1" si="13"/>
        <v>444.42643509360761</v>
      </c>
      <c r="AI28" s="46">
        <f t="shared" ca="1" si="19"/>
        <v>4716.5179929384021</v>
      </c>
      <c r="AJ28" s="55">
        <f t="shared" ca="1" si="20"/>
        <v>0.33046936370318419</v>
      </c>
      <c r="AK28" s="19">
        <f t="shared" ca="1" si="21"/>
        <v>212.02081736934022</v>
      </c>
      <c r="AL28" s="19">
        <f t="shared" ca="1" si="14"/>
        <v>150</v>
      </c>
    </row>
    <row r="29" spans="2:38" x14ac:dyDescent="0.25">
      <c r="B29" s="19"/>
      <c r="C29" s="330" t="s">
        <v>133</v>
      </c>
      <c r="D29" s="331">
        <f>-LN(1-D8)</f>
        <v>0.16251892949777494</v>
      </c>
      <c r="E29" s="331">
        <f>-LN(1-E8)</f>
        <v>0.16251892949777494</v>
      </c>
      <c r="F29" s="331">
        <f>-LN(1-F8)</f>
        <v>0.16251892949777494</v>
      </c>
      <c r="G29" s="173"/>
      <c r="H29" s="43">
        <f t="shared" si="22"/>
        <v>44866</v>
      </c>
      <c r="I29" s="264">
        <v>0</v>
      </c>
      <c r="J29" s="64">
        <f t="shared" ca="1" si="15"/>
        <v>0</v>
      </c>
      <c r="K29" s="19">
        <f ca="1">SUMPRODUCT(V$7:V29,OFFSET($J$366,ROW($I$7)-ROW(),0):$J$366)</f>
        <v>0</v>
      </c>
      <c r="L29" s="19">
        <f ca="1">SUMPRODUCT(W$7:W29,OFFSET($J$366,ROW($I$7)-ROW(),0):$J$366)</f>
        <v>0</v>
      </c>
      <c r="M29" s="19">
        <f ca="1">SUMPRODUCT(X$7:X29,OFFSET($J$366,ROW($I$7)-ROW(),0):$J$366)</f>
        <v>0</v>
      </c>
      <c r="N29" s="19"/>
      <c r="O29" s="43">
        <f t="shared" si="16"/>
        <v>44136</v>
      </c>
      <c r="P29" s="24">
        <f t="shared" si="17"/>
        <v>670</v>
      </c>
      <c r="Q29" s="19">
        <f t="shared" si="23"/>
        <v>34.179249933394338</v>
      </c>
      <c r="R29" s="19">
        <f t="shared" si="1"/>
        <v>139.60613852710608</v>
      </c>
      <c r="S29" s="19">
        <f t="shared" si="2"/>
        <v>22.710557799773163</v>
      </c>
      <c r="T29" s="19"/>
      <c r="U29" s="24">
        <f t="shared" si="24"/>
        <v>669.45999999999981</v>
      </c>
      <c r="V29" s="19">
        <f t="shared" si="3"/>
        <v>77.022470360798764</v>
      </c>
      <c r="W29" s="19">
        <f t="shared" si="4"/>
        <v>192.55617590199694</v>
      </c>
      <c r="X29" s="19">
        <f t="shared" si="5"/>
        <v>38.511235180399382</v>
      </c>
      <c r="Y29" s="27"/>
      <c r="Z29" s="42">
        <f t="shared" si="18"/>
        <v>44866</v>
      </c>
      <c r="AA29" s="19">
        <f t="shared" ca="1" si="6"/>
        <v>19.904621584176589</v>
      </c>
      <c r="AB29" s="19">
        <f t="shared" ca="1" si="7"/>
        <v>94.257173070654858</v>
      </c>
      <c r="AC29" s="19">
        <f t="shared" ca="1" si="8"/>
        <v>9.6455145840470067</v>
      </c>
      <c r="AD29" s="19">
        <f t="shared" ca="1" si="9"/>
        <v>14.138575960598228</v>
      </c>
      <c r="AE29" s="115">
        <f t="shared" ca="1" si="10"/>
        <v>597.13864752529764</v>
      </c>
      <c r="AF29" s="19">
        <f t="shared" ca="1" si="11"/>
        <v>2827.7151921196455</v>
      </c>
      <c r="AG29" s="19">
        <f t="shared" ca="1" si="12"/>
        <v>289.36543752141017</v>
      </c>
      <c r="AH29" s="19">
        <f t="shared" ca="1" si="13"/>
        <v>424.15727881794686</v>
      </c>
      <c r="AI29" s="46">
        <f t="shared" ca="1" si="19"/>
        <v>4735.441599431646</v>
      </c>
      <c r="AJ29" s="55">
        <f t="shared" ca="1" si="20"/>
        <v>0.3264118489720938</v>
      </c>
      <c r="AK29" s="19">
        <f t="shared" ca="1" si="21"/>
        <v>211.17354717668175</v>
      </c>
      <c r="AL29" s="19">
        <f t="shared" ca="1" si="14"/>
        <v>150</v>
      </c>
    </row>
    <row r="30" spans="2:38" x14ac:dyDescent="0.25">
      <c r="B30" s="19"/>
      <c r="C30" s="330" t="s">
        <v>134</v>
      </c>
      <c r="D30" s="332">
        <f>-LN(1-D10)</f>
        <v>8.3381608939051013E-2</v>
      </c>
      <c r="E30" s="332">
        <f>-LN(1-E10)</f>
        <v>6.1875403718087529E-2</v>
      </c>
      <c r="F30" s="332">
        <f>-LN(1-F10)</f>
        <v>8.3381608939051013E-2</v>
      </c>
      <c r="G30" s="173"/>
      <c r="H30" s="44">
        <f t="shared" si="22"/>
        <v>44896</v>
      </c>
      <c r="I30" s="265">
        <v>0</v>
      </c>
      <c r="J30" s="65">
        <f t="shared" ca="1" si="15"/>
        <v>0</v>
      </c>
      <c r="K30" s="21">
        <f ca="1">SUMPRODUCT(V$7:V30,OFFSET($J$366,ROW($I$7)-ROW(),0):$J$366)</f>
        <v>0</v>
      </c>
      <c r="L30" s="21">
        <f ca="1">SUMPRODUCT(W$7:W30,OFFSET($J$366,ROW($I$7)-ROW(),0):$J$366)</f>
        <v>0</v>
      </c>
      <c r="M30" s="21">
        <f ca="1">SUMPRODUCT(X$7:X30,OFFSET($J$366,ROW($I$7)-ROW(),0):$J$366)</f>
        <v>0</v>
      </c>
      <c r="N30" s="19"/>
      <c r="O30" s="44">
        <f t="shared" si="16"/>
        <v>44166</v>
      </c>
      <c r="P30" s="25">
        <f t="shared" si="17"/>
        <v>700</v>
      </c>
      <c r="Q30" s="21">
        <f t="shared" si="23"/>
        <v>33.20075793776298</v>
      </c>
      <c r="R30" s="21">
        <f t="shared" si="1"/>
        <v>136.89935961234082</v>
      </c>
      <c r="S30" s="21">
        <f t="shared" si="2"/>
        <v>21.923643153606172</v>
      </c>
      <c r="T30" s="19"/>
      <c r="U30" s="25">
        <f t="shared" si="24"/>
        <v>699.88999999999976</v>
      </c>
      <c r="V30" s="21">
        <f t="shared" si="3"/>
        <v>76.238098790088799</v>
      </c>
      <c r="W30" s="21">
        <f t="shared" si="4"/>
        <v>190.59524697522198</v>
      </c>
      <c r="X30" s="21">
        <f t="shared" si="5"/>
        <v>38.119049395044399</v>
      </c>
      <c r="Y30" s="27"/>
      <c r="Z30" s="48">
        <f t="shared" si="18"/>
        <v>44896</v>
      </c>
      <c r="AA30" s="21">
        <f t="shared" ca="1" si="6"/>
        <v>19.56875722382593</v>
      </c>
      <c r="AB30" s="21">
        <f t="shared" ca="1" si="7"/>
        <v>93.015473686079815</v>
      </c>
      <c r="AC30" s="21">
        <f t="shared" ca="1" si="8"/>
        <v>9.3127030236753683</v>
      </c>
      <c r="AD30" s="21">
        <f t="shared" ca="1" si="9"/>
        <v>13.952321052911973</v>
      </c>
      <c r="AE30" s="116">
        <f t="shared" ca="1" si="10"/>
        <v>606.63147393860379</v>
      </c>
      <c r="AF30" s="21">
        <f t="shared" ca="1" si="11"/>
        <v>2883.4796842684741</v>
      </c>
      <c r="AG30" s="21">
        <f t="shared" ca="1" si="12"/>
        <v>288.69379373393645</v>
      </c>
      <c r="AH30" s="21">
        <f t="shared" ca="1" si="13"/>
        <v>432.52195264027114</v>
      </c>
      <c r="AI30" s="47">
        <f t="shared" ca="1" si="19"/>
        <v>4753.2642273689653</v>
      </c>
      <c r="AJ30" s="57">
        <f t="shared" ca="1" si="20"/>
        <v>0.3224457123659828</v>
      </c>
      <c r="AK30" s="21">
        <f t="shared" ca="1" si="21"/>
        <v>210.38174024538114</v>
      </c>
      <c r="AL30" s="21">
        <f t="shared" ca="1" si="14"/>
        <v>150</v>
      </c>
    </row>
    <row r="31" spans="2:38" x14ac:dyDescent="0.25">
      <c r="B31" s="19"/>
      <c r="C31" s="330" t="s">
        <v>9</v>
      </c>
      <c r="D31" s="333">
        <f>IF(D9&lt;0.001,0.001, D9)</f>
        <v>1</v>
      </c>
      <c r="E31" s="333">
        <f>IF(E9&lt;0.001,0.001, E9)</f>
        <v>1</v>
      </c>
      <c r="F31" s="333">
        <f>IF(F9&lt;0.001,0.001, F9)</f>
        <v>1</v>
      </c>
      <c r="G31" s="173"/>
      <c r="H31" s="43">
        <f t="shared" si="22"/>
        <v>44927</v>
      </c>
      <c r="I31" s="264">
        <v>0</v>
      </c>
      <c r="J31" s="64">
        <f t="shared" ca="1" si="15"/>
        <v>0</v>
      </c>
      <c r="K31" s="19">
        <f ca="1">SUMPRODUCT(V$7:V31,OFFSET($J$366,ROW($I$7)-ROW(),0):$J$366)</f>
        <v>0</v>
      </c>
      <c r="L31" s="19">
        <f ca="1">SUMPRODUCT(W$7:W31,OFFSET($J$366,ROW($I$7)-ROW(),0):$J$366)</f>
        <v>0</v>
      </c>
      <c r="M31" s="19">
        <f ca="1">SUMPRODUCT(X$7:X31,OFFSET($J$366,ROW($I$7)-ROW(),0):$J$366)</f>
        <v>0</v>
      </c>
      <c r="N31" s="19"/>
      <c r="O31" s="43">
        <f t="shared" si="16"/>
        <v>44197</v>
      </c>
      <c r="P31" s="24">
        <f t="shared" si="17"/>
        <v>731</v>
      </c>
      <c r="Q31" s="19">
        <f t="shared" si="23"/>
        <v>32.246815816070743</v>
      </c>
      <c r="R31" s="19">
        <f t="shared" si="1"/>
        <v>134.21045705335172</v>
      </c>
      <c r="S31" s="19">
        <f t="shared" si="2"/>
        <v>21.13926980300365</v>
      </c>
      <c r="T31" s="19"/>
      <c r="U31" s="24">
        <f t="shared" si="24"/>
        <v>730.31999999999971</v>
      </c>
      <c r="V31" s="19">
        <f t="shared" si="3"/>
        <v>75.44418994666583</v>
      </c>
      <c r="W31" s="19">
        <f t="shared" si="4"/>
        <v>188.61047486666456</v>
      </c>
      <c r="X31" s="19">
        <f t="shared" si="5"/>
        <v>37.722094973332915</v>
      </c>
      <c r="Y31" s="27"/>
      <c r="Z31" s="42">
        <f t="shared" si="18"/>
        <v>44927</v>
      </c>
      <c r="AA31" s="19">
        <f t="shared" ca="1" si="6"/>
        <v>19.233400885249686</v>
      </c>
      <c r="AB31" s="19">
        <f t="shared" ca="1" si="7"/>
        <v>91.766291802565036</v>
      </c>
      <c r="AC31" s="19">
        <f t="shared" ca="1" si="8"/>
        <v>8.9809152096530038</v>
      </c>
      <c r="AD31" s="19">
        <f t="shared" ca="1" si="9"/>
        <v>13.764943770384756</v>
      </c>
      <c r="AE31" s="115">
        <f t="shared" ca="1" si="10"/>
        <v>596.23542744274027</v>
      </c>
      <c r="AF31" s="19">
        <f t="shared" ca="1" si="11"/>
        <v>2844.7550458795163</v>
      </c>
      <c r="AG31" s="19">
        <f t="shared" ca="1" si="12"/>
        <v>278.40837149924312</v>
      </c>
      <c r="AH31" s="19">
        <f t="shared" ca="1" si="13"/>
        <v>426.71325688192741</v>
      </c>
      <c r="AI31" s="46">
        <f t="shared" ca="1" si="19"/>
        <v>4771.1942547270282</v>
      </c>
      <c r="AJ31" s="55">
        <f t="shared" ca="1" si="20"/>
        <v>0.31831057607224905</v>
      </c>
      <c r="AK31" s="19">
        <f t="shared" ca="1" si="21"/>
        <v>209.59113098555079</v>
      </c>
      <c r="AL31" s="19">
        <f t="shared" ca="1" si="14"/>
        <v>149.99999999999997</v>
      </c>
    </row>
    <row r="32" spans="2:38" x14ac:dyDescent="0.25">
      <c r="B32" s="19"/>
      <c r="C32" s="334" t="s">
        <v>137</v>
      </c>
      <c r="D32" s="335">
        <f>qi_oil_new * (dmin_oil_new / d_oil_new) ^ (1/b_oil_new)</f>
        <v>51.305782776641159</v>
      </c>
      <c r="E32" s="335">
        <f>qi_gas_new * (dmin_gas_new / d_gas_new) ^ (1/b_gas_new)</f>
        <v>95.181841138903565</v>
      </c>
      <c r="F32" s="335">
        <f>qi_water_new * (dmin_water_new / d_water_new) ^ (1/b_water_new)</f>
        <v>25.65289138832058</v>
      </c>
      <c r="G32" s="336" t="s">
        <v>57</v>
      </c>
      <c r="H32" s="43">
        <f t="shared" si="22"/>
        <v>44958</v>
      </c>
      <c r="I32" s="264">
        <v>0</v>
      </c>
      <c r="J32" s="64">
        <f t="shared" ca="1" si="15"/>
        <v>0</v>
      </c>
      <c r="K32" s="19">
        <f ca="1">SUMPRODUCT(V$7:V32,OFFSET($J$366,ROW($I$7)-ROW(),0):$J$366)</f>
        <v>0</v>
      </c>
      <c r="L32" s="19">
        <f ca="1">SUMPRODUCT(W$7:W32,OFFSET($J$366,ROW($I$7)-ROW(),0):$J$366)</f>
        <v>0</v>
      </c>
      <c r="M32" s="19">
        <f ca="1">SUMPRODUCT(X$7:X32,OFFSET($J$366,ROW($I$7)-ROW(),0):$J$366)</f>
        <v>0</v>
      </c>
      <c r="N32" s="19"/>
      <c r="O32" s="43">
        <f t="shared" si="16"/>
        <v>44228</v>
      </c>
      <c r="P32" s="24">
        <f t="shared" si="17"/>
        <v>762</v>
      </c>
      <c r="Q32" s="19">
        <f t="shared" si="23"/>
        <v>31.346160976653252</v>
      </c>
      <c r="R32" s="19">
        <f t="shared" si="1"/>
        <v>131.62514768850764</v>
      </c>
      <c r="S32" s="19">
        <f t="shared" si="2"/>
        <v>20.383094632745951</v>
      </c>
      <c r="T32" s="19"/>
      <c r="U32" s="24">
        <f t="shared" si="24"/>
        <v>760.74999999999966</v>
      </c>
      <c r="V32" s="19">
        <f t="shared" si="3"/>
        <v>74.666645502173324</v>
      </c>
      <c r="W32" s="19">
        <f t="shared" si="4"/>
        <v>186.6666137554333</v>
      </c>
      <c r="X32" s="19">
        <f t="shared" si="5"/>
        <v>37.333322751086662</v>
      </c>
      <c r="Y32" s="27"/>
      <c r="Z32" s="42">
        <f t="shared" si="18"/>
        <v>44958</v>
      </c>
      <c r="AA32" s="19">
        <f t="shared" ca="1" si="6"/>
        <v>18.909345112606278</v>
      </c>
      <c r="AB32" s="19">
        <f t="shared" ca="1" si="7"/>
        <v>90.550217882340917</v>
      </c>
      <c r="AC32" s="19">
        <f t="shared" ca="1" si="8"/>
        <v>8.661005129344634</v>
      </c>
      <c r="AD32" s="19">
        <f t="shared" ca="1" si="9"/>
        <v>13.582532682351136</v>
      </c>
      <c r="AE32" s="115">
        <f t="shared" ca="1" si="10"/>
        <v>529.4616631529758</v>
      </c>
      <c r="AF32" s="19">
        <f t="shared" ca="1" si="11"/>
        <v>2535.4061007055457</v>
      </c>
      <c r="AG32" s="19">
        <f t="shared" ca="1" si="12"/>
        <v>242.50814362164977</v>
      </c>
      <c r="AH32" s="19">
        <f t="shared" ca="1" si="13"/>
        <v>380.31091510583178</v>
      </c>
      <c r="AI32" s="46">
        <f t="shared" ca="1" si="19"/>
        <v>4788.6490697117724</v>
      </c>
      <c r="AJ32" s="55">
        <f t="shared" ca="1" si="20"/>
        <v>0.31414200593527791</v>
      </c>
      <c r="AK32" s="19">
        <f t="shared" ca="1" si="21"/>
        <v>208.82716303539647</v>
      </c>
      <c r="AL32" s="19">
        <f t="shared" ca="1" si="14"/>
        <v>149.99999999999997</v>
      </c>
    </row>
    <row r="33" spans="2:38" x14ac:dyDescent="0.25">
      <c r="B33" s="19"/>
      <c r="C33" s="334" t="s">
        <v>136</v>
      </c>
      <c r="D33" s="337">
        <f xml:space="preserve"> IFERROR(  (  (qi_oil_new / D32) ^ b_oil_new  -  1  )   /  (b_oil_new * d_oil_new)  * 365.25, 0)</f>
        <v>2133.0318600391161</v>
      </c>
      <c r="E33" s="337">
        <f>IFERROR(   (  (qi_gas_new / E32) ^ b_gas_new  -  1  )   /  (b_gas_new * d_gas_new)  * 365.25, 0)</f>
        <v>3655.5612812905465</v>
      </c>
      <c r="F33" s="337">
        <f>IFERROR(   (  (qi_water_new / F32) ^ b_water_new  -  1  )   /  (b_water_new * d_water_new)  * 365.25,0)</f>
        <v>2133.0318600391161</v>
      </c>
      <c r="G33" s="338" t="s">
        <v>56</v>
      </c>
      <c r="H33" s="43">
        <f t="shared" si="22"/>
        <v>44986</v>
      </c>
      <c r="I33" s="264">
        <v>0</v>
      </c>
      <c r="J33" s="64">
        <f t="shared" ca="1" si="15"/>
        <v>0</v>
      </c>
      <c r="K33" s="19">
        <f ca="1">SUMPRODUCT(V$7:V33,OFFSET($J$366,ROW($I$7)-ROW(),0):$J$366)</f>
        <v>0</v>
      </c>
      <c r="L33" s="19">
        <f ca="1">SUMPRODUCT(W$7:W33,OFFSET($J$366,ROW($I$7)-ROW(),0):$J$366)</f>
        <v>0</v>
      </c>
      <c r="M33" s="19">
        <f ca="1">SUMPRODUCT(X$7:X33,OFFSET($J$366,ROW($I$7)-ROW(),0):$J$366)</f>
        <v>0</v>
      </c>
      <c r="N33" s="19"/>
      <c r="O33" s="43">
        <f t="shared" si="16"/>
        <v>44256</v>
      </c>
      <c r="P33" s="24">
        <f t="shared" si="17"/>
        <v>790</v>
      </c>
      <c r="Q33" s="19">
        <f t="shared" si="23"/>
        <v>30.574845304532118</v>
      </c>
      <c r="R33" s="19">
        <f t="shared" si="1"/>
        <v>129.37417566621133</v>
      </c>
      <c r="S33" s="19">
        <f t="shared" si="2"/>
        <v>19.723486639582742</v>
      </c>
      <c r="T33" s="19"/>
      <c r="U33" s="24">
        <f t="shared" si="24"/>
        <v>791.17999999999961</v>
      </c>
      <c r="V33" s="19">
        <f t="shared" si="3"/>
        <v>73.977995866463772</v>
      </c>
      <c r="W33" s="19">
        <f t="shared" si="4"/>
        <v>184.94498966615942</v>
      </c>
      <c r="X33" s="19">
        <f t="shared" si="5"/>
        <v>36.988997933231886</v>
      </c>
      <c r="Y33" s="27"/>
      <c r="Z33" s="42">
        <f t="shared" si="18"/>
        <v>44986</v>
      </c>
      <c r="AA33" s="19">
        <f t="shared" ca="1" si="6"/>
        <v>18.625894657657977</v>
      </c>
      <c r="AB33" s="19">
        <f t="shared" ca="1" si="7"/>
        <v>89.479203655122717</v>
      </c>
      <c r="AC33" s="19">
        <f t="shared" ca="1" si="8"/>
        <v>8.3819075549926172</v>
      </c>
      <c r="AD33" s="19">
        <f t="shared" ca="1" si="9"/>
        <v>13.421880548268406</v>
      </c>
      <c r="AE33" s="115">
        <f t="shared" ca="1" si="10"/>
        <v>577.40273438739723</v>
      </c>
      <c r="AF33" s="19">
        <f t="shared" ca="1" si="11"/>
        <v>2773.8553133088044</v>
      </c>
      <c r="AG33" s="19">
        <f t="shared" ca="1" si="12"/>
        <v>259.83913420477114</v>
      </c>
      <c r="AH33" s="19">
        <f t="shared" ca="1" si="13"/>
        <v>416.0782969963206</v>
      </c>
      <c r="AI33" s="46">
        <f t="shared" ca="1" si="19"/>
        <v>4804.0217825635373</v>
      </c>
      <c r="AJ33" s="55">
        <f t="shared" ca="1" si="20"/>
        <v>0.31035133806876325</v>
      </c>
      <c r="AK33" s="19">
        <f t="shared" ca="1" si="21"/>
        <v>208.15892293193912</v>
      </c>
      <c r="AL33" s="19">
        <f t="shared" ca="1" si="14"/>
        <v>149.99999999999997</v>
      </c>
    </row>
    <row r="34" spans="2:38" x14ac:dyDescent="0.25">
      <c r="B34" s="19"/>
      <c r="C34" s="339" t="s">
        <v>58</v>
      </c>
      <c r="D34" s="329"/>
      <c r="E34" s="329"/>
      <c r="F34" s="329"/>
      <c r="G34" s="329"/>
      <c r="H34" s="43">
        <f t="shared" si="22"/>
        <v>45017</v>
      </c>
      <c r="I34" s="264">
        <v>0</v>
      </c>
      <c r="J34" s="64">
        <f t="shared" ca="1" si="15"/>
        <v>0</v>
      </c>
      <c r="K34" s="19">
        <f ca="1">SUMPRODUCT(V$7:V34,OFFSET($J$366,ROW($I$7)-ROW(),0):$J$366)</f>
        <v>0</v>
      </c>
      <c r="L34" s="19">
        <f ca="1">SUMPRODUCT(W$7:W34,OFFSET($J$366,ROW($I$7)-ROW(),0):$J$366)</f>
        <v>0</v>
      </c>
      <c r="M34" s="19">
        <f ca="1">SUMPRODUCT(X$7:X34,OFFSET($J$366,ROW($I$7)-ROW(),0):$J$366)</f>
        <v>0</v>
      </c>
      <c r="N34" s="19"/>
      <c r="O34" s="43">
        <f t="shared" si="16"/>
        <v>44287</v>
      </c>
      <c r="P34" s="24">
        <f t="shared" si="17"/>
        <v>821</v>
      </c>
      <c r="Q34" s="19">
        <f t="shared" si="23"/>
        <v>29.763991369584929</v>
      </c>
      <c r="R34" s="19">
        <f t="shared" si="1"/>
        <v>126.97016401207293</v>
      </c>
      <c r="S34" s="19">
        <f t="shared" si="2"/>
        <v>19.018195662544148</v>
      </c>
      <c r="T34" s="19"/>
      <c r="U34" s="24">
        <f t="shared" si="24"/>
        <v>821.60999999999956</v>
      </c>
      <c r="V34" s="19">
        <f t="shared" si="3"/>
        <v>73.230229820442148</v>
      </c>
      <c r="W34" s="19">
        <f t="shared" si="4"/>
        <v>183.07557455110538</v>
      </c>
      <c r="X34" s="19">
        <f t="shared" si="5"/>
        <v>36.615114910221074</v>
      </c>
      <c r="Y34" s="27"/>
      <c r="Z34" s="42">
        <f t="shared" si="18"/>
        <v>45017</v>
      </c>
      <c r="AA34" s="19">
        <f t="shared" ca="1" si="6"/>
        <v>18.321825015000911</v>
      </c>
      <c r="AB34" s="19">
        <f t="shared" ca="1" si="7"/>
        <v>88.322608707661303</v>
      </c>
      <c r="AC34" s="19">
        <f t="shared" ca="1" si="8"/>
        <v>8.0834359496752111</v>
      </c>
      <c r="AD34" s="19">
        <f t="shared" ca="1" si="9"/>
        <v>13.248391306149195</v>
      </c>
      <c r="AE34" s="115">
        <f t="shared" ca="1" si="10"/>
        <v>549.65475045002734</v>
      </c>
      <c r="AF34" s="19">
        <f t="shared" ca="1" si="11"/>
        <v>2649.6782612298389</v>
      </c>
      <c r="AG34" s="19">
        <f t="shared" ca="1" si="12"/>
        <v>242.50307849025634</v>
      </c>
      <c r="AH34" s="19">
        <f t="shared" ca="1" si="13"/>
        <v>397.45173918447585</v>
      </c>
      <c r="AI34" s="46">
        <f t="shared" ca="1" si="19"/>
        <v>4820.6228711030462</v>
      </c>
      <c r="AJ34" s="55">
        <f t="shared" ca="1" si="20"/>
        <v>0.30612975044968882</v>
      </c>
      <c r="AK34" s="19">
        <f t="shared" ca="1" si="21"/>
        <v>207.44207268202706</v>
      </c>
      <c r="AL34" s="19">
        <f t="shared" ca="1" si="14"/>
        <v>150</v>
      </c>
    </row>
    <row r="35" spans="2:38" x14ac:dyDescent="0.25">
      <c r="B35" s="19"/>
      <c r="C35" s="19"/>
      <c r="D35" s="19"/>
      <c r="E35" s="19"/>
      <c r="F35" s="19"/>
      <c r="G35" s="19"/>
      <c r="H35" s="43">
        <f t="shared" si="22"/>
        <v>45047</v>
      </c>
      <c r="I35" s="264">
        <v>0</v>
      </c>
      <c r="J35" s="64">
        <f t="shared" ca="1" si="15"/>
        <v>0</v>
      </c>
      <c r="K35" s="19">
        <f ca="1">SUMPRODUCT(V$7:V35,OFFSET($J$366,ROW($I$7)-ROW(),0):$J$366)</f>
        <v>0</v>
      </c>
      <c r="L35" s="19">
        <f ca="1">SUMPRODUCT(W$7:W35,OFFSET($J$366,ROW($I$7)-ROW(),0):$J$366)</f>
        <v>0</v>
      </c>
      <c r="M35" s="19">
        <f ca="1">SUMPRODUCT(X$7:X35,OFFSET($J$366,ROW($I$7)-ROW(),0):$J$366)</f>
        <v>0</v>
      </c>
      <c r="N35" s="19"/>
      <c r="O35" s="43">
        <f t="shared" si="16"/>
        <v>44317</v>
      </c>
      <c r="P35" s="24">
        <f t="shared" si="17"/>
        <v>851</v>
      </c>
      <c r="Q35" s="19">
        <f t="shared" si="23"/>
        <v>29.01921885819441</v>
      </c>
      <c r="R35" s="19">
        <f t="shared" si="1"/>
        <v>124.72726391616615</v>
      </c>
      <c r="S35" s="19">
        <f t="shared" si="2"/>
        <v>18.359794437784302</v>
      </c>
      <c r="T35" s="19"/>
      <c r="U35" s="24">
        <f t="shared" si="24"/>
        <v>852.03999999999951</v>
      </c>
      <c r="V35" s="19">
        <f t="shared" si="3"/>
        <v>72.520839006761378</v>
      </c>
      <c r="W35" s="19">
        <f t="shared" si="4"/>
        <v>181.30209751690344</v>
      </c>
      <c r="X35" s="19">
        <f t="shared" si="5"/>
        <v>36.260419503380689</v>
      </c>
      <c r="Y35" s="27"/>
      <c r="Z35" s="42">
        <f t="shared" si="18"/>
        <v>45047</v>
      </c>
      <c r="AA35" s="19">
        <f t="shared" ca="1" si="6"/>
        <v>18.036869772170544</v>
      </c>
      <c r="AB35" s="19">
        <f t="shared" ca="1" si="7"/>
        <v>87.231440297145568</v>
      </c>
      <c r="AC35" s="19">
        <f t="shared" ca="1" si="8"/>
        <v>7.8047647533021127</v>
      </c>
      <c r="AD35" s="19">
        <f t="shared" ca="1" si="9"/>
        <v>13.084716044571834</v>
      </c>
      <c r="AE35" s="115">
        <f t="shared" ca="1" si="10"/>
        <v>559.14296293728682</v>
      </c>
      <c r="AF35" s="19">
        <f t="shared" ca="1" si="11"/>
        <v>2704.1746492115126</v>
      </c>
      <c r="AG35" s="19">
        <f t="shared" ca="1" si="12"/>
        <v>241.94770735236548</v>
      </c>
      <c r="AH35" s="19">
        <f t="shared" ca="1" si="13"/>
        <v>405.62619738172685</v>
      </c>
      <c r="AI35" s="46">
        <f t="shared" ca="1" si="19"/>
        <v>4836.284865333826</v>
      </c>
      <c r="AJ35" s="55">
        <f t="shared" ca="1" si="20"/>
        <v>0.30202287496980068</v>
      </c>
      <c r="AK35" s="19">
        <f t="shared" ca="1" si="21"/>
        <v>206.77028501111147</v>
      </c>
      <c r="AL35" s="19">
        <f t="shared" ca="1" si="14"/>
        <v>149.99999999999997</v>
      </c>
    </row>
    <row r="36" spans="2:38" x14ac:dyDescent="0.25">
      <c r="B36" s="19"/>
      <c r="C36" s="19"/>
      <c r="D36" s="19"/>
      <c r="E36" s="19"/>
      <c r="F36" s="19"/>
      <c r="G36" s="19"/>
      <c r="H36" s="43">
        <f t="shared" si="22"/>
        <v>45078</v>
      </c>
      <c r="I36" s="264">
        <v>0</v>
      </c>
      <c r="J36" s="64">
        <f t="shared" ca="1" si="15"/>
        <v>0</v>
      </c>
      <c r="K36" s="19">
        <f ca="1">SUMPRODUCT(V$7:V36,OFFSET($J$366,ROW($I$7)-ROW(),0):$J$366)</f>
        <v>0</v>
      </c>
      <c r="L36" s="19">
        <f ca="1">SUMPRODUCT(W$7:W36,OFFSET($J$366,ROW($I$7)-ROW(),0):$J$366)</f>
        <v>0</v>
      </c>
      <c r="M36" s="19">
        <f ca="1">SUMPRODUCT(X$7:X36,OFFSET($J$366,ROW($I$7)-ROW(),0):$J$366)</f>
        <v>0</v>
      </c>
      <c r="N36" s="19"/>
      <c r="O36" s="43">
        <f t="shared" si="16"/>
        <v>44348</v>
      </c>
      <c r="P36" s="24">
        <f t="shared" si="17"/>
        <v>882</v>
      </c>
      <c r="Q36" s="19">
        <f t="shared" si="23"/>
        <v>28.287790268865979</v>
      </c>
      <c r="R36" s="19">
        <f t="shared" si="1"/>
        <v>122.49135490353704</v>
      </c>
      <c r="S36" s="19">
        <f t="shared" si="2"/>
        <v>17.703498522213689</v>
      </c>
      <c r="T36" s="19"/>
      <c r="U36" s="24">
        <f t="shared" si="24"/>
        <v>882.46999999999946</v>
      </c>
      <c r="V36" s="19">
        <f t="shared" si="3"/>
        <v>71.802097487468544</v>
      </c>
      <c r="W36" s="19">
        <f t="shared" si="4"/>
        <v>179.50524371867135</v>
      </c>
      <c r="X36" s="19">
        <f t="shared" si="5"/>
        <v>35.901048743734272</v>
      </c>
      <c r="Y36" s="27"/>
      <c r="Z36" s="42">
        <f t="shared" si="18"/>
        <v>45078</v>
      </c>
      <c r="AA36" s="19">
        <f t="shared" ca="1" si="6"/>
        <v>17.751580535468889</v>
      </c>
      <c r="AB36" s="19">
        <f t="shared" ca="1" si="7"/>
        <v>86.131866969216389</v>
      </c>
      <c r="AC36" s="19">
        <f t="shared" ca="1" si="8"/>
        <v>7.5269419675546789</v>
      </c>
      <c r="AD36" s="19">
        <f t="shared" ca="1" si="9"/>
        <v>12.919780045382458</v>
      </c>
      <c r="AE36" s="115">
        <f t="shared" ca="1" si="10"/>
        <v>532.54741606406674</v>
      </c>
      <c r="AF36" s="19">
        <f t="shared" ca="1" si="11"/>
        <v>2583.9560090764917</v>
      </c>
      <c r="AG36" s="19">
        <f t="shared" ca="1" si="12"/>
        <v>225.80825902664037</v>
      </c>
      <c r="AH36" s="19">
        <f t="shared" ca="1" si="13"/>
        <v>387.59340136147375</v>
      </c>
      <c r="AI36" s="46">
        <f t="shared" ca="1" si="19"/>
        <v>4852.0674988415221</v>
      </c>
      <c r="AJ36" s="55">
        <f t="shared" ca="1" si="20"/>
        <v>0.29776036026846031</v>
      </c>
      <c r="AK36" s="19">
        <f t="shared" ca="1" si="21"/>
        <v>206.09770994297992</v>
      </c>
      <c r="AL36" s="19">
        <f t="shared" ca="1" si="14"/>
        <v>150</v>
      </c>
    </row>
    <row r="37" spans="2:38" x14ac:dyDescent="0.25">
      <c r="B37" s="19"/>
      <c r="C37" s="19"/>
      <c r="D37" s="19"/>
      <c r="E37" s="19"/>
      <c r="F37" s="19"/>
      <c r="G37" s="19"/>
      <c r="H37" s="43">
        <f t="shared" si="22"/>
        <v>45108</v>
      </c>
      <c r="I37" s="264">
        <v>0</v>
      </c>
      <c r="J37" s="64">
        <f t="shared" ca="1" si="15"/>
        <v>0</v>
      </c>
      <c r="K37" s="19">
        <f ca="1">SUMPRODUCT(V$7:V37,OFFSET($J$366,ROW($I$7)-ROW(),0):$J$366)</f>
        <v>0</v>
      </c>
      <c r="L37" s="19">
        <f ca="1">SUMPRODUCT(W$7:W37,OFFSET($J$366,ROW($I$7)-ROW(),0):$J$366)</f>
        <v>0</v>
      </c>
      <c r="M37" s="19">
        <f ca="1">SUMPRODUCT(X$7:X37,OFFSET($J$366,ROW($I$7)-ROW(),0):$J$366)</f>
        <v>0</v>
      </c>
      <c r="N37" s="19"/>
      <c r="O37" s="43">
        <f t="shared" si="16"/>
        <v>44378</v>
      </c>
      <c r="P37" s="24">
        <f t="shared" si="17"/>
        <v>912</v>
      </c>
      <c r="Q37" s="19">
        <f t="shared" si="23"/>
        <v>27.614226592351095</v>
      </c>
      <c r="R37" s="19">
        <f t="shared" si="1"/>
        <v>120.40259681028866</v>
      </c>
      <c r="S37" s="19">
        <f t="shared" si="2"/>
        <v>17.090827127208993</v>
      </c>
      <c r="T37" s="19"/>
      <c r="U37" s="24">
        <f t="shared" si="24"/>
        <v>912.89999999999941</v>
      </c>
      <c r="V37" s="19">
        <f t="shared" si="3"/>
        <v>71.11997701853582</v>
      </c>
      <c r="W37" s="19">
        <f t="shared" si="4"/>
        <v>177.79994254633957</v>
      </c>
      <c r="X37" s="19">
        <f t="shared" si="5"/>
        <v>35.55998850926791</v>
      </c>
      <c r="Y37" s="27"/>
      <c r="Z37" s="42">
        <f t="shared" si="18"/>
        <v>45108</v>
      </c>
      <c r="AA37" s="19">
        <f t="shared" ca="1" si="6"/>
        <v>17.48395748293359</v>
      </c>
      <c r="AB37" s="19">
        <f t="shared" ca="1" si="7"/>
        <v>85.093839528818719</v>
      </c>
      <c r="AC37" s="19">
        <f t="shared" ca="1" si="8"/>
        <v>7.2675464452489935</v>
      </c>
      <c r="AD37" s="19">
        <f t="shared" ca="1" si="9"/>
        <v>12.764075929322807</v>
      </c>
      <c r="AE37" s="115">
        <f t="shared" ca="1" si="10"/>
        <v>542.00268197094124</v>
      </c>
      <c r="AF37" s="19">
        <f t="shared" ca="1" si="11"/>
        <v>2637.9090253933805</v>
      </c>
      <c r="AG37" s="19">
        <f t="shared" ca="1" si="12"/>
        <v>225.2939398027188</v>
      </c>
      <c r="AH37" s="19">
        <f t="shared" ca="1" si="13"/>
        <v>395.68635380900702</v>
      </c>
      <c r="AI37" s="46">
        <f t="shared" ca="1" si="19"/>
        <v>4866.9667386162646</v>
      </c>
      <c r="AJ37" s="55">
        <f t="shared" ca="1" si="20"/>
        <v>0.29362039843461846</v>
      </c>
      <c r="AK37" s="19">
        <f t="shared" ca="1" si="21"/>
        <v>205.4667832565282</v>
      </c>
      <c r="AL37" s="19">
        <f t="shared" ca="1" si="14"/>
        <v>150</v>
      </c>
    </row>
    <row r="38" spans="2:38" x14ac:dyDescent="0.25">
      <c r="B38" s="19"/>
      <c r="C38" s="19"/>
      <c r="D38" s="19"/>
      <c r="E38" s="19"/>
      <c r="F38" s="19"/>
      <c r="G38" s="19"/>
      <c r="H38" s="43">
        <f t="shared" si="22"/>
        <v>45139</v>
      </c>
      <c r="I38" s="264">
        <v>0</v>
      </c>
      <c r="J38" s="64">
        <f t="shared" ca="1" si="15"/>
        <v>0</v>
      </c>
      <c r="K38" s="19">
        <f ca="1">SUMPRODUCT(V$7:V38,OFFSET($J$366,ROW($I$7)-ROW(),0):$J$366)</f>
        <v>0</v>
      </c>
      <c r="L38" s="19">
        <f ca="1">SUMPRODUCT(W$7:W38,OFFSET($J$366,ROW($I$7)-ROW(),0):$J$366)</f>
        <v>0</v>
      </c>
      <c r="M38" s="19">
        <f ca="1">SUMPRODUCT(X$7:X38,OFFSET($J$366,ROW($I$7)-ROW(),0):$J$366)</f>
        <v>0</v>
      </c>
      <c r="N38" s="19"/>
      <c r="O38" s="43">
        <f t="shared" si="16"/>
        <v>44409</v>
      </c>
      <c r="P38" s="24">
        <f t="shared" si="17"/>
        <v>943</v>
      </c>
      <c r="Q38" s="19">
        <f t="shared" si="23"/>
        <v>26.951099812445086</v>
      </c>
      <c r="R38" s="19">
        <f t="shared" si="1"/>
        <v>118.31775519381934</v>
      </c>
      <c r="S38" s="19">
        <f t="shared" si="2"/>
        <v>16.480106945878568</v>
      </c>
      <c r="T38" s="19"/>
      <c r="U38" s="24">
        <f t="shared" si="24"/>
        <v>943.32999999999936</v>
      </c>
      <c r="V38" s="19">
        <f t="shared" si="3"/>
        <v>70.428602355249296</v>
      </c>
      <c r="W38" s="19">
        <f t="shared" si="4"/>
        <v>176.07150588812323</v>
      </c>
      <c r="X38" s="19">
        <f t="shared" si="5"/>
        <v>35.214301177624648</v>
      </c>
      <c r="Y38" s="27"/>
      <c r="Z38" s="42">
        <f t="shared" si="18"/>
        <v>45139</v>
      </c>
      <c r="AA38" s="19">
        <f t="shared" ca="1" si="6"/>
        <v>17.21576095221738</v>
      </c>
      <c r="AB38" s="19">
        <f t="shared" ca="1" si="7"/>
        <v>84.047172556186112</v>
      </c>
      <c r="AC38" s="19">
        <f t="shared" ca="1" si="8"/>
        <v>7.0089373451132202</v>
      </c>
      <c r="AD38" s="19">
        <f t="shared" ca="1" si="9"/>
        <v>12.607075883427918</v>
      </c>
      <c r="AE38" s="115">
        <f t="shared" ca="1" si="10"/>
        <v>533.68858951873881</v>
      </c>
      <c r="AF38" s="19">
        <f t="shared" ca="1" si="11"/>
        <v>2605.4623492417695</v>
      </c>
      <c r="AG38" s="19">
        <f t="shared" ca="1" si="12"/>
        <v>217.27705769850982</v>
      </c>
      <c r="AH38" s="19">
        <f t="shared" ca="1" si="13"/>
        <v>390.81935238626545</v>
      </c>
      <c r="AI38" s="46">
        <f t="shared" ca="1" si="19"/>
        <v>4881.98998519208</v>
      </c>
      <c r="AJ38" s="55">
        <f t="shared" ca="1" si="20"/>
        <v>0.2893302223658884</v>
      </c>
      <c r="AK38" s="19">
        <f t="shared" ca="1" si="21"/>
        <v>204.83450458382197</v>
      </c>
      <c r="AL38" s="19">
        <f t="shared" ca="1" si="14"/>
        <v>150</v>
      </c>
    </row>
    <row r="39" spans="2:38" x14ac:dyDescent="0.25">
      <c r="B39" s="19"/>
      <c r="C39" s="19"/>
      <c r="D39" s="19"/>
      <c r="E39" s="19"/>
      <c r="F39" s="19"/>
      <c r="G39" s="19"/>
      <c r="H39" s="43">
        <f t="shared" si="22"/>
        <v>45170</v>
      </c>
      <c r="I39" s="264">
        <v>0</v>
      </c>
      <c r="J39" s="64">
        <f t="shared" ca="1" si="15"/>
        <v>0</v>
      </c>
      <c r="K39" s="19">
        <f ca="1">SUMPRODUCT(V$7:V39,OFFSET($J$366,ROW($I$7)-ROW(),0):$J$366)</f>
        <v>0</v>
      </c>
      <c r="L39" s="19">
        <f ca="1">SUMPRODUCT(W$7:W39,OFFSET($J$366,ROW($I$7)-ROW(),0):$J$366)</f>
        <v>0</v>
      </c>
      <c r="M39" s="19">
        <f ca="1">SUMPRODUCT(X$7:X39,OFFSET($J$366,ROW($I$7)-ROW(),0):$J$366)</f>
        <v>0</v>
      </c>
      <c r="N39" s="19"/>
      <c r="O39" s="43">
        <f t="shared" si="16"/>
        <v>44440</v>
      </c>
      <c r="P39" s="24">
        <f t="shared" si="17"/>
        <v>974</v>
      </c>
      <c r="Q39" s="19">
        <f t="shared" si="23"/>
        <v>26.319074749905599</v>
      </c>
      <c r="R39" s="19">
        <f t="shared" si="1"/>
        <v>116.30388517446382</v>
      </c>
      <c r="S39" s="19">
        <f t="shared" si="2"/>
        <v>15.891315303961013</v>
      </c>
      <c r="T39" s="19"/>
      <c r="U39" s="24">
        <f t="shared" si="24"/>
        <v>973.75999999999931</v>
      </c>
      <c r="V39" s="19">
        <f t="shared" si="3"/>
        <v>69.750540320505181</v>
      </c>
      <c r="W39" s="19">
        <f t="shared" si="4"/>
        <v>174.37635080126293</v>
      </c>
      <c r="X39" s="19">
        <f t="shared" si="5"/>
        <v>34.87527016025259</v>
      </c>
      <c r="Y39" s="27"/>
      <c r="Z39" s="42">
        <f t="shared" si="18"/>
        <v>45170</v>
      </c>
      <c r="AA39" s="19">
        <f t="shared" ca="1" si="6"/>
        <v>16.955668156860035</v>
      </c>
      <c r="AB39" s="19">
        <f t="shared" ca="1" si="7"/>
        <v>83.025941044664506</v>
      </c>
      <c r="AC39" s="19">
        <f t="shared" ca="1" si="8"/>
        <v>6.7595749789058415</v>
      </c>
      <c r="AD39" s="19">
        <f t="shared" ca="1" si="9"/>
        <v>12.453891156699674</v>
      </c>
      <c r="AE39" s="115">
        <f t="shared" ca="1" si="10"/>
        <v>508.67004470580105</v>
      </c>
      <c r="AF39" s="19">
        <f t="shared" ca="1" si="11"/>
        <v>2490.7782313399352</v>
      </c>
      <c r="AG39" s="19">
        <f t="shared" ca="1" si="12"/>
        <v>202.78724936717524</v>
      </c>
      <c r="AH39" s="19">
        <f t="shared" ca="1" si="13"/>
        <v>373.61673470099021</v>
      </c>
      <c r="AI39" s="46">
        <f t="shared" ca="1" si="19"/>
        <v>4896.6481460108862</v>
      </c>
      <c r="AJ39" s="55">
        <f t="shared" ca="1" si="20"/>
        <v>0.28503081078310616</v>
      </c>
      <c r="AK39" s="19">
        <f t="shared" ca="1" si="21"/>
        <v>204.22133062892462</v>
      </c>
      <c r="AL39" s="19">
        <f t="shared" ca="1" si="14"/>
        <v>149.99999999999997</v>
      </c>
    </row>
    <row r="40" spans="2:38" x14ac:dyDescent="0.25">
      <c r="B40" s="19"/>
      <c r="C40" s="19"/>
      <c r="D40" s="19"/>
      <c r="E40" s="19"/>
      <c r="F40" s="19"/>
      <c r="G40" s="19"/>
      <c r="H40" s="43">
        <f t="shared" si="22"/>
        <v>45200</v>
      </c>
      <c r="I40" s="264">
        <v>0</v>
      </c>
      <c r="J40" s="64">
        <f t="shared" ca="1" si="15"/>
        <v>0</v>
      </c>
      <c r="K40" s="19">
        <f ca="1">SUMPRODUCT(V$7:V40,OFFSET($J$366,ROW($I$7)-ROW(),0):$J$366)</f>
        <v>0</v>
      </c>
      <c r="L40" s="19">
        <f ca="1">SUMPRODUCT(W$7:W40,OFFSET($J$366,ROW($I$7)-ROW(),0):$J$366)</f>
        <v>0</v>
      </c>
      <c r="M40" s="19">
        <f ca="1">SUMPRODUCT(X$7:X40,OFFSET($J$366,ROW($I$7)-ROW(),0):$J$366)</f>
        <v>0</v>
      </c>
      <c r="N40" s="19"/>
      <c r="O40" s="43">
        <f t="shared" si="16"/>
        <v>44470</v>
      </c>
      <c r="P40" s="24">
        <f t="shared" si="17"/>
        <v>1004</v>
      </c>
      <c r="Q40" s="19">
        <f t="shared" si="23"/>
        <v>25.735035360770443</v>
      </c>
      <c r="R40" s="19">
        <f t="shared" si="1"/>
        <v>114.41919501007219</v>
      </c>
      <c r="S40" s="19">
        <f t="shared" si="2"/>
        <v>15.34165043838383</v>
      </c>
      <c r="T40" s="19"/>
      <c r="U40" s="24">
        <f t="shared" si="24"/>
        <v>1004.1899999999993</v>
      </c>
      <c r="V40" s="19">
        <f t="shared" si="3"/>
        <v>69.106667827070098</v>
      </c>
      <c r="W40" s="19">
        <f t="shared" si="4"/>
        <v>172.76666956767525</v>
      </c>
      <c r="X40" s="19">
        <f t="shared" si="5"/>
        <v>34.553333913535049</v>
      </c>
      <c r="Y40" s="27"/>
      <c r="Z40" s="42">
        <f t="shared" si="18"/>
        <v>45200</v>
      </c>
      <c r="AA40" s="19">
        <f t="shared" ca="1" si="6"/>
        <v>16.711340323867276</v>
      </c>
      <c r="AB40" s="19">
        <f t="shared" ca="1" si="7"/>
        <v>82.06100727935484</v>
      </c>
      <c r="AC40" s="19">
        <f t="shared" ca="1" si="8"/>
        <v>6.5267476849253629</v>
      </c>
      <c r="AD40" s="19">
        <f t="shared" ca="1" si="9"/>
        <v>12.309151091903225</v>
      </c>
      <c r="AE40" s="115">
        <f t="shared" ca="1" si="10"/>
        <v>518.05155003988557</v>
      </c>
      <c r="AF40" s="19">
        <f t="shared" ca="1" si="11"/>
        <v>2543.8912256600001</v>
      </c>
      <c r="AG40" s="19">
        <f t="shared" ca="1" si="12"/>
        <v>202.32917823268625</v>
      </c>
      <c r="AH40" s="19">
        <f t="shared" ca="1" si="13"/>
        <v>381.58368384899995</v>
      </c>
      <c r="AI40" s="46">
        <f t="shared" ca="1" si="19"/>
        <v>4910.4982418528471</v>
      </c>
      <c r="AJ40" s="55">
        <f t="shared" ca="1" si="20"/>
        <v>0.28086422955519513</v>
      </c>
      <c r="AK40" s="19">
        <f t="shared" ca="1" si="21"/>
        <v>203.64532288737291</v>
      </c>
      <c r="AL40" s="19">
        <f t="shared" ca="1" si="14"/>
        <v>149.99999999999997</v>
      </c>
    </row>
    <row r="41" spans="2:38" x14ac:dyDescent="0.25">
      <c r="B41" s="19"/>
      <c r="C41" s="19"/>
      <c r="D41" s="19"/>
      <c r="E41" s="19"/>
      <c r="F41" s="19"/>
      <c r="G41" s="19"/>
      <c r="H41" s="43">
        <f t="shared" si="22"/>
        <v>45231</v>
      </c>
      <c r="I41" s="264">
        <v>0</v>
      </c>
      <c r="J41" s="64">
        <f t="shared" ca="1" si="15"/>
        <v>0</v>
      </c>
      <c r="K41" s="19">
        <f ca="1">SUMPRODUCT(V$7:V41,OFFSET($J$366,ROW($I$7)-ROW(),0):$J$366)</f>
        <v>0</v>
      </c>
      <c r="L41" s="19">
        <f ca="1">SUMPRODUCT(W$7:W41,OFFSET($J$366,ROW($I$7)-ROW(),0):$J$366)</f>
        <v>0</v>
      </c>
      <c r="M41" s="19">
        <f ca="1">SUMPRODUCT(X$7:X41,OFFSET($J$366,ROW($I$7)-ROW(),0):$J$366)</f>
        <v>0</v>
      </c>
      <c r="N41" s="19"/>
      <c r="O41" s="43">
        <f t="shared" si="16"/>
        <v>44501</v>
      </c>
      <c r="P41" s="24">
        <f t="shared" si="17"/>
        <v>1035</v>
      </c>
      <c r="Q41" s="19">
        <f t="shared" si="23"/>
        <v>25.158148515095895</v>
      </c>
      <c r="R41" s="19">
        <f t="shared" si="1"/>
        <v>112.53479539799044</v>
      </c>
      <c r="S41" s="19">
        <f t="shared" si="2"/>
        <v>14.793725486860563</v>
      </c>
      <c r="T41" s="19"/>
      <c r="U41" s="24">
        <f t="shared" si="24"/>
        <v>1034.6199999999992</v>
      </c>
      <c r="V41" s="19">
        <f t="shared" si="3"/>
        <v>68.453703158796131</v>
      </c>
      <c r="W41" s="19">
        <f t="shared" si="4"/>
        <v>171.13425789699033</v>
      </c>
      <c r="X41" s="19">
        <f t="shared" si="5"/>
        <v>34.226851579398065</v>
      </c>
      <c r="Y41" s="27"/>
      <c r="Z41" s="42">
        <f t="shared" si="18"/>
        <v>45231</v>
      </c>
      <c r="AA41" s="19">
        <f t="shared" ca="1" si="6"/>
        <v>16.466157112600389</v>
      </c>
      <c r="AB41" s="19">
        <f t="shared" ca="1" si="7"/>
        <v>81.08719241449738</v>
      </c>
      <c r="AC41" s="19">
        <f t="shared" ca="1" si="8"/>
        <v>6.2946217962309099</v>
      </c>
      <c r="AD41" s="19">
        <f t="shared" ca="1" si="9"/>
        <v>12.163078862174608</v>
      </c>
      <c r="AE41" s="115">
        <f t="shared" ca="1" si="10"/>
        <v>493.98471337801163</v>
      </c>
      <c r="AF41" s="19">
        <f t="shared" ca="1" si="11"/>
        <v>2432.6157724349214</v>
      </c>
      <c r="AG41" s="19">
        <f t="shared" ca="1" si="12"/>
        <v>188.83865388692729</v>
      </c>
      <c r="AH41" s="19">
        <f t="shared" ca="1" si="13"/>
        <v>364.89236586523822</v>
      </c>
      <c r="AI41" s="46">
        <f t="shared" ca="1" si="19"/>
        <v>4924.475811812039</v>
      </c>
      <c r="AJ41" s="55">
        <f t="shared" ca="1" si="20"/>
        <v>0.27655564079964612</v>
      </c>
      <c r="AK41" s="19">
        <f t="shared" ca="1" si="21"/>
        <v>203.06729857447183</v>
      </c>
      <c r="AL41" s="19">
        <f t="shared" ca="1" si="14"/>
        <v>150</v>
      </c>
    </row>
    <row r="42" spans="2:38" x14ac:dyDescent="0.25">
      <c r="B42" s="19"/>
      <c r="C42" s="19"/>
      <c r="D42" s="19"/>
      <c r="E42" s="19"/>
      <c r="F42" s="19"/>
      <c r="G42" s="19"/>
      <c r="H42" s="44">
        <f t="shared" si="22"/>
        <v>45261</v>
      </c>
      <c r="I42" s="265">
        <v>0</v>
      </c>
      <c r="J42" s="65">
        <f t="shared" ca="1" si="15"/>
        <v>0</v>
      </c>
      <c r="K42" s="21">
        <f ca="1">SUMPRODUCT(V$7:V42,OFFSET($J$366,ROW($I$7)-ROW(),0):$J$366)</f>
        <v>0</v>
      </c>
      <c r="L42" s="21">
        <f ca="1">SUMPRODUCT(W$7:W42,OFFSET($J$366,ROW($I$7)-ROW(),0):$J$366)</f>
        <v>0</v>
      </c>
      <c r="M42" s="21">
        <f ca="1">SUMPRODUCT(X$7:X42,OFFSET($J$366,ROW($I$7)-ROW(),0):$J$366)</f>
        <v>0</v>
      </c>
      <c r="N42" s="19"/>
      <c r="O42" s="44">
        <f t="shared" si="16"/>
        <v>44531</v>
      </c>
      <c r="P42" s="25">
        <f t="shared" si="17"/>
        <v>1065</v>
      </c>
      <c r="Q42" s="21">
        <f t="shared" si="23"/>
        <v>24.623973509766579</v>
      </c>
      <c r="R42" s="21">
        <f t="shared" si="1"/>
        <v>110.76935401671048</v>
      </c>
      <c r="S42" s="21">
        <f t="shared" si="2"/>
        <v>14.282205026682595</v>
      </c>
      <c r="T42" s="19"/>
      <c r="U42" s="25">
        <f t="shared" si="24"/>
        <v>1065.0499999999993</v>
      </c>
      <c r="V42" s="21">
        <f t="shared" si="3"/>
        <v>67.833444039540325</v>
      </c>
      <c r="W42" s="21">
        <f t="shared" si="4"/>
        <v>169.58361009885081</v>
      </c>
      <c r="X42" s="21">
        <f t="shared" si="5"/>
        <v>33.916722019770162</v>
      </c>
      <c r="Y42" s="27"/>
      <c r="Z42" s="48">
        <f t="shared" si="18"/>
        <v>45261</v>
      </c>
      <c r="AA42" s="21">
        <f t="shared" ca="1" si="6"/>
        <v>16.235637253421221</v>
      </c>
      <c r="AB42" s="21">
        <f t="shared" ca="1" si="7"/>
        <v>80.166547209045888</v>
      </c>
      <c r="AC42" s="21">
        <f t="shared" ca="1" si="8"/>
        <v>6.0778852729471584</v>
      </c>
      <c r="AD42" s="21">
        <f t="shared" ca="1" si="9"/>
        <v>12.024982081356882</v>
      </c>
      <c r="AE42" s="116">
        <f t="shared" ca="1" si="10"/>
        <v>503.30475485605785</v>
      </c>
      <c r="AF42" s="21">
        <f t="shared" ca="1" si="11"/>
        <v>2485.1629634804226</v>
      </c>
      <c r="AG42" s="21">
        <f t="shared" ca="1" si="12"/>
        <v>188.41444346136191</v>
      </c>
      <c r="AH42" s="21">
        <f t="shared" ca="1" si="13"/>
        <v>372.77444452206333</v>
      </c>
      <c r="AI42" s="47">
        <f t="shared" ca="1" si="19"/>
        <v>4937.6902155259086</v>
      </c>
      <c r="AJ42" s="57">
        <f t="shared" ca="1" si="20"/>
        <v>0.27238573675513528</v>
      </c>
      <c r="AK42" s="21">
        <f t="shared" ca="1" si="21"/>
        <v>202.52384340670736</v>
      </c>
      <c r="AL42" s="21">
        <f t="shared" ca="1" si="14"/>
        <v>150</v>
      </c>
    </row>
    <row r="43" spans="2:38" x14ac:dyDescent="0.25">
      <c r="B43" s="19"/>
      <c r="C43" s="19"/>
      <c r="D43" s="19"/>
      <c r="E43" s="19"/>
      <c r="F43" s="19"/>
      <c r="G43" s="19"/>
      <c r="H43" s="43">
        <f t="shared" si="22"/>
        <v>45292</v>
      </c>
      <c r="I43" s="264">
        <v>0</v>
      </c>
      <c r="J43" s="64">
        <f t="shared" ca="1" si="15"/>
        <v>0</v>
      </c>
      <c r="K43" s="19">
        <f ca="1">SUMPRODUCT(V$7:V43,OFFSET($J$366,ROW($I$7)-ROW(),0):$J$366)</f>
        <v>0</v>
      </c>
      <c r="L43" s="19">
        <f ca="1">SUMPRODUCT(W$7:W43,OFFSET($J$366,ROW($I$7)-ROW(),0):$J$366)</f>
        <v>0</v>
      </c>
      <c r="M43" s="19">
        <f ca="1">SUMPRODUCT(X$7:X43,OFFSET($J$366,ROW($I$7)-ROW(),0):$J$366)</f>
        <v>0</v>
      </c>
      <c r="N43" s="19"/>
      <c r="O43" s="43">
        <f t="shared" si="16"/>
        <v>44562</v>
      </c>
      <c r="P43" s="24">
        <f t="shared" si="17"/>
        <v>1096</v>
      </c>
      <c r="Q43" s="19">
        <f t="shared" si="23"/>
        <v>24.095311776237747</v>
      </c>
      <c r="R43" s="19">
        <f t="shared" si="1"/>
        <v>109.0023290207277</v>
      </c>
      <c r="S43" s="19">
        <f t="shared" si="2"/>
        <v>13.772297179288524</v>
      </c>
      <c r="T43" s="19"/>
      <c r="U43" s="24">
        <f t="shared" si="24"/>
        <v>1095.4799999999993</v>
      </c>
      <c r="V43" s="19">
        <f t="shared" si="3"/>
        <v>67.204208676960405</v>
      </c>
      <c r="W43" s="19">
        <f t="shared" si="4"/>
        <v>168.01052169240103</v>
      </c>
      <c r="X43" s="19">
        <f t="shared" si="5"/>
        <v>33.602104338480203</v>
      </c>
      <c r="Y43" s="27"/>
      <c r="Z43" s="42">
        <f t="shared" si="18"/>
        <v>45292</v>
      </c>
      <c r="AA43" s="19">
        <f t="shared" ca="1" si="6"/>
        <v>16.00411738975162</v>
      </c>
      <c r="AB43" s="19">
        <f t="shared" ca="1" si="7"/>
        <v>79.236921627663989</v>
      </c>
      <c r="AC43" s="19">
        <f t="shared" ca="1" si="8"/>
        <v>5.8617989248608611</v>
      </c>
      <c r="AD43" s="19">
        <f t="shared" ca="1" si="9"/>
        <v>11.885538244149599</v>
      </c>
      <c r="AE43" s="115">
        <f t="shared" ca="1" si="10"/>
        <v>496.12763908230022</v>
      </c>
      <c r="AF43" s="19">
        <f t="shared" ca="1" si="11"/>
        <v>2456.3445704575838</v>
      </c>
      <c r="AG43" s="19">
        <f t="shared" ca="1" si="12"/>
        <v>181.71576667068669</v>
      </c>
      <c r="AH43" s="19">
        <f t="shared" ca="1" si="13"/>
        <v>368.45168556863757</v>
      </c>
      <c r="AI43" s="46">
        <f t="shared" ca="1" si="19"/>
        <v>4951.0335183122352</v>
      </c>
      <c r="AJ43" s="55">
        <f t="shared" ca="1" si="20"/>
        <v>0.26807927189145775</v>
      </c>
      <c r="AK43" s="19">
        <f t="shared" ca="1" si="21"/>
        <v>201.97803070840274</v>
      </c>
      <c r="AL43" s="19">
        <f t="shared" ca="1" si="14"/>
        <v>150</v>
      </c>
    </row>
    <row r="44" spans="2:38" x14ac:dyDescent="0.25">
      <c r="B44" s="19"/>
      <c r="C44" s="19"/>
      <c r="D44" s="19"/>
      <c r="E44" s="19"/>
      <c r="F44" s="19"/>
      <c r="G44" s="19"/>
      <c r="H44" s="43">
        <f t="shared" si="22"/>
        <v>45323</v>
      </c>
      <c r="I44" s="264">
        <v>0</v>
      </c>
      <c r="J44" s="64">
        <f t="shared" ca="1" si="15"/>
        <v>0</v>
      </c>
      <c r="K44" s="19">
        <f ca="1">SUMPRODUCT(V$7:V44,OFFSET($J$366,ROW($I$7)-ROW(),0):$J$366)</f>
        <v>0</v>
      </c>
      <c r="L44" s="19">
        <f ca="1">SUMPRODUCT(W$7:W44,OFFSET($J$366,ROW($I$7)-ROW(),0):$J$366)</f>
        <v>0</v>
      </c>
      <c r="M44" s="19">
        <f ca="1">SUMPRODUCT(X$7:X44,OFFSET($J$366,ROW($I$7)-ROW(),0):$J$366)</f>
        <v>0</v>
      </c>
      <c r="N44" s="19"/>
      <c r="O44" s="43">
        <f t="shared" si="16"/>
        <v>44593</v>
      </c>
      <c r="P44" s="24">
        <f t="shared" si="17"/>
        <v>1127</v>
      </c>
      <c r="Q44" s="19">
        <f t="shared" si="23"/>
        <v>23.588873020603231</v>
      </c>
      <c r="R44" s="19">
        <f t="shared" si="1"/>
        <v>107.29079501110549</v>
      </c>
      <c r="S44" s="19">
        <f t="shared" si="2"/>
        <v>13.28068197414235</v>
      </c>
      <c r="T44" s="19"/>
      <c r="U44" s="24">
        <f t="shared" si="24"/>
        <v>1125.9099999999994</v>
      </c>
      <c r="V44" s="19">
        <f t="shared" si="3"/>
        <v>66.586539824630421</v>
      </c>
      <c r="W44" s="19">
        <f t="shared" si="4"/>
        <v>166.46634956157604</v>
      </c>
      <c r="X44" s="19">
        <f t="shared" si="5"/>
        <v>33.29326991231521</v>
      </c>
      <c r="Y44" s="27"/>
      <c r="Z44" s="42">
        <f t="shared" si="18"/>
        <v>45323</v>
      </c>
      <c r="AA44" s="19">
        <f t="shared" ca="1" si="6"/>
        <v>15.779107629421953</v>
      </c>
      <c r="AB44" s="19">
        <f t="shared" ca="1" si="7"/>
        <v>78.328609104391333</v>
      </c>
      <c r="AC44" s="19">
        <f t="shared" ca="1" si="8"/>
        <v>5.6534321057340744</v>
      </c>
      <c r="AD44" s="19">
        <f t="shared" ca="1" si="9"/>
        <v>11.749291365658701</v>
      </c>
      <c r="AE44" s="115">
        <f t="shared" ca="1" si="10"/>
        <v>457.59412125323661</v>
      </c>
      <c r="AF44" s="19">
        <f t="shared" ca="1" si="11"/>
        <v>2271.5296640273486</v>
      </c>
      <c r="AG44" s="19">
        <f t="shared" ca="1" si="12"/>
        <v>163.94953106628816</v>
      </c>
      <c r="AH44" s="19">
        <f t="shared" ca="1" si="13"/>
        <v>340.72944960410234</v>
      </c>
      <c r="AI44" s="46">
        <f t="shared" ca="1" si="19"/>
        <v>4964.0709059071678</v>
      </c>
      <c r="AJ44" s="55">
        <f t="shared" ca="1" si="20"/>
        <v>0.26377798317857254</v>
      </c>
      <c r="AK44" s="19">
        <f t="shared" ca="1" si="21"/>
        <v>201.44756570862342</v>
      </c>
      <c r="AL44" s="19">
        <f t="shared" ca="1" si="14"/>
        <v>150</v>
      </c>
    </row>
    <row r="45" spans="2:38" x14ac:dyDescent="0.25">
      <c r="B45" s="19"/>
      <c r="C45" s="19"/>
      <c r="D45" s="19"/>
      <c r="E45" s="19"/>
      <c r="F45" s="19"/>
      <c r="G45" s="19"/>
      <c r="H45" s="43">
        <f t="shared" si="22"/>
        <v>45352</v>
      </c>
      <c r="I45" s="264">
        <v>0</v>
      </c>
      <c r="J45" s="64">
        <f t="shared" ca="1" si="15"/>
        <v>0</v>
      </c>
      <c r="K45" s="19">
        <f ca="1">SUMPRODUCT(V$7:V45,OFFSET($J$366,ROW($I$7)-ROW(),0):$J$366)</f>
        <v>0</v>
      </c>
      <c r="L45" s="19">
        <f ca="1">SUMPRODUCT(W$7:W45,OFFSET($J$366,ROW($I$7)-ROW(),0):$J$366)</f>
        <v>0</v>
      </c>
      <c r="M45" s="19">
        <f ca="1">SUMPRODUCT(X$7:X45,OFFSET($J$366,ROW($I$7)-ROW(),0):$J$366)</f>
        <v>0</v>
      </c>
      <c r="N45" s="19"/>
      <c r="O45" s="43">
        <f t="shared" si="16"/>
        <v>44621</v>
      </c>
      <c r="P45" s="24">
        <f t="shared" si="17"/>
        <v>1155</v>
      </c>
      <c r="Q45" s="19">
        <f t="shared" si="23"/>
        <v>23.149401746967307</v>
      </c>
      <c r="R45" s="19">
        <f t="shared" si="1"/>
        <v>105.79044516514875</v>
      </c>
      <c r="S45" s="19">
        <f t="shared" si="2"/>
        <v>12.851816393095474</v>
      </c>
      <c r="T45" s="19"/>
      <c r="U45" s="24">
        <f t="shared" si="24"/>
        <v>1156.3399999999995</v>
      </c>
      <c r="V45" s="19">
        <f t="shared" si="3"/>
        <v>66.038323947052035</v>
      </c>
      <c r="W45" s="19">
        <f t="shared" si="4"/>
        <v>165.09580986763007</v>
      </c>
      <c r="X45" s="19">
        <f t="shared" si="5"/>
        <v>33.019161973526018</v>
      </c>
      <c r="Y45" s="27"/>
      <c r="Z45" s="42">
        <f t="shared" si="18"/>
        <v>45352</v>
      </c>
      <c r="AA45" s="19">
        <f t="shared" ca="1" si="6"/>
        <v>15.574268188491683</v>
      </c>
      <c r="AB45" s="19">
        <f t="shared" ca="1" si="7"/>
        <v>77.497549862387132</v>
      </c>
      <c r="AC45" s="19">
        <f t="shared" ca="1" si="8"/>
        <v>5.4652512434232543</v>
      </c>
      <c r="AD45" s="19">
        <f t="shared" ca="1" si="9"/>
        <v>11.62463247935807</v>
      </c>
      <c r="AE45" s="115">
        <f t="shared" ca="1" si="10"/>
        <v>482.80231384324219</v>
      </c>
      <c r="AF45" s="19">
        <f t="shared" ca="1" si="11"/>
        <v>2402.4240457340011</v>
      </c>
      <c r="AG45" s="19">
        <f t="shared" ca="1" si="12"/>
        <v>169.42278854612087</v>
      </c>
      <c r="AH45" s="19">
        <f t="shared" ca="1" si="13"/>
        <v>360.36360686010016</v>
      </c>
      <c r="AI45" s="46">
        <f t="shared" ca="1" si="19"/>
        <v>4975.9994450110034</v>
      </c>
      <c r="AJ45" s="55">
        <f t="shared" ca="1" si="20"/>
        <v>0.25976122036005206</v>
      </c>
      <c r="AK45" s="19">
        <f t="shared" ca="1" si="21"/>
        <v>200.96465263930287</v>
      </c>
      <c r="AL45" s="19">
        <f t="shared" ca="1" si="14"/>
        <v>150</v>
      </c>
    </row>
    <row r="46" spans="2:38" x14ac:dyDescent="0.25">
      <c r="B46" s="19"/>
      <c r="C46" s="19"/>
      <c r="D46" s="19"/>
      <c r="E46" s="19"/>
      <c r="F46" s="19"/>
      <c r="G46" s="19"/>
      <c r="H46" s="43">
        <f t="shared" si="22"/>
        <v>45383</v>
      </c>
      <c r="I46" s="264">
        <v>0</v>
      </c>
      <c r="J46" s="64">
        <f t="shared" ca="1" si="15"/>
        <v>0</v>
      </c>
      <c r="K46" s="19">
        <f ca="1">SUMPRODUCT(V$7:V46,OFFSET($J$366,ROW($I$7)-ROW(),0):$J$366)</f>
        <v>0</v>
      </c>
      <c r="L46" s="19">
        <f ca="1">SUMPRODUCT(W$7:W46,OFFSET($J$366,ROW($I$7)-ROW(),0):$J$366)</f>
        <v>0</v>
      </c>
      <c r="M46" s="19">
        <f ca="1">SUMPRODUCT(X$7:X46,OFFSET($J$366,ROW($I$7)-ROW(),0):$J$366)</f>
        <v>0</v>
      </c>
      <c r="N46" s="19"/>
      <c r="O46" s="43">
        <f t="shared" si="16"/>
        <v>44652</v>
      </c>
      <c r="P46" s="24">
        <f t="shared" si="17"/>
        <v>1186</v>
      </c>
      <c r="Q46" s="19">
        <f t="shared" si="23"/>
        <v>22.681559038533493</v>
      </c>
      <c r="R46" s="19">
        <f t="shared" si="1"/>
        <v>104.17754364829139</v>
      </c>
      <c r="S46" s="19">
        <f t="shared" si="2"/>
        <v>12.393214386417208</v>
      </c>
      <c r="T46" s="19"/>
      <c r="U46" s="24">
        <f t="shared" si="24"/>
        <v>1186.7699999999995</v>
      </c>
      <c r="V46" s="19">
        <f t="shared" si="3"/>
        <v>65.441805202061829</v>
      </c>
      <c r="W46" s="19">
        <f t="shared" si="4"/>
        <v>163.60451300515456</v>
      </c>
      <c r="X46" s="19">
        <f t="shared" si="5"/>
        <v>32.720902601030915</v>
      </c>
      <c r="Y46" s="27"/>
      <c r="Z46" s="42">
        <f t="shared" si="18"/>
        <v>45383</v>
      </c>
      <c r="AA46" s="19">
        <f t="shared" ca="1" si="6"/>
        <v>15.361102536240018</v>
      </c>
      <c r="AB46" s="19">
        <f t="shared" ca="1" si="7"/>
        <v>76.628458657866929</v>
      </c>
      <c r="AC46" s="19">
        <f t="shared" ca="1" si="8"/>
        <v>5.2710471311428568</v>
      </c>
      <c r="AD46" s="19">
        <f t="shared" ca="1" si="9"/>
        <v>11.494268798680039</v>
      </c>
      <c r="AE46" s="115">
        <f t="shared" ca="1" si="10"/>
        <v>460.83307608720054</v>
      </c>
      <c r="AF46" s="19">
        <f t="shared" ca="1" si="11"/>
        <v>2298.8537597360078</v>
      </c>
      <c r="AG46" s="19">
        <f t="shared" ca="1" si="12"/>
        <v>158.13141393428572</v>
      </c>
      <c r="AH46" s="19">
        <f t="shared" ca="1" si="13"/>
        <v>344.82806396040121</v>
      </c>
      <c r="AI46" s="46">
        <f t="shared" ca="1" si="19"/>
        <v>4988.4738726979094</v>
      </c>
      <c r="AJ46" s="55">
        <f t="shared" ca="1" si="20"/>
        <v>0.25547736014516192</v>
      </c>
      <c r="AK46" s="19">
        <f t="shared" ca="1" si="21"/>
        <v>200.4621103606525</v>
      </c>
      <c r="AL46" s="19">
        <f t="shared" ca="1" si="14"/>
        <v>150.00000000000003</v>
      </c>
    </row>
    <row r="47" spans="2:38" x14ac:dyDescent="0.25">
      <c r="B47" s="19"/>
      <c r="C47" s="19"/>
      <c r="D47" s="19"/>
      <c r="E47" s="19"/>
      <c r="F47" s="19"/>
      <c r="G47" s="19"/>
      <c r="H47" s="43">
        <f t="shared" si="22"/>
        <v>45413</v>
      </c>
      <c r="I47" s="264">
        <v>0</v>
      </c>
      <c r="J47" s="64">
        <f t="shared" ca="1" si="15"/>
        <v>0</v>
      </c>
      <c r="K47" s="19">
        <f ca="1">SUMPRODUCT(V$7:V47,OFFSET($J$366,ROW($I$7)-ROW(),0):$J$366)</f>
        <v>0</v>
      </c>
      <c r="L47" s="19">
        <f ca="1">SUMPRODUCT(W$7:W47,OFFSET($J$366,ROW($I$7)-ROW(),0):$J$366)</f>
        <v>0</v>
      </c>
      <c r="M47" s="19">
        <f ca="1">SUMPRODUCT(X$7:X47,OFFSET($J$366,ROW($I$7)-ROW(),0):$J$366)</f>
        <v>0</v>
      </c>
      <c r="N47" s="19"/>
      <c r="O47" s="43">
        <f t="shared" si="16"/>
        <v>44682</v>
      </c>
      <c r="P47" s="24">
        <f t="shared" si="17"/>
        <v>1216</v>
      </c>
      <c r="Q47" s="19">
        <f t="shared" si="23"/>
        <v>22.246467425157462</v>
      </c>
      <c r="R47" s="19">
        <f t="shared" si="1"/>
        <v>102.66281742107438</v>
      </c>
      <c r="S47" s="19">
        <f t="shared" si="2"/>
        <v>11.965068571131056</v>
      </c>
      <c r="T47" s="19"/>
      <c r="U47" s="24">
        <f t="shared" si="24"/>
        <v>1217.1999999999996</v>
      </c>
      <c r="V47" s="19">
        <f t="shared" si="3"/>
        <v>64.874700847254729</v>
      </c>
      <c r="W47" s="19">
        <f t="shared" si="4"/>
        <v>162.18675211813684</v>
      </c>
      <c r="X47" s="19">
        <f t="shared" si="5"/>
        <v>32.437350423627365</v>
      </c>
      <c r="Y47" s="27"/>
      <c r="Z47" s="42">
        <f t="shared" si="18"/>
        <v>45413</v>
      </c>
      <c r="AA47" s="19">
        <f t="shared" ca="1" si="6"/>
        <v>15.160296467656886</v>
      </c>
      <c r="AB47" s="19">
        <f t="shared" ca="1" si="7"/>
        <v>75.805763071864689</v>
      </c>
      <c r="AC47" s="19">
        <f t="shared" ca="1" si="8"/>
        <v>5.0897125058915202</v>
      </c>
      <c r="AD47" s="19">
        <f t="shared" ca="1" si="9"/>
        <v>11.370864460779703</v>
      </c>
      <c r="AE47" s="115">
        <f t="shared" ca="1" si="10"/>
        <v>469.96919049736346</v>
      </c>
      <c r="AF47" s="19">
        <f t="shared" ca="1" si="11"/>
        <v>2349.9786552278056</v>
      </c>
      <c r="AG47" s="19">
        <f t="shared" ca="1" si="12"/>
        <v>157.78108768263712</v>
      </c>
      <c r="AH47" s="19">
        <f t="shared" ca="1" si="13"/>
        <v>352.49679828417078</v>
      </c>
      <c r="AI47" s="46">
        <f t="shared" ca="1" si="19"/>
        <v>5000.2823647670348</v>
      </c>
      <c r="AJ47" s="55">
        <f t="shared" ca="1" si="20"/>
        <v>0.25134371607143297</v>
      </c>
      <c r="AK47" s="19">
        <f t="shared" ca="1" si="21"/>
        <v>199.9887060471215</v>
      </c>
      <c r="AL47" s="19">
        <f t="shared" ca="1" si="14"/>
        <v>149.99999999999997</v>
      </c>
    </row>
    <row r="48" spans="2:38" x14ac:dyDescent="0.25">
      <c r="B48" s="19"/>
      <c r="C48" s="19"/>
      <c r="D48" s="19"/>
      <c r="E48" s="19"/>
      <c r="F48" s="19"/>
      <c r="G48" s="19"/>
      <c r="H48" s="43">
        <f t="shared" si="22"/>
        <v>45444</v>
      </c>
      <c r="I48" s="264">
        <v>0</v>
      </c>
      <c r="J48" s="64">
        <f t="shared" ca="1" si="15"/>
        <v>0</v>
      </c>
      <c r="K48" s="19">
        <f ca="1">SUMPRODUCT(V$7:V48,OFFSET($J$366,ROW($I$7)-ROW(),0):$J$366)</f>
        <v>0</v>
      </c>
      <c r="L48" s="19">
        <f ca="1">SUMPRODUCT(W$7:W48,OFFSET($J$366,ROW($I$7)-ROW(),0):$J$366)</f>
        <v>0</v>
      </c>
      <c r="M48" s="19">
        <f ca="1">SUMPRODUCT(X$7:X48,OFFSET($J$366,ROW($I$7)-ROW(),0):$J$366)</f>
        <v>0</v>
      </c>
      <c r="N48" s="19"/>
      <c r="O48" s="43">
        <f t="shared" si="16"/>
        <v>44713</v>
      </c>
      <c r="P48" s="24">
        <f t="shared" si="17"/>
        <v>1247</v>
      </c>
      <c r="Q48" s="19">
        <f t="shared" si="23"/>
        <v>21.814068192302354</v>
      </c>
      <c r="R48" s="19">
        <f t="shared" si="1"/>
        <v>101.14319001233319</v>
      </c>
      <c r="S48" s="19">
        <f t="shared" si="2"/>
        <v>11.538258950329086</v>
      </c>
      <c r="T48" s="19"/>
      <c r="U48" s="24">
        <f t="shared" si="24"/>
        <v>1247.6299999999997</v>
      </c>
      <c r="V48" s="19">
        <f t="shared" si="3"/>
        <v>64.2989270765989</v>
      </c>
      <c r="W48" s="19">
        <f t="shared" si="4"/>
        <v>160.74731769149724</v>
      </c>
      <c r="X48" s="19">
        <f t="shared" si="5"/>
        <v>32.14946353829945</v>
      </c>
      <c r="Y48" s="27"/>
      <c r="Z48" s="42">
        <f t="shared" si="18"/>
        <v>45444</v>
      </c>
      <c r="AA48" s="19">
        <f t="shared" ca="1" si="6"/>
        <v>14.958238794896358</v>
      </c>
      <c r="AB48" s="19">
        <f t="shared" ca="1" si="7"/>
        <v>74.973998933104156</v>
      </c>
      <c r="AC48" s="19">
        <f t="shared" ca="1" si="8"/>
        <v>4.9089161176312004</v>
      </c>
      <c r="AD48" s="19">
        <f t="shared" ca="1" si="9"/>
        <v>11.246099839965622</v>
      </c>
      <c r="AE48" s="115">
        <f t="shared" ca="1" si="10"/>
        <v>448.74716384689077</v>
      </c>
      <c r="AF48" s="19">
        <f t="shared" ca="1" si="11"/>
        <v>2249.2199679931246</v>
      </c>
      <c r="AG48" s="19">
        <f t="shared" ca="1" si="12"/>
        <v>147.267483528936</v>
      </c>
      <c r="AH48" s="19">
        <f t="shared" ca="1" si="13"/>
        <v>337.38299519896867</v>
      </c>
      <c r="AI48" s="46">
        <f t="shared" ca="1" si="19"/>
        <v>5012.2210215473178</v>
      </c>
      <c r="AJ48" s="55">
        <f t="shared" ca="1" si="20"/>
        <v>0.24708702072564009</v>
      </c>
      <c r="AK48" s="19">
        <f t="shared" ca="1" si="21"/>
        <v>199.51235105176806</v>
      </c>
      <c r="AL48" s="19">
        <f t="shared" ca="1" si="14"/>
        <v>150</v>
      </c>
    </row>
    <row r="49" spans="2:38" x14ac:dyDescent="0.25">
      <c r="B49" s="19"/>
      <c r="C49" s="19"/>
      <c r="D49" s="19"/>
      <c r="E49" s="19"/>
      <c r="F49" s="19"/>
      <c r="G49" s="19"/>
      <c r="H49" s="43">
        <f t="shared" si="22"/>
        <v>45474</v>
      </c>
      <c r="I49" s="264">
        <v>0</v>
      </c>
      <c r="J49" s="64">
        <f t="shared" ca="1" si="15"/>
        <v>0</v>
      </c>
      <c r="K49" s="19">
        <f ca="1">SUMPRODUCT(V$7:V49,OFFSET($J$366,ROW($I$7)-ROW(),0):$J$366)</f>
        <v>0</v>
      </c>
      <c r="L49" s="19">
        <f ca="1">SUMPRODUCT(W$7:W49,OFFSET($J$366,ROW($I$7)-ROW(),0):$J$366)</f>
        <v>0</v>
      </c>
      <c r="M49" s="19">
        <f ca="1">SUMPRODUCT(X$7:X49,OFFSET($J$366,ROW($I$7)-ROW(),0):$J$366)</f>
        <v>0</v>
      </c>
      <c r="N49" s="19"/>
      <c r="O49" s="43">
        <f t="shared" si="16"/>
        <v>44743</v>
      </c>
      <c r="P49" s="24">
        <f t="shared" si="17"/>
        <v>1277</v>
      </c>
      <c r="Q49" s="19">
        <f t="shared" si="23"/>
        <v>21.411326134940964</v>
      </c>
      <c r="R49" s="19">
        <f t="shared" si="1"/>
        <v>99.714811938838196</v>
      </c>
      <c r="S49" s="19">
        <f t="shared" si="2"/>
        <v>11.139789042219109</v>
      </c>
      <c r="T49" s="19"/>
      <c r="U49" s="24">
        <f t="shared" si="24"/>
        <v>1278.0599999999997</v>
      </c>
      <c r="V49" s="19">
        <f t="shared" si="3"/>
        <v>63.751374756037777</v>
      </c>
      <c r="W49" s="19">
        <f t="shared" si="4"/>
        <v>159.37843689009446</v>
      </c>
      <c r="X49" s="19">
        <f t="shared" si="5"/>
        <v>31.875687378018888</v>
      </c>
      <c r="Y49" s="27"/>
      <c r="Z49" s="42">
        <f t="shared" si="18"/>
        <v>45474</v>
      </c>
      <c r="AA49" s="19">
        <f t="shared" ca="1" si="6"/>
        <v>14.767762076587317</v>
      </c>
      <c r="AB49" s="19">
        <f t="shared" ca="1" si="7"/>
        <v>74.186262340692167</v>
      </c>
      <c r="AC49" s="19">
        <f t="shared" ca="1" si="8"/>
        <v>4.7400985663060222</v>
      </c>
      <c r="AD49" s="19">
        <f t="shared" ca="1" si="9"/>
        <v>11.127939351103826</v>
      </c>
      <c r="AE49" s="115">
        <f t="shared" ca="1" si="10"/>
        <v>457.80062437420685</v>
      </c>
      <c r="AF49" s="19">
        <f t="shared" ca="1" si="11"/>
        <v>2299.774132561457</v>
      </c>
      <c r="AG49" s="19">
        <f t="shared" ca="1" si="12"/>
        <v>146.94305555548669</v>
      </c>
      <c r="AH49" s="19">
        <f t="shared" ca="1" si="13"/>
        <v>344.96611988421864</v>
      </c>
      <c r="AI49" s="46">
        <f t="shared" ca="1" si="19"/>
        <v>5023.5277326350224</v>
      </c>
      <c r="AJ49" s="55">
        <f t="shared" ca="1" si="20"/>
        <v>0.24298402849380754</v>
      </c>
      <c r="AK49" s="19">
        <f t="shared" ca="1" si="21"/>
        <v>199.06329838761806</v>
      </c>
      <c r="AL49" s="19">
        <f t="shared" ca="1" si="14"/>
        <v>150.00000000000003</v>
      </c>
    </row>
    <row r="50" spans="2:38" x14ac:dyDescent="0.25">
      <c r="B50" s="19"/>
      <c r="C50" s="19"/>
      <c r="D50" s="19"/>
      <c r="E50" s="19"/>
      <c r="F50" s="19"/>
      <c r="G50" s="19"/>
      <c r="H50" s="43">
        <f t="shared" si="22"/>
        <v>45505</v>
      </c>
      <c r="I50" s="264">
        <v>0</v>
      </c>
      <c r="J50" s="64">
        <f t="shared" ca="1" si="15"/>
        <v>0</v>
      </c>
      <c r="K50" s="19">
        <f ca="1">SUMPRODUCT(V$7:V50,OFFSET($J$366,ROW($I$7)-ROW(),0):$J$366)</f>
        <v>0</v>
      </c>
      <c r="L50" s="19">
        <f ca="1">SUMPRODUCT(W$7:W50,OFFSET($J$366,ROW($I$7)-ROW(),0):$J$366)</f>
        <v>0</v>
      </c>
      <c r="M50" s="19">
        <f ca="1">SUMPRODUCT(X$7:X50,OFFSET($J$366,ROW($I$7)-ROW(),0):$J$366)</f>
        <v>0</v>
      </c>
      <c r="N50" s="19"/>
      <c r="O50" s="43">
        <f t="shared" si="16"/>
        <v>44774</v>
      </c>
      <c r="P50" s="24">
        <f t="shared" si="17"/>
        <v>1308</v>
      </c>
      <c r="Q50" s="19">
        <f t="shared" si="23"/>
        <v>21.010489934645058</v>
      </c>
      <c r="R50" s="19">
        <f t="shared" si="1"/>
        <v>98.280595336365067</v>
      </c>
      <c r="S50" s="19">
        <f t="shared" si="2"/>
        <v>10.742557616794631</v>
      </c>
      <c r="T50" s="19"/>
      <c r="U50" s="24">
        <f t="shared" si="24"/>
        <v>1308.4899999999998</v>
      </c>
      <c r="V50" s="19">
        <f t="shared" si="3"/>
        <v>63.195282310653106</v>
      </c>
      <c r="W50" s="19">
        <f t="shared" si="4"/>
        <v>157.98820577663275</v>
      </c>
      <c r="X50" s="19">
        <f t="shared" si="5"/>
        <v>31.597641155326553</v>
      </c>
      <c r="Y50" s="27"/>
      <c r="Z50" s="42">
        <f t="shared" si="18"/>
        <v>45505</v>
      </c>
      <c r="AA50" s="19">
        <f t="shared" ca="1" si="6"/>
        <v>14.575966215856843</v>
      </c>
      <c r="AB50" s="19">
        <f t="shared" ca="1" si="7"/>
        <v>73.389471117815759</v>
      </c>
      <c r="AC50" s="19">
        <f t="shared" ca="1" si="8"/>
        <v>4.571779957594261</v>
      </c>
      <c r="AD50" s="19">
        <f t="shared" ca="1" si="9"/>
        <v>11.008420667672363</v>
      </c>
      <c r="AE50" s="115">
        <f t="shared" ca="1" si="10"/>
        <v>451.85495269156212</v>
      </c>
      <c r="AF50" s="19">
        <f t="shared" ca="1" si="11"/>
        <v>2275.0736046522884</v>
      </c>
      <c r="AG50" s="19">
        <f t="shared" ca="1" si="12"/>
        <v>141.72517868542209</v>
      </c>
      <c r="AH50" s="19">
        <f t="shared" ca="1" si="13"/>
        <v>341.26104069784327</v>
      </c>
      <c r="AI50" s="46">
        <f t="shared" ca="1" si="19"/>
        <v>5034.9644086014086</v>
      </c>
      <c r="AJ50" s="55">
        <f t="shared" ca="1" si="20"/>
        <v>0.23876334667174376</v>
      </c>
      <c r="AK50" s="19">
        <f t="shared" ca="1" si="21"/>
        <v>198.6111358188877</v>
      </c>
      <c r="AL50" s="19">
        <f t="shared" ca="1" si="14"/>
        <v>150</v>
      </c>
    </row>
    <row r="51" spans="2:38" x14ac:dyDescent="0.25">
      <c r="B51" s="19"/>
      <c r="C51" s="19"/>
      <c r="D51" s="19"/>
      <c r="E51" s="19"/>
      <c r="F51" s="19"/>
      <c r="G51" s="19"/>
      <c r="H51" s="43">
        <f t="shared" si="22"/>
        <v>45536</v>
      </c>
      <c r="I51" s="264">
        <v>0</v>
      </c>
      <c r="J51" s="64">
        <f t="shared" ca="1" si="15"/>
        <v>0</v>
      </c>
      <c r="K51" s="19">
        <f ca="1">SUMPRODUCT(V$7:V51,OFFSET($J$366,ROW($I$7)-ROW(),0):$J$366)</f>
        <v>0</v>
      </c>
      <c r="L51" s="19">
        <f ca="1">SUMPRODUCT(W$7:W51,OFFSET($J$366,ROW($I$7)-ROW(),0):$J$366)</f>
        <v>0</v>
      </c>
      <c r="M51" s="19">
        <f ca="1">SUMPRODUCT(X$7:X51,OFFSET($J$366,ROW($I$7)-ROW(),0):$J$366)</f>
        <v>0</v>
      </c>
      <c r="N51" s="19"/>
      <c r="O51" s="43">
        <f t="shared" si="16"/>
        <v>44805</v>
      </c>
      <c r="P51" s="24">
        <f t="shared" si="17"/>
        <v>1339</v>
      </c>
      <c r="Q51" s="19">
        <f t="shared" si="23"/>
        <v>20.624385850954404</v>
      </c>
      <c r="R51" s="19">
        <f t="shared" si="1"/>
        <v>96.887050943847356</v>
      </c>
      <c r="S51" s="19">
        <f t="shared" si="2"/>
        <v>10.359559263118944</v>
      </c>
      <c r="T51" s="19"/>
      <c r="U51" s="24">
        <f t="shared" si="24"/>
        <v>1338.9199999999998</v>
      </c>
      <c r="V51" s="19">
        <f t="shared" si="3"/>
        <v>62.648807373818258</v>
      </c>
      <c r="W51" s="19">
        <f t="shared" si="4"/>
        <v>156.62201843454565</v>
      </c>
      <c r="X51" s="19">
        <f t="shared" si="5"/>
        <v>31.324403686909129</v>
      </c>
      <c r="Y51" s="27"/>
      <c r="Z51" s="42">
        <f t="shared" si="18"/>
        <v>45536</v>
      </c>
      <c r="AA51" s="19">
        <f t="shared" ca="1" si="6"/>
        <v>14.389088368392196</v>
      </c>
      <c r="AB51" s="19">
        <f t="shared" ca="1" si="7"/>
        <v>72.609613754596452</v>
      </c>
      <c r="AC51" s="19">
        <f t="shared" ca="1" si="8"/>
        <v>4.4094670764332564</v>
      </c>
      <c r="AD51" s="19">
        <f t="shared" ca="1" si="9"/>
        <v>10.891442063189469</v>
      </c>
      <c r="AE51" s="115">
        <f t="shared" ca="1" si="10"/>
        <v>431.67265105176585</v>
      </c>
      <c r="AF51" s="19">
        <f t="shared" ca="1" si="11"/>
        <v>2178.2884126378935</v>
      </c>
      <c r="AG51" s="19">
        <f t="shared" ca="1" si="12"/>
        <v>132.28401229299769</v>
      </c>
      <c r="AH51" s="19">
        <f t="shared" ca="1" si="13"/>
        <v>326.7432618956841</v>
      </c>
      <c r="AI51" s="46">
        <f t="shared" ca="1" si="19"/>
        <v>5046.1580258339663</v>
      </c>
      <c r="AJ51" s="55">
        <f t="shared" ca="1" si="20"/>
        <v>0.23456414453627711</v>
      </c>
      <c r="AK51" s="19">
        <f t="shared" ca="1" si="21"/>
        <v>198.17056756456461</v>
      </c>
      <c r="AL51" s="19">
        <f t="shared" ca="1" si="14"/>
        <v>150.00000000000003</v>
      </c>
    </row>
    <row r="52" spans="2:38" x14ac:dyDescent="0.25">
      <c r="B52" s="19"/>
      <c r="C52" s="19"/>
      <c r="D52" s="19"/>
      <c r="E52" s="19"/>
      <c r="F52" s="19"/>
      <c r="G52" s="19"/>
      <c r="H52" s="43">
        <f t="shared" si="22"/>
        <v>45566</v>
      </c>
      <c r="I52" s="264">
        <v>0</v>
      </c>
      <c r="J52" s="64">
        <f t="shared" ca="1" si="15"/>
        <v>0</v>
      </c>
      <c r="K52" s="19">
        <f ca="1">SUMPRODUCT(V$7:V52,OFFSET($J$366,ROW($I$7)-ROW(),0):$J$366)</f>
        <v>0</v>
      </c>
      <c r="L52" s="19">
        <f ca="1">SUMPRODUCT(W$7:W52,OFFSET($J$366,ROW($I$7)-ROW(),0):$J$366)</f>
        <v>0</v>
      </c>
      <c r="M52" s="19">
        <f ca="1">SUMPRODUCT(X$7:X52,OFFSET($J$366,ROW($I$7)-ROW(),0):$J$366)</f>
        <v>0</v>
      </c>
      <c r="N52" s="19"/>
      <c r="O52" s="43">
        <f t="shared" si="16"/>
        <v>44835</v>
      </c>
      <c r="P52" s="24">
        <f t="shared" si="17"/>
        <v>1369</v>
      </c>
      <c r="Q52" s="19">
        <f t="shared" si="23"/>
        <v>20.264012049266391</v>
      </c>
      <c r="R52" s="19">
        <f t="shared" si="1"/>
        <v>95.575577439485514</v>
      </c>
      <c r="S52" s="19">
        <f t="shared" si="2"/>
        <v>10.001984681438795</v>
      </c>
      <c r="T52" s="19"/>
      <c r="U52" s="24">
        <f t="shared" si="24"/>
        <v>1369.35</v>
      </c>
      <c r="V52" s="19">
        <f t="shared" si="3"/>
        <v>62.12888475793104</v>
      </c>
      <c r="W52" s="19">
        <f t="shared" si="4"/>
        <v>155.3222118948276</v>
      </c>
      <c r="X52" s="19">
        <f t="shared" si="5"/>
        <v>31.06444237896552</v>
      </c>
      <c r="Y52" s="27"/>
      <c r="Z52" s="42">
        <f t="shared" si="18"/>
        <v>45566</v>
      </c>
      <c r="AA52" s="19">
        <f t="shared" ca="1" si="6"/>
        <v>14.212745456032927</v>
      </c>
      <c r="AB52" s="19">
        <f t="shared" ca="1" si="7"/>
        <v>71.870533080807036</v>
      </c>
      <c r="AC52" s="19">
        <f t="shared" ca="1" si="8"/>
        <v>4.2579054823731957</v>
      </c>
      <c r="AD52" s="19">
        <f t="shared" ca="1" si="9"/>
        <v>10.780579962121056</v>
      </c>
      <c r="AE52" s="115">
        <f t="shared" ca="1" si="10"/>
        <v>440.59510913702076</v>
      </c>
      <c r="AF52" s="19">
        <f t="shared" ca="1" si="11"/>
        <v>2227.9865255050181</v>
      </c>
      <c r="AG52" s="19">
        <f t="shared" ca="1" si="12"/>
        <v>131.99506995356907</v>
      </c>
      <c r="AH52" s="19">
        <f t="shared" ca="1" si="13"/>
        <v>334.19797882575273</v>
      </c>
      <c r="AI52" s="46">
        <f t="shared" ca="1" si="19"/>
        <v>5056.7663582759751</v>
      </c>
      <c r="AJ52" s="55">
        <f t="shared" ca="1" si="20"/>
        <v>0.2305227626558472</v>
      </c>
      <c r="AK52" s="19">
        <f t="shared" ca="1" si="21"/>
        <v>197.75483562996459</v>
      </c>
      <c r="AL52" s="19">
        <f t="shared" ca="1" si="14"/>
        <v>150</v>
      </c>
    </row>
    <row r="53" spans="2:38" x14ac:dyDescent="0.25">
      <c r="B53" s="19"/>
      <c r="C53" s="19"/>
      <c r="D53" s="19"/>
      <c r="E53" s="19"/>
      <c r="F53" s="19"/>
      <c r="G53" s="19"/>
      <c r="H53" s="43">
        <f t="shared" si="22"/>
        <v>45597</v>
      </c>
      <c r="I53" s="264">
        <v>0</v>
      </c>
      <c r="J53" s="64">
        <f t="shared" ca="1" si="15"/>
        <v>0</v>
      </c>
      <c r="K53" s="19">
        <f ca="1">SUMPRODUCT(V$7:V53,OFFSET($J$366,ROW($I$7)-ROW(),0):$J$366)</f>
        <v>0</v>
      </c>
      <c r="L53" s="19">
        <f ca="1">SUMPRODUCT(W$7:W53,OFFSET($J$366,ROW($I$7)-ROW(),0):$J$366)</f>
        <v>0</v>
      </c>
      <c r="M53" s="19">
        <f ca="1">SUMPRODUCT(X$7:X53,OFFSET($J$366,ROW($I$7)-ROW(),0):$J$366)</f>
        <v>0</v>
      </c>
      <c r="N53" s="19"/>
      <c r="O53" s="43">
        <f t="shared" si="16"/>
        <v>44866</v>
      </c>
      <c r="P53" s="24">
        <f t="shared" si="17"/>
        <v>1400</v>
      </c>
      <c r="Q53" s="19">
        <f t="shared" si="23"/>
        <v>19.904621584176589</v>
      </c>
      <c r="R53" s="19">
        <f t="shared" si="1"/>
        <v>94.257173070654858</v>
      </c>
      <c r="S53" s="19">
        <f t="shared" si="2"/>
        <v>9.6455145840470067</v>
      </c>
      <c r="T53" s="19"/>
      <c r="U53" s="24">
        <f t="shared" si="24"/>
        <v>1399.78</v>
      </c>
      <c r="V53" s="19">
        <f t="shared" si="3"/>
        <v>61.600620259365755</v>
      </c>
      <c r="W53" s="19">
        <f t="shared" si="4"/>
        <v>154.00155064841439</v>
      </c>
      <c r="X53" s="19">
        <f t="shared" si="5"/>
        <v>30.800310129682877</v>
      </c>
      <c r="Y53" s="27"/>
      <c r="Z53" s="42">
        <f t="shared" si="18"/>
        <v>45597</v>
      </c>
      <c r="AA53" s="19">
        <f t="shared" ca="1" si="6"/>
        <v>14.035008455415614</v>
      </c>
      <c r="AB53" s="19">
        <f t="shared" ca="1" si="7"/>
        <v>71.122458463710245</v>
      </c>
      <c r="AC53" s="19">
        <f t="shared" ca="1" si="8"/>
        <v>4.1067889339474428</v>
      </c>
      <c r="AD53" s="19">
        <f t="shared" ca="1" si="9"/>
        <v>10.668368769556537</v>
      </c>
      <c r="AE53" s="115">
        <f t="shared" ca="1" si="10"/>
        <v>421.05025366246844</v>
      </c>
      <c r="AF53" s="19">
        <f t="shared" ca="1" si="11"/>
        <v>2133.6737539113074</v>
      </c>
      <c r="AG53" s="19">
        <f t="shared" ca="1" si="12"/>
        <v>123.20366801842329</v>
      </c>
      <c r="AH53" s="19">
        <f t="shared" ca="1" si="13"/>
        <v>320.0510630866961</v>
      </c>
      <c r="AI53" s="46">
        <f t="shared" ca="1" si="19"/>
        <v>5067.5037845286515</v>
      </c>
      <c r="AJ53" s="55">
        <f t="shared" ca="1" si="20"/>
        <v>0.2263716679117663</v>
      </c>
      <c r="AK53" s="19">
        <f t="shared" ca="1" si="21"/>
        <v>197.33581710447876</v>
      </c>
      <c r="AL53" s="19">
        <f t="shared" ca="1" si="14"/>
        <v>150</v>
      </c>
    </row>
    <row r="54" spans="2:38" x14ac:dyDescent="0.25">
      <c r="B54" s="19"/>
      <c r="C54" s="19"/>
      <c r="D54" s="19"/>
      <c r="E54" s="19"/>
      <c r="F54" s="19"/>
      <c r="G54" s="19"/>
      <c r="H54" s="44">
        <f t="shared" si="22"/>
        <v>45627</v>
      </c>
      <c r="I54" s="265">
        <v>0</v>
      </c>
      <c r="J54" s="65">
        <f t="shared" ca="1" si="15"/>
        <v>0</v>
      </c>
      <c r="K54" s="21">
        <f ca="1">SUMPRODUCT(V$7:V54,OFFSET($J$366,ROW($I$7)-ROW(),0):$J$366)</f>
        <v>0</v>
      </c>
      <c r="L54" s="21">
        <f ca="1">SUMPRODUCT(W$7:W54,OFFSET($J$366,ROW($I$7)-ROW(),0):$J$366)</f>
        <v>0</v>
      </c>
      <c r="M54" s="21">
        <f ca="1">SUMPRODUCT(X$7:X54,OFFSET($J$366,ROW($I$7)-ROW(),0):$J$366)</f>
        <v>0</v>
      </c>
      <c r="N54" s="19"/>
      <c r="O54" s="44">
        <f t="shared" si="16"/>
        <v>44896</v>
      </c>
      <c r="P54" s="25">
        <f t="shared" si="17"/>
        <v>1430</v>
      </c>
      <c r="Q54" s="21">
        <f t="shared" si="23"/>
        <v>19.56875722382593</v>
      </c>
      <c r="R54" s="21">
        <f t="shared" si="1"/>
        <v>93.015473686079815</v>
      </c>
      <c r="S54" s="21">
        <f t="shared" si="2"/>
        <v>9.3127030236753683</v>
      </c>
      <c r="T54" s="19"/>
      <c r="U54" s="25">
        <f t="shared" si="24"/>
        <v>1430.21</v>
      </c>
      <c r="V54" s="21">
        <f t="shared" si="3"/>
        <v>61.097880109436474</v>
      </c>
      <c r="W54" s="21">
        <f t="shared" si="4"/>
        <v>152.74470027359118</v>
      </c>
      <c r="X54" s="21">
        <f t="shared" si="5"/>
        <v>30.548940054718237</v>
      </c>
      <c r="Y54" s="27"/>
      <c r="Z54" s="48">
        <f t="shared" si="18"/>
        <v>45627</v>
      </c>
      <c r="AA54" s="21">
        <f t="shared" ca="1" si="6"/>
        <v>13.867186878305242</v>
      </c>
      <c r="AB54" s="21">
        <f t="shared" ca="1" si="7"/>
        <v>70.413194877149564</v>
      </c>
      <c r="AC54" s="21">
        <f t="shared" ca="1" si="8"/>
        <v>3.965680256262603</v>
      </c>
      <c r="AD54" s="21">
        <f t="shared" ca="1" si="9"/>
        <v>10.561979231572433</v>
      </c>
      <c r="AE54" s="116">
        <f t="shared" ca="1" si="10"/>
        <v>429.88279322746251</v>
      </c>
      <c r="AF54" s="21">
        <f t="shared" ca="1" si="11"/>
        <v>2182.8090411916364</v>
      </c>
      <c r="AG54" s="21">
        <f t="shared" ca="1" si="12"/>
        <v>122.9360879441407</v>
      </c>
      <c r="AH54" s="21">
        <f t="shared" ca="1" si="13"/>
        <v>327.42135617874544</v>
      </c>
      <c r="AI54" s="47">
        <f t="shared" ca="1" si="19"/>
        <v>5077.6841399107907</v>
      </c>
      <c r="AJ54" s="57">
        <f t="shared" ca="1" si="20"/>
        <v>0.22238040727480057</v>
      </c>
      <c r="AK54" s="21">
        <f t="shared" ca="1" si="21"/>
        <v>196.94017438776112</v>
      </c>
      <c r="AL54" s="21">
        <f t="shared" ca="1" si="14"/>
        <v>149.99999999999997</v>
      </c>
    </row>
    <row r="55" spans="2:38" x14ac:dyDescent="0.25">
      <c r="B55" s="19"/>
      <c r="C55" s="19"/>
      <c r="D55" s="19"/>
      <c r="E55" s="19"/>
      <c r="F55" s="19"/>
      <c r="G55" s="19"/>
      <c r="H55" s="43">
        <f t="shared" si="22"/>
        <v>45658</v>
      </c>
      <c r="I55" s="264">
        <v>0</v>
      </c>
      <c r="J55" s="64">
        <f t="shared" ca="1" si="15"/>
        <v>0</v>
      </c>
      <c r="K55" s="19">
        <f ca="1">SUMPRODUCT(V$7:V55,OFFSET($J$366,ROW($I$7)-ROW(),0):$J$366)</f>
        <v>0</v>
      </c>
      <c r="L55" s="19">
        <f ca="1">SUMPRODUCT(W$7:W55,OFFSET($J$366,ROW($I$7)-ROW(),0):$J$366)</f>
        <v>0</v>
      </c>
      <c r="M55" s="19">
        <f ca="1">SUMPRODUCT(X$7:X55,OFFSET($J$366,ROW($I$7)-ROW(),0):$J$366)</f>
        <v>0</v>
      </c>
      <c r="N55" s="19"/>
      <c r="O55" s="43">
        <f t="shared" si="16"/>
        <v>44927</v>
      </c>
      <c r="P55" s="24">
        <f t="shared" si="17"/>
        <v>1461</v>
      </c>
      <c r="Q55" s="19">
        <f t="shared" si="23"/>
        <v>19.233400885249686</v>
      </c>
      <c r="R55" s="19">
        <f t="shared" si="1"/>
        <v>91.766291802565036</v>
      </c>
      <c r="S55" s="19">
        <f t="shared" si="2"/>
        <v>8.9809152096530038</v>
      </c>
      <c r="T55" s="19"/>
      <c r="U55" s="24">
        <f t="shared" si="24"/>
        <v>1460.64</v>
      </c>
      <c r="V55" s="19">
        <f t="shared" si="3"/>
        <v>60.58693072947689</v>
      </c>
      <c r="W55" s="19">
        <f t="shared" si="4"/>
        <v>151.46732682369222</v>
      </c>
      <c r="X55" s="19">
        <f t="shared" si="5"/>
        <v>30.293465364738445</v>
      </c>
      <c r="Y55" s="27"/>
      <c r="Z55" s="42">
        <f t="shared" si="18"/>
        <v>45658</v>
      </c>
      <c r="AA55" s="19">
        <f t="shared" ca="1" si="6"/>
        <v>13.697936092292739</v>
      </c>
      <c r="AB55" s="19">
        <f t="shared" ca="1" si="7"/>
        <v>69.694998916314631</v>
      </c>
      <c r="AC55" s="19">
        <f t="shared" ca="1" si="8"/>
        <v>3.8249841436113194</v>
      </c>
      <c r="AD55" s="19">
        <f t="shared" ca="1" si="9"/>
        <v>10.454249837447195</v>
      </c>
      <c r="AE55" s="115">
        <f t="shared" ca="1" si="10"/>
        <v>424.63601886107489</v>
      </c>
      <c r="AF55" s="19">
        <f t="shared" ca="1" si="11"/>
        <v>2160.5449664057537</v>
      </c>
      <c r="AG55" s="19">
        <f t="shared" ca="1" si="12"/>
        <v>118.5745084519509</v>
      </c>
      <c r="AH55" s="19">
        <f t="shared" ca="1" si="13"/>
        <v>324.08174496086303</v>
      </c>
      <c r="AI55" s="46">
        <f t="shared" ca="1" si="19"/>
        <v>5087.9927053776464</v>
      </c>
      <c r="AJ55" s="55">
        <f t="shared" ca="1" si="20"/>
        <v>0.21828462905252607</v>
      </c>
      <c r="AK55" s="19">
        <f t="shared" ca="1" si="21"/>
        <v>196.54116228253847</v>
      </c>
      <c r="AL55" s="19">
        <f t="shared" ca="1" si="14"/>
        <v>149.99999999999997</v>
      </c>
    </row>
    <row r="56" spans="2:38" x14ac:dyDescent="0.25">
      <c r="B56" s="19"/>
      <c r="C56" s="19"/>
      <c r="D56" s="19"/>
      <c r="E56" s="19"/>
      <c r="F56" s="19"/>
      <c r="G56" s="19"/>
      <c r="H56" s="43">
        <f t="shared" si="22"/>
        <v>45689</v>
      </c>
      <c r="I56" s="264">
        <v>0</v>
      </c>
      <c r="J56" s="64">
        <f t="shared" ca="1" si="15"/>
        <v>0</v>
      </c>
      <c r="K56" s="19">
        <f ca="1">SUMPRODUCT(V$7:V56,OFFSET($J$366,ROW($I$7)-ROW(),0):$J$366)</f>
        <v>0</v>
      </c>
      <c r="L56" s="19">
        <f ca="1">SUMPRODUCT(W$7:W56,OFFSET($J$366,ROW($I$7)-ROW(),0):$J$366)</f>
        <v>0</v>
      </c>
      <c r="M56" s="19">
        <f ca="1">SUMPRODUCT(X$7:X56,OFFSET($J$366,ROW($I$7)-ROW(),0):$J$366)</f>
        <v>0</v>
      </c>
      <c r="N56" s="19"/>
      <c r="O56" s="43">
        <f t="shared" si="16"/>
        <v>44958</v>
      </c>
      <c r="P56" s="24">
        <f t="shared" si="17"/>
        <v>1492</v>
      </c>
      <c r="Q56" s="19">
        <f t="shared" si="23"/>
        <v>18.909345112606278</v>
      </c>
      <c r="R56" s="19">
        <f t="shared" si="1"/>
        <v>90.550217882340917</v>
      </c>
      <c r="S56" s="19">
        <f t="shared" si="2"/>
        <v>8.661005129344634</v>
      </c>
      <c r="T56" s="19"/>
      <c r="U56" s="24">
        <f t="shared" si="24"/>
        <v>1491.0700000000002</v>
      </c>
      <c r="V56" s="19">
        <f t="shared" si="3"/>
        <v>60.084456409700877</v>
      </c>
      <c r="W56" s="19">
        <f t="shared" si="4"/>
        <v>150.21114102425219</v>
      </c>
      <c r="X56" s="19">
        <f t="shared" si="5"/>
        <v>30.042228204850439</v>
      </c>
      <c r="Y56" s="27"/>
      <c r="Z56" s="42">
        <f t="shared" si="18"/>
        <v>45689</v>
      </c>
      <c r="AA56" s="19">
        <f t="shared" ca="1" si="6"/>
        <v>13.532766944264308</v>
      </c>
      <c r="AB56" s="19">
        <f t="shared" ca="1" si="7"/>
        <v>68.991305847440159</v>
      </c>
      <c r="AC56" s="19">
        <f t="shared" ca="1" si="8"/>
        <v>3.6893037742770018</v>
      </c>
      <c r="AD56" s="19">
        <f t="shared" ca="1" si="9"/>
        <v>10.348695877116024</v>
      </c>
      <c r="AE56" s="115">
        <f t="shared" ca="1" si="10"/>
        <v>378.91747443940062</v>
      </c>
      <c r="AF56" s="19">
        <f t="shared" ca="1" si="11"/>
        <v>1931.7565637283244</v>
      </c>
      <c r="AG56" s="19">
        <f t="shared" ca="1" si="12"/>
        <v>103.30050567975606</v>
      </c>
      <c r="AH56" s="19">
        <f t="shared" ca="1" si="13"/>
        <v>289.76348455924864</v>
      </c>
      <c r="AI56" s="46">
        <f t="shared" ca="1" si="19"/>
        <v>5098.0931048015464</v>
      </c>
      <c r="AJ56" s="55">
        <f t="shared" ca="1" si="20"/>
        <v>0.21421952299296343</v>
      </c>
      <c r="AK56" s="19">
        <f t="shared" ca="1" si="21"/>
        <v>196.15177272030755</v>
      </c>
      <c r="AL56" s="19">
        <f t="shared" ca="1" si="14"/>
        <v>149.99999999999997</v>
      </c>
    </row>
    <row r="57" spans="2:38" x14ac:dyDescent="0.25">
      <c r="B57" s="19"/>
      <c r="C57" s="19"/>
      <c r="D57" s="19"/>
      <c r="E57" s="19"/>
      <c r="F57" s="19"/>
      <c r="G57" s="19"/>
      <c r="H57" s="43">
        <f t="shared" si="22"/>
        <v>45717</v>
      </c>
      <c r="I57" s="264">
        <v>0</v>
      </c>
      <c r="J57" s="64">
        <f t="shared" ca="1" si="15"/>
        <v>0</v>
      </c>
      <c r="K57" s="19">
        <f ca="1">SUMPRODUCT(V$7:V57,OFFSET($J$366,ROW($I$7)-ROW(),0):$J$366)</f>
        <v>0</v>
      </c>
      <c r="L57" s="19">
        <f ca="1">SUMPRODUCT(W$7:W57,OFFSET($J$366,ROW($I$7)-ROW(),0):$J$366)</f>
        <v>0</v>
      </c>
      <c r="M57" s="19">
        <f ca="1">SUMPRODUCT(X$7:X57,OFFSET($J$366,ROW($I$7)-ROW(),0):$J$366)</f>
        <v>0</v>
      </c>
      <c r="N57" s="19"/>
      <c r="O57" s="43">
        <f t="shared" si="16"/>
        <v>44986</v>
      </c>
      <c r="P57" s="24">
        <f t="shared" si="17"/>
        <v>1520</v>
      </c>
      <c r="Q57" s="19">
        <f t="shared" si="23"/>
        <v>18.625894657657977</v>
      </c>
      <c r="R57" s="19">
        <f t="shared" si="1"/>
        <v>89.479203655122717</v>
      </c>
      <c r="S57" s="19">
        <f t="shared" si="2"/>
        <v>8.3819075549926172</v>
      </c>
      <c r="T57" s="19"/>
      <c r="U57" s="24">
        <f t="shared" si="24"/>
        <v>1521.5000000000002</v>
      </c>
      <c r="V57" s="19">
        <f t="shared" si="3"/>
        <v>59.637719041917883</v>
      </c>
      <c r="W57" s="19">
        <f t="shared" si="4"/>
        <v>149.09429760479469</v>
      </c>
      <c r="X57" s="19">
        <f t="shared" si="5"/>
        <v>29.818859520958942</v>
      </c>
      <c r="Y57" s="27"/>
      <c r="Z57" s="42">
        <f t="shared" si="18"/>
        <v>45717</v>
      </c>
      <c r="AA57" s="19">
        <f t="shared" ca="1" si="6"/>
        <v>13.386968672010454</v>
      </c>
      <c r="AB57" s="19">
        <f t="shared" ca="1" si="7"/>
        <v>68.367815550693365</v>
      </c>
      <c r="AC57" s="19">
        <f t="shared" ca="1" si="8"/>
        <v>3.570915324981323</v>
      </c>
      <c r="AD57" s="19">
        <f t="shared" ca="1" si="9"/>
        <v>10.255172332604005</v>
      </c>
      <c r="AE57" s="115">
        <f t="shared" ca="1" si="10"/>
        <v>414.9960288323241</v>
      </c>
      <c r="AF57" s="19">
        <f t="shared" ca="1" si="11"/>
        <v>2119.4022820714945</v>
      </c>
      <c r="AG57" s="19">
        <f t="shared" ca="1" si="12"/>
        <v>110.69837507442101</v>
      </c>
      <c r="AH57" s="19">
        <f t="shared" ca="1" si="13"/>
        <v>317.91034231072416</v>
      </c>
      <c r="AI57" s="46">
        <f t="shared" ca="1" si="19"/>
        <v>5107.0423204647641</v>
      </c>
      <c r="AJ57" s="55">
        <f t="shared" ca="1" si="20"/>
        <v>0.2105755249661326</v>
      </c>
      <c r="AK57" s="19">
        <f t="shared" ca="1" si="21"/>
        <v>195.80805038423796</v>
      </c>
      <c r="AL57" s="19">
        <f t="shared" ca="1" si="14"/>
        <v>149.99999999999997</v>
      </c>
    </row>
    <row r="58" spans="2:38" x14ac:dyDescent="0.25">
      <c r="B58" s="19"/>
      <c r="C58" s="19"/>
      <c r="D58" s="19"/>
      <c r="E58" s="19"/>
      <c r="F58" s="19"/>
      <c r="G58" s="19"/>
      <c r="H58" s="43">
        <f t="shared" si="22"/>
        <v>45748</v>
      </c>
      <c r="I58" s="264">
        <v>0</v>
      </c>
      <c r="J58" s="64">
        <f t="shared" ca="1" si="15"/>
        <v>0</v>
      </c>
      <c r="K58" s="19">
        <f ca="1">SUMPRODUCT(V$7:V58,OFFSET($J$366,ROW($I$7)-ROW(),0):$J$366)</f>
        <v>0</v>
      </c>
      <c r="L58" s="19">
        <f ca="1">SUMPRODUCT(W$7:W58,OFFSET($J$366,ROW($I$7)-ROW(),0):$J$366)</f>
        <v>0</v>
      </c>
      <c r="M58" s="19">
        <f ca="1">SUMPRODUCT(X$7:X58,OFFSET($J$366,ROW($I$7)-ROW(),0):$J$366)</f>
        <v>0</v>
      </c>
      <c r="N58" s="19"/>
      <c r="O58" s="43">
        <f t="shared" si="16"/>
        <v>45017</v>
      </c>
      <c r="P58" s="24">
        <f t="shared" si="17"/>
        <v>1551</v>
      </c>
      <c r="Q58" s="19">
        <f t="shared" si="23"/>
        <v>18.321825015000911</v>
      </c>
      <c r="R58" s="19">
        <f t="shared" si="1"/>
        <v>88.322608707661303</v>
      </c>
      <c r="S58" s="19">
        <f t="shared" si="2"/>
        <v>8.0834359496752111</v>
      </c>
      <c r="T58" s="19"/>
      <c r="U58" s="24">
        <f t="shared" si="24"/>
        <v>1551.9300000000003</v>
      </c>
      <c r="V58" s="19">
        <f t="shared" si="3"/>
        <v>59.150802589918271</v>
      </c>
      <c r="W58" s="19">
        <f t="shared" si="4"/>
        <v>147.87700647479568</v>
      </c>
      <c r="X58" s="19">
        <f t="shared" si="5"/>
        <v>29.575401294959136</v>
      </c>
      <c r="Y58" s="27"/>
      <c r="Z58" s="42">
        <f t="shared" si="18"/>
        <v>45748</v>
      </c>
      <c r="AA58" s="19">
        <f t="shared" ca="1" si="6"/>
        <v>13.229170470111285</v>
      </c>
      <c r="AB58" s="19">
        <f t="shared" ca="1" si="7"/>
        <v>67.690537565193694</v>
      </c>
      <c r="AC58" s="19">
        <f t="shared" ca="1" si="8"/>
        <v>3.4442900587628738</v>
      </c>
      <c r="AD58" s="19">
        <f t="shared" ca="1" si="9"/>
        <v>10.153580634779054</v>
      </c>
      <c r="AE58" s="115">
        <f t="shared" ca="1" si="10"/>
        <v>396.87511410333855</v>
      </c>
      <c r="AF58" s="19">
        <f t="shared" ca="1" si="11"/>
        <v>2030.7161269558108</v>
      </c>
      <c r="AG58" s="19">
        <f t="shared" ca="1" si="12"/>
        <v>103.32870176288621</v>
      </c>
      <c r="AH58" s="19">
        <f t="shared" ca="1" si="13"/>
        <v>304.60741904337164</v>
      </c>
      <c r="AI58" s="46">
        <f t="shared" ca="1" si="19"/>
        <v>5116.7635732056806</v>
      </c>
      <c r="AJ58" s="55">
        <f t="shared" ca="1" si="20"/>
        <v>0.20657319773530194</v>
      </c>
      <c r="AK58" s="19">
        <f t="shared" ca="1" si="21"/>
        <v>195.43603797458528</v>
      </c>
      <c r="AL58" s="19">
        <f t="shared" ca="1" si="14"/>
        <v>150</v>
      </c>
    </row>
    <row r="59" spans="2:38" x14ac:dyDescent="0.25">
      <c r="B59" s="19"/>
      <c r="C59" s="19"/>
      <c r="D59" s="19"/>
      <c r="E59" s="19"/>
      <c r="F59" s="19"/>
      <c r="G59" s="19"/>
      <c r="H59" s="43">
        <f t="shared" si="22"/>
        <v>45778</v>
      </c>
      <c r="I59" s="264">
        <v>0</v>
      </c>
      <c r="J59" s="64">
        <f t="shared" ca="1" si="15"/>
        <v>0</v>
      </c>
      <c r="K59" s="19">
        <f ca="1">SUMPRODUCT(V$7:V59,OFFSET($J$366,ROW($I$7)-ROW(),0):$J$366)</f>
        <v>0</v>
      </c>
      <c r="L59" s="19">
        <f ca="1">SUMPRODUCT(W$7:W59,OFFSET($J$366,ROW($I$7)-ROW(),0):$J$366)</f>
        <v>0</v>
      </c>
      <c r="M59" s="19">
        <f ca="1">SUMPRODUCT(X$7:X59,OFFSET($J$366,ROW($I$7)-ROW(),0):$J$366)</f>
        <v>0</v>
      </c>
      <c r="N59" s="19"/>
      <c r="O59" s="43">
        <f t="shared" si="16"/>
        <v>45047</v>
      </c>
      <c r="P59" s="24">
        <f t="shared" si="17"/>
        <v>1581</v>
      </c>
      <c r="Q59" s="19">
        <f t="shared" si="23"/>
        <v>18.036869772170544</v>
      </c>
      <c r="R59" s="19">
        <f t="shared" si="1"/>
        <v>87.231440297145568</v>
      </c>
      <c r="S59" s="19">
        <f t="shared" si="2"/>
        <v>7.8047647533021127</v>
      </c>
      <c r="T59" s="19"/>
      <c r="U59" s="24">
        <f t="shared" si="24"/>
        <v>1582.3600000000004</v>
      </c>
      <c r="V59" s="19">
        <f t="shared" si="3"/>
        <v>58.687104117669008</v>
      </c>
      <c r="W59" s="19">
        <f t="shared" si="4"/>
        <v>146.71776029417251</v>
      </c>
      <c r="X59" s="19">
        <f t="shared" si="5"/>
        <v>29.343552058834504</v>
      </c>
      <c r="Y59" s="27"/>
      <c r="Z59" s="42">
        <f t="shared" si="18"/>
        <v>45778</v>
      </c>
      <c r="AA59" s="19">
        <f t="shared" ca="1" si="6"/>
        <v>13.079964592211926</v>
      </c>
      <c r="AB59" s="19">
        <f t="shared" ca="1" si="7"/>
        <v>67.047762375910153</v>
      </c>
      <c r="AC59" s="19">
        <f t="shared" ca="1" si="8"/>
        <v>3.3260469843436784</v>
      </c>
      <c r="AD59" s="19">
        <f t="shared" ca="1" si="9"/>
        <v>10.057164356386522</v>
      </c>
      <c r="AE59" s="115">
        <f t="shared" ca="1" si="10"/>
        <v>405.47890235856971</v>
      </c>
      <c r="AF59" s="19">
        <f t="shared" ca="1" si="11"/>
        <v>2078.4806336532147</v>
      </c>
      <c r="AG59" s="19">
        <f t="shared" ca="1" si="12"/>
        <v>103.10745651465403</v>
      </c>
      <c r="AH59" s="19">
        <f t="shared" ca="1" si="13"/>
        <v>311.77209504798219</v>
      </c>
      <c r="AI59" s="46">
        <f t="shared" ca="1" si="19"/>
        <v>5125.9895929559116</v>
      </c>
      <c r="AJ59" s="55">
        <f t="shared" ca="1" si="20"/>
        <v>0.20273342907404998</v>
      </c>
      <c r="AK59" s="19">
        <f t="shared" ca="1" si="21"/>
        <v>195.08428214021168</v>
      </c>
      <c r="AL59" s="19">
        <f t="shared" ca="1" si="14"/>
        <v>150</v>
      </c>
    </row>
    <row r="60" spans="2:38" x14ac:dyDescent="0.25">
      <c r="B60" s="19"/>
      <c r="C60" s="19"/>
      <c r="D60" s="19"/>
      <c r="E60" s="19"/>
      <c r="F60" s="19"/>
      <c r="G60" s="19"/>
      <c r="H60" s="43">
        <f t="shared" si="22"/>
        <v>45809</v>
      </c>
      <c r="I60" s="264">
        <v>0</v>
      </c>
      <c r="J60" s="64">
        <f t="shared" ca="1" si="15"/>
        <v>0</v>
      </c>
      <c r="K60" s="19">
        <f ca="1">SUMPRODUCT(V$7:V60,OFFSET($J$366,ROW($I$7)-ROW(),0):$J$366)</f>
        <v>0</v>
      </c>
      <c r="L60" s="19">
        <f ca="1">SUMPRODUCT(W$7:W60,OFFSET($J$366,ROW($I$7)-ROW(),0):$J$366)</f>
        <v>0</v>
      </c>
      <c r="M60" s="19">
        <f ca="1">SUMPRODUCT(X$7:X60,OFFSET($J$366,ROW($I$7)-ROW(),0):$J$366)</f>
        <v>0</v>
      </c>
      <c r="N60" s="19"/>
      <c r="O60" s="43">
        <f t="shared" si="16"/>
        <v>45078</v>
      </c>
      <c r="P60" s="24">
        <f t="shared" si="17"/>
        <v>1612</v>
      </c>
      <c r="Q60" s="19">
        <f t="shared" si="23"/>
        <v>17.751580535468889</v>
      </c>
      <c r="R60" s="19">
        <f t="shared" si="1"/>
        <v>86.131866969216389</v>
      </c>
      <c r="S60" s="19">
        <f t="shared" si="2"/>
        <v>7.5269419675546789</v>
      </c>
      <c r="T60" s="19"/>
      <c r="U60" s="24">
        <f t="shared" si="24"/>
        <v>1612.7900000000004</v>
      </c>
      <c r="V60" s="19">
        <f t="shared" si="3"/>
        <v>58.215525306741057</v>
      </c>
      <c r="W60" s="19">
        <f t="shared" si="4"/>
        <v>145.53881326685263</v>
      </c>
      <c r="X60" s="19">
        <f t="shared" si="5"/>
        <v>29.107762653370528</v>
      </c>
      <c r="Y60" s="27"/>
      <c r="Z60" s="42">
        <f t="shared" si="18"/>
        <v>45809</v>
      </c>
      <c r="AA60" s="19">
        <f t="shared" ca="1" si="6"/>
        <v>12.929280256449291</v>
      </c>
      <c r="AB60" s="19">
        <f t="shared" ca="1" si="7"/>
        <v>66.396261197305407</v>
      </c>
      <c r="AC60" s="19">
        <f t="shared" ca="1" si="8"/>
        <v>3.2081459203619378</v>
      </c>
      <c r="AD60" s="19">
        <f t="shared" ca="1" si="9"/>
        <v>9.9594391795958117</v>
      </c>
      <c r="AE60" s="115">
        <f t="shared" ca="1" si="10"/>
        <v>387.87840769347872</v>
      </c>
      <c r="AF60" s="19">
        <f t="shared" ca="1" si="11"/>
        <v>1991.8878359191622</v>
      </c>
      <c r="AG60" s="19">
        <f t="shared" ca="1" si="12"/>
        <v>96.244377610858137</v>
      </c>
      <c r="AH60" s="19">
        <f t="shared" ca="1" si="13"/>
        <v>298.78317538787434</v>
      </c>
      <c r="AI60" s="46">
        <f t="shared" ca="1" si="19"/>
        <v>5135.3408604617489</v>
      </c>
      <c r="AJ60" s="55">
        <f t="shared" ca="1" si="20"/>
        <v>0.19880158615206572</v>
      </c>
      <c r="AK60" s="19">
        <f t="shared" ca="1" si="21"/>
        <v>194.72904081192462</v>
      </c>
      <c r="AL60" s="19">
        <f t="shared" ca="1" si="14"/>
        <v>150</v>
      </c>
    </row>
    <row r="61" spans="2:38" x14ac:dyDescent="0.25">
      <c r="B61" s="19"/>
      <c r="C61" s="19"/>
      <c r="D61" s="19"/>
      <c r="E61" s="19"/>
      <c r="F61" s="19"/>
      <c r="G61" s="19"/>
      <c r="H61" s="43">
        <f t="shared" si="22"/>
        <v>45839</v>
      </c>
      <c r="I61" s="264">
        <v>0</v>
      </c>
      <c r="J61" s="64">
        <f t="shared" ca="1" si="15"/>
        <v>0</v>
      </c>
      <c r="K61" s="19">
        <f ca="1">SUMPRODUCT(V$7:V61,OFFSET($J$366,ROW($I$7)-ROW(),0):$J$366)</f>
        <v>0</v>
      </c>
      <c r="L61" s="19">
        <f ca="1">SUMPRODUCT(W$7:W61,OFFSET($J$366,ROW($I$7)-ROW(),0):$J$366)</f>
        <v>0</v>
      </c>
      <c r="M61" s="19">
        <f ca="1">SUMPRODUCT(X$7:X61,OFFSET($J$366,ROW($I$7)-ROW(),0):$J$366)</f>
        <v>0</v>
      </c>
      <c r="N61" s="19"/>
      <c r="O61" s="43">
        <f t="shared" si="16"/>
        <v>45108</v>
      </c>
      <c r="P61" s="24">
        <f t="shared" si="17"/>
        <v>1642</v>
      </c>
      <c r="Q61" s="19">
        <f t="shared" si="23"/>
        <v>17.48395748293359</v>
      </c>
      <c r="R61" s="19">
        <f t="shared" si="1"/>
        <v>85.093839528818719</v>
      </c>
      <c r="S61" s="19">
        <f t="shared" si="2"/>
        <v>7.2675464452489935</v>
      </c>
      <c r="T61" s="19"/>
      <c r="U61" s="24">
        <f t="shared" si="24"/>
        <v>1643.2200000000005</v>
      </c>
      <c r="V61" s="19">
        <f t="shared" si="3"/>
        <v>57.766318986551916</v>
      </c>
      <c r="W61" s="19">
        <f t="shared" si="4"/>
        <v>144.41579746637979</v>
      </c>
      <c r="X61" s="19">
        <f t="shared" si="5"/>
        <v>28.883159493275958</v>
      </c>
      <c r="Y61" s="27"/>
      <c r="Z61" s="42">
        <f t="shared" si="18"/>
        <v>45839</v>
      </c>
      <c r="AA61" s="19">
        <f t="shared" ca="1" si="6"/>
        <v>12.786725912231429</v>
      </c>
      <c r="AB61" s="19">
        <f t="shared" ca="1" si="7"/>
        <v>65.777719064138239</v>
      </c>
      <c r="AC61" s="19">
        <f t="shared" ca="1" si="8"/>
        <v>3.0980481379240494</v>
      </c>
      <c r="AD61" s="19">
        <f t="shared" ca="1" si="9"/>
        <v>9.8666578596207355</v>
      </c>
      <c r="AE61" s="115">
        <f t="shared" ca="1" si="10"/>
        <v>396.3885032791743</v>
      </c>
      <c r="AF61" s="19">
        <f t="shared" ca="1" si="11"/>
        <v>2039.1092909882855</v>
      </c>
      <c r="AG61" s="19">
        <f t="shared" ca="1" si="12"/>
        <v>96.039492275645529</v>
      </c>
      <c r="AH61" s="19">
        <f t="shared" ca="1" si="13"/>
        <v>305.86639364824282</v>
      </c>
      <c r="AI61" s="46">
        <f t="shared" ca="1" si="19"/>
        <v>5144.21905307418</v>
      </c>
      <c r="AJ61" s="55">
        <f t="shared" ca="1" si="20"/>
        <v>0.1950325593642124</v>
      </c>
      <c r="AK61" s="19">
        <f t="shared" ca="1" si="21"/>
        <v>194.39296610092859</v>
      </c>
      <c r="AL61" s="19">
        <f t="shared" ca="1" si="14"/>
        <v>150</v>
      </c>
    </row>
    <row r="62" spans="2:38" x14ac:dyDescent="0.25">
      <c r="B62" s="19"/>
      <c r="C62" s="19"/>
      <c r="D62" s="19"/>
      <c r="E62" s="19"/>
      <c r="F62" s="19"/>
      <c r="G62" s="19"/>
      <c r="H62" s="43">
        <f t="shared" si="22"/>
        <v>45870</v>
      </c>
      <c r="I62" s="264">
        <v>0</v>
      </c>
      <c r="J62" s="64">
        <f t="shared" ca="1" si="15"/>
        <v>0</v>
      </c>
      <c r="K62" s="19">
        <f ca="1">SUMPRODUCT(V$7:V62,OFFSET($J$366,ROW($I$7)-ROW(),0):$J$366)</f>
        <v>0</v>
      </c>
      <c r="L62" s="19">
        <f ca="1">SUMPRODUCT(W$7:W62,OFFSET($J$366,ROW($I$7)-ROW(),0):$J$366)</f>
        <v>0</v>
      </c>
      <c r="M62" s="19">
        <f ca="1">SUMPRODUCT(X$7:X62,OFFSET($J$366,ROW($I$7)-ROW(),0):$J$366)</f>
        <v>0</v>
      </c>
      <c r="N62" s="19"/>
      <c r="O62" s="43">
        <f t="shared" si="16"/>
        <v>45139</v>
      </c>
      <c r="P62" s="24">
        <f t="shared" si="17"/>
        <v>1673</v>
      </c>
      <c r="Q62" s="19">
        <f t="shared" si="23"/>
        <v>17.21576095221738</v>
      </c>
      <c r="R62" s="19">
        <f t="shared" si="1"/>
        <v>84.047172556186112</v>
      </c>
      <c r="S62" s="19">
        <f t="shared" si="2"/>
        <v>7.0089373451132202</v>
      </c>
      <c r="T62" s="19"/>
      <c r="U62" s="24">
        <f t="shared" si="24"/>
        <v>1673.6500000000005</v>
      </c>
      <c r="V62" s="19">
        <f t="shared" si="3"/>
        <v>57.30936437125284</v>
      </c>
      <c r="W62" s="19">
        <f t="shared" si="4"/>
        <v>143.27341092813211</v>
      </c>
      <c r="X62" s="19">
        <f t="shared" si="5"/>
        <v>28.65468218562642</v>
      </c>
      <c r="Y62" s="27"/>
      <c r="Z62" s="42">
        <f t="shared" si="18"/>
        <v>45870</v>
      </c>
      <c r="AA62" s="19">
        <f t="shared" ca="1" si="6"/>
        <v>12.642684999821245</v>
      </c>
      <c r="AB62" s="19">
        <f t="shared" ca="1" si="7"/>
        <v>65.150550628785652</v>
      </c>
      <c r="AC62" s="19">
        <f t="shared" ca="1" si="8"/>
        <v>2.9882674155687603</v>
      </c>
      <c r="AD62" s="19">
        <f t="shared" ca="1" si="9"/>
        <v>9.7725825943178481</v>
      </c>
      <c r="AE62" s="115">
        <f t="shared" ca="1" si="10"/>
        <v>391.9232349944586</v>
      </c>
      <c r="AF62" s="19">
        <f t="shared" ca="1" si="11"/>
        <v>2019.6670694923553</v>
      </c>
      <c r="AG62" s="19">
        <f t="shared" ca="1" si="12"/>
        <v>92.636289882631573</v>
      </c>
      <c r="AH62" s="19">
        <f t="shared" ca="1" si="13"/>
        <v>302.9500604238533</v>
      </c>
      <c r="AI62" s="46">
        <f t="shared" ca="1" si="19"/>
        <v>5153.2210625912785</v>
      </c>
      <c r="AJ62" s="55">
        <f t="shared" ca="1" si="20"/>
        <v>0.1911762851140508</v>
      </c>
      <c r="AK62" s="19">
        <f t="shared" ca="1" si="21"/>
        <v>194.05338677575648</v>
      </c>
      <c r="AL62" s="19">
        <f t="shared" ca="1" si="14"/>
        <v>150.00000000000003</v>
      </c>
    </row>
    <row r="63" spans="2:38" x14ac:dyDescent="0.25">
      <c r="B63" s="19"/>
      <c r="C63" s="19"/>
      <c r="D63" s="19"/>
      <c r="E63" s="19"/>
      <c r="F63" s="19"/>
      <c r="G63" s="19"/>
      <c r="H63" s="43">
        <f t="shared" si="22"/>
        <v>45901</v>
      </c>
      <c r="I63" s="264">
        <v>0</v>
      </c>
      <c r="J63" s="64">
        <f t="shared" ca="1" si="15"/>
        <v>0</v>
      </c>
      <c r="K63" s="19">
        <f ca="1">SUMPRODUCT(V$7:V63,OFFSET($J$366,ROW($I$7)-ROW(),0):$J$366)</f>
        <v>0</v>
      </c>
      <c r="L63" s="19">
        <f ca="1">SUMPRODUCT(W$7:W63,OFFSET($J$366,ROW($I$7)-ROW(),0):$J$366)</f>
        <v>0</v>
      </c>
      <c r="M63" s="19">
        <f ca="1">SUMPRODUCT(X$7:X63,OFFSET($J$366,ROW($I$7)-ROW(),0):$J$366)</f>
        <v>0</v>
      </c>
      <c r="N63" s="19"/>
      <c r="O63" s="43">
        <f t="shared" si="16"/>
        <v>45170</v>
      </c>
      <c r="P63" s="24">
        <f t="shared" si="17"/>
        <v>1704</v>
      </c>
      <c r="Q63" s="19">
        <f t="shared" si="23"/>
        <v>16.955668156860035</v>
      </c>
      <c r="R63" s="19">
        <f t="shared" si="1"/>
        <v>83.025941044664506</v>
      </c>
      <c r="S63" s="19">
        <f t="shared" si="2"/>
        <v>6.7595749789058415</v>
      </c>
      <c r="T63" s="19"/>
      <c r="U63" s="24">
        <f t="shared" si="24"/>
        <v>1704.0800000000006</v>
      </c>
      <c r="V63" s="19">
        <f t="shared" si="3"/>
        <v>56.859582403849558</v>
      </c>
      <c r="W63" s="19">
        <f t="shared" si="4"/>
        <v>142.1489560096239</v>
      </c>
      <c r="X63" s="19">
        <f t="shared" si="5"/>
        <v>28.429791201924779</v>
      </c>
      <c r="Y63" s="27"/>
      <c r="Z63" s="42">
        <f t="shared" si="18"/>
        <v>45901</v>
      </c>
      <c r="AA63" s="19">
        <f t="shared" ca="1" si="6"/>
        <v>12.501853144496277</v>
      </c>
      <c r="AB63" s="19">
        <f t="shared" ca="1" si="7"/>
        <v>64.535228919212244</v>
      </c>
      <c r="AC63" s="19">
        <f t="shared" ca="1" si="8"/>
        <v>2.882395578290232</v>
      </c>
      <c r="AD63" s="19">
        <f t="shared" ca="1" si="9"/>
        <v>9.6802843378818366</v>
      </c>
      <c r="AE63" s="115">
        <f t="shared" ca="1" si="10"/>
        <v>375.05559433488833</v>
      </c>
      <c r="AF63" s="19">
        <f t="shared" ca="1" si="11"/>
        <v>1936.0568675763673</v>
      </c>
      <c r="AG63" s="19">
        <f t="shared" ca="1" si="12"/>
        <v>86.471867348706965</v>
      </c>
      <c r="AH63" s="19">
        <f t="shared" ca="1" si="13"/>
        <v>290.40853013645511</v>
      </c>
      <c r="AI63" s="46">
        <f t="shared" ca="1" si="19"/>
        <v>5162.0530311238499</v>
      </c>
      <c r="AJ63" s="55">
        <f t="shared" ca="1" si="20"/>
        <v>0.18736017794752288</v>
      </c>
      <c r="AK63" s="19">
        <f t="shared" ca="1" si="21"/>
        <v>193.7213728666957</v>
      </c>
      <c r="AL63" s="19">
        <f t="shared" ca="1" si="14"/>
        <v>150.00000000000003</v>
      </c>
    </row>
    <row r="64" spans="2:38" x14ac:dyDescent="0.25">
      <c r="B64" s="19"/>
      <c r="C64" s="19"/>
      <c r="D64" s="19"/>
      <c r="E64" s="19"/>
      <c r="F64" s="19"/>
      <c r="G64" s="19"/>
      <c r="H64" s="43">
        <f t="shared" si="22"/>
        <v>45931</v>
      </c>
      <c r="I64" s="264">
        <v>0</v>
      </c>
      <c r="J64" s="64">
        <f t="shared" ca="1" si="15"/>
        <v>0</v>
      </c>
      <c r="K64" s="19">
        <f ca="1">SUMPRODUCT(V$7:V64,OFFSET($J$366,ROW($I$7)-ROW(),0):$J$366)</f>
        <v>0</v>
      </c>
      <c r="L64" s="19">
        <f ca="1">SUMPRODUCT(W$7:W64,OFFSET($J$366,ROW($I$7)-ROW(),0):$J$366)</f>
        <v>0</v>
      </c>
      <c r="M64" s="19">
        <f ca="1">SUMPRODUCT(X$7:X64,OFFSET($J$366,ROW($I$7)-ROW(),0):$J$366)</f>
        <v>0</v>
      </c>
      <c r="N64" s="19"/>
      <c r="O64" s="43">
        <f t="shared" si="16"/>
        <v>45200</v>
      </c>
      <c r="P64" s="24">
        <f t="shared" si="17"/>
        <v>1734</v>
      </c>
      <c r="Q64" s="19">
        <f t="shared" si="23"/>
        <v>16.711340323867276</v>
      </c>
      <c r="R64" s="19">
        <f t="shared" si="1"/>
        <v>82.06100727935484</v>
      </c>
      <c r="S64" s="19">
        <f t="shared" si="2"/>
        <v>6.5267476849253629</v>
      </c>
      <c r="T64" s="19"/>
      <c r="U64" s="24">
        <f t="shared" si="24"/>
        <v>1734.5100000000007</v>
      </c>
      <c r="V64" s="19">
        <f t="shared" si="3"/>
        <v>56.430980980459161</v>
      </c>
      <c r="W64" s="19">
        <f t="shared" si="4"/>
        <v>141.07745245114791</v>
      </c>
      <c r="X64" s="19">
        <f t="shared" si="5"/>
        <v>28.21549049022958</v>
      </c>
      <c r="Y64" s="27"/>
      <c r="Z64" s="42">
        <f t="shared" si="18"/>
        <v>45931</v>
      </c>
      <c r="AA64" s="19">
        <f t="shared" ca="1" si="6"/>
        <v>12.368519769647431</v>
      </c>
      <c r="AB64" s="19">
        <f t="shared" ca="1" si="7"/>
        <v>63.950722661852183</v>
      </c>
      <c r="AC64" s="19">
        <f t="shared" ca="1" si="8"/>
        <v>2.783528979677544</v>
      </c>
      <c r="AD64" s="19">
        <f t="shared" ca="1" si="9"/>
        <v>9.592608399277827</v>
      </c>
      <c r="AE64" s="115">
        <f t="shared" ca="1" si="10"/>
        <v>383.42411285907036</v>
      </c>
      <c r="AF64" s="19">
        <f t="shared" ca="1" si="11"/>
        <v>1982.4724025174178</v>
      </c>
      <c r="AG64" s="19">
        <f t="shared" ca="1" si="12"/>
        <v>86.289398370003866</v>
      </c>
      <c r="AH64" s="19">
        <f t="shared" ca="1" si="13"/>
        <v>297.37086037761264</v>
      </c>
      <c r="AI64" s="46">
        <f t="shared" ca="1" si="19"/>
        <v>5170.4426926485094</v>
      </c>
      <c r="AJ64" s="55">
        <f t="shared" ca="1" si="20"/>
        <v>0.18370644298524649</v>
      </c>
      <c r="AK64" s="19">
        <f t="shared" ca="1" si="21"/>
        <v>193.40703677498058</v>
      </c>
      <c r="AL64" s="19">
        <f t="shared" ca="1" si="14"/>
        <v>149.99999999999997</v>
      </c>
    </row>
    <row r="65" spans="2:38" x14ac:dyDescent="0.25">
      <c r="B65" s="19"/>
      <c r="C65" s="19"/>
      <c r="D65" s="19"/>
      <c r="E65" s="19"/>
      <c r="F65" s="19"/>
      <c r="G65" s="19"/>
      <c r="H65" s="43">
        <f t="shared" si="22"/>
        <v>45962</v>
      </c>
      <c r="I65" s="264">
        <v>0</v>
      </c>
      <c r="J65" s="64">
        <f t="shared" ca="1" si="15"/>
        <v>0</v>
      </c>
      <c r="K65" s="19">
        <f ca="1">SUMPRODUCT(V$7:V65,OFFSET($J$366,ROW($I$7)-ROW(),0):$J$366)</f>
        <v>0</v>
      </c>
      <c r="L65" s="19">
        <f ca="1">SUMPRODUCT(W$7:W65,OFFSET($J$366,ROW($I$7)-ROW(),0):$J$366)</f>
        <v>0</v>
      </c>
      <c r="M65" s="19">
        <f ca="1">SUMPRODUCT(X$7:X65,OFFSET($J$366,ROW($I$7)-ROW(),0):$J$366)</f>
        <v>0</v>
      </c>
      <c r="N65" s="19"/>
      <c r="O65" s="43">
        <f t="shared" si="16"/>
        <v>45231</v>
      </c>
      <c r="P65" s="24">
        <f t="shared" si="17"/>
        <v>1765</v>
      </c>
      <c r="Q65" s="19">
        <f t="shared" si="23"/>
        <v>16.466157112600389</v>
      </c>
      <c r="R65" s="19">
        <f t="shared" si="1"/>
        <v>81.08719241449738</v>
      </c>
      <c r="S65" s="19">
        <f t="shared" si="2"/>
        <v>6.2946217962309099</v>
      </c>
      <c r="T65" s="19"/>
      <c r="U65" s="24">
        <f t="shared" si="24"/>
        <v>1764.9400000000007</v>
      </c>
      <c r="V65" s="19">
        <f t="shared" si="3"/>
        <v>55.994828545357969</v>
      </c>
      <c r="W65" s="19">
        <f t="shared" si="4"/>
        <v>139.9870713633949</v>
      </c>
      <c r="X65" s="19">
        <f t="shared" si="5"/>
        <v>27.997414272678984</v>
      </c>
      <c r="Y65" s="27"/>
      <c r="Z65" s="42">
        <f t="shared" si="18"/>
        <v>45962</v>
      </c>
      <c r="AA65" s="19">
        <f t="shared" ca="1" si="6"/>
        <v>12.233697186333124</v>
      </c>
      <c r="AB65" s="19">
        <f t="shared" ca="1" si="7"/>
        <v>63.357752944011899</v>
      </c>
      <c r="AC65" s="19">
        <f t="shared" ca="1" si="8"/>
        <v>2.6849452157961351</v>
      </c>
      <c r="AD65" s="19">
        <f t="shared" ca="1" si="9"/>
        <v>9.5036629416017853</v>
      </c>
      <c r="AE65" s="115">
        <f t="shared" ca="1" si="10"/>
        <v>367.01091558999372</v>
      </c>
      <c r="AF65" s="19">
        <f t="shared" ca="1" si="11"/>
        <v>1900.7325883203571</v>
      </c>
      <c r="AG65" s="19">
        <f t="shared" ca="1" si="12"/>
        <v>80.548356473884056</v>
      </c>
      <c r="AH65" s="19">
        <f t="shared" ca="1" si="13"/>
        <v>285.10988824805355</v>
      </c>
      <c r="AI65" s="46">
        <f t="shared" ca="1" si="19"/>
        <v>5178.9538337430831</v>
      </c>
      <c r="AJ65" s="55">
        <f t="shared" ca="1" si="20"/>
        <v>0.17997248968263541</v>
      </c>
      <c r="AK65" s="19">
        <f t="shared" ca="1" si="21"/>
        <v>193.08918984459279</v>
      </c>
      <c r="AL65" s="19">
        <f t="shared" ca="1" si="14"/>
        <v>149.99999999999997</v>
      </c>
    </row>
    <row r="66" spans="2:38" x14ac:dyDescent="0.25">
      <c r="B66" s="19"/>
      <c r="C66" s="19"/>
      <c r="D66" s="19"/>
      <c r="E66" s="19"/>
      <c r="F66" s="19"/>
      <c r="G66" s="19"/>
      <c r="H66" s="44">
        <f t="shared" si="22"/>
        <v>45992</v>
      </c>
      <c r="I66" s="265">
        <v>0</v>
      </c>
      <c r="J66" s="65">
        <f t="shared" ca="1" si="15"/>
        <v>0</v>
      </c>
      <c r="K66" s="21">
        <f ca="1">SUMPRODUCT(V$7:V66,OFFSET($J$366,ROW($I$7)-ROW(),0):$J$366)</f>
        <v>0</v>
      </c>
      <c r="L66" s="21">
        <f ca="1">SUMPRODUCT(W$7:W66,OFFSET($J$366,ROW($I$7)-ROW(),0):$J$366)</f>
        <v>0</v>
      </c>
      <c r="M66" s="21">
        <f ca="1">SUMPRODUCT(X$7:X66,OFFSET($J$366,ROW($I$7)-ROW(),0):$J$366)</f>
        <v>0</v>
      </c>
      <c r="N66" s="19"/>
      <c r="O66" s="44">
        <f t="shared" si="16"/>
        <v>45261</v>
      </c>
      <c r="P66" s="25">
        <f t="shared" si="17"/>
        <v>1795</v>
      </c>
      <c r="Q66" s="21">
        <f t="shared" si="23"/>
        <v>16.235637253421221</v>
      </c>
      <c r="R66" s="21">
        <f t="shared" si="1"/>
        <v>80.166547209045888</v>
      </c>
      <c r="S66" s="21">
        <f t="shared" si="2"/>
        <v>6.0778852729471584</v>
      </c>
      <c r="T66" s="19"/>
      <c r="U66" s="25">
        <f t="shared" si="24"/>
        <v>1795.3700000000008</v>
      </c>
      <c r="V66" s="21">
        <f t="shared" si="3"/>
        <v>55.579117171910788</v>
      </c>
      <c r="W66" s="21">
        <f t="shared" si="4"/>
        <v>138.94779292977697</v>
      </c>
      <c r="X66" s="21">
        <f t="shared" si="5"/>
        <v>27.789558585955394</v>
      </c>
      <c r="Y66" s="27"/>
      <c r="Z66" s="48">
        <f t="shared" si="18"/>
        <v>45992</v>
      </c>
      <c r="AA66" s="21">
        <f t="shared" ca="1" si="6"/>
        <v>12.105993069316089</v>
      </c>
      <c r="AB66" s="21">
        <f t="shared" ca="1" si="7"/>
        <v>62.794288182060889</v>
      </c>
      <c r="AC66" s="21">
        <f t="shared" ca="1" si="8"/>
        <v>2.5928832945003779</v>
      </c>
      <c r="AD66" s="21">
        <f t="shared" ca="1" si="9"/>
        <v>9.4191432273091333</v>
      </c>
      <c r="AE66" s="116">
        <f t="shared" ca="1" si="10"/>
        <v>375.28578514879877</v>
      </c>
      <c r="AF66" s="21">
        <f t="shared" ca="1" si="11"/>
        <v>1946.6229336438876</v>
      </c>
      <c r="AG66" s="21">
        <f t="shared" ca="1" si="12"/>
        <v>80.379382129511711</v>
      </c>
      <c r="AH66" s="21">
        <f t="shared" ca="1" si="13"/>
        <v>291.99344004658315</v>
      </c>
      <c r="AI66" s="47">
        <f t="shared" ca="1" si="19"/>
        <v>5187.0414779287803</v>
      </c>
      <c r="AJ66" s="57">
        <f t="shared" ca="1" si="20"/>
        <v>0.17640010231551825</v>
      </c>
      <c r="AK66" s="21">
        <f t="shared" ca="1" si="21"/>
        <v>192.7881248405414</v>
      </c>
      <c r="AL66" s="21">
        <f t="shared" ca="1" si="14"/>
        <v>150</v>
      </c>
    </row>
    <row r="67" spans="2:38" x14ac:dyDescent="0.25">
      <c r="B67" s="19"/>
      <c r="C67" s="19"/>
      <c r="D67" s="19"/>
      <c r="E67" s="19"/>
      <c r="F67" s="19"/>
      <c r="G67" s="19"/>
      <c r="H67" s="43">
        <f t="shared" si="22"/>
        <v>46023</v>
      </c>
      <c r="I67" s="264">
        <v>0</v>
      </c>
      <c r="J67" s="64">
        <f t="shared" ca="1" si="15"/>
        <v>0</v>
      </c>
      <c r="K67" s="19">
        <f ca="1">SUMPRODUCT(V$7:V67,OFFSET($J$366,ROW($I$7)-ROW(),0):$J$366)</f>
        <v>0</v>
      </c>
      <c r="L67" s="19">
        <f ca="1">SUMPRODUCT(W$7:W67,OFFSET($J$366,ROW($I$7)-ROW(),0):$J$366)</f>
        <v>0</v>
      </c>
      <c r="M67" s="19">
        <f ca="1">SUMPRODUCT(X$7:X67,OFFSET($J$366,ROW($I$7)-ROW(),0):$J$366)</f>
        <v>0</v>
      </c>
      <c r="N67" s="19"/>
      <c r="O67" s="43">
        <f t="shared" si="16"/>
        <v>45292</v>
      </c>
      <c r="P67" s="24">
        <f t="shared" si="17"/>
        <v>1826</v>
      </c>
      <c r="Q67" s="19">
        <f t="shared" si="23"/>
        <v>16.00411738975162</v>
      </c>
      <c r="R67" s="19">
        <f t="shared" si="1"/>
        <v>79.236921627663989</v>
      </c>
      <c r="S67" s="19">
        <f t="shared" si="2"/>
        <v>5.8617989248608611</v>
      </c>
      <c r="T67" s="19"/>
      <c r="U67" s="24">
        <f t="shared" si="24"/>
        <v>1825.8000000000009</v>
      </c>
      <c r="V67" s="19">
        <f t="shared" si="3"/>
        <v>55.155984009838143</v>
      </c>
      <c r="W67" s="19">
        <f t="shared" si="4"/>
        <v>137.88996002459535</v>
      </c>
      <c r="X67" s="19">
        <f t="shared" si="5"/>
        <v>27.577992004919071</v>
      </c>
      <c r="Y67" s="27"/>
      <c r="Z67" s="42">
        <f t="shared" si="18"/>
        <v>46023</v>
      </c>
      <c r="AA67" s="19">
        <f t="shared" ca="1" si="6"/>
        <v>11.976803180658857</v>
      </c>
      <c r="AB67" s="19">
        <f t="shared" ca="1" si="7"/>
        <v>62.222474278278618</v>
      </c>
      <c r="AC67" s="19">
        <f t="shared" ca="1" si="8"/>
        <v>2.5010835805242988</v>
      </c>
      <c r="AD67" s="19">
        <f t="shared" ca="1" si="9"/>
        <v>9.3333711417417931</v>
      </c>
      <c r="AE67" s="115">
        <f t="shared" ca="1" si="10"/>
        <v>371.28089860042456</v>
      </c>
      <c r="AF67" s="19">
        <f t="shared" ca="1" si="11"/>
        <v>1928.8967026266371</v>
      </c>
      <c r="AG67" s="19">
        <f t="shared" ca="1" si="12"/>
        <v>77.533590996253267</v>
      </c>
      <c r="AH67" s="19">
        <f t="shared" ca="1" si="13"/>
        <v>289.33450539399558</v>
      </c>
      <c r="AI67" s="46">
        <f t="shared" ca="1" si="19"/>
        <v>5195.2489608212536</v>
      </c>
      <c r="AJ67" s="55">
        <f t="shared" ca="1" si="20"/>
        <v>0.17275197836399614</v>
      </c>
      <c r="AK67" s="19">
        <f t="shared" ca="1" si="21"/>
        <v>192.48355710020144</v>
      </c>
      <c r="AL67" s="19">
        <f t="shared" ca="1" si="14"/>
        <v>150.00000000000003</v>
      </c>
    </row>
    <row r="68" spans="2:38" x14ac:dyDescent="0.25">
      <c r="B68" s="19"/>
      <c r="C68" s="19"/>
      <c r="D68" s="19"/>
      <c r="E68" s="19"/>
      <c r="F68" s="19"/>
      <c r="G68" s="19"/>
      <c r="H68" s="43">
        <f t="shared" si="22"/>
        <v>46054</v>
      </c>
      <c r="I68" s="264">
        <v>0</v>
      </c>
      <c r="J68" s="64">
        <f t="shared" ca="1" si="15"/>
        <v>0</v>
      </c>
      <c r="K68" s="19">
        <f ca="1">SUMPRODUCT(V$7:V68,OFFSET($J$366,ROW($I$7)-ROW(),0):$J$366)</f>
        <v>0</v>
      </c>
      <c r="L68" s="19">
        <f ca="1">SUMPRODUCT(W$7:W68,OFFSET($J$366,ROW($I$7)-ROW(),0):$J$366)</f>
        <v>0</v>
      </c>
      <c r="M68" s="19">
        <f ca="1">SUMPRODUCT(X$7:X68,OFFSET($J$366,ROW($I$7)-ROW(),0):$J$366)</f>
        <v>0</v>
      </c>
      <c r="N68" s="19"/>
      <c r="O68" s="43">
        <f t="shared" si="16"/>
        <v>45323</v>
      </c>
      <c r="P68" s="24">
        <f t="shared" si="17"/>
        <v>1857</v>
      </c>
      <c r="Q68" s="19">
        <f t="shared" si="23"/>
        <v>15.779107629421953</v>
      </c>
      <c r="R68" s="19">
        <f t="shared" si="1"/>
        <v>78.328609104391333</v>
      </c>
      <c r="S68" s="19">
        <f t="shared" si="2"/>
        <v>5.6534321057340744</v>
      </c>
      <c r="T68" s="19"/>
      <c r="U68" s="24">
        <f t="shared" si="24"/>
        <v>1856.2300000000009</v>
      </c>
      <c r="V68" s="19">
        <f t="shared" si="3"/>
        <v>54.739244936280812</v>
      </c>
      <c r="W68" s="19">
        <f t="shared" si="4"/>
        <v>136.84811234070202</v>
      </c>
      <c r="X68" s="19">
        <f t="shared" si="5"/>
        <v>27.369622468140406</v>
      </c>
      <c r="Y68" s="27"/>
      <c r="Z68" s="42">
        <f t="shared" si="18"/>
        <v>46054</v>
      </c>
      <c r="AA68" s="19">
        <f t="shared" ca="1" si="6"/>
        <v>11.850341494332332</v>
      </c>
      <c r="AB68" s="19">
        <f t="shared" ca="1" si="7"/>
        <v>61.660980439319538</v>
      </c>
      <c r="AC68" s="19">
        <f t="shared" ca="1" si="8"/>
        <v>2.4125496595162006</v>
      </c>
      <c r="AD68" s="19">
        <f t="shared" ca="1" si="9"/>
        <v>9.2491470658979296</v>
      </c>
      <c r="AE68" s="115">
        <f t="shared" ca="1" si="10"/>
        <v>331.80956184130531</v>
      </c>
      <c r="AF68" s="19">
        <f t="shared" ca="1" si="11"/>
        <v>1726.5074523009471</v>
      </c>
      <c r="AG68" s="19">
        <f t="shared" ca="1" si="12"/>
        <v>67.551390466453611</v>
      </c>
      <c r="AH68" s="19">
        <f t="shared" ca="1" si="13"/>
        <v>258.97611784514203</v>
      </c>
      <c r="AI68" s="46">
        <f t="shared" ca="1" si="19"/>
        <v>5203.3083155291488</v>
      </c>
      <c r="AJ68" s="55">
        <f t="shared" ca="1" si="20"/>
        <v>0.16914871140029883</v>
      </c>
      <c r="AK68" s="19">
        <f t="shared" ca="1" si="21"/>
        <v>192.18542115129409</v>
      </c>
      <c r="AL68" s="19">
        <f t="shared" ca="1" si="14"/>
        <v>149.99999999999997</v>
      </c>
    </row>
    <row r="69" spans="2:38" x14ac:dyDescent="0.25">
      <c r="B69" s="19"/>
      <c r="C69" s="19"/>
      <c r="D69" s="19"/>
      <c r="E69" s="19"/>
      <c r="F69" s="19"/>
      <c r="G69" s="19"/>
      <c r="H69" s="43">
        <f t="shared" si="22"/>
        <v>46082</v>
      </c>
      <c r="I69" s="264">
        <v>0</v>
      </c>
      <c r="J69" s="64">
        <f t="shared" ca="1" si="15"/>
        <v>0</v>
      </c>
      <c r="K69" s="19">
        <f ca="1">SUMPRODUCT(V$7:V69,OFFSET($J$366,ROW($I$7)-ROW(),0):$J$366)</f>
        <v>0</v>
      </c>
      <c r="L69" s="19">
        <f ca="1">SUMPRODUCT(W$7:W69,OFFSET($J$366,ROW($I$7)-ROW(),0):$J$366)</f>
        <v>0</v>
      </c>
      <c r="M69" s="19">
        <f ca="1">SUMPRODUCT(X$7:X69,OFFSET($J$366,ROW($I$7)-ROW(),0):$J$366)</f>
        <v>0</v>
      </c>
      <c r="N69" s="19"/>
      <c r="O69" s="43">
        <f t="shared" si="16"/>
        <v>45352</v>
      </c>
      <c r="P69" s="24">
        <f t="shared" si="17"/>
        <v>1886</v>
      </c>
      <c r="Q69" s="19">
        <f t="shared" si="23"/>
        <v>15.574268188491683</v>
      </c>
      <c r="R69" s="19">
        <f t="shared" si="1"/>
        <v>77.497549862387132</v>
      </c>
      <c r="S69" s="19">
        <f t="shared" si="2"/>
        <v>5.4652512434232543</v>
      </c>
      <c r="T69" s="19"/>
      <c r="U69" s="24">
        <f t="shared" si="24"/>
        <v>1886.660000000001</v>
      </c>
      <c r="V69" s="19">
        <f t="shared" si="3"/>
        <v>54.355053380179811</v>
      </c>
      <c r="W69" s="19">
        <f t="shared" si="4"/>
        <v>135.88763345044953</v>
      </c>
      <c r="X69" s="19">
        <f t="shared" si="5"/>
        <v>27.177526690089906</v>
      </c>
      <c r="Y69" s="27"/>
      <c r="Z69" s="42">
        <f t="shared" si="18"/>
        <v>46082</v>
      </c>
      <c r="AA69" s="19">
        <f t="shared" ca="1" si="6"/>
        <v>11.738391778922374</v>
      </c>
      <c r="AB69" s="19">
        <f t="shared" ca="1" si="7"/>
        <v>61.162464518397321</v>
      </c>
      <c r="AC69" s="19">
        <f t="shared" ca="1" si="8"/>
        <v>2.3352933684822181</v>
      </c>
      <c r="AD69" s="19">
        <f t="shared" ca="1" si="9"/>
        <v>9.1743696777595982</v>
      </c>
      <c r="AE69" s="115">
        <f t="shared" ca="1" si="10"/>
        <v>363.89014514659357</v>
      </c>
      <c r="AF69" s="19">
        <f t="shared" ca="1" si="11"/>
        <v>1896.0364000703169</v>
      </c>
      <c r="AG69" s="19">
        <f t="shared" ca="1" si="12"/>
        <v>72.394094422948768</v>
      </c>
      <c r="AH69" s="19">
        <f t="shared" ca="1" si="13"/>
        <v>284.40546001054753</v>
      </c>
      <c r="AI69" s="46">
        <f t="shared" ca="1" si="19"/>
        <v>5210.463721974379</v>
      </c>
      <c r="AJ69" s="55">
        <f t="shared" ca="1" si="20"/>
        <v>0.165933324784723</v>
      </c>
      <c r="AK69" s="19">
        <f t="shared" ca="1" si="21"/>
        <v>191.92149746339166</v>
      </c>
      <c r="AL69" s="19">
        <f t="shared" ca="1" si="14"/>
        <v>150</v>
      </c>
    </row>
    <row r="70" spans="2:38" x14ac:dyDescent="0.25">
      <c r="B70" s="19"/>
      <c r="C70" s="19"/>
      <c r="D70" s="19"/>
      <c r="E70" s="19"/>
      <c r="F70" s="19"/>
      <c r="G70" s="19"/>
      <c r="H70" s="43">
        <f t="shared" si="22"/>
        <v>46113</v>
      </c>
      <c r="I70" s="264">
        <v>0</v>
      </c>
      <c r="J70" s="64">
        <f t="shared" ca="1" si="15"/>
        <v>0</v>
      </c>
      <c r="K70" s="19">
        <f ca="1">SUMPRODUCT(V$7:V70,OFFSET($J$366,ROW($I$7)-ROW(),0):$J$366)</f>
        <v>0</v>
      </c>
      <c r="L70" s="19">
        <f ca="1">SUMPRODUCT(W$7:W70,OFFSET($J$366,ROW($I$7)-ROW(),0):$J$366)</f>
        <v>0</v>
      </c>
      <c r="M70" s="19">
        <f ca="1">SUMPRODUCT(X$7:X70,OFFSET($J$366,ROW($I$7)-ROW(),0):$J$366)</f>
        <v>0</v>
      </c>
      <c r="N70" s="19"/>
      <c r="O70" s="43">
        <f t="shared" si="16"/>
        <v>45383</v>
      </c>
      <c r="P70" s="24">
        <f t="shared" si="17"/>
        <v>1917</v>
      </c>
      <c r="Q70" s="19">
        <f t="shared" si="23"/>
        <v>15.361102536240018</v>
      </c>
      <c r="R70" s="19">
        <f t="shared" si="1"/>
        <v>76.628458657866929</v>
      </c>
      <c r="S70" s="19">
        <f t="shared" si="2"/>
        <v>5.2710471311428568</v>
      </c>
      <c r="T70" s="19"/>
      <c r="U70" s="24">
        <f t="shared" si="24"/>
        <v>1917.0900000000011</v>
      </c>
      <c r="V70" s="19">
        <f t="shared" si="3"/>
        <v>53.950285117119655</v>
      </c>
      <c r="W70" s="19">
        <f t="shared" si="4"/>
        <v>134.87571279279913</v>
      </c>
      <c r="X70" s="19">
        <f t="shared" si="5"/>
        <v>26.975142558559828</v>
      </c>
      <c r="Y70" s="27"/>
      <c r="Z70" s="42">
        <f t="shared" si="18"/>
        <v>46113</v>
      </c>
      <c r="AA70" s="19">
        <f t="shared" ca="1" si="6"/>
        <v>11.616889160744044</v>
      </c>
      <c r="AB70" s="19">
        <f t="shared" ca="1" si="7"/>
        <v>60.619855303747265</v>
      </c>
      <c r="AC70" s="19">
        <f t="shared" ca="1" si="8"/>
        <v>2.2526559605507321</v>
      </c>
      <c r="AD70" s="19">
        <f t="shared" ca="1" si="9"/>
        <v>9.092978295562089</v>
      </c>
      <c r="AE70" s="115">
        <f t="shared" ca="1" si="10"/>
        <v>348.50667482232132</v>
      </c>
      <c r="AF70" s="19">
        <f t="shared" ca="1" si="11"/>
        <v>1818.5956591124179</v>
      </c>
      <c r="AG70" s="19">
        <f t="shared" ca="1" si="12"/>
        <v>67.579678816521962</v>
      </c>
      <c r="AH70" s="19">
        <f t="shared" ca="1" si="13"/>
        <v>272.78934886686267</v>
      </c>
      <c r="AI70" s="46">
        <f t="shared" ca="1" si="19"/>
        <v>5218.2520178116829</v>
      </c>
      <c r="AJ70" s="55">
        <f t="shared" ca="1" si="20"/>
        <v>0.16241743624973606</v>
      </c>
      <c r="AK70" s="19">
        <f t="shared" ca="1" si="21"/>
        <v>191.635052616596</v>
      </c>
      <c r="AL70" s="19">
        <f t="shared" ca="1" si="14"/>
        <v>150</v>
      </c>
    </row>
    <row r="71" spans="2:38" x14ac:dyDescent="0.25">
      <c r="B71" s="19"/>
      <c r="C71" s="19"/>
      <c r="D71" s="19"/>
      <c r="E71" s="19"/>
      <c r="F71" s="19"/>
      <c r="G71" s="19"/>
      <c r="H71" s="43">
        <f t="shared" si="22"/>
        <v>46143</v>
      </c>
      <c r="I71" s="264">
        <v>0</v>
      </c>
      <c r="J71" s="64">
        <f t="shared" ca="1" si="15"/>
        <v>0</v>
      </c>
      <c r="K71" s="19">
        <f ca="1">SUMPRODUCT(V$7:V71,OFFSET($J$366,ROW($I$7)-ROW(),0):$J$366)</f>
        <v>0</v>
      </c>
      <c r="L71" s="19">
        <f ca="1">SUMPRODUCT(W$7:W71,OFFSET($J$366,ROW($I$7)-ROW(),0):$J$366)</f>
        <v>0</v>
      </c>
      <c r="M71" s="19">
        <f ca="1">SUMPRODUCT(X$7:X71,OFFSET($J$366,ROW($I$7)-ROW(),0):$J$366)</f>
        <v>0</v>
      </c>
      <c r="N71" s="19"/>
      <c r="O71" s="43">
        <f t="shared" si="16"/>
        <v>45413</v>
      </c>
      <c r="P71" s="24">
        <f t="shared" si="17"/>
        <v>1947</v>
      </c>
      <c r="Q71" s="19">
        <f t="shared" si="23"/>
        <v>15.160296467656886</v>
      </c>
      <c r="R71" s="19">
        <f t="shared" ref="R71:R134" si="25">IF(days&lt;tlim_gas,
qi_gas/(1+b_gas*(d_gas/365)*days)^(1/b_gas),
qlim_gas * EXP((-dmin_gas/365)* ( days-tlim_gas)))</f>
        <v>75.805763071864689</v>
      </c>
      <c r="S71" s="19">
        <f t="shared" ref="S71:S134" si="26">IF(days&lt;tlim_water,
qi_water/(1+b_water*(d_water/365)*days)^(1/b_water),
qlim_water * EXP((-dmin_water/365)* ( days-tlim_water)))</f>
        <v>5.0897125058915202</v>
      </c>
      <c r="T71" s="19"/>
      <c r="U71" s="24">
        <f t="shared" si="24"/>
        <v>1947.5200000000011</v>
      </c>
      <c r="V71" s="19">
        <f t="shared" ref="V71:V134" si="27">IF(days&lt;tlim_oil_new,
qi_oil_new/(1+b_oil_new*(d_oil_new/365)*days)^(1/b_oil_new),
qlim_oil_new * EXP((-dmin_oil_new/365)* ( days-tlim_oil_new)))</f>
        <v>53.564272678193262</v>
      </c>
      <c r="W71" s="19">
        <f t="shared" ref="W71:W134" si="28">IF(days&lt;tlim_gas_new,
qi_gas_new/(1+b_gas_new*(d_gas_new/365)*days)^(1/b_gas_new),
qlim_gas_new * EXP((-dmin_gas_new/365)* ( days-tlim_gas_new)))</f>
        <v>133.91068169548316</v>
      </c>
      <c r="X71" s="19">
        <f t="shared" ref="X71:X134" si="29">IF(days&lt;tlim_water_new,
qi_water_new/(1+b_water_new*(d_water_new/365)*days)^(1/b_water_new),
qlim_water_new * EXP((-dmin_water_new/365)* ( days-tlim_water_new)))</f>
        <v>26.782136339096631</v>
      </c>
      <c r="Y71" s="27"/>
      <c r="Z71" s="42">
        <f t="shared" si="18"/>
        <v>46143</v>
      </c>
      <c r="AA71" s="19">
        <f t="shared" ref="AA71:AA134" ca="1" si="30">mult_vol * OFFSET(Q$6,MATCH($Z71,$O$7:$O$534,0),0)  +K71</f>
        <v>11.501677146455508</v>
      </c>
      <c r="AB71" s="19">
        <f t="shared" ref="AB71:AB134" ca="1" si="31">mult_vol * (  VLOOKUP($Z71-qi_start, daily_base, 3, TRUE)  +  L71  )</f>
        <v>60.103838366535854</v>
      </c>
      <c r="AC71" s="19">
        <f t="shared" ref="AC71:AC134" ca="1" si="32">mult_vol * (  VLOOKUP($Z71-qi_start, daily_base, 4, TRUE)  +  M71  )</f>
        <v>2.1754830441875086</v>
      </c>
      <c r="AD71" s="19">
        <f t="shared" ref="AD71:AD134" ca="1" si="33">NGL_yield*(AB71/1000)</f>
        <v>9.0155757549803788</v>
      </c>
      <c r="AE71" s="115">
        <f t="shared" ref="AE71:AE134" ca="1" si="34">AA71*($Z72-$Z71)</f>
        <v>356.55199154012075</v>
      </c>
      <c r="AF71" s="19">
        <f t="shared" ref="AF71:AF134" ca="1" si="35">AB71*($Z72-$Z71)</f>
        <v>1863.2189893626114</v>
      </c>
      <c r="AG71" s="19">
        <f t="shared" ref="AG71:AG134" ca="1" si="36">AC71*($Z72-$Z71)</f>
        <v>67.439974369812774</v>
      </c>
      <c r="AH71" s="19">
        <f t="shared" ref="AH71:AH134" ca="1" si="37">AD71*($Z72-$Z71)</f>
        <v>279.48284840439175</v>
      </c>
      <c r="AI71" s="46">
        <f t="shared" ca="1" si="19"/>
        <v>5225.6586236258727</v>
      </c>
      <c r="AJ71" s="55">
        <f t="shared" ca="1" si="20"/>
        <v>0.15905955723731499</v>
      </c>
      <c r="AK71" s="19">
        <f t="shared" ca="1" si="21"/>
        <v>191.36343799399211</v>
      </c>
      <c r="AL71" s="19">
        <f t="shared" ref="AL71:AL134" ca="1" si="38">AH71/(AF71/1000)</f>
        <v>150.00000000000003</v>
      </c>
    </row>
    <row r="72" spans="2:38" x14ac:dyDescent="0.25">
      <c r="B72" s="19"/>
      <c r="C72" s="19"/>
      <c r="D72" s="19"/>
      <c r="E72" s="19"/>
      <c r="F72" s="19"/>
      <c r="G72" s="19"/>
      <c r="H72" s="43">
        <f t="shared" si="22"/>
        <v>46174</v>
      </c>
      <c r="I72" s="264">
        <v>0</v>
      </c>
      <c r="J72" s="64">
        <f t="shared" ref="J72:J135" ca="1" si="39">OFFSET($I$7,ROW($I$366)-ROW(),0)</f>
        <v>0</v>
      </c>
      <c r="K72" s="19">
        <f ca="1">SUMPRODUCT(V$7:V72,OFFSET($J$366,ROW($I$7)-ROW(),0):$J$366)</f>
        <v>0</v>
      </c>
      <c r="L72" s="19">
        <f ca="1">SUMPRODUCT(W$7:W72,OFFSET($J$366,ROW($I$7)-ROW(),0):$J$366)</f>
        <v>0</v>
      </c>
      <c r="M72" s="19">
        <f ca="1">SUMPRODUCT(X$7:X72,OFFSET($J$366,ROW($I$7)-ROW(),0):$J$366)</f>
        <v>0</v>
      </c>
      <c r="N72" s="19"/>
      <c r="O72" s="43">
        <f t="shared" ref="O72:O135" si="40">EOMONTH(O71,0)+1</f>
        <v>45444</v>
      </c>
      <c r="P72" s="24">
        <f t="shared" ref="P72:P135" si="41">O72-$O$7</f>
        <v>1978</v>
      </c>
      <c r="Q72" s="19">
        <f t="shared" ref="Q72:Q135" si="42">IF(days&lt;tlim_oil,
qi_oil/(1+b_oil*(d_oil)*(days/365.25))^(1/b_oil),
qlim_oil * EXP((-dmin_oil/365)* ( days-tlim_oil)))</f>
        <v>14.958238794896358</v>
      </c>
      <c r="R72" s="19">
        <f t="shared" si="25"/>
        <v>74.973998933104156</v>
      </c>
      <c r="S72" s="19">
        <f t="shared" si="26"/>
        <v>4.9089161176312004</v>
      </c>
      <c r="T72" s="19"/>
      <c r="U72" s="24">
        <f t="shared" si="24"/>
        <v>1977.9500000000012</v>
      </c>
      <c r="V72" s="19">
        <f t="shared" si="27"/>
        <v>53.171153638929468</v>
      </c>
      <c r="W72" s="19">
        <f t="shared" si="28"/>
        <v>132.92788409732367</v>
      </c>
      <c r="X72" s="19">
        <f t="shared" si="29"/>
        <v>26.585576819464734</v>
      </c>
      <c r="Y72" s="27"/>
      <c r="Z72" s="42">
        <f t="shared" ref="Z72:Z135" si="43">H72</f>
        <v>46174</v>
      </c>
      <c r="AA72" s="19">
        <f t="shared" ca="1" si="30"/>
        <v>11.385001170410398</v>
      </c>
      <c r="AB72" s="19">
        <f t="shared" ca="1" si="31"/>
        <v>59.579769549202432</v>
      </c>
      <c r="AC72" s="19">
        <f t="shared" ca="1" si="32"/>
        <v>2.0985275230426153</v>
      </c>
      <c r="AD72" s="19">
        <f t="shared" ca="1" si="33"/>
        <v>8.9369654323803651</v>
      </c>
      <c r="AE72" s="115">
        <f t="shared" ca="1" si="34"/>
        <v>341.55003511231195</v>
      </c>
      <c r="AF72" s="19">
        <f t="shared" ca="1" si="35"/>
        <v>1787.393086476073</v>
      </c>
      <c r="AG72" s="19">
        <f t="shared" ca="1" si="36"/>
        <v>62.955825691278456</v>
      </c>
      <c r="AH72" s="19">
        <f t="shared" ca="1" si="37"/>
        <v>268.10896297141096</v>
      </c>
      <c r="AI72" s="46">
        <f t="shared" ref="AI72:AI135" ca="1" si="44">AF72/AE72*1000</f>
        <v>5233.1808014258422</v>
      </c>
      <c r="AJ72" s="55">
        <f t="shared" ref="AJ72:AJ135" ca="1" si="45">AG72/(AG72+AE72)</f>
        <v>0.15563637462807228</v>
      </c>
      <c r="AK72" s="19">
        <f t="shared" ref="AK72:AK135" ca="1" si="46">AE72/(AF72/1000)</f>
        <v>191.08837205233542</v>
      </c>
      <c r="AL72" s="19">
        <f t="shared" ca="1" si="38"/>
        <v>150</v>
      </c>
    </row>
    <row r="73" spans="2:38" x14ac:dyDescent="0.25">
      <c r="B73" s="19"/>
      <c r="C73" s="19"/>
      <c r="D73" s="19"/>
      <c r="E73" s="19"/>
      <c r="F73" s="19"/>
      <c r="G73" s="19"/>
      <c r="H73" s="43">
        <f t="shared" ref="H73:H136" si="47">EOMONTH(H72,0)+1</f>
        <v>46204</v>
      </c>
      <c r="I73" s="264">
        <v>0</v>
      </c>
      <c r="J73" s="64">
        <f t="shared" ca="1" si="39"/>
        <v>0</v>
      </c>
      <c r="K73" s="19">
        <f ca="1">SUMPRODUCT(V$7:V73,OFFSET($J$366,ROW($I$7)-ROW(),0):$J$366)</f>
        <v>0</v>
      </c>
      <c r="L73" s="19">
        <f ca="1">SUMPRODUCT(W$7:W73,OFFSET($J$366,ROW($I$7)-ROW(),0):$J$366)</f>
        <v>0</v>
      </c>
      <c r="M73" s="19">
        <f ca="1">SUMPRODUCT(X$7:X73,OFFSET($J$366,ROW($I$7)-ROW(),0):$J$366)</f>
        <v>0</v>
      </c>
      <c r="N73" s="19"/>
      <c r="O73" s="43">
        <f t="shared" si="40"/>
        <v>45474</v>
      </c>
      <c r="P73" s="24">
        <f t="shared" si="41"/>
        <v>2008</v>
      </c>
      <c r="Q73" s="19">
        <f t="shared" si="42"/>
        <v>14.767762076587317</v>
      </c>
      <c r="R73" s="19">
        <f t="shared" si="25"/>
        <v>74.186262340692167</v>
      </c>
      <c r="S73" s="19">
        <f t="shared" si="26"/>
        <v>4.7400985663060222</v>
      </c>
      <c r="T73" s="19"/>
      <c r="U73" s="24">
        <f t="shared" ref="U73:U136" si="48">U72+30.43</f>
        <v>2008.3800000000012</v>
      </c>
      <c r="V73" s="19">
        <f t="shared" si="27"/>
        <v>52.79617126391873</v>
      </c>
      <c r="W73" s="19">
        <f t="shared" si="28"/>
        <v>131.99042815979683</v>
      </c>
      <c r="X73" s="19">
        <f t="shared" si="29"/>
        <v>26.398085631959365</v>
      </c>
      <c r="Y73" s="27"/>
      <c r="Z73" s="42">
        <f t="shared" si="43"/>
        <v>46204</v>
      </c>
      <c r="AA73" s="19">
        <f t="shared" ca="1" si="30"/>
        <v>11.274320897171044</v>
      </c>
      <c r="AB73" s="19">
        <f t="shared" ca="1" si="31"/>
        <v>59.081235026789479</v>
      </c>
      <c r="AC73" s="19">
        <f t="shared" ca="1" si="32"/>
        <v>2.0266598651206085</v>
      </c>
      <c r="AD73" s="19">
        <f t="shared" ca="1" si="33"/>
        <v>8.8621852540184207</v>
      </c>
      <c r="AE73" s="115">
        <f t="shared" ca="1" si="34"/>
        <v>349.50394781230239</v>
      </c>
      <c r="AF73" s="19">
        <f t="shared" ca="1" si="35"/>
        <v>1831.5182858304738</v>
      </c>
      <c r="AG73" s="19">
        <f t="shared" ca="1" si="36"/>
        <v>62.826455818738864</v>
      </c>
      <c r="AH73" s="19">
        <f t="shared" ca="1" si="37"/>
        <v>274.72774287457105</v>
      </c>
      <c r="AI73" s="46">
        <f t="shared" ca="1" si="44"/>
        <v>5240.3364748660078</v>
      </c>
      <c r="AJ73" s="55">
        <f t="shared" ca="1" si="45"/>
        <v>0.15236920504886373</v>
      </c>
      <c r="AK73" s="19">
        <f t="shared" ca="1" si="46"/>
        <v>190.82744109968044</v>
      </c>
      <c r="AL73" s="19">
        <f t="shared" ca="1" si="38"/>
        <v>150</v>
      </c>
    </row>
    <row r="74" spans="2:38" x14ac:dyDescent="0.25">
      <c r="B74" s="19"/>
      <c r="C74" s="19"/>
      <c r="D74" s="19"/>
      <c r="E74" s="19"/>
      <c r="F74" s="19"/>
      <c r="G74" s="19"/>
      <c r="H74" s="43">
        <f t="shared" si="47"/>
        <v>46235</v>
      </c>
      <c r="I74" s="264">
        <v>0</v>
      </c>
      <c r="J74" s="64">
        <f t="shared" ca="1" si="39"/>
        <v>0</v>
      </c>
      <c r="K74" s="19">
        <f ca="1">SUMPRODUCT(V$7:V74,OFFSET($J$366,ROW($I$7)-ROW(),0):$J$366)</f>
        <v>0</v>
      </c>
      <c r="L74" s="19">
        <f ca="1">SUMPRODUCT(W$7:W74,OFFSET($J$366,ROW($I$7)-ROW(),0):$J$366)</f>
        <v>0</v>
      </c>
      <c r="M74" s="19">
        <f ca="1">SUMPRODUCT(X$7:X74,OFFSET($J$366,ROW($I$7)-ROW(),0):$J$366)</f>
        <v>0</v>
      </c>
      <c r="N74" s="19"/>
      <c r="O74" s="43">
        <f t="shared" si="40"/>
        <v>45505</v>
      </c>
      <c r="P74" s="24">
        <f t="shared" si="41"/>
        <v>2039</v>
      </c>
      <c r="Q74" s="19">
        <f t="shared" si="42"/>
        <v>14.575966215856843</v>
      </c>
      <c r="R74" s="19">
        <f t="shared" si="25"/>
        <v>73.389471117815759</v>
      </c>
      <c r="S74" s="19">
        <f t="shared" si="26"/>
        <v>4.571779957594261</v>
      </c>
      <c r="T74" s="19"/>
      <c r="U74" s="24">
        <f t="shared" si="48"/>
        <v>2038.8100000000013</v>
      </c>
      <c r="V74" s="19">
        <f t="shared" si="27"/>
        <v>52.414205691939543</v>
      </c>
      <c r="W74" s="19">
        <f t="shared" si="28"/>
        <v>131.03551422984884</v>
      </c>
      <c r="X74" s="19">
        <f t="shared" si="29"/>
        <v>26.207102845969771</v>
      </c>
      <c r="Y74" s="27"/>
      <c r="Z74" s="42">
        <f t="shared" si="43"/>
        <v>46235</v>
      </c>
      <c r="AA74" s="19">
        <f t="shared" ca="1" si="30"/>
        <v>11.162189566504713</v>
      </c>
      <c r="AB74" s="19">
        <f t="shared" ca="1" si="31"/>
        <v>58.574772325662984</v>
      </c>
      <c r="AC74" s="19">
        <f t="shared" ca="1" si="32"/>
        <v>1.9549937535938082</v>
      </c>
      <c r="AD74" s="19">
        <f t="shared" ca="1" si="33"/>
        <v>8.786215848849448</v>
      </c>
      <c r="AE74" s="115">
        <f t="shared" ca="1" si="34"/>
        <v>346.02787656164611</v>
      </c>
      <c r="AF74" s="19">
        <f t="shared" ca="1" si="35"/>
        <v>1815.8179420955526</v>
      </c>
      <c r="AG74" s="19">
        <f t="shared" ca="1" si="36"/>
        <v>60.604806361408052</v>
      </c>
      <c r="AH74" s="19">
        <f t="shared" ca="1" si="37"/>
        <v>272.37269131433288</v>
      </c>
      <c r="AI74" s="46">
        <f t="shared" ca="1" si="44"/>
        <v>5247.6059447541593</v>
      </c>
      <c r="AJ74" s="55">
        <f t="shared" ca="1" si="45"/>
        <v>0.1490406671833511</v>
      </c>
      <c r="AK74" s="19">
        <f t="shared" ca="1" si="46"/>
        <v>190.56308925018726</v>
      </c>
      <c r="AL74" s="19">
        <f t="shared" ca="1" si="38"/>
        <v>150</v>
      </c>
    </row>
    <row r="75" spans="2:38" x14ac:dyDescent="0.25">
      <c r="B75" s="19"/>
      <c r="C75" s="19"/>
      <c r="D75" s="19"/>
      <c r="E75" s="19"/>
      <c r="F75" s="19"/>
      <c r="G75" s="19"/>
      <c r="H75" s="43">
        <f t="shared" si="47"/>
        <v>46266</v>
      </c>
      <c r="I75" s="264">
        <v>0</v>
      </c>
      <c r="J75" s="64">
        <f t="shared" ca="1" si="39"/>
        <v>0</v>
      </c>
      <c r="K75" s="19">
        <f ca="1">SUMPRODUCT(V$7:V75,OFFSET($J$366,ROW($I$7)-ROW(),0):$J$366)</f>
        <v>0</v>
      </c>
      <c r="L75" s="19">
        <f ca="1">SUMPRODUCT(W$7:W75,OFFSET($J$366,ROW($I$7)-ROW(),0):$J$366)</f>
        <v>0</v>
      </c>
      <c r="M75" s="19">
        <f ca="1">SUMPRODUCT(X$7:X75,OFFSET($J$366,ROW($I$7)-ROW(),0):$J$366)</f>
        <v>0</v>
      </c>
      <c r="N75" s="19"/>
      <c r="O75" s="43">
        <f t="shared" si="40"/>
        <v>45536</v>
      </c>
      <c r="P75" s="24">
        <f t="shared" si="41"/>
        <v>2070</v>
      </c>
      <c r="Q75" s="19">
        <f t="shared" si="42"/>
        <v>14.389088368392196</v>
      </c>
      <c r="R75" s="19">
        <f t="shared" si="25"/>
        <v>72.609613754596452</v>
      </c>
      <c r="S75" s="19">
        <f t="shared" si="26"/>
        <v>4.4094670764332564</v>
      </c>
      <c r="T75" s="19"/>
      <c r="U75" s="24">
        <f t="shared" si="48"/>
        <v>2069.2400000000011</v>
      </c>
      <c r="V75" s="19">
        <f t="shared" si="27"/>
        <v>52.037727250832475</v>
      </c>
      <c r="W75" s="19">
        <f t="shared" si="28"/>
        <v>130.09431812708118</v>
      </c>
      <c r="X75" s="19">
        <f t="shared" si="29"/>
        <v>26.018863625416238</v>
      </c>
      <c r="Y75" s="27"/>
      <c r="Z75" s="42">
        <f t="shared" si="43"/>
        <v>46266</v>
      </c>
      <c r="AA75" s="19">
        <f t="shared" ca="1" si="30"/>
        <v>11.052266726255837</v>
      </c>
      <c r="AB75" s="19">
        <f t="shared" ca="1" si="31"/>
        <v>58.076918934089086</v>
      </c>
      <c r="AC75" s="19">
        <f t="shared" ca="1" si="32"/>
        <v>1.8858740962802594</v>
      </c>
      <c r="AD75" s="19">
        <f t="shared" ca="1" si="33"/>
        <v>8.7115378401133636</v>
      </c>
      <c r="AE75" s="115">
        <f t="shared" ca="1" si="34"/>
        <v>331.56800178767514</v>
      </c>
      <c r="AF75" s="19">
        <f t="shared" ca="1" si="35"/>
        <v>1742.3075680226725</v>
      </c>
      <c r="AG75" s="19">
        <f t="shared" ca="1" si="36"/>
        <v>56.576222888407784</v>
      </c>
      <c r="AH75" s="19">
        <f t="shared" ca="1" si="37"/>
        <v>261.34613520340093</v>
      </c>
      <c r="AI75" s="46">
        <f t="shared" ca="1" si="44"/>
        <v>5254.7518416399753</v>
      </c>
      <c r="AJ75" s="55">
        <f t="shared" ca="1" si="45"/>
        <v>0.14576082623829378</v>
      </c>
      <c r="AK75" s="19">
        <f t="shared" ca="1" si="46"/>
        <v>190.30394396092095</v>
      </c>
      <c r="AL75" s="19">
        <f t="shared" ca="1" si="38"/>
        <v>150.00000000000003</v>
      </c>
    </row>
    <row r="76" spans="2:38" x14ac:dyDescent="0.25">
      <c r="B76" s="19"/>
      <c r="C76" s="19"/>
      <c r="D76" s="19"/>
      <c r="E76" s="19"/>
      <c r="F76" s="19"/>
      <c r="G76" s="19"/>
      <c r="H76" s="43">
        <f t="shared" si="47"/>
        <v>46296</v>
      </c>
      <c r="I76" s="264">
        <v>0</v>
      </c>
      <c r="J76" s="64">
        <f t="shared" ca="1" si="39"/>
        <v>0</v>
      </c>
      <c r="K76" s="19">
        <f ca="1">SUMPRODUCT(V$7:V76,OFFSET($J$366,ROW($I$7)-ROW(),0):$J$366)</f>
        <v>0</v>
      </c>
      <c r="L76" s="19">
        <f ca="1">SUMPRODUCT(W$7:W76,OFFSET($J$366,ROW($I$7)-ROW(),0):$J$366)</f>
        <v>0</v>
      </c>
      <c r="M76" s="19">
        <f ca="1">SUMPRODUCT(X$7:X76,OFFSET($J$366,ROW($I$7)-ROW(),0):$J$366)</f>
        <v>0</v>
      </c>
      <c r="N76" s="19"/>
      <c r="O76" s="43">
        <f t="shared" si="40"/>
        <v>45566</v>
      </c>
      <c r="P76" s="24">
        <f t="shared" si="41"/>
        <v>2100</v>
      </c>
      <c r="Q76" s="19">
        <f t="shared" si="42"/>
        <v>14.212745456032927</v>
      </c>
      <c r="R76" s="19">
        <f t="shared" si="25"/>
        <v>71.870533080807036</v>
      </c>
      <c r="S76" s="19">
        <f t="shared" si="26"/>
        <v>4.2579054823731957</v>
      </c>
      <c r="T76" s="19"/>
      <c r="U76" s="24">
        <f t="shared" si="48"/>
        <v>2099.670000000001</v>
      </c>
      <c r="V76" s="19">
        <f t="shared" si="27"/>
        <v>51.678507155835675</v>
      </c>
      <c r="W76" s="19">
        <f t="shared" si="28"/>
        <v>129.19626788958919</v>
      </c>
      <c r="X76" s="19">
        <f t="shared" si="29"/>
        <v>25.839253577917837</v>
      </c>
      <c r="Y76" s="27"/>
      <c r="Z76" s="42">
        <f t="shared" si="43"/>
        <v>46296</v>
      </c>
      <c r="AA76" s="19">
        <f t="shared" ca="1" si="30"/>
        <v>10.947931686164393</v>
      </c>
      <c r="AB76" s="19">
        <f t="shared" ca="1" si="31"/>
        <v>57.603117457739465</v>
      </c>
      <c r="AC76" s="19">
        <f t="shared" ca="1" si="32"/>
        <v>1.8213230114199883</v>
      </c>
      <c r="AD76" s="19">
        <f t="shared" ca="1" si="33"/>
        <v>8.6404676186609208</v>
      </c>
      <c r="AE76" s="115">
        <f t="shared" ca="1" si="34"/>
        <v>339.38588227109619</v>
      </c>
      <c r="AF76" s="19">
        <f t="shared" ca="1" si="35"/>
        <v>1785.6966411899234</v>
      </c>
      <c r="AG76" s="19">
        <f t="shared" ca="1" si="36"/>
        <v>56.461013354019634</v>
      </c>
      <c r="AH76" s="19">
        <f t="shared" ca="1" si="37"/>
        <v>267.85449617848855</v>
      </c>
      <c r="AI76" s="46">
        <f t="shared" ca="1" si="44"/>
        <v>5261.552511378587</v>
      </c>
      <c r="AJ76" s="55">
        <f t="shared" ca="1" si="45"/>
        <v>0.14263346252812517</v>
      </c>
      <c r="AK76" s="19">
        <f t="shared" ca="1" si="46"/>
        <v>190.05797202202373</v>
      </c>
      <c r="AL76" s="19">
        <f t="shared" ca="1" si="38"/>
        <v>150.00000000000003</v>
      </c>
    </row>
    <row r="77" spans="2:38" x14ac:dyDescent="0.25">
      <c r="B77" s="19"/>
      <c r="C77" s="19"/>
      <c r="D77" s="19"/>
      <c r="E77" s="19"/>
      <c r="F77" s="19"/>
      <c r="G77" s="19"/>
      <c r="H77" s="43">
        <f t="shared" si="47"/>
        <v>46327</v>
      </c>
      <c r="I77" s="264">
        <v>0</v>
      </c>
      <c r="J77" s="64">
        <f t="shared" ca="1" si="39"/>
        <v>0</v>
      </c>
      <c r="K77" s="19">
        <f ca="1">SUMPRODUCT(V$7:V77,OFFSET($J$366,ROW($I$7)-ROW(),0):$J$366)</f>
        <v>0</v>
      </c>
      <c r="L77" s="19">
        <f ca="1">SUMPRODUCT(W$7:W77,OFFSET($J$366,ROW($I$7)-ROW(),0):$J$366)</f>
        <v>0</v>
      </c>
      <c r="M77" s="19">
        <f ca="1">SUMPRODUCT(X$7:X77,OFFSET($J$366,ROW($I$7)-ROW(),0):$J$366)</f>
        <v>0</v>
      </c>
      <c r="N77" s="19"/>
      <c r="O77" s="43">
        <f t="shared" si="40"/>
        <v>45597</v>
      </c>
      <c r="P77" s="24">
        <f t="shared" si="41"/>
        <v>2131</v>
      </c>
      <c r="Q77" s="19">
        <f t="shared" si="42"/>
        <v>14.035008455415614</v>
      </c>
      <c r="R77" s="19">
        <f t="shared" si="25"/>
        <v>71.122458463710245</v>
      </c>
      <c r="S77" s="19">
        <f t="shared" si="26"/>
        <v>4.1067889339474428</v>
      </c>
      <c r="T77" s="19"/>
      <c r="U77" s="24">
        <f t="shared" si="48"/>
        <v>2130.1000000000008</v>
      </c>
      <c r="V77" s="19">
        <f t="shared" si="27"/>
        <v>51.312486326473433</v>
      </c>
      <c r="W77" s="19">
        <f t="shared" si="28"/>
        <v>128.28121581618359</v>
      </c>
      <c r="X77" s="19">
        <f t="shared" si="29"/>
        <v>25.656243163236716</v>
      </c>
      <c r="Y77" s="27"/>
      <c r="Z77" s="42">
        <f t="shared" si="43"/>
        <v>46327</v>
      </c>
      <c r="AA77" s="19">
        <f t="shared" ca="1" si="30"/>
        <v>10.842168283933232</v>
      </c>
      <c r="AB77" s="19">
        <f t="shared" ca="1" si="31"/>
        <v>57.121576243534747</v>
      </c>
      <c r="AC77" s="19">
        <f t="shared" ca="1" si="32"/>
        <v>1.7569517307836247</v>
      </c>
      <c r="AD77" s="19">
        <f t="shared" ca="1" si="33"/>
        <v>8.5682364365302117</v>
      </c>
      <c r="AE77" s="115">
        <f t="shared" ca="1" si="34"/>
        <v>325.26504851799695</v>
      </c>
      <c r="AF77" s="19">
        <f t="shared" ca="1" si="35"/>
        <v>1713.6472873060425</v>
      </c>
      <c r="AG77" s="19">
        <f t="shared" ca="1" si="36"/>
        <v>52.708551923508736</v>
      </c>
      <c r="AH77" s="19">
        <f t="shared" ca="1" si="37"/>
        <v>257.04709309590635</v>
      </c>
      <c r="AI77" s="46">
        <f t="shared" ca="1" si="44"/>
        <v>5268.4642727951332</v>
      </c>
      <c r="AJ77" s="55">
        <f t="shared" ca="1" si="45"/>
        <v>0.13945035278109533</v>
      </c>
      <c r="AK77" s="19">
        <f t="shared" ca="1" si="46"/>
        <v>189.80863269088084</v>
      </c>
      <c r="AL77" s="19">
        <f t="shared" ca="1" si="38"/>
        <v>150</v>
      </c>
    </row>
    <row r="78" spans="2:38" x14ac:dyDescent="0.25">
      <c r="B78" s="19"/>
      <c r="C78" s="19"/>
      <c r="D78" s="19"/>
      <c r="E78" s="19"/>
      <c r="F78" s="19"/>
      <c r="G78" s="19"/>
      <c r="H78" s="44">
        <f t="shared" si="47"/>
        <v>46357</v>
      </c>
      <c r="I78" s="265">
        <v>0</v>
      </c>
      <c r="J78" s="65">
        <f t="shared" ca="1" si="39"/>
        <v>0</v>
      </c>
      <c r="K78" s="21">
        <f ca="1">SUMPRODUCT(V$7:V78,OFFSET($J$366,ROW($I$7)-ROW(),0):$J$366)</f>
        <v>0</v>
      </c>
      <c r="L78" s="21">
        <f ca="1">SUMPRODUCT(W$7:W78,OFFSET($J$366,ROW($I$7)-ROW(),0):$J$366)</f>
        <v>0</v>
      </c>
      <c r="M78" s="21">
        <f ca="1">SUMPRODUCT(X$7:X78,OFFSET($J$366,ROW($I$7)-ROW(),0):$J$366)</f>
        <v>0</v>
      </c>
      <c r="N78" s="19"/>
      <c r="O78" s="44">
        <f t="shared" si="40"/>
        <v>45627</v>
      </c>
      <c r="P78" s="25">
        <f t="shared" si="41"/>
        <v>2161</v>
      </c>
      <c r="Q78" s="21">
        <f t="shared" si="42"/>
        <v>13.867186878305242</v>
      </c>
      <c r="R78" s="21">
        <f t="shared" si="25"/>
        <v>70.413194877149564</v>
      </c>
      <c r="S78" s="21">
        <f t="shared" si="26"/>
        <v>3.965680256262603</v>
      </c>
      <c r="T78" s="19"/>
      <c r="U78" s="25">
        <f t="shared" si="48"/>
        <v>2160.5300000000007</v>
      </c>
      <c r="V78" s="21">
        <f t="shared" si="27"/>
        <v>50.979028960764964</v>
      </c>
      <c r="W78" s="21">
        <f t="shared" si="28"/>
        <v>127.40793907626455</v>
      </c>
      <c r="X78" s="21">
        <f t="shared" si="29"/>
        <v>25.489514480382482</v>
      </c>
      <c r="Y78" s="27"/>
      <c r="Z78" s="48">
        <f t="shared" si="43"/>
        <v>46357</v>
      </c>
      <c r="AA78" s="21">
        <f t="shared" ca="1" si="30"/>
        <v>10.741744240729599</v>
      </c>
      <c r="AB78" s="21">
        <f t="shared" ca="1" si="31"/>
        <v>56.663172743618794</v>
      </c>
      <c r="AC78" s="21">
        <f t="shared" ca="1" si="32"/>
        <v>1.6968344136595699</v>
      </c>
      <c r="AD78" s="21">
        <f t="shared" ca="1" si="33"/>
        <v>8.4994759115428202</v>
      </c>
      <c r="AE78" s="116">
        <f t="shared" ca="1" si="34"/>
        <v>332.99407146261757</v>
      </c>
      <c r="AF78" s="21">
        <f t="shared" ca="1" si="35"/>
        <v>1756.5583550521826</v>
      </c>
      <c r="AG78" s="21">
        <f t="shared" ca="1" si="36"/>
        <v>52.601866823446663</v>
      </c>
      <c r="AH78" s="21">
        <f t="shared" ca="1" si="37"/>
        <v>263.4837532578274</v>
      </c>
      <c r="AI78" s="47">
        <f t="shared" ca="1" si="44"/>
        <v>5275.0439289708993</v>
      </c>
      <c r="AJ78" s="57">
        <f t="shared" ca="1" si="45"/>
        <v>0.13641706667673098</v>
      </c>
      <c r="AK78" s="21">
        <f t="shared" ca="1" si="46"/>
        <v>189.57188100518596</v>
      </c>
      <c r="AL78" s="21">
        <f t="shared" ca="1" si="38"/>
        <v>150</v>
      </c>
    </row>
    <row r="79" spans="2:38" x14ac:dyDescent="0.25">
      <c r="B79" s="19"/>
      <c r="C79" s="19"/>
      <c r="D79" s="19"/>
      <c r="E79" s="19"/>
      <c r="F79" s="19"/>
      <c r="G79" s="19"/>
      <c r="H79" s="43">
        <f t="shared" si="47"/>
        <v>46388</v>
      </c>
      <c r="I79" s="264">
        <v>0</v>
      </c>
      <c r="J79" s="64">
        <f t="shared" ca="1" si="39"/>
        <v>0</v>
      </c>
      <c r="K79" s="19">
        <f ca="1">SUMPRODUCT(V$7:V79,OFFSET($J$366,ROW($I$7)-ROW(),0):$J$366)</f>
        <v>0</v>
      </c>
      <c r="L79" s="19">
        <f ca="1">SUMPRODUCT(W$7:W79,OFFSET($J$366,ROW($I$7)-ROW(),0):$J$366)</f>
        <v>0</v>
      </c>
      <c r="M79" s="19">
        <f ca="1">SUMPRODUCT(X$7:X79,OFFSET($J$366,ROW($I$7)-ROW(),0):$J$366)</f>
        <v>0</v>
      </c>
      <c r="N79" s="19"/>
      <c r="O79" s="43">
        <f t="shared" si="40"/>
        <v>45658</v>
      </c>
      <c r="P79" s="24">
        <f t="shared" si="41"/>
        <v>2192</v>
      </c>
      <c r="Q79" s="19">
        <f t="shared" si="42"/>
        <v>13.697936092292739</v>
      </c>
      <c r="R79" s="19">
        <f t="shared" si="25"/>
        <v>69.694998916314631</v>
      </c>
      <c r="S79" s="19">
        <f t="shared" si="26"/>
        <v>3.8249841436113194</v>
      </c>
      <c r="T79" s="19"/>
      <c r="U79" s="24">
        <f t="shared" si="48"/>
        <v>2190.9600000000005</v>
      </c>
      <c r="V79" s="19">
        <f t="shared" si="27"/>
        <v>50.619284769979672</v>
      </c>
      <c r="W79" s="19">
        <f t="shared" si="28"/>
        <v>126.51795664494963</v>
      </c>
      <c r="X79" s="19">
        <f t="shared" si="29"/>
        <v>25.309642384989836</v>
      </c>
      <c r="Y79" s="27"/>
      <c r="Z79" s="42">
        <f t="shared" si="43"/>
        <v>46388</v>
      </c>
      <c r="AA79" s="19">
        <f t="shared" ca="1" si="30"/>
        <v>10.639908577933891</v>
      </c>
      <c r="AB79" s="19">
        <f t="shared" ca="1" si="31"/>
        <v>56.197154938381459</v>
      </c>
      <c r="AC79" s="19">
        <f t="shared" ca="1" si="32"/>
        <v>1.6368837958394042</v>
      </c>
      <c r="AD79" s="19">
        <f t="shared" ca="1" si="33"/>
        <v>8.4295732407572199</v>
      </c>
      <c r="AE79" s="115">
        <f t="shared" ca="1" si="34"/>
        <v>329.83716591595061</v>
      </c>
      <c r="AF79" s="19">
        <f t="shared" ca="1" si="35"/>
        <v>1742.1118030898251</v>
      </c>
      <c r="AG79" s="19">
        <f t="shared" ca="1" si="36"/>
        <v>50.743397671021533</v>
      </c>
      <c r="AH79" s="19">
        <f t="shared" ca="1" si="37"/>
        <v>261.3167704634738</v>
      </c>
      <c r="AI79" s="46">
        <f t="shared" ca="1" si="44"/>
        <v>5281.7328764392532</v>
      </c>
      <c r="AJ79" s="55">
        <f t="shared" ca="1" si="45"/>
        <v>0.1333315532269041</v>
      </c>
      <c r="AK79" s="19">
        <f t="shared" ca="1" si="46"/>
        <v>189.33180139813555</v>
      </c>
      <c r="AL79" s="19">
        <f t="shared" ca="1" si="38"/>
        <v>150.00000000000003</v>
      </c>
    </row>
    <row r="80" spans="2:38" x14ac:dyDescent="0.25">
      <c r="B80" s="19"/>
      <c r="C80" s="19"/>
      <c r="D80" s="19"/>
      <c r="E80" s="19"/>
      <c r="F80" s="19"/>
      <c r="G80" s="19"/>
      <c r="H80" s="43">
        <f t="shared" si="47"/>
        <v>46419</v>
      </c>
      <c r="I80" s="264">
        <v>0</v>
      </c>
      <c r="J80" s="64">
        <f t="shared" ca="1" si="39"/>
        <v>0</v>
      </c>
      <c r="K80" s="19">
        <f ca="1">SUMPRODUCT(V$7:V80,OFFSET($J$366,ROW($I$7)-ROW(),0):$J$366)</f>
        <v>0</v>
      </c>
      <c r="L80" s="19">
        <f ca="1">SUMPRODUCT(W$7:W80,OFFSET($J$366,ROW($I$7)-ROW(),0):$J$366)</f>
        <v>0</v>
      </c>
      <c r="M80" s="19">
        <f ca="1">SUMPRODUCT(X$7:X80,OFFSET($J$366,ROW($I$7)-ROW(),0):$J$366)</f>
        <v>0</v>
      </c>
      <c r="N80" s="19"/>
      <c r="O80" s="43">
        <f t="shared" si="40"/>
        <v>45689</v>
      </c>
      <c r="P80" s="24">
        <f t="shared" si="41"/>
        <v>2223</v>
      </c>
      <c r="Q80" s="19">
        <f t="shared" si="42"/>
        <v>13.532766944264308</v>
      </c>
      <c r="R80" s="19">
        <f t="shared" si="25"/>
        <v>68.991305847440159</v>
      </c>
      <c r="S80" s="19">
        <f t="shared" si="26"/>
        <v>3.6893037742770018</v>
      </c>
      <c r="T80" s="19"/>
      <c r="U80" s="24">
        <f t="shared" si="48"/>
        <v>2221.3900000000003</v>
      </c>
      <c r="V80" s="19">
        <f t="shared" si="27"/>
        <v>50.262079189392374</v>
      </c>
      <c r="W80" s="19">
        <f t="shared" si="28"/>
        <v>125.64032154894211</v>
      </c>
      <c r="X80" s="19">
        <f t="shared" si="29"/>
        <v>25.131039594696187</v>
      </c>
      <c r="Y80" s="27"/>
      <c r="Z80" s="42">
        <f t="shared" si="43"/>
        <v>46419</v>
      </c>
      <c r="AA80" s="19">
        <f t="shared" ca="1" si="30"/>
        <v>10.539985660248066</v>
      </c>
      <c r="AB80" s="19">
        <f t="shared" ca="1" si="31"/>
        <v>55.738739992302882</v>
      </c>
      <c r="AC80" s="19">
        <f t="shared" ca="1" si="32"/>
        <v>1.579061498314863</v>
      </c>
      <c r="AD80" s="19">
        <f t="shared" ca="1" si="33"/>
        <v>8.360810998845432</v>
      </c>
      <c r="AE80" s="115">
        <f t="shared" ca="1" si="34"/>
        <v>295.11959848694585</v>
      </c>
      <c r="AF80" s="19">
        <f t="shared" ca="1" si="35"/>
        <v>1560.6847197844806</v>
      </c>
      <c r="AG80" s="19">
        <f t="shared" ca="1" si="36"/>
        <v>44.213721952816165</v>
      </c>
      <c r="AH80" s="19">
        <f t="shared" ca="1" si="37"/>
        <v>234.1027079676721</v>
      </c>
      <c r="AI80" s="46">
        <f t="shared" ca="1" si="44"/>
        <v>5288.3126969065561</v>
      </c>
      <c r="AJ80" s="55">
        <f t="shared" ca="1" si="45"/>
        <v>0.130295845676213</v>
      </c>
      <c r="AK80" s="19">
        <f t="shared" ca="1" si="46"/>
        <v>189.09623112584825</v>
      </c>
      <c r="AL80" s="19">
        <f t="shared" ca="1" si="38"/>
        <v>150</v>
      </c>
    </row>
    <row r="81" spans="2:38" x14ac:dyDescent="0.25">
      <c r="B81" s="19"/>
      <c r="C81" s="19"/>
      <c r="D81" s="19"/>
      <c r="E81" s="19"/>
      <c r="F81" s="19"/>
      <c r="G81" s="19"/>
      <c r="H81" s="43">
        <f t="shared" si="47"/>
        <v>46447</v>
      </c>
      <c r="I81" s="264">
        <v>0</v>
      </c>
      <c r="J81" s="64">
        <f t="shared" ca="1" si="39"/>
        <v>0</v>
      </c>
      <c r="K81" s="19">
        <f ca="1">SUMPRODUCT(V$7:V81,OFFSET($J$366,ROW($I$7)-ROW(),0):$J$366)</f>
        <v>0</v>
      </c>
      <c r="L81" s="19">
        <f ca="1">SUMPRODUCT(W$7:W81,OFFSET($J$366,ROW($I$7)-ROW(),0):$J$366)</f>
        <v>0</v>
      </c>
      <c r="M81" s="19">
        <f ca="1">SUMPRODUCT(X$7:X81,OFFSET($J$366,ROW($I$7)-ROW(),0):$J$366)</f>
        <v>0</v>
      </c>
      <c r="N81" s="19"/>
      <c r="O81" s="43">
        <f t="shared" si="40"/>
        <v>45717</v>
      </c>
      <c r="P81" s="24">
        <f t="shared" si="41"/>
        <v>2251</v>
      </c>
      <c r="Q81" s="19">
        <f t="shared" si="42"/>
        <v>13.386968672010454</v>
      </c>
      <c r="R81" s="19">
        <f t="shared" si="25"/>
        <v>68.367815550693365</v>
      </c>
      <c r="S81" s="19">
        <f t="shared" si="26"/>
        <v>3.570915324981323</v>
      </c>
      <c r="T81" s="19"/>
      <c r="U81" s="24">
        <f t="shared" si="48"/>
        <v>2251.8200000000002</v>
      </c>
      <c r="V81" s="19">
        <f t="shared" si="27"/>
        <v>49.941608976900483</v>
      </c>
      <c r="W81" s="19">
        <f t="shared" si="28"/>
        <v>124.85801927701927</v>
      </c>
      <c r="X81" s="19">
        <f t="shared" si="29"/>
        <v>24.970804488450241</v>
      </c>
      <c r="Y81" s="27"/>
      <c r="Z81" s="42">
        <f t="shared" si="43"/>
        <v>46447</v>
      </c>
      <c r="AA81" s="19">
        <f t="shared" ca="1" si="30"/>
        <v>10.451332299440182</v>
      </c>
      <c r="AB81" s="19">
        <f t="shared" ca="1" si="31"/>
        <v>55.331068974431858</v>
      </c>
      <c r="AC81" s="19">
        <f t="shared" ca="1" si="32"/>
        <v>1.5286010382722428</v>
      </c>
      <c r="AD81" s="19">
        <f t="shared" ca="1" si="33"/>
        <v>8.299660346164778</v>
      </c>
      <c r="AE81" s="115">
        <f t="shared" ca="1" si="34"/>
        <v>323.99130128264562</v>
      </c>
      <c r="AF81" s="19">
        <f t="shared" ca="1" si="35"/>
        <v>1715.2631382073876</v>
      </c>
      <c r="AG81" s="19">
        <f t="shared" ca="1" si="36"/>
        <v>47.386632186439527</v>
      </c>
      <c r="AH81" s="19">
        <f t="shared" ca="1" si="37"/>
        <v>257.28947073110811</v>
      </c>
      <c r="AI81" s="46">
        <f t="shared" ca="1" si="44"/>
        <v>5294.1641686577723</v>
      </c>
      <c r="AJ81" s="55">
        <f t="shared" ca="1" si="45"/>
        <v>0.12759678999717455</v>
      </c>
      <c r="AK81" s="19">
        <f t="shared" ca="1" si="46"/>
        <v>188.88722905877125</v>
      </c>
      <c r="AL81" s="19">
        <f t="shared" ca="1" si="38"/>
        <v>150</v>
      </c>
    </row>
    <row r="82" spans="2:38" x14ac:dyDescent="0.25">
      <c r="B82" s="19"/>
      <c r="C82" s="19"/>
      <c r="D82" s="19"/>
      <c r="E82" s="19"/>
      <c r="F82" s="19"/>
      <c r="G82" s="19"/>
      <c r="H82" s="43">
        <f t="shared" si="47"/>
        <v>46478</v>
      </c>
      <c r="I82" s="264">
        <v>0</v>
      </c>
      <c r="J82" s="64">
        <f t="shared" ca="1" si="39"/>
        <v>0</v>
      </c>
      <c r="K82" s="19">
        <f ca="1">SUMPRODUCT(V$7:V82,OFFSET($J$366,ROW($I$7)-ROW(),0):$J$366)</f>
        <v>0</v>
      </c>
      <c r="L82" s="19">
        <f ca="1">SUMPRODUCT(W$7:W82,OFFSET($J$366,ROW($I$7)-ROW(),0):$J$366)</f>
        <v>0</v>
      </c>
      <c r="M82" s="19">
        <f ca="1">SUMPRODUCT(X$7:X82,OFFSET($J$366,ROW($I$7)-ROW(),0):$J$366)</f>
        <v>0</v>
      </c>
      <c r="N82" s="19"/>
      <c r="O82" s="43">
        <f t="shared" si="40"/>
        <v>45748</v>
      </c>
      <c r="P82" s="24">
        <f t="shared" si="41"/>
        <v>2282</v>
      </c>
      <c r="Q82" s="19">
        <f t="shared" si="42"/>
        <v>13.229170470111285</v>
      </c>
      <c r="R82" s="19">
        <f t="shared" si="25"/>
        <v>67.690537565193694</v>
      </c>
      <c r="S82" s="19">
        <f t="shared" si="26"/>
        <v>3.4442900587628738</v>
      </c>
      <c r="T82" s="19"/>
      <c r="U82" s="24">
        <f t="shared" si="48"/>
        <v>2282.25</v>
      </c>
      <c r="V82" s="19">
        <f t="shared" si="27"/>
        <v>49.589185557424642</v>
      </c>
      <c r="W82" s="19">
        <f t="shared" si="28"/>
        <v>124.00318475221897</v>
      </c>
      <c r="X82" s="19">
        <f t="shared" si="29"/>
        <v>24.794592778712321</v>
      </c>
      <c r="Y82" s="27"/>
      <c r="Z82" s="42">
        <f t="shared" si="43"/>
        <v>46478</v>
      </c>
      <c r="AA82" s="19">
        <f t="shared" ca="1" si="30"/>
        <v>10.354903908549488</v>
      </c>
      <c r="AB82" s="19">
        <f t="shared" ca="1" si="31"/>
        <v>54.886619053970058</v>
      </c>
      <c r="AC82" s="19">
        <f t="shared" ca="1" si="32"/>
        <v>1.4746219312934663</v>
      </c>
      <c r="AD82" s="19">
        <f t="shared" ca="1" si="33"/>
        <v>8.2329928580955087</v>
      </c>
      <c r="AE82" s="115">
        <f t="shared" ca="1" si="34"/>
        <v>310.64711725648465</v>
      </c>
      <c r="AF82" s="19">
        <f t="shared" ca="1" si="35"/>
        <v>1646.5985716191017</v>
      </c>
      <c r="AG82" s="19">
        <f t="shared" ca="1" si="36"/>
        <v>44.238657938803989</v>
      </c>
      <c r="AH82" s="19">
        <f t="shared" ca="1" si="37"/>
        <v>246.98978574286525</v>
      </c>
      <c r="AI82" s="46">
        <f t="shared" ca="1" si="44"/>
        <v>5300.5435433015573</v>
      </c>
      <c r="AJ82" s="55">
        <f t="shared" ca="1" si="45"/>
        <v>0.12465604718718319</v>
      </c>
      <c r="AK82" s="19">
        <f t="shared" ca="1" si="46"/>
        <v>188.65989720313257</v>
      </c>
      <c r="AL82" s="19">
        <f t="shared" ca="1" si="38"/>
        <v>150</v>
      </c>
    </row>
    <row r="83" spans="2:38" x14ac:dyDescent="0.25">
      <c r="B83" s="19"/>
      <c r="C83" s="19"/>
      <c r="D83" s="19"/>
      <c r="E83" s="19"/>
      <c r="F83" s="19"/>
      <c r="G83" s="19"/>
      <c r="H83" s="43">
        <f t="shared" si="47"/>
        <v>46508</v>
      </c>
      <c r="I83" s="264">
        <v>0</v>
      </c>
      <c r="J83" s="64">
        <f t="shared" ca="1" si="39"/>
        <v>0</v>
      </c>
      <c r="K83" s="19">
        <f ca="1">SUMPRODUCT(V$7:V83,OFFSET($J$366,ROW($I$7)-ROW(),0):$J$366)</f>
        <v>0</v>
      </c>
      <c r="L83" s="19">
        <f ca="1">SUMPRODUCT(W$7:W83,OFFSET($J$366,ROW($I$7)-ROW(),0):$J$366)</f>
        <v>0</v>
      </c>
      <c r="M83" s="19">
        <f ca="1">SUMPRODUCT(X$7:X83,OFFSET($J$366,ROW($I$7)-ROW(),0):$J$366)</f>
        <v>0</v>
      </c>
      <c r="N83" s="19"/>
      <c r="O83" s="43">
        <f t="shared" si="40"/>
        <v>45778</v>
      </c>
      <c r="P83" s="24">
        <f t="shared" si="41"/>
        <v>2312</v>
      </c>
      <c r="Q83" s="19">
        <f t="shared" si="42"/>
        <v>13.079964592211926</v>
      </c>
      <c r="R83" s="19">
        <f t="shared" si="25"/>
        <v>67.047762375910153</v>
      </c>
      <c r="S83" s="19">
        <f t="shared" si="26"/>
        <v>3.3260469843436784</v>
      </c>
      <c r="T83" s="19"/>
      <c r="U83" s="24">
        <f t="shared" si="48"/>
        <v>2312.6799999999998</v>
      </c>
      <c r="V83" s="19">
        <f t="shared" si="27"/>
        <v>49.250498722660843</v>
      </c>
      <c r="W83" s="19">
        <f t="shared" si="28"/>
        <v>123.18699705847807</v>
      </c>
      <c r="X83" s="19">
        <f t="shared" si="29"/>
        <v>24.625249361330422</v>
      </c>
      <c r="Y83" s="27"/>
      <c r="Z83" s="42">
        <f t="shared" si="43"/>
        <v>46508</v>
      </c>
      <c r="AA83" s="19">
        <f t="shared" ca="1" si="30"/>
        <v>10.263265322291632</v>
      </c>
      <c r="AB83" s="19">
        <f t="shared" ca="1" si="31"/>
        <v>54.463252151001996</v>
      </c>
      <c r="AC83" s="19">
        <f t="shared" ca="1" si="32"/>
        <v>1.4242084525227905</v>
      </c>
      <c r="AD83" s="19">
        <f t="shared" ca="1" si="33"/>
        <v>8.1694878226502983</v>
      </c>
      <c r="AE83" s="115">
        <f t="shared" ca="1" si="34"/>
        <v>318.16122499104057</v>
      </c>
      <c r="AF83" s="19">
        <f t="shared" ca="1" si="35"/>
        <v>1688.3608166810618</v>
      </c>
      <c r="AG83" s="19">
        <f t="shared" ca="1" si="36"/>
        <v>44.150462028206505</v>
      </c>
      <c r="AH83" s="19">
        <f t="shared" ca="1" si="37"/>
        <v>253.25412250215925</v>
      </c>
      <c r="AI83" s="46">
        <f t="shared" ca="1" si="44"/>
        <v>5306.6203046226201</v>
      </c>
      <c r="AJ83" s="55">
        <f t="shared" ca="1" si="45"/>
        <v>0.12185768113481005</v>
      </c>
      <c r="AK83" s="19">
        <f t="shared" ca="1" si="46"/>
        <v>188.44385740749073</v>
      </c>
      <c r="AL83" s="19">
        <f t="shared" ca="1" si="38"/>
        <v>150</v>
      </c>
    </row>
    <row r="84" spans="2:38" x14ac:dyDescent="0.25">
      <c r="B84" s="19"/>
      <c r="C84" s="19"/>
      <c r="D84" s="19"/>
      <c r="E84" s="19"/>
      <c r="F84" s="19"/>
      <c r="G84" s="19"/>
      <c r="H84" s="43">
        <f t="shared" si="47"/>
        <v>46539</v>
      </c>
      <c r="I84" s="264">
        <v>0</v>
      </c>
      <c r="J84" s="64">
        <f t="shared" ca="1" si="39"/>
        <v>0</v>
      </c>
      <c r="K84" s="19">
        <f ca="1">SUMPRODUCT(V$7:V84,OFFSET($J$366,ROW($I$7)-ROW(),0):$J$366)</f>
        <v>0</v>
      </c>
      <c r="L84" s="19">
        <f ca="1">SUMPRODUCT(W$7:W84,OFFSET($J$366,ROW($I$7)-ROW(),0):$J$366)</f>
        <v>0</v>
      </c>
      <c r="M84" s="19">
        <f ca="1">SUMPRODUCT(X$7:X84,OFFSET($J$366,ROW($I$7)-ROW(),0):$J$366)</f>
        <v>0</v>
      </c>
      <c r="N84" s="19"/>
      <c r="O84" s="43">
        <f t="shared" si="40"/>
        <v>45809</v>
      </c>
      <c r="P84" s="24">
        <f t="shared" si="41"/>
        <v>2343</v>
      </c>
      <c r="Q84" s="19">
        <f t="shared" si="42"/>
        <v>12.929280256449291</v>
      </c>
      <c r="R84" s="19">
        <f t="shared" si="25"/>
        <v>66.396261197305407</v>
      </c>
      <c r="S84" s="19">
        <f t="shared" si="26"/>
        <v>3.2081459203619378</v>
      </c>
      <c r="T84" s="19"/>
      <c r="U84" s="24">
        <f t="shared" si="48"/>
        <v>2343.1099999999997</v>
      </c>
      <c r="V84" s="19">
        <f t="shared" si="27"/>
        <v>48.902952267384265</v>
      </c>
      <c r="W84" s="19">
        <f t="shared" si="28"/>
        <v>122.35481431753217</v>
      </c>
      <c r="X84" s="19">
        <f t="shared" si="29"/>
        <v>24.451476133692132</v>
      </c>
      <c r="Y84" s="27"/>
      <c r="Z84" s="42">
        <f t="shared" si="43"/>
        <v>46539</v>
      </c>
      <c r="AA84" s="19">
        <f t="shared" ca="1" si="30"/>
        <v>10.170260636588774</v>
      </c>
      <c r="AB84" s="19">
        <f t="shared" ca="1" si="31"/>
        <v>54.032580217507885</v>
      </c>
      <c r="AC84" s="19">
        <f t="shared" ca="1" si="32"/>
        <v>1.373933200217661</v>
      </c>
      <c r="AD84" s="19">
        <f t="shared" ca="1" si="33"/>
        <v>8.1048870326261824</v>
      </c>
      <c r="AE84" s="115">
        <f t="shared" ca="1" si="34"/>
        <v>305.1078190976632</v>
      </c>
      <c r="AF84" s="19">
        <f t="shared" ca="1" si="35"/>
        <v>1620.9774065252366</v>
      </c>
      <c r="AG84" s="19">
        <f t="shared" ca="1" si="36"/>
        <v>41.21799600652983</v>
      </c>
      <c r="AH84" s="19">
        <f t="shared" ca="1" si="37"/>
        <v>243.14661097878547</v>
      </c>
      <c r="AI84" s="46">
        <f t="shared" ca="1" si="44"/>
        <v>5312.8019180864439</v>
      </c>
      <c r="AJ84" s="55">
        <f t="shared" ca="1" si="45"/>
        <v>0.11901508408817082</v>
      </c>
      <c r="AK84" s="19">
        <f t="shared" ca="1" si="46"/>
        <v>188.22459700514838</v>
      </c>
      <c r="AL84" s="19">
        <f t="shared" ca="1" si="38"/>
        <v>150</v>
      </c>
    </row>
    <row r="85" spans="2:38" x14ac:dyDescent="0.25">
      <c r="B85" s="19"/>
      <c r="C85" s="19"/>
      <c r="D85" s="19"/>
      <c r="E85" s="19"/>
      <c r="F85" s="19"/>
      <c r="G85" s="19"/>
      <c r="H85" s="43">
        <f t="shared" si="47"/>
        <v>46569</v>
      </c>
      <c r="I85" s="264">
        <v>0</v>
      </c>
      <c r="J85" s="64">
        <f t="shared" ca="1" si="39"/>
        <v>0</v>
      </c>
      <c r="K85" s="19">
        <f ca="1">SUMPRODUCT(V$7:V85,OFFSET($J$366,ROW($I$7)-ROW(),0):$J$366)</f>
        <v>0</v>
      </c>
      <c r="L85" s="19">
        <f ca="1">SUMPRODUCT(W$7:W85,OFFSET($J$366,ROW($I$7)-ROW(),0):$J$366)</f>
        <v>0</v>
      </c>
      <c r="M85" s="19">
        <f ca="1">SUMPRODUCT(X$7:X85,OFFSET($J$366,ROW($I$7)-ROW(),0):$J$366)</f>
        <v>0</v>
      </c>
      <c r="N85" s="19"/>
      <c r="O85" s="43">
        <f t="shared" si="40"/>
        <v>45839</v>
      </c>
      <c r="P85" s="24">
        <f t="shared" si="41"/>
        <v>2373</v>
      </c>
      <c r="Q85" s="19">
        <f t="shared" si="42"/>
        <v>12.786725912231429</v>
      </c>
      <c r="R85" s="19">
        <f t="shared" si="25"/>
        <v>65.777719064138239</v>
      </c>
      <c r="S85" s="19">
        <f t="shared" si="26"/>
        <v>3.0980481379240494</v>
      </c>
      <c r="T85" s="19"/>
      <c r="U85" s="24">
        <f t="shared" si="48"/>
        <v>2373.5399999999995</v>
      </c>
      <c r="V85" s="19">
        <f t="shared" si="27"/>
        <v>48.568952304935493</v>
      </c>
      <c r="W85" s="19">
        <f t="shared" si="28"/>
        <v>121.5601119838187</v>
      </c>
      <c r="X85" s="19">
        <f t="shared" si="29"/>
        <v>24.284476152467747</v>
      </c>
      <c r="Y85" s="27"/>
      <c r="Z85" s="42">
        <f t="shared" si="43"/>
        <v>46569</v>
      </c>
      <c r="AA85" s="19">
        <f t="shared" ca="1" si="30"/>
        <v>10.081847064111948</v>
      </c>
      <c r="AB85" s="19">
        <f t="shared" ca="1" si="31"/>
        <v>53.622236785584548</v>
      </c>
      <c r="AC85" s="19">
        <f t="shared" ca="1" si="32"/>
        <v>1.3269783251643683</v>
      </c>
      <c r="AD85" s="19">
        <f t="shared" ca="1" si="33"/>
        <v>8.0433355178376811</v>
      </c>
      <c r="AE85" s="115">
        <f t="shared" ca="1" si="34"/>
        <v>312.53725898747035</v>
      </c>
      <c r="AF85" s="19">
        <f t="shared" ca="1" si="35"/>
        <v>1662.2893403531209</v>
      </c>
      <c r="AG85" s="19">
        <f t="shared" ca="1" si="36"/>
        <v>41.136328080095417</v>
      </c>
      <c r="AH85" s="19">
        <f t="shared" ca="1" si="37"/>
        <v>249.34340105296812</v>
      </c>
      <c r="AI85" s="46">
        <f t="shared" ca="1" si="44"/>
        <v>5318.6917481085429</v>
      </c>
      <c r="AJ85" s="55">
        <f t="shared" ca="1" si="45"/>
        <v>0.11631156406440024</v>
      </c>
      <c r="AK85" s="19">
        <f t="shared" ca="1" si="46"/>
        <v>188.01616024384654</v>
      </c>
      <c r="AL85" s="19">
        <f t="shared" ca="1" si="38"/>
        <v>150</v>
      </c>
    </row>
    <row r="86" spans="2:38" x14ac:dyDescent="0.25">
      <c r="B86" s="19"/>
      <c r="C86" s="19"/>
      <c r="D86" s="19"/>
      <c r="E86" s="19"/>
      <c r="F86" s="19"/>
      <c r="G86" s="19"/>
      <c r="H86" s="43">
        <f t="shared" si="47"/>
        <v>46600</v>
      </c>
      <c r="I86" s="264">
        <v>0</v>
      </c>
      <c r="J86" s="64">
        <f t="shared" ca="1" si="39"/>
        <v>0</v>
      </c>
      <c r="K86" s="19">
        <f ca="1">SUMPRODUCT(V$7:V86,OFFSET($J$366,ROW($I$7)-ROW(),0):$J$366)</f>
        <v>0</v>
      </c>
      <c r="L86" s="19">
        <f ca="1">SUMPRODUCT(W$7:W86,OFFSET($J$366,ROW($I$7)-ROW(),0):$J$366)</f>
        <v>0</v>
      </c>
      <c r="M86" s="19">
        <f ca="1">SUMPRODUCT(X$7:X86,OFFSET($J$366,ROW($I$7)-ROW(),0):$J$366)</f>
        <v>0</v>
      </c>
      <c r="N86" s="19"/>
      <c r="O86" s="43">
        <f t="shared" si="40"/>
        <v>45870</v>
      </c>
      <c r="P86" s="24">
        <f t="shared" si="41"/>
        <v>2404</v>
      </c>
      <c r="Q86" s="19">
        <f t="shared" si="42"/>
        <v>12.642684999821245</v>
      </c>
      <c r="R86" s="19">
        <f t="shared" si="25"/>
        <v>65.150550628785652</v>
      </c>
      <c r="S86" s="19">
        <f t="shared" si="26"/>
        <v>2.9882674155687603</v>
      </c>
      <c r="T86" s="19"/>
      <c r="U86" s="24">
        <f t="shared" si="48"/>
        <v>2403.9699999999993</v>
      </c>
      <c r="V86" s="19">
        <f t="shared" si="27"/>
        <v>48.226215324643533</v>
      </c>
      <c r="W86" s="19">
        <f t="shared" si="28"/>
        <v>120.74969245363961</v>
      </c>
      <c r="X86" s="19">
        <f t="shared" si="29"/>
        <v>24.113107662321767</v>
      </c>
      <c r="Y86" s="27"/>
      <c r="Z86" s="42">
        <f t="shared" si="43"/>
        <v>46600</v>
      </c>
      <c r="AA86" s="19">
        <f t="shared" ca="1" si="30"/>
        <v>9.992086928698777</v>
      </c>
      <c r="AB86" s="19">
        <f t="shared" ca="1" si="31"/>
        <v>53.204711948878604</v>
      </c>
      <c r="AC86" s="19">
        <f t="shared" ca="1" si="32"/>
        <v>1.2801516054260333</v>
      </c>
      <c r="AD86" s="19">
        <f t="shared" ca="1" si="33"/>
        <v>7.98070679233179</v>
      </c>
      <c r="AE86" s="115">
        <f t="shared" ca="1" si="34"/>
        <v>309.7546947896621</v>
      </c>
      <c r="AF86" s="19">
        <f t="shared" ca="1" si="35"/>
        <v>1649.3460704152367</v>
      </c>
      <c r="AG86" s="19">
        <f t="shared" ca="1" si="36"/>
        <v>39.684699768207032</v>
      </c>
      <c r="AH86" s="19">
        <f t="shared" ca="1" si="37"/>
        <v>247.40191056228548</v>
      </c>
      <c r="AI86" s="46">
        <f t="shared" ca="1" si="44"/>
        <v>5324.6846558216648</v>
      </c>
      <c r="AJ86" s="55">
        <f t="shared" ca="1" si="45"/>
        <v>0.11356675974790535</v>
      </c>
      <c r="AK86" s="19">
        <f t="shared" ca="1" si="46"/>
        <v>187.80454893355326</v>
      </c>
      <c r="AL86" s="19">
        <f t="shared" ca="1" si="38"/>
        <v>149.99999999999997</v>
      </c>
    </row>
    <row r="87" spans="2:38" x14ac:dyDescent="0.25">
      <c r="B87" s="19"/>
      <c r="C87" s="19"/>
      <c r="D87" s="19"/>
      <c r="E87" s="19"/>
      <c r="F87" s="19"/>
      <c r="G87" s="19"/>
      <c r="H87" s="43">
        <f t="shared" si="47"/>
        <v>46631</v>
      </c>
      <c r="I87" s="264">
        <v>0</v>
      </c>
      <c r="J87" s="64">
        <f t="shared" ca="1" si="39"/>
        <v>0</v>
      </c>
      <c r="K87" s="19">
        <f ca="1">SUMPRODUCT(V$7:V87,OFFSET($J$366,ROW($I$7)-ROW(),0):$J$366)</f>
        <v>0</v>
      </c>
      <c r="L87" s="19">
        <f ca="1">SUMPRODUCT(W$7:W87,OFFSET($J$366,ROW($I$7)-ROW(),0):$J$366)</f>
        <v>0</v>
      </c>
      <c r="M87" s="19">
        <f ca="1">SUMPRODUCT(X$7:X87,OFFSET($J$366,ROW($I$7)-ROW(),0):$J$366)</f>
        <v>0</v>
      </c>
      <c r="N87" s="19"/>
      <c r="O87" s="43">
        <f t="shared" si="40"/>
        <v>45901</v>
      </c>
      <c r="P87" s="24">
        <f t="shared" si="41"/>
        <v>2435</v>
      </c>
      <c r="Q87" s="19">
        <f t="shared" si="42"/>
        <v>12.501853144496277</v>
      </c>
      <c r="R87" s="19">
        <f t="shared" si="25"/>
        <v>64.535228919212244</v>
      </c>
      <c r="S87" s="19">
        <f t="shared" si="26"/>
        <v>2.882395578290232</v>
      </c>
      <c r="T87" s="19"/>
      <c r="U87" s="24">
        <f t="shared" si="48"/>
        <v>2434.3999999999992</v>
      </c>
      <c r="V87" s="19">
        <f t="shared" si="27"/>
        <v>47.885896939608116</v>
      </c>
      <c r="W87" s="19">
        <f t="shared" si="28"/>
        <v>119.95000720412057</v>
      </c>
      <c r="X87" s="19">
        <f t="shared" si="29"/>
        <v>23.942948469804058</v>
      </c>
      <c r="Y87" s="27"/>
      <c r="Z87" s="42">
        <f t="shared" si="43"/>
        <v>46631</v>
      </c>
      <c r="AA87" s="19">
        <f t="shared" ca="1" si="30"/>
        <v>9.9039109838174202</v>
      </c>
      <c r="AB87" s="19">
        <f t="shared" ca="1" si="31"/>
        <v>52.793638916697084</v>
      </c>
      <c r="AC87" s="19">
        <f t="shared" ca="1" si="32"/>
        <v>1.2349852862048216</v>
      </c>
      <c r="AD87" s="19">
        <f t="shared" ca="1" si="33"/>
        <v>7.9190458375045623</v>
      </c>
      <c r="AE87" s="115">
        <f t="shared" ca="1" si="34"/>
        <v>297.11732951452262</v>
      </c>
      <c r="AF87" s="19">
        <f t="shared" ca="1" si="35"/>
        <v>1583.8091675009125</v>
      </c>
      <c r="AG87" s="19">
        <f t="shared" ca="1" si="36"/>
        <v>37.049558586144649</v>
      </c>
      <c r="AH87" s="19">
        <f t="shared" ca="1" si="37"/>
        <v>237.57137512513685</v>
      </c>
      <c r="AI87" s="46">
        <f t="shared" ca="1" si="44"/>
        <v>5330.5849580998556</v>
      </c>
      <c r="AJ87" s="55">
        <f t="shared" ca="1" si="45"/>
        <v>0.1108714235474567</v>
      </c>
      <c r="AK87" s="19">
        <f t="shared" ca="1" si="46"/>
        <v>187.59667238404936</v>
      </c>
      <c r="AL87" s="19">
        <f t="shared" ca="1" si="38"/>
        <v>150</v>
      </c>
    </row>
    <row r="88" spans="2:38" x14ac:dyDescent="0.25">
      <c r="B88" s="19"/>
      <c r="C88" s="19"/>
      <c r="D88" s="19"/>
      <c r="E88" s="19"/>
      <c r="F88" s="19"/>
      <c r="G88" s="19"/>
      <c r="H88" s="43">
        <f t="shared" si="47"/>
        <v>46661</v>
      </c>
      <c r="I88" s="264">
        <v>0</v>
      </c>
      <c r="J88" s="64">
        <f t="shared" ca="1" si="39"/>
        <v>0</v>
      </c>
      <c r="K88" s="19">
        <f ca="1">SUMPRODUCT(V$7:V88,OFFSET($J$366,ROW($I$7)-ROW(),0):$J$366)</f>
        <v>0</v>
      </c>
      <c r="L88" s="19">
        <f ca="1">SUMPRODUCT(W$7:W88,OFFSET($J$366,ROW($I$7)-ROW(),0):$J$366)</f>
        <v>0</v>
      </c>
      <c r="M88" s="19">
        <f ca="1">SUMPRODUCT(X$7:X88,OFFSET($J$366,ROW($I$7)-ROW(),0):$J$366)</f>
        <v>0</v>
      </c>
      <c r="N88" s="19"/>
      <c r="O88" s="43">
        <f t="shared" si="40"/>
        <v>45931</v>
      </c>
      <c r="P88" s="24">
        <f t="shared" si="41"/>
        <v>2465</v>
      </c>
      <c r="Q88" s="19">
        <f t="shared" si="42"/>
        <v>12.368519769647431</v>
      </c>
      <c r="R88" s="19">
        <f t="shared" si="25"/>
        <v>63.950722661852183</v>
      </c>
      <c r="S88" s="19">
        <f t="shared" si="26"/>
        <v>2.783528979677544</v>
      </c>
      <c r="T88" s="19"/>
      <c r="U88" s="24">
        <f t="shared" si="48"/>
        <v>2464.829999999999</v>
      </c>
      <c r="V88" s="19">
        <f t="shared" si="27"/>
        <v>47.558843315274636</v>
      </c>
      <c r="W88" s="19">
        <f t="shared" si="28"/>
        <v>119.18613912031118</v>
      </c>
      <c r="X88" s="19">
        <f t="shared" si="29"/>
        <v>23.779421657637318</v>
      </c>
      <c r="Y88" s="27"/>
      <c r="Z88" s="42">
        <f t="shared" si="43"/>
        <v>46661</v>
      </c>
      <c r="AA88" s="19">
        <f t="shared" ca="1" si="30"/>
        <v>9.8200486165849004</v>
      </c>
      <c r="AB88" s="19">
        <f t="shared" ca="1" si="31"/>
        <v>52.401829471985124</v>
      </c>
      <c r="AC88" s="19">
        <f t="shared" ca="1" si="32"/>
        <v>1.1928011310151203</v>
      </c>
      <c r="AD88" s="19">
        <f t="shared" ca="1" si="33"/>
        <v>7.8602744207977686</v>
      </c>
      <c r="AE88" s="115">
        <f t="shared" ca="1" si="34"/>
        <v>304.42150711413188</v>
      </c>
      <c r="AF88" s="19">
        <f t="shared" ca="1" si="35"/>
        <v>1624.4567136315388</v>
      </c>
      <c r="AG88" s="19">
        <f t="shared" ca="1" si="36"/>
        <v>36.976835061468726</v>
      </c>
      <c r="AH88" s="19">
        <f t="shared" ca="1" si="37"/>
        <v>243.66850704473083</v>
      </c>
      <c r="AI88" s="46">
        <f t="shared" ca="1" si="44"/>
        <v>5336.2087620915281</v>
      </c>
      <c r="AJ88" s="55">
        <f t="shared" ca="1" si="45"/>
        <v>0.10830994323472561</v>
      </c>
      <c r="AK88" s="19">
        <f t="shared" ca="1" si="46"/>
        <v>187.39896517992483</v>
      </c>
      <c r="AL88" s="19">
        <f t="shared" ca="1" si="38"/>
        <v>150</v>
      </c>
    </row>
    <row r="89" spans="2:38" x14ac:dyDescent="0.25">
      <c r="B89" s="19"/>
      <c r="C89" s="19"/>
      <c r="D89" s="19"/>
      <c r="E89" s="19"/>
      <c r="F89" s="19"/>
      <c r="G89" s="19"/>
      <c r="H89" s="43">
        <f t="shared" si="47"/>
        <v>46692</v>
      </c>
      <c r="I89" s="264">
        <v>0</v>
      </c>
      <c r="J89" s="64">
        <f t="shared" ca="1" si="39"/>
        <v>0</v>
      </c>
      <c r="K89" s="19">
        <f ca="1">SUMPRODUCT(V$7:V89,OFFSET($J$366,ROW($I$7)-ROW(),0):$J$366)</f>
        <v>0</v>
      </c>
      <c r="L89" s="19">
        <f ca="1">SUMPRODUCT(W$7:W89,OFFSET($J$366,ROW($I$7)-ROW(),0):$J$366)</f>
        <v>0</v>
      </c>
      <c r="M89" s="19">
        <f ca="1">SUMPRODUCT(X$7:X89,OFFSET($J$366,ROW($I$7)-ROW(),0):$J$366)</f>
        <v>0</v>
      </c>
      <c r="N89" s="19"/>
      <c r="O89" s="43">
        <f t="shared" si="40"/>
        <v>45962</v>
      </c>
      <c r="P89" s="24">
        <f t="shared" si="41"/>
        <v>2496</v>
      </c>
      <c r="Q89" s="19">
        <f t="shared" si="42"/>
        <v>12.233697186333124</v>
      </c>
      <c r="R89" s="19">
        <f t="shared" si="25"/>
        <v>63.357752944011899</v>
      </c>
      <c r="S89" s="19">
        <f t="shared" si="26"/>
        <v>2.6849452157961351</v>
      </c>
      <c r="T89" s="19"/>
      <c r="U89" s="24">
        <f t="shared" si="48"/>
        <v>2495.2599999999989</v>
      </c>
      <c r="V89" s="19">
        <f t="shared" si="27"/>
        <v>47.223234380543737</v>
      </c>
      <c r="W89" s="19">
        <f t="shared" si="28"/>
        <v>118.40696276238253</v>
      </c>
      <c r="X89" s="19">
        <f t="shared" si="29"/>
        <v>23.611617190271868</v>
      </c>
      <c r="Y89" s="27"/>
      <c r="Z89" s="42">
        <f t="shared" si="43"/>
        <v>46692</v>
      </c>
      <c r="AA89" s="19">
        <f t="shared" ca="1" si="30"/>
        <v>9.7348699217979835</v>
      </c>
      <c r="AB89" s="19">
        <f t="shared" ca="1" si="31"/>
        <v>52.003022877110944</v>
      </c>
      <c r="AC89" s="19">
        <f t="shared" ca="1" si="32"/>
        <v>1.1507313140356681</v>
      </c>
      <c r="AD89" s="19">
        <f t="shared" ca="1" si="33"/>
        <v>7.8004534315666412</v>
      </c>
      <c r="AE89" s="115">
        <f t="shared" ca="1" si="34"/>
        <v>292.04609765393951</v>
      </c>
      <c r="AF89" s="19">
        <f t="shared" ca="1" si="35"/>
        <v>1560.0906863133282</v>
      </c>
      <c r="AG89" s="19">
        <f t="shared" ca="1" si="36"/>
        <v>34.521939421070044</v>
      </c>
      <c r="AH89" s="19">
        <f t="shared" ca="1" si="37"/>
        <v>234.01360294699924</v>
      </c>
      <c r="AI89" s="46">
        <f t="shared" ca="1" si="44"/>
        <v>5341.9329990909864</v>
      </c>
      <c r="AJ89" s="55">
        <f t="shared" ca="1" si="45"/>
        <v>0.10571132352778508</v>
      </c>
      <c r="AK89" s="19">
        <f t="shared" ca="1" si="46"/>
        <v>187.19815470732519</v>
      </c>
      <c r="AL89" s="19">
        <f t="shared" ca="1" si="38"/>
        <v>150</v>
      </c>
    </row>
    <row r="90" spans="2:38" x14ac:dyDescent="0.25">
      <c r="B90" s="19"/>
      <c r="C90" s="19"/>
      <c r="D90" s="19"/>
      <c r="E90" s="19"/>
      <c r="F90" s="19"/>
      <c r="G90" s="19"/>
      <c r="H90" s="44">
        <f t="shared" si="47"/>
        <v>46722</v>
      </c>
      <c r="I90" s="265">
        <v>0</v>
      </c>
      <c r="J90" s="65">
        <f t="shared" ca="1" si="39"/>
        <v>0</v>
      </c>
      <c r="K90" s="21">
        <f ca="1">SUMPRODUCT(V$7:V90,OFFSET($J$366,ROW($I$7)-ROW(),0):$J$366)</f>
        <v>0</v>
      </c>
      <c r="L90" s="21">
        <f ca="1">SUMPRODUCT(W$7:W90,OFFSET($J$366,ROW($I$7)-ROW(),0):$J$366)</f>
        <v>0</v>
      </c>
      <c r="M90" s="21">
        <f ca="1">SUMPRODUCT(X$7:X90,OFFSET($J$366,ROW($I$7)-ROW(),0):$J$366)</f>
        <v>0</v>
      </c>
      <c r="N90" s="19"/>
      <c r="O90" s="44">
        <f t="shared" si="40"/>
        <v>45992</v>
      </c>
      <c r="P90" s="25">
        <f t="shared" si="41"/>
        <v>2526</v>
      </c>
      <c r="Q90" s="21">
        <f t="shared" si="42"/>
        <v>12.105993069316089</v>
      </c>
      <c r="R90" s="21">
        <f t="shared" si="25"/>
        <v>62.794288182060889</v>
      </c>
      <c r="S90" s="21">
        <f t="shared" si="26"/>
        <v>2.5928832945003779</v>
      </c>
      <c r="T90" s="19"/>
      <c r="U90" s="25">
        <f t="shared" si="48"/>
        <v>2525.6899999999987</v>
      </c>
      <c r="V90" s="21">
        <f t="shared" si="27"/>
        <v>46.900706643903774</v>
      </c>
      <c r="W90" s="21">
        <f t="shared" si="28"/>
        <v>117.66256018240387</v>
      </c>
      <c r="X90" s="21">
        <f t="shared" si="29"/>
        <v>23.450353321951887</v>
      </c>
      <c r="Y90" s="27"/>
      <c r="Z90" s="48">
        <f t="shared" si="43"/>
        <v>46722</v>
      </c>
      <c r="AA90" s="21">
        <f t="shared" ca="1" si="30"/>
        <v>9.6538341565259262</v>
      </c>
      <c r="AB90" s="21">
        <f t="shared" ca="1" si="31"/>
        <v>51.622818462745641</v>
      </c>
      <c r="AC90" s="21">
        <f t="shared" ca="1" si="32"/>
        <v>1.1114387175437095</v>
      </c>
      <c r="AD90" s="21">
        <f t="shared" ca="1" si="33"/>
        <v>7.743422769411846</v>
      </c>
      <c r="AE90" s="116">
        <f t="shared" ca="1" si="34"/>
        <v>299.26885885230371</v>
      </c>
      <c r="AF90" s="21">
        <f t="shared" ca="1" si="35"/>
        <v>1600.3073723451148</v>
      </c>
      <c r="AG90" s="21">
        <f t="shared" ca="1" si="36"/>
        <v>34.454600243854998</v>
      </c>
      <c r="AH90" s="21">
        <f t="shared" ca="1" si="37"/>
        <v>240.04610585176724</v>
      </c>
      <c r="AI90" s="47">
        <f t="shared" ca="1" si="44"/>
        <v>5347.3902312532437</v>
      </c>
      <c r="AJ90" s="57">
        <f t="shared" ca="1" si="45"/>
        <v>0.10324296750719969</v>
      </c>
      <c r="AK90" s="21">
        <f t="shared" ca="1" si="46"/>
        <v>187.00711127372398</v>
      </c>
      <c r="AL90" s="21">
        <f t="shared" ca="1" si="38"/>
        <v>150</v>
      </c>
    </row>
    <row r="91" spans="2:38" x14ac:dyDescent="0.25">
      <c r="B91" s="19"/>
      <c r="C91" s="19"/>
      <c r="D91" s="19"/>
      <c r="E91" s="19"/>
      <c r="F91" s="19"/>
      <c r="G91" s="19"/>
      <c r="H91" s="43">
        <f t="shared" si="47"/>
        <v>46753</v>
      </c>
      <c r="I91" s="264">
        <v>0</v>
      </c>
      <c r="J91" s="64">
        <f t="shared" ca="1" si="39"/>
        <v>0</v>
      </c>
      <c r="K91" s="19">
        <f ca="1">SUMPRODUCT(V$7:V91,OFFSET($J$366,ROW($I$7)-ROW(),0):$J$366)</f>
        <v>0</v>
      </c>
      <c r="L91" s="19">
        <f ca="1">SUMPRODUCT(W$7:W91,OFFSET($J$366,ROW($I$7)-ROW(),0):$J$366)</f>
        <v>0</v>
      </c>
      <c r="M91" s="19">
        <f ca="1">SUMPRODUCT(X$7:X91,OFFSET($J$366,ROW($I$7)-ROW(),0):$J$366)</f>
        <v>0</v>
      </c>
      <c r="N91" s="19"/>
      <c r="O91" s="43">
        <f t="shared" si="40"/>
        <v>46023</v>
      </c>
      <c r="P91" s="24">
        <f t="shared" si="41"/>
        <v>2557</v>
      </c>
      <c r="Q91" s="19">
        <f t="shared" si="42"/>
        <v>11.976803180658857</v>
      </c>
      <c r="R91" s="19">
        <f t="shared" si="25"/>
        <v>62.222474278278618</v>
      </c>
      <c r="S91" s="19">
        <f t="shared" si="26"/>
        <v>2.5010835805242988</v>
      </c>
      <c r="T91" s="19"/>
      <c r="U91" s="24">
        <f t="shared" si="48"/>
        <v>2556.1199999999985</v>
      </c>
      <c r="V91" s="19">
        <f t="shared" si="27"/>
        <v>46.569741988381296</v>
      </c>
      <c r="W91" s="19">
        <f t="shared" si="28"/>
        <v>116.90311374979744</v>
      </c>
      <c r="X91" s="19">
        <f t="shared" si="29"/>
        <v>23.284870994190648</v>
      </c>
      <c r="Y91" s="27"/>
      <c r="Z91" s="42">
        <f t="shared" si="43"/>
        <v>46753</v>
      </c>
      <c r="AA91" s="19">
        <f t="shared" ca="1" si="30"/>
        <v>9.5715024459365345</v>
      </c>
      <c r="AB91" s="19">
        <f t="shared" ca="1" si="31"/>
        <v>51.235737337223291</v>
      </c>
      <c r="AC91" s="19">
        <f t="shared" ca="1" si="32"/>
        <v>1.0722521305001211</v>
      </c>
      <c r="AD91" s="19">
        <f t="shared" ca="1" si="33"/>
        <v>7.6853606005834942</v>
      </c>
      <c r="AE91" s="115">
        <f t="shared" ca="1" si="34"/>
        <v>296.71657582403259</v>
      </c>
      <c r="AF91" s="19">
        <f t="shared" ca="1" si="35"/>
        <v>1588.307857453922</v>
      </c>
      <c r="AG91" s="19">
        <f t="shared" ca="1" si="36"/>
        <v>33.239816045503758</v>
      </c>
      <c r="AH91" s="19">
        <f t="shared" ca="1" si="37"/>
        <v>238.24617861808832</v>
      </c>
      <c r="AI91" s="46">
        <f t="shared" ca="1" si="44"/>
        <v>5352.9461677121344</v>
      </c>
      <c r="AJ91" s="55">
        <f t="shared" ca="1" si="45"/>
        <v>0.10074002766597918</v>
      </c>
      <c r="AK91" s="19">
        <f t="shared" ca="1" si="46"/>
        <v>186.81301262317817</v>
      </c>
      <c r="AL91" s="19">
        <f t="shared" ca="1" si="38"/>
        <v>150</v>
      </c>
    </row>
    <row r="92" spans="2:38" x14ac:dyDescent="0.25">
      <c r="B92" s="19"/>
      <c r="C92" s="19"/>
      <c r="D92" s="19"/>
      <c r="E92" s="19"/>
      <c r="F92" s="19"/>
      <c r="G92" s="19"/>
      <c r="H92" s="43">
        <f t="shared" si="47"/>
        <v>46784</v>
      </c>
      <c r="I92" s="264">
        <v>0</v>
      </c>
      <c r="J92" s="64">
        <f t="shared" ca="1" si="39"/>
        <v>0</v>
      </c>
      <c r="K92" s="19">
        <f ca="1">SUMPRODUCT(V$7:V92,OFFSET($J$366,ROW($I$7)-ROW(),0):$J$366)</f>
        <v>0</v>
      </c>
      <c r="L92" s="19">
        <f ca="1">SUMPRODUCT(W$7:W92,OFFSET($J$366,ROW($I$7)-ROW(),0):$J$366)</f>
        <v>0</v>
      </c>
      <c r="M92" s="19">
        <f ca="1">SUMPRODUCT(X$7:X92,OFFSET($J$366,ROW($I$7)-ROW(),0):$J$366)</f>
        <v>0</v>
      </c>
      <c r="N92" s="19"/>
      <c r="O92" s="43">
        <f t="shared" si="40"/>
        <v>46054</v>
      </c>
      <c r="P92" s="24">
        <f t="shared" si="41"/>
        <v>2588</v>
      </c>
      <c r="Q92" s="19">
        <f t="shared" si="42"/>
        <v>11.850341494332332</v>
      </c>
      <c r="R92" s="19">
        <f t="shared" si="25"/>
        <v>61.660980439319538</v>
      </c>
      <c r="S92" s="19">
        <f t="shared" si="26"/>
        <v>2.4125496595162006</v>
      </c>
      <c r="T92" s="19"/>
      <c r="U92" s="24">
        <f t="shared" si="48"/>
        <v>2586.5499999999984</v>
      </c>
      <c r="V92" s="19">
        <f t="shared" si="27"/>
        <v>46.241112854240988</v>
      </c>
      <c r="W92" s="19">
        <f t="shared" si="28"/>
        <v>116.15340805542854</v>
      </c>
      <c r="X92" s="19">
        <f t="shared" si="29"/>
        <v>23.120556427120494</v>
      </c>
      <c r="Y92" s="27"/>
      <c r="Z92" s="42">
        <f t="shared" si="43"/>
        <v>46784</v>
      </c>
      <c r="AA92" s="19">
        <f t="shared" ca="1" si="30"/>
        <v>9.4905631747655139</v>
      </c>
      <c r="AB92" s="19">
        <f t="shared" ca="1" si="31"/>
        <v>50.854417876265657</v>
      </c>
      <c r="AC92" s="19">
        <f t="shared" ca="1" si="32"/>
        <v>1.0344538284939186</v>
      </c>
      <c r="AD92" s="19">
        <f t="shared" ca="1" si="33"/>
        <v>7.6281626814398482</v>
      </c>
      <c r="AE92" s="115">
        <f t="shared" ca="1" si="34"/>
        <v>275.22633206819989</v>
      </c>
      <c r="AF92" s="19">
        <f t="shared" ca="1" si="35"/>
        <v>1474.7781184117041</v>
      </c>
      <c r="AG92" s="19">
        <f t="shared" ca="1" si="36"/>
        <v>29.999161026323641</v>
      </c>
      <c r="AH92" s="19">
        <f t="shared" ca="1" si="37"/>
        <v>221.2167177617556</v>
      </c>
      <c r="AI92" s="46">
        <f t="shared" ca="1" si="44"/>
        <v>5358.4194046021021</v>
      </c>
      <c r="AJ92" s="55">
        <f t="shared" ca="1" si="45"/>
        <v>9.8285240600900173E-2</v>
      </c>
      <c r="AK92" s="19">
        <f t="shared" ca="1" si="46"/>
        <v>186.62219667634557</v>
      </c>
      <c r="AL92" s="19">
        <f t="shared" ca="1" si="38"/>
        <v>150</v>
      </c>
    </row>
    <row r="93" spans="2:38" x14ac:dyDescent="0.25">
      <c r="B93" s="19"/>
      <c r="C93" s="19"/>
      <c r="D93" s="19"/>
      <c r="E93" s="19"/>
      <c r="F93" s="19"/>
      <c r="G93" s="19"/>
      <c r="H93" s="43">
        <f t="shared" si="47"/>
        <v>46813</v>
      </c>
      <c r="I93" s="264">
        <v>0</v>
      </c>
      <c r="J93" s="64">
        <f t="shared" ca="1" si="39"/>
        <v>0</v>
      </c>
      <c r="K93" s="19">
        <f ca="1">SUMPRODUCT(V$7:V93,OFFSET($J$366,ROW($I$7)-ROW(),0):$J$366)</f>
        <v>0</v>
      </c>
      <c r="L93" s="19">
        <f ca="1">SUMPRODUCT(W$7:W93,OFFSET($J$366,ROW($I$7)-ROW(),0):$J$366)</f>
        <v>0</v>
      </c>
      <c r="M93" s="19">
        <f ca="1">SUMPRODUCT(X$7:X93,OFFSET($J$366,ROW($I$7)-ROW(),0):$J$366)</f>
        <v>0</v>
      </c>
      <c r="N93" s="19"/>
      <c r="O93" s="43">
        <f t="shared" si="40"/>
        <v>46082</v>
      </c>
      <c r="P93" s="24">
        <f t="shared" si="41"/>
        <v>2616</v>
      </c>
      <c r="Q93" s="19">
        <f t="shared" si="42"/>
        <v>11.738391778922374</v>
      </c>
      <c r="R93" s="19">
        <f t="shared" si="25"/>
        <v>61.162464518397321</v>
      </c>
      <c r="S93" s="19">
        <f t="shared" si="26"/>
        <v>2.3352933684822181</v>
      </c>
      <c r="T93" s="19"/>
      <c r="U93" s="24">
        <f t="shared" si="48"/>
        <v>2616.9799999999982</v>
      </c>
      <c r="V93" s="19">
        <f t="shared" si="27"/>
        <v>45.946280258748452</v>
      </c>
      <c r="W93" s="19">
        <f t="shared" si="28"/>
        <v>115.48447191374559</v>
      </c>
      <c r="X93" s="19">
        <f t="shared" si="29"/>
        <v>22.973140129374226</v>
      </c>
      <c r="Y93" s="27"/>
      <c r="Z93" s="42">
        <f t="shared" si="43"/>
        <v>46813</v>
      </c>
      <c r="AA93" s="19">
        <f t="shared" ca="1" si="30"/>
        <v>9.4160753309322018</v>
      </c>
      <c r="AB93" s="19">
        <f t="shared" ca="1" si="31"/>
        <v>50.502802577259359</v>
      </c>
      <c r="AC93" s="19">
        <f t="shared" ca="1" si="32"/>
        <v>1.0003071476136278</v>
      </c>
      <c r="AD93" s="19">
        <f t="shared" ca="1" si="33"/>
        <v>7.5754203865889034</v>
      </c>
      <c r="AE93" s="115">
        <f t="shared" ca="1" si="34"/>
        <v>291.89833525889827</v>
      </c>
      <c r="AF93" s="19">
        <f t="shared" ca="1" si="35"/>
        <v>1565.5868798950401</v>
      </c>
      <c r="AG93" s="19">
        <f t="shared" ca="1" si="36"/>
        <v>31.009521576022461</v>
      </c>
      <c r="AH93" s="19">
        <f t="shared" ca="1" si="37"/>
        <v>234.83803198425599</v>
      </c>
      <c r="AI93" s="46">
        <f t="shared" ca="1" si="44"/>
        <v>5363.4662852956935</v>
      </c>
      <c r="AJ93" s="55">
        <f t="shared" ca="1" si="45"/>
        <v>9.6032106124551098E-2</v>
      </c>
      <c r="AK93" s="19">
        <f t="shared" ca="1" si="46"/>
        <v>186.44659009819225</v>
      </c>
      <c r="AL93" s="19">
        <f t="shared" ca="1" si="38"/>
        <v>150</v>
      </c>
    </row>
    <row r="94" spans="2:38" x14ac:dyDescent="0.25">
      <c r="B94" s="19"/>
      <c r="C94" s="19"/>
      <c r="D94" s="19"/>
      <c r="E94" s="19"/>
      <c r="F94" s="19"/>
      <c r="G94" s="19"/>
      <c r="H94" s="43">
        <f t="shared" si="47"/>
        <v>46844</v>
      </c>
      <c r="I94" s="264">
        <v>0</v>
      </c>
      <c r="J94" s="64">
        <f t="shared" ca="1" si="39"/>
        <v>0</v>
      </c>
      <c r="K94" s="19">
        <f ca="1">SUMPRODUCT(V$7:V94,OFFSET($J$366,ROW($I$7)-ROW(),0):$J$366)</f>
        <v>0</v>
      </c>
      <c r="L94" s="19">
        <f ca="1">SUMPRODUCT(W$7:W94,OFFSET($J$366,ROW($I$7)-ROW(),0):$J$366)</f>
        <v>0</v>
      </c>
      <c r="M94" s="19">
        <f ca="1">SUMPRODUCT(X$7:X94,OFFSET($J$366,ROW($I$7)-ROW(),0):$J$366)</f>
        <v>0</v>
      </c>
      <c r="N94" s="19"/>
      <c r="O94" s="43">
        <f t="shared" si="40"/>
        <v>46113</v>
      </c>
      <c r="P94" s="24">
        <f t="shared" si="41"/>
        <v>2647</v>
      </c>
      <c r="Q94" s="19">
        <f t="shared" si="42"/>
        <v>11.616889160744044</v>
      </c>
      <c r="R94" s="19">
        <f t="shared" si="25"/>
        <v>60.619855303747265</v>
      </c>
      <c r="S94" s="19">
        <f t="shared" si="26"/>
        <v>2.2526559605507321</v>
      </c>
      <c r="T94" s="19"/>
      <c r="U94" s="24">
        <f t="shared" si="48"/>
        <v>2647.409999999998</v>
      </c>
      <c r="V94" s="19">
        <f t="shared" si="27"/>
        <v>45.622050712830671</v>
      </c>
      <c r="W94" s="19">
        <f t="shared" si="28"/>
        <v>114.75279452019515</v>
      </c>
      <c r="X94" s="19">
        <f t="shared" si="29"/>
        <v>22.811025356415335</v>
      </c>
      <c r="Y94" s="27"/>
      <c r="Z94" s="42">
        <f t="shared" si="43"/>
        <v>46844</v>
      </c>
      <c r="AA94" s="19">
        <f t="shared" ca="1" si="30"/>
        <v>9.3377326283964734</v>
      </c>
      <c r="AB94" s="19">
        <f t="shared" ca="1" si="31"/>
        <v>50.132275297794301</v>
      </c>
      <c r="AC94" s="19">
        <f t="shared" ca="1" si="32"/>
        <v>0.96505702515673641</v>
      </c>
      <c r="AD94" s="19">
        <f t="shared" ca="1" si="33"/>
        <v>7.5198412946691446</v>
      </c>
      <c r="AE94" s="115">
        <f t="shared" ca="1" si="34"/>
        <v>280.13197885189419</v>
      </c>
      <c r="AF94" s="19">
        <f t="shared" ca="1" si="35"/>
        <v>1503.968258933829</v>
      </c>
      <c r="AG94" s="19">
        <f t="shared" ca="1" si="36"/>
        <v>28.951710754702091</v>
      </c>
      <c r="AH94" s="19">
        <f t="shared" ca="1" si="37"/>
        <v>225.59523884007433</v>
      </c>
      <c r="AI94" s="46">
        <f t="shared" ca="1" si="44"/>
        <v>5368.7846175140794</v>
      </c>
      <c r="AJ94" s="55">
        <f t="shared" ca="1" si="45"/>
        <v>9.3669487353253783E-2</v>
      </c>
      <c r="AK94" s="19">
        <f t="shared" ca="1" si="46"/>
        <v>186.26189561372871</v>
      </c>
      <c r="AL94" s="19">
        <f t="shared" ca="1" si="38"/>
        <v>149.99999999999997</v>
      </c>
    </row>
    <row r="95" spans="2:38" x14ac:dyDescent="0.25">
      <c r="B95" s="19"/>
      <c r="C95" s="19"/>
      <c r="D95" s="19"/>
      <c r="E95" s="19"/>
      <c r="F95" s="19"/>
      <c r="G95" s="19"/>
      <c r="H95" s="43">
        <f t="shared" si="47"/>
        <v>46874</v>
      </c>
      <c r="I95" s="264">
        <v>0</v>
      </c>
      <c r="J95" s="64">
        <f t="shared" ca="1" si="39"/>
        <v>0</v>
      </c>
      <c r="K95" s="19">
        <f ca="1">SUMPRODUCT(V$7:V95,OFFSET($J$366,ROW($I$7)-ROW(),0):$J$366)</f>
        <v>0</v>
      </c>
      <c r="L95" s="19">
        <f ca="1">SUMPRODUCT(W$7:W95,OFFSET($J$366,ROW($I$7)-ROW(),0):$J$366)</f>
        <v>0</v>
      </c>
      <c r="M95" s="19">
        <f ca="1">SUMPRODUCT(X$7:X95,OFFSET($J$366,ROW($I$7)-ROW(),0):$J$366)</f>
        <v>0</v>
      </c>
      <c r="N95" s="19"/>
      <c r="O95" s="43">
        <f t="shared" si="40"/>
        <v>46143</v>
      </c>
      <c r="P95" s="24">
        <f t="shared" si="41"/>
        <v>2677</v>
      </c>
      <c r="Q95" s="19">
        <f t="shared" si="42"/>
        <v>11.501677146455508</v>
      </c>
      <c r="R95" s="19">
        <f t="shared" si="25"/>
        <v>60.103838366535854</v>
      </c>
      <c r="S95" s="19">
        <f t="shared" si="26"/>
        <v>2.1754830441875086</v>
      </c>
      <c r="T95" s="19"/>
      <c r="U95" s="24">
        <f t="shared" si="48"/>
        <v>2677.8399999999979</v>
      </c>
      <c r="V95" s="19">
        <f t="shared" si="27"/>
        <v>45.310458824847984</v>
      </c>
      <c r="W95" s="19">
        <f t="shared" si="28"/>
        <v>114.05349344289883</v>
      </c>
      <c r="X95" s="19">
        <f t="shared" si="29"/>
        <v>22.655229412423992</v>
      </c>
      <c r="Y95" s="27"/>
      <c r="Z95" s="42">
        <f t="shared" si="43"/>
        <v>46874</v>
      </c>
      <c r="AA95" s="19">
        <f t="shared" ca="1" si="30"/>
        <v>9.2631484330201577</v>
      </c>
      <c r="AB95" s="19">
        <f t="shared" ca="1" si="31"/>
        <v>49.778840710542795</v>
      </c>
      <c r="AC95" s="19">
        <f t="shared" ca="1" si="32"/>
        <v>0.93213289593167803</v>
      </c>
      <c r="AD95" s="19">
        <f t="shared" ca="1" si="33"/>
        <v>7.4668261065814194</v>
      </c>
      <c r="AE95" s="115">
        <f t="shared" ca="1" si="34"/>
        <v>287.1576014236249</v>
      </c>
      <c r="AF95" s="19">
        <f t="shared" ca="1" si="35"/>
        <v>1543.1440620268268</v>
      </c>
      <c r="AG95" s="19">
        <f t="shared" ca="1" si="36"/>
        <v>28.89611977388202</v>
      </c>
      <c r="AH95" s="19">
        <f t="shared" ca="1" si="37"/>
        <v>231.47160930402401</v>
      </c>
      <c r="AI95" s="46">
        <f t="shared" ca="1" si="44"/>
        <v>5373.8576112088595</v>
      </c>
      <c r="AJ95" s="55">
        <f t="shared" ca="1" si="45"/>
        <v>9.1427873920916072E-2</v>
      </c>
      <c r="AK95" s="19">
        <f t="shared" ca="1" si="46"/>
        <v>186.08606188489017</v>
      </c>
      <c r="AL95" s="19">
        <f t="shared" ca="1" si="38"/>
        <v>150</v>
      </c>
    </row>
    <row r="96" spans="2:38" x14ac:dyDescent="0.25">
      <c r="B96" s="19"/>
      <c r="C96" s="19"/>
      <c r="D96" s="19"/>
      <c r="E96" s="19"/>
      <c r="F96" s="19"/>
      <c r="G96" s="19"/>
      <c r="H96" s="43">
        <f t="shared" si="47"/>
        <v>46905</v>
      </c>
      <c r="I96" s="264">
        <v>0</v>
      </c>
      <c r="J96" s="64">
        <f t="shared" ca="1" si="39"/>
        <v>0</v>
      </c>
      <c r="K96" s="19">
        <f ca="1">SUMPRODUCT(V$7:V96,OFFSET($J$366,ROW($I$7)-ROW(),0):$J$366)</f>
        <v>0</v>
      </c>
      <c r="L96" s="19">
        <f ca="1">SUMPRODUCT(W$7:W96,OFFSET($J$366,ROW($I$7)-ROW(),0):$J$366)</f>
        <v>0</v>
      </c>
      <c r="M96" s="19">
        <f ca="1">SUMPRODUCT(X$7:X96,OFFSET($J$366,ROW($I$7)-ROW(),0):$J$366)</f>
        <v>0</v>
      </c>
      <c r="N96" s="19"/>
      <c r="O96" s="43">
        <f t="shared" si="40"/>
        <v>46174</v>
      </c>
      <c r="P96" s="24">
        <f t="shared" si="41"/>
        <v>2708</v>
      </c>
      <c r="Q96" s="19">
        <f t="shared" si="42"/>
        <v>11.385001170410398</v>
      </c>
      <c r="R96" s="19">
        <f t="shared" si="25"/>
        <v>59.579769549202432</v>
      </c>
      <c r="S96" s="19">
        <f t="shared" si="26"/>
        <v>2.0985275230426153</v>
      </c>
      <c r="T96" s="19"/>
      <c r="U96" s="24">
        <f t="shared" si="48"/>
        <v>2708.2699999999977</v>
      </c>
      <c r="V96" s="19">
        <f t="shared" si="27"/>
        <v>44.990716085993533</v>
      </c>
      <c r="W96" s="19">
        <f t="shared" si="28"/>
        <v>113.3397802378249</v>
      </c>
      <c r="X96" s="19">
        <f t="shared" si="29"/>
        <v>22.495358042996767</v>
      </c>
      <c r="Y96" s="27"/>
      <c r="Z96" s="42">
        <f t="shared" si="43"/>
        <v>46905</v>
      </c>
      <c r="AA96" s="19">
        <f t="shared" ca="1" si="30"/>
        <v>9.1873195539979875</v>
      </c>
      <c r="AB96" s="19">
        <f t="shared" ca="1" si="31"/>
        <v>49.418822504079088</v>
      </c>
      <c r="AC96" s="19">
        <f t="shared" ca="1" si="32"/>
        <v>0.89929656973650363</v>
      </c>
      <c r="AD96" s="19">
        <f t="shared" ca="1" si="33"/>
        <v>7.4128233756118629</v>
      </c>
      <c r="AE96" s="115">
        <f t="shared" ca="1" si="34"/>
        <v>275.61958661993964</v>
      </c>
      <c r="AF96" s="19">
        <f t="shared" ca="1" si="35"/>
        <v>1482.5646751223726</v>
      </c>
      <c r="AG96" s="19">
        <f t="shared" ca="1" si="36"/>
        <v>26.97889709209511</v>
      </c>
      <c r="AH96" s="19">
        <f t="shared" ca="1" si="37"/>
        <v>222.38470126835588</v>
      </c>
      <c r="AI96" s="46">
        <f t="shared" ca="1" si="44"/>
        <v>5379.025102329635</v>
      </c>
      <c r="AJ96" s="55">
        <f t="shared" ca="1" si="45"/>
        <v>8.9157410047597419E-2</v>
      </c>
      <c r="AK96" s="19">
        <f t="shared" ca="1" si="46"/>
        <v>185.90729378952028</v>
      </c>
      <c r="AL96" s="19">
        <f t="shared" ca="1" si="38"/>
        <v>150</v>
      </c>
    </row>
    <row r="97" spans="2:38" x14ac:dyDescent="0.25">
      <c r="B97" s="19"/>
      <c r="C97" s="19"/>
      <c r="D97" s="19"/>
      <c r="E97" s="19"/>
      <c r="F97" s="19"/>
      <c r="G97" s="19"/>
      <c r="H97" s="43">
        <f t="shared" si="47"/>
        <v>46935</v>
      </c>
      <c r="I97" s="264">
        <v>0</v>
      </c>
      <c r="J97" s="64">
        <f t="shared" ca="1" si="39"/>
        <v>0</v>
      </c>
      <c r="K97" s="19">
        <f ca="1">SUMPRODUCT(V$7:V97,OFFSET($J$366,ROW($I$7)-ROW(),0):$J$366)</f>
        <v>0</v>
      </c>
      <c r="L97" s="19">
        <f ca="1">SUMPRODUCT(W$7:W97,OFFSET($J$366,ROW($I$7)-ROW(),0):$J$366)</f>
        <v>0</v>
      </c>
      <c r="M97" s="19">
        <f ca="1">SUMPRODUCT(X$7:X97,OFFSET($J$366,ROW($I$7)-ROW(),0):$J$366)</f>
        <v>0</v>
      </c>
      <c r="N97" s="19"/>
      <c r="O97" s="43">
        <f t="shared" si="40"/>
        <v>46204</v>
      </c>
      <c r="P97" s="24">
        <f t="shared" si="41"/>
        <v>2738</v>
      </c>
      <c r="Q97" s="19">
        <f t="shared" si="42"/>
        <v>11.274320897171044</v>
      </c>
      <c r="R97" s="19">
        <f t="shared" si="25"/>
        <v>59.081235026789479</v>
      </c>
      <c r="S97" s="19">
        <f t="shared" si="26"/>
        <v>2.0266598651206085</v>
      </c>
      <c r="T97" s="19"/>
      <c r="U97" s="24">
        <f t="shared" si="48"/>
        <v>2738.6999999999975</v>
      </c>
      <c r="V97" s="19">
        <f t="shared" si="27"/>
        <v>44.683436120540648</v>
      </c>
      <c r="W97" s="19">
        <f t="shared" si="28"/>
        <v>112.65754369370165</v>
      </c>
      <c r="X97" s="19">
        <f t="shared" si="29"/>
        <v>22.341718060270324</v>
      </c>
      <c r="Y97" s="27"/>
      <c r="Z97" s="42">
        <f t="shared" si="43"/>
        <v>46935</v>
      </c>
      <c r="AA97" s="19">
        <f t="shared" ca="1" si="30"/>
        <v>9.1151095339915322</v>
      </c>
      <c r="AB97" s="19">
        <f t="shared" ca="1" si="31"/>
        <v>49.07534161519775</v>
      </c>
      <c r="AC97" s="19">
        <f t="shared" ca="1" si="32"/>
        <v>0.86862657759357742</v>
      </c>
      <c r="AD97" s="19">
        <f t="shared" ca="1" si="33"/>
        <v>7.3613012422796622</v>
      </c>
      <c r="AE97" s="115">
        <f t="shared" ca="1" si="34"/>
        <v>282.5683955537375</v>
      </c>
      <c r="AF97" s="19">
        <f t="shared" ca="1" si="35"/>
        <v>1521.3355900711304</v>
      </c>
      <c r="AG97" s="19">
        <f t="shared" ca="1" si="36"/>
        <v>26.9274239054009</v>
      </c>
      <c r="AH97" s="19">
        <f t="shared" ca="1" si="37"/>
        <v>228.20033851066952</v>
      </c>
      <c r="AI97" s="46">
        <f t="shared" ca="1" si="44"/>
        <v>5383.9552264499798</v>
      </c>
      <c r="AJ97" s="55">
        <f t="shared" ca="1" si="45"/>
        <v>8.7004160354922117E-2</v>
      </c>
      <c r="AK97" s="19">
        <f t="shared" ca="1" si="46"/>
        <v>185.73705722649004</v>
      </c>
      <c r="AL97" s="19">
        <f t="shared" ca="1" si="38"/>
        <v>150</v>
      </c>
    </row>
    <row r="98" spans="2:38" x14ac:dyDescent="0.25">
      <c r="B98" s="19"/>
      <c r="C98" s="19"/>
      <c r="D98" s="19"/>
      <c r="E98" s="19"/>
      <c r="F98" s="19"/>
      <c r="G98" s="19"/>
      <c r="H98" s="43">
        <f t="shared" si="47"/>
        <v>46966</v>
      </c>
      <c r="I98" s="264">
        <v>0</v>
      </c>
      <c r="J98" s="64">
        <f t="shared" ca="1" si="39"/>
        <v>0</v>
      </c>
      <c r="K98" s="19">
        <f ca="1">SUMPRODUCT(V$7:V98,OFFSET($J$366,ROW($I$7)-ROW(),0):$J$366)</f>
        <v>0</v>
      </c>
      <c r="L98" s="19">
        <f ca="1">SUMPRODUCT(W$7:W98,OFFSET($J$366,ROW($I$7)-ROW(),0):$J$366)</f>
        <v>0</v>
      </c>
      <c r="M98" s="19">
        <f ca="1">SUMPRODUCT(X$7:X98,OFFSET($J$366,ROW($I$7)-ROW(),0):$J$366)</f>
        <v>0</v>
      </c>
      <c r="N98" s="19"/>
      <c r="O98" s="43">
        <f t="shared" si="40"/>
        <v>46235</v>
      </c>
      <c r="P98" s="24">
        <f t="shared" si="41"/>
        <v>2769</v>
      </c>
      <c r="Q98" s="19">
        <f t="shared" si="42"/>
        <v>11.162189566504713</v>
      </c>
      <c r="R98" s="19">
        <f t="shared" si="25"/>
        <v>58.574772325662984</v>
      </c>
      <c r="S98" s="19">
        <f t="shared" si="26"/>
        <v>1.9549937535938082</v>
      </c>
      <c r="T98" s="19"/>
      <c r="U98" s="24">
        <f t="shared" si="48"/>
        <v>2769.1299999999974</v>
      </c>
      <c r="V98" s="19">
        <f t="shared" si="27"/>
        <v>44.368118098672056</v>
      </c>
      <c r="W98" s="19">
        <f t="shared" si="28"/>
        <v>111.96114111941662</v>
      </c>
      <c r="X98" s="19">
        <f t="shared" si="29"/>
        <v>22.184059049336028</v>
      </c>
      <c r="Y98" s="27"/>
      <c r="Z98" s="42">
        <f t="shared" si="43"/>
        <v>46966</v>
      </c>
      <c r="AA98" s="19">
        <f t="shared" ca="1" si="30"/>
        <v>9.0416753972908364</v>
      </c>
      <c r="AB98" s="19">
        <f t="shared" ca="1" si="31"/>
        <v>48.725391643689079</v>
      </c>
      <c r="AC98" s="19">
        <f t="shared" ca="1" si="32"/>
        <v>0.83803799450360406</v>
      </c>
      <c r="AD98" s="19">
        <f t="shared" ca="1" si="33"/>
        <v>7.3088087465533622</v>
      </c>
      <c r="AE98" s="115">
        <f t="shared" ca="1" si="34"/>
        <v>280.29193731601595</v>
      </c>
      <c r="AF98" s="19">
        <f t="shared" ca="1" si="35"/>
        <v>1510.4871409543614</v>
      </c>
      <c r="AG98" s="19">
        <f t="shared" ca="1" si="36"/>
        <v>25.979177829611725</v>
      </c>
      <c r="AH98" s="19">
        <f t="shared" ca="1" si="37"/>
        <v>226.57307114315424</v>
      </c>
      <c r="AI98" s="46">
        <f t="shared" ca="1" si="44"/>
        <v>5388.9782040050559</v>
      </c>
      <c r="AJ98" s="55">
        <f t="shared" ca="1" si="45"/>
        <v>8.4824120019476812E-2</v>
      </c>
      <c r="AK98" s="19">
        <f t="shared" ca="1" si="46"/>
        <v>185.56393478392732</v>
      </c>
      <c r="AL98" s="19">
        <f t="shared" ca="1" si="38"/>
        <v>150.00000000000003</v>
      </c>
    </row>
    <row r="99" spans="2:38" x14ac:dyDescent="0.25">
      <c r="B99" s="19"/>
      <c r="C99" s="19"/>
      <c r="D99" s="19"/>
      <c r="E99" s="19"/>
      <c r="F99" s="19"/>
      <c r="G99" s="19"/>
      <c r="H99" s="43">
        <f t="shared" si="47"/>
        <v>46997</v>
      </c>
      <c r="I99" s="264">
        <v>0</v>
      </c>
      <c r="J99" s="64">
        <f t="shared" ca="1" si="39"/>
        <v>0</v>
      </c>
      <c r="K99" s="19">
        <f ca="1">SUMPRODUCT(V$7:V99,OFFSET($J$366,ROW($I$7)-ROW(),0):$J$366)</f>
        <v>0</v>
      </c>
      <c r="L99" s="19">
        <f ca="1">SUMPRODUCT(W$7:W99,OFFSET($J$366,ROW($I$7)-ROW(),0):$J$366)</f>
        <v>0</v>
      </c>
      <c r="M99" s="19">
        <f ca="1">SUMPRODUCT(X$7:X99,OFFSET($J$366,ROW($I$7)-ROW(),0):$J$366)</f>
        <v>0</v>
      </c>
      <c r="N99" s="19"/>
      <c r="O99" s="43">
        <f t="shared" si="40"/>
        <v>46266</v>
      </c>
      <c r="P99" s="24">
        <f t="shared" si="41"/>
        <v>2800</v>
      </c>
      <c r="Q99" s="19">
        <f t="shared" si="42"/>
        <v>11.052266726255837</v>
      </c>
      <c r="R99" s="19">
        <f t="shared" si="25"/>
        <v>58.076918934089086</v>
      </c>
      <c r="S99" s="19">
        <f t="shared" si="26"/>
        <v>1.8858740962802594</v>
      </c>
      <c r="T99" s="19"/>
      <c r="U99" s="24">
        <f t="shared" si="48"/>
        <v>2799.5599999999972</v>
      </c>
      <c r="V99" s="19">
        <f t="shared" si="27"/>
        <v>44.055025184439465</v>
      </c>
      <c r="W99" s="19">
        <f t="shared" si="28"/>
        <v>111.27329539844703</v>
      </c>
      <c r="X99" s="19">
        <f t="shared" si="29"/>
        <v>22.027512592219733</v>
      </c>
      <c r="Y99" s="27"/>
      <c r="Z99" s="42">
        <f t="shared" si="43"/>
        <v>46997</v>
      </c>
      <c r="AA99" s="19">
        <f t="shared" ca="1" si="30"/>
        <v>8.9694150205734928</v>
      </c>
      <c r="AB99" s="19">
        <f t="shared" ca="1" si="31"/>
        <v>48.380397231515623</v>
      </c>
      <c r="AC99" s="19">
        <f t="shared" ca="1" si="32"/>
        <v>0.80853177951405064</v>
      </c>
      <c r="AD99" s="19">
        <f t="shared" ca="1" si="33"/>
        <v>7.2570595847273438</v>
      </c>
      <c r="AE99" s="115">
        <f t="shared" ca="1" si="34"/>
        <v>269.08245061720481</v>
      </c>
      <c r="AF99" s="19">
        <f t="shared" ca="1" si="35"/>
        <v>1451.4119169454686</v>
      </c>
      <c r="AG99" s="19">
        <f t="shared" ca="1" si="36"/>
        <v>24.25595338542152</v>
      </c>
      <c r="AH99" s="19">
        <f t="shared" ca="1" si="37"/>
        <v>217.71178754182031</v>
      </c>
      <c r="AI99" s="46">
        <f t="shared" ca="1" si="44"/>
        <v>5393.9300523549909</v>
      </c>
      <c r="AJ99" s="55">
        <f t="shared" ca="1" si="45"/>
        <v>8.2689320779165174E-2</v>
      </c>
      <c r="AK99" s="19">
        <f t="shared" ca="1" si="46"/>
        <v>185.39357950394628</v>
      </c>
      <c r="AL99" s="19">
        <f t="shared" ca="1" si="38"/>
        <v>150</v>
      </c>
    </row>
    <row r="100" spans="2:38" x14ac:dyDescent="0.25">
      <c r="B100" s="19"/>
      <c r="C100" s="19"/>
      <c r="D100" s="19"/>
      <c r="E100" s="19"/>
      <c r="F100" s="19"/>
      <c r="G100" s="19"/>
      <c r="H100" s="43">
        <f t="shared" si="47"/>
        <v>47027</v>
      </c>
      <c r="I100" s="264">
        <v>0</v>
      </c>
      <c r="J100" s="64">
        <f t="shared" ca="1" si="39"/>
        <v>0</v>
      </c>
      <c r="K100" s="19">
        <f ca="1">SUMPRODUCT(V$7:V100,OFFSET($J$366,ROW($I$7)-ROW(),0):$J$366)</f>
        <v>0</v>
      </c>
      <c r="L100" s="19">
        <f ca="1">SUMPRODUCT(W$7:W100,OFFSET($J$366,ROW($I$7)-ROW(),0):$J$366)</f>
        <v>0</v>
      </c>
      <c r="M100" s="19">
        <f ca="1">SUMPRODUCT(X$7:X100,OFFSET($J$366,ROW($I$7)-ROW(),0):$J$366)</f>
        <v>0</v>
      </c>
      <c r="N100" s="19"/>
      <c r="O100" s="43">
        <f t="shared" si="40"/>
        <v>46296</v>
      </c>
      <c r="P100" s="24">
        <f t="shared" si="41"/>
        <v>2830</v>
      </c>
      <c r="Q100" s="19">
        <f t="shared" si="42"/>
        <v>10.947931686164393</v>
      </c>
      <c r="R100" s="19">
        <f t="shared" si="25"/>
        <v>57.603117457739465</v>
      </c>
      <c r="S100" s="19">
        <f t="shared" si="26"/>
        <v>1.8213230114199883</v>
      </c>
      <c r="T100" s="19"/>
      <c r="U100" s="24">
        <f t="shared" si="48"/>
        <v>2829.9899999999971</v>
      </c>
      <c r="V100" s="19">
        <f t="shared" si="27"/>
        <v>43.75413585005267</v>
      </c>
      <c r="W100" s="19">
        <f t="shared" si="28"/>
        <v>110.61563784492026</v>
      </c>
      <c r="X100" s="19">
        <f t="shared" si="29"/>
        <v>21.877067925026335</v>
      </c>
      <c r="Y100" s="27"/>
      <c r="Z100" s="42">
        <f t="shared" si="43"/>
        <v>47027</v>
      </c>
      <c r="AA100" s="19">
        <f t="shared" ca="1" si="30"/>
        <v>8.9005768963990164</v>
      </c>
      <c r="AB100" s="19">
        <f t="shared" ca="1" si="31"/>
        <v>48.051151553055291</v>
      </c>
      <c r="AC100" s="19">
        <f t="shared" ca="1" si="32"/>
        <v>0.78097167900696463</v>
      </c>
      <c r="AD100" s="19">
        <f t="shared" ca="1" si="33"/>
        <v>7.2076727329582937</v>
      </c>
      <c r="AE100" s="115">
        <f t="shared" ca="1" si="34"/>
        <v>275.91788378836952</v>
      </c>
      <c r="AF100" s="19">
        <f t="shared" ca="1" si="35"/>
        <v>1489.5856981447141</v>
      </c>
      <c r="AG100" s="19">
        <f t="shared" ca="1" si="36"/>
        <v>24.210122049215904</v>
      </c>
      <c r="AH100" s="19">
        <f t="shared" ca="1" si="37"/>
        <v>223.43785472170711</v>
      </c>
      <c r="AI100" s="46">
        <f t="shared" ca="1" si="44"/>
        <v>5398.6558525769005</v>
      </c>
      <c r="AJ100" s="55">
        <f t="shared" ca="1" si="45"/>
        <v>8.066598777295457E-2</v>
      </c>
      <c r="AK100" s="19">
        <f t="shared" ca="1" si="46"/>
        <v>185.23129225262198</v>
      </c>
      <c r="AL100" s="19">
        <f t="shared" ca="1" si="38"/>
        <v>150</v>
      </c>
    </row>
    <row r="101" spans="2:38" x14ac:dyDescent="0.25">
      <c r="B101" s="19"/>
      <c r="C101" s="19"/>
      <c r="D101" s="19"/>
      <c r="E101" s="19"/>
      <c r="F101" s="19"/>
      <c r="G101" s="19"/>
      <c r="H101" s="43">
        <f t="shared" si="47"/>
        <v>47058</v>
      </c>
      <c r="I101" s="264">
        <v>0</v>
      </c>
      <c r="J101" s="64">
        <f t="shared" ca="1" si="39"/>
        <v>0</v>
      </c>
      <c r="K101" s="19">
        <f ca="1">SUMPRODUCT(V$7:V101,OFFSET($J$366,ROW($I$7)-ROW(),0):$J$366)</f>
        <v>0</v>
      </c>
      <c r="L101" s="19">
        <f ca="1">SUMPRODUCT(W$7:W101,OFFSET($J$366,ROW($I$7)-ROW(),0):$J$366)</f>
        <v>0</v>
      </c>
      <c r="M101" s="19">
        <f ca="1">SUMPRODUCT(X$7:X101,OFFSET($J$366,ROW($I$7)-ROW(),0):$J$366)</f>
        <v>0</v>
      </c>
      <c r="N101" s="19"/>
      <c r="O101" s="43">
        <f t="shared" si="40"/>
        <v>46327</v>
      </c>
      <c r="P101" s="24">
        <f t="shared" si="41"/>
        <v>2861</v>
      </c>
      <c r="Q101" s="19">
        <f t="shared" si="42"/>
        <v>10.842168283933232</v>
      </c>
      <c r="R101" s="19">
        <f t="shared" si="25"/>
        <v>57.121576243534747</v>
      </c>
      <c r="S101" s="19">
        <f t="shared" si="26"/>
        <v>1.7569517307836247</v>
      </c>
      <c r="T101" s="19"/>
      <c r="U101" s="24">
        <f t="shared" si="48"/>
        <v>2860.4199999999969</v>
      </c>
      <c r="V101" s="19">
        <f t="shared" si="27"/>
        <v>43.445375630100237</v>
      </c>
      <c r="W101" s="19">
        <f t="shared" si="28"/>
        <v>109.94417570653277</v>
      </c>
      <c r="X101" s="19">
        <f t="shared" si="29"/>
        <v>21.722687815050119</v>
      </c>
      <c r="Y101" s="27"/>
      <c r="Z101" s="42">
        <f t="shared" si="43"/>
        <v>47058</v>
      </c>
      <c r="AA101" s="19">
        <f t="shared" ca="1" si="30"/>
        <v>8.8305454850518448</v>
      </c>
      <c r="AB101" s="19">
        <f t="shared" ca="1" si="31"/>
        <v>47.715605962502806</v>
      </c>
      <c r="AC101" s="19">
        <f t="shared" ca="1" si="32"/>
        <v>0.75348421475003591</v>
      </c>
      <c r="AD101" s="19">
        <f t="shared" ca="1" si="33"/>
        <v>7.1573408943754213</v>
      </c>
      <c r="AE101" s="115">
        <f t="shared" ca="1" si="34"/>
        <v>264.91636455155532</v>
      </c>
      <c r="AF101" s="19">
        <f t="shared" ca="1" si="35"/>
        <v>1431.4681788750843</v>
      </c>
      <c r="AG101" s="19">
        <f t="shared" ca="1" si="36"/>
        <v>22.604526442501076</v>
      </c>
      <c r="AH101" s="19">
        <f t="shared" ca="1" si="37"/>
        <v>214.72022683126264</v>
      </c>
      <c r="AI101" s="46">
        <f t="shared" ca="1" si="44"/>
        <v>5403.4720780584566</v>
      </c>
      <c r="AJ101" s="55">
        <f t="shared" ca="1" si="45"/>
        <v>7.8618727023103005E-2</v>
      </c>
      <c r="AK101" s="19">
        <f t="shared" ca="1" si="46"/>
        <v>185.06619180297756</v>
      </c>
      <c r="AL101" s="19">
        <f t="shared" ca="1" si="38"/>
        <v>150</v>
      </c>
    </row>
    <row r="102" spans="2:38" x14ac:dyDescent="0.25">
      <c r="B102" s="19"/>
      <c r="C102" s="19"/>
      <c r="D102" s="19"/>
      <c r="E102" s="19"/>
      <c r="F102" s="19"/>
      <c r="G102" s="19"/>
      <c r="H102" s="44">
        <f t="shared" si="47"/>
        <v>47088</v>
      </c>
      <c r="I102" s="265">
        <v>0</v>
      </c>
      <c r="J102" s="65">
        <f t="shared" ca="1" si="39"/>
        <v>0</v>
      </c>
      <c r="K102" s="21">
        <f ca="1">SUMPRODUCT(V$7:V102,OFFSET($J$366,ROW($I$7)-ROW(),0):$J$366)</f>
        <v>0</v>
      </c>
      <c r="L102" s="21">
        <f ca="1">SUMPRODUCT(W$7:W102,OFFSET($J$366,ROW($I$7)-ROW(),0):$J$366)</f>
        <v>0</v>
      </c>
      <c r="M102" s="21">
        <f ca="1">SUMPRODUCT(X$7:X102,OFFSET($J$366,ROW($I$7)-ROW(),0):$J$366)</f>
        <v>0</v>
      </c>
      <c r="N102" s="19"/>
      <c r="O102" s="44">
        <f t="shared" si="40"/>
        <v>46357</v>
      </c>
      <c r="P102" s="25">
        <f t="shared" si="41"/>
        <v>2891</v>
      </c>
      <c r="Q102" s="21">
        <f t="shared" si="42"/>
        <v>10.741744240729599</v>
      </c>
      <c r="R102" s="21">
        <f t="shared" si="25"/>
        <v>56.663172743618794</v>
      </c>
      <c r="S102" s="21">
        <f t="shared" si="26"/>
        <v>1.6968344136595699</v>
      </c>
      <c r="T102" s="19"/>
      <c r="U102" s="25">
        <f t="shared" si="48"/>
        <v>2890.8499999999967</v>
      </c>
      <c r="V102" s="21">
        <f t="shared" si="27"/>
        <v>43.148650112391472</v>
      </c>
      <c r="W102" s="21">
        <f t="shared" si="28"/>
        <v>109.30208996141383</v>
      </c>
      <c r="X102" s="21">
        <f t="shared" si="29"/>
        <v>21.574325056195736</v>
      </c>
      <c r="Y102" s="27"/>
      <c r="Z102" s="48">
        <f t="shared" si="43"/>
        <v>47088</v>
      </c>
      <c r="AA102" s="21">
        <f t="shared" ca="1" si="30"/>
        <v>8.7638145116251991</v>
      </c>
      <c r="AB102" s="21">
        <f t="shared" ca="1" si="31"/>
        <v>47.395316445772899</v>
      </c>
      <c r="AC102" s="21">
        <f t="shared" ca="1" si="32"/>
        <v>0.72780939528558752</v>
      </c>
      <c r="AD102" s="21">
        <f t="shared" ca="1" si="33"/>
        <v>7.109297466865935</v>
      </c>
      <c r="AE102" s="116">
        <f t="shared" ca="1" si="34"/>
        <v>271.67824986038119</v>
      </c>
      <c r="AF102" s="21">
        <f t="shared" ca="1" si="35"/>
        <v>1469.2548098189598</v>
      </c>
      <c r="AG102" s="21">
        <f t="shared" ca="1" si="36"/>
        <v>22.562091253853215</v>
      </c>
      <c r="AH102" s="21">
        <f t="shared" ca="1" si="37"/>
        <v>220.38822147284398</v>
      </c>
      <c r="AI102" s="47">
        <f t="shared" ca="1" si="44"/>
        <v>5408.069326764391</v>
      </c>
      <c r="AJ102" s="57">
        <f t="shared" ca="1" si="45"/>
        <v>7.6679122816452353E-2</v>
      </c>
      <c r="AK102" s="21">
        <f t="shared" ca="1" si="46"/>
        <v>184.90887220158712</v>
      </c>
      <c r="AL102" s="21">
        <f t="shared" ca="1" si="38"/>
        <v>150.00000000000003</v>
      </c>
    </row>
    <row r="103" spans="2:38" x14ac:dyDescent="0.25">
      <c r="B103" s="19"/>
      <c r="C103" s="19"/>
      <c r="D103" s="19"/>
      <c r="E103" s="19"/>
      <c r="F103" s="19"/>
      <c r="G103" s="19"/>
      <c r="H103" s="43">
        <f t="shared" si="47"/>
        <v>47119</v>
      </c>
      <c r="I103" s="264">
        <v>0</v>
      </c>
      <c r="J103" s="64">
        <f t="shared" ca="1" si="39"/>
        <v>0</v>
      </c>
      <c r="K103" s="19">
        <f ca="1">SUMPRODUCT(V$7:V103,OFFSET($J$366,ROW($I$7)-ROW(),0):$J$366)</f>
        <v>0</v>
      </c>
      <c r="L103" s="19">
        <f ca="1">SUMPRODUCT(W$7:W103,OFFSET($J$366,ROW($I$7)-ROW(),0):$J$366)</f>
        <v>0</v>
      </c>
      <c r="M103" s="19">
        <f ca="1">SUMPRODUCT(X$7:X103,OFFSET($J$366,ROW($I$7)-ROW(),0):$J$366)</f>
        <v>0</v>
      </c>
      <c r="N103" s="19"/>
      <c r="O103" s="43">
        <f t="shared" si="40"/>
        <v>46388</v>
      </c>
      <c r="P103" s="24">
        <f t="shared" si="41"/>
        <v>2922</v>
      </c>
      <c r="Q103" s="19">
        <f t="shared" si="42"/>
        <v>10.639908577933891</v>
      </c>
      <c r="R103" s="19">
        <f t="shared" si="25"/>
        <v>56.197154938381459</v>
      </c>
      <c r="S103" s="19">
        <f t="shared" si="26"/>
        <v>1.6368837958394042</v>
      </c>
      <c r="T103" s="19"/>
      <c r="U103" s="24">
        <f t="shared" si="48"/>
        <v>2921.2799999999966</v>
      </c>
      <c r="V103" s="19">
        <f t="shared" si="27"/>
        <v>42.844162629310802</v>
      </c>
      <c r="W103" s="19">
        <f t="shared" si="28"/>
        <v>108.64643294652564</v>
      </c>
      <c r="X103" s="19">
        <f t="shared" si="29"/>
        <v>21.422081314655401</v>
      </c>
      <c r="Y103" s="27"/>
      <c r="Z103" s="42">
        <f t="shared" si="43"/>
        <v>47119</v>
      </c>
      <c r="AA103" s="19">
        <f t="shared" ca="1" si="30"/>
        <v>8.6959105005649686</v>
      </c>
      <c r="AB103" s="19">
        <f t="shared" ca="1" si="31"/>
        <v>47.06883674396498</v>
      </c>
      <c r="AC103" s="19">
        <f t="shared" ca="1" si="32"/>
        <v>0.70220192359095168</v>
      </c>
      <c r="AD103" s="19">
        <f t="shared" ca="1" si="33"/>
        <v>7.0603255115947476</v>
      </c>
      <c r="AE103" s="115">
        <f t="shared" ca="1" si="34"/>
        <v>269.573225517514</v>
      </c>
      <c r="AF103" s="19">
        <f t="shared" ca="1" si="35"/>
        <v>1459.1339390629144</v>
      </c>
      <c r="AG103" s="19">
        <f t="shared" ca="1" si="36"/>
        <v>21.768259631319502</v>
      </c>
      <c r="AH103" s="19">
        <f t="shared" ca="1" si="37"/>
        <v>218.87009085943717</v>
      </c>
      <c r="AI103" s="46">
        <f t="shared" ca="1" si="44"/>
        <v>5412.7554257724869</v>
      </c>
      <c r="AJ103" s="55">
        <f t="shared" ca="1" si="45"/>
        <v>7.4717335981860117E-2</v>
      </c>
      <c r="AK103" s="19">
        <f t="shared" ca="1" si="46"/>
        <v>184.74878714056877</v>
      </c>
      <c r="AL103" s="19">
        <f t="shared" ca="1" si="38"/>
        <v>150</v>
      </c>
    </row>
    <row r="104" spans="2:38" x14ac:dyDescent="0.25">
      <c r="B104" s="19"/>
      <c r="C104" s="19"/>
      <c r="D104" s="19"/>
      <c r="E104" s="19"/>
      <c r="F104" s="19"/>
      <c r="G104" s="19"/>
      <c r="H104" s="43">
        <f t="shared" si="47"/>
        <v>47150</v>
      </c>
      <c r="I104" s="264">
        <v>0</v>
      </c>
      <c r="J104" s="64">
        <f t="shared" ca="1" si="39"/>
        <v>0</v>
      </c>
      <c r="K104" s="19">
        <f ca="1">SUMPRODUCT(V$7:V104,OFFSET($J$366,ROW($I$7)-ROW(),0):$J$366)</f>
        <v>0</v>
      </c>
      <c r="L104" s="19">
        <f ca="1">SUMPRODUCT(W$7:W104,OFFSET($J$366,ROW($I$7)-ROW(),0):$J$366)</f>
        <v>0</v>
      </c>
      <c r="M104" s="19">
        <f ca="1">SUMPRODUCT(X$7:X104,OFFSET($J$366,ROW($I$7)-ROW(),0):$J$366)</f>
        <v>0</v>
      </c>
      <c r="N104" s="19"/>
      <c r="O104" s="43">
        <f t="shared" si="40"/>
        <v>46419</v>
      </c>
      <c r="P104" s="24">
        <f t="shared" si="41"/>
        <v>2953</v>
      </c>
      <c r="Q104" s="19">
        <f t="shared" si="42"/>
        <v>10.539985660248066</v>
      </c>
      <c r="R104" s="19">
        <f t="shared" si="25"/>
        <v>55.738739992302882</v>
      </c>
      <c r="S104" s="19">
        <f t="shared" si="26"/>
        <v>1.579061498314863</v>
      </c>
      <c r="T104" s="19"/>
      <c r="U104" s="24">
        <f t="shared" si="48"/>
        <v>2951.7099999999964</v>
      </c>
      <c r="V104" s="19">
        <f t="shared" si="27"/>
        <v>42.541823825901709</v>
      </c>
      <c r="W104" s="19">
        <f t="shared" si="28"/>
        <v>107.99859504639733</v>
      </c>
      <c r="X104" s="19">
        <f t="shared" si="29"/>
        <v>21.270911912950854</v>
      </c>
      <c r="Y104" s="27"/>
      <c r="Z104" s="42">
        <f t="shared" si="43"/>
        <v>47150</v>
      </c>
      <c r="AA104" s="19">
        <f t="shared" ca="1" si="30"/>
        <v>8.629050670137584</v>
      </c>
      <c r="AB104" s="19">
        <f t="shared" ca="1" si="31"/>
        <v>46.746824141231151</v>
      </c>
      <c r="AC104" s="19">
        <f t="shared" ca="1" si="32"/>
        <v>0.67749977830495312</v>
      </c>
      <c r="AD104" s="19">
        <f t="shared" ca="1" si="33"/>
        <v>7.0120236211846727</v>
      </c>
      <c r="AE104" s="115">
        <f t="shared" ca="1" si="34"/>
        <v>241.61341876385234</v>
      </c>
      <c r="AF104" s="19">
        <f t="shared" ca="1" si="35"/>
        <v>1308.9110759544722</v>
      </c>
      <c r="AG104" s="19">
        <f t="shared" ca="1" si="36"/>
        <v>18.969993792538688</v>
      </c>
      <c r="AH104" s="19">
        <f t="shared" ca="1" si="37"/>
        <v>196.33666139317083</v>
      </c>
      <c r="AI104" s="46">
        <f t="shared" ca="1" si="44"/>
        <v>5417.3774066488131</v>
      </c>
      <c r="AJ104" s="55">
        <f t="shared" ca="1" si="45"/>
        <v>7.2798163192499932E-2</v>
      </c>
      <c r="AK104" s="19">
        <f t="shared" ca="1" si="46"/>
        <v>184.59116375622781</v>
      </c>
      <c r="AL104" s="19">
        <f t="shared" ca="1" si="38"/>
        <v>150</v>
      </c>
    </row>
    <row r="105" spans="2:38" x14ac:dyDescent="0.25">
      <c r="B105" s="19"/>
      <c r="C105" s="19"/>
      <c r="D105" s="19"/>
      <c r="E105" s="19"/>
      <c r="F105" s="19"/>
      <c r="G105" s="19"/>
      <c r="H105" s="43">
        <f t="shared" si="47"/>
        <v>47178</v>
      </c>
      <c r="I105" s="264">
        <v>0</v>
      </c>
      <c r="J105" s="64">
        <f t="shared" ca="1" si="39"/>
        <v>0</v>
      </c>
      <c r="K105" s="19">
        <f ca="1">SUMPRODUCT(V$7:V105,OFFSET($J$366,ROW($I$7)-ROW(),0):$J$366)</f>
        <v>0</v>
      </c>
      <c r="L105" s="19">
        <f ca="1">SUMPRODUCT(W$7:W105,OFFSET($J$366,ROW($I$7)-ROW(),0):$J$366)</f>
        <v>0</v>
      </c>
      <c r="M105" s="19">
        <f ca="1">SUMPRODUCT(X$7:X105,OFFSET($J$366,ROW($I$7)-ROW(),0):$J$366)</f>
        <v>0</v>
      </c>
      <c r="N105" s="19"/>
      <c r="O105" s="43">
        <f t="shared" si="40"/>
        <v>46447</v>
      </c>
      <c r="P105" s="24">
        <f t="shared" si="41"/>
        <v>2981</v>
      </c>
      <c r="Q105" s="19">
        <f t="shared" si="42"/>
        <v>10.451332299440182</v>
      </c>
      <c r="R105" s="19">
        <f t="shared" si="25"/>
        <v>55.331068974431858</v>
      </c>
      <c r="S105" s="19">
        <f t="shared" si="26"/>
        <v>1.5286010382722428</v>
      </c>
      <c r="T105" s="19"/>
      <c r="U105" s="24">
        <f t="shared" si="48"/>
        <v>2982.1399999999962</v>
      </c>
      <c r="V105" s="19">
        <f t="shared" si="27"/>
        <v>42.270577838048574</v>
      </c>
      <c r="W105" s="19">
        <f t="shared" si="28"/>
        <v>107.42005611126174</v>
      </c>
      <c r="X105" s="19">
        <f t="shared" si="29"/>
        <v>21.135288919024287</v>
      </c>
      <c r="Y105" s="27"/>
      <c r="Z105" s="42">
        <f t="shared" si="43"/>
        <v>47178</v>
      </c>
      <c r="AA105" s="19">
        <f t="shared" ca="1" si="30"/>
        <v>8.5695387457766223</v>
      </c>
      <c r="AB105" s="19">
        <f t="shared" ca="1" si="31"/>
        <v>46.459737822732762</v>
      </c>
      <c r="AC105" s="19">
        <f t="shared" ca="1" si="32"/>
        <v>0.65593953637100466</v>
      </c>
      <c r="AD105" s="19">
        <f t="shared" ca="1" si="33"/>
        <v>6.9689606734099145</v>
      </c>
      <c r="AE105" s="115">
        <f t="shared" ca="1" si="34"/>
        <v>265.65570111907527</v>
      </c>
      <c r="AF105" s="19">
        <f t="shared" ca="1" si="35"/>
        <v>1440.2518725047157</v>
      </c>
      <c r="AG105" s="19">
        <f t="shared" ca="1" si="36"/>
        <v>20.334125627501145</v>
      </c>
      <c r="AH105" s="19">
        <f t="shared" ca="1" si="37"/>
        <v>216.03778087570734</v>
      </c>
      <c r="AI105" s="46">
        <f t="shared" ca="1" si="44"/>
        <v>5421.4980760346989</v>
      </c>
      <c r="AJ105" s="55">
        <f t="shared" ca="1" si="45"/>
        <v>7.1100870470891905E-2</v>
      </c>
      <c r="AK105" s="19">
        <f t="shared" ca="1" si="46"/>
        <v>184.45086320705718</v>
      </c>
      <c r="AL105" s="19">
        <f t="shared" ca="1" si="38"/>
        <v>149.99999999999997</v>
      </c>
    </row>
    <row r="106" spans="2:38" x14ac:dyDescent="0.25">
      <c r="B106" s="19"/>
      <c r="C106" s="19"/>
      <c r="D106" s="19"/>
      <c r="E106" s="19"/>
      <c r="F106" s="19"/>
      <c r="G106" s="19"/>
      <c r="H106" s="43">
        <f t="shared" si="47"/>
        <v>47209</v>
      </c>
      <c r="I106" s="264">
        <v>0</v>
      </c>
      <c r="J106" s="64">
        <f t="shared" ca="1" si="39"/>
        <v>0</v>
      </c>
      <c r="K106" s="19">
        <f ca="1">SUMPRODUCT(V$7:V106,OFFSET($J$366,ROW($I$7)-ROW(),0):$J$366)</f>
        <v>0</v>
      </c>
      <c r="L106" s="19">
        <f ca="1">SUMPRODUCT(W$7:W106,OFFSET($J$366,ROW($I$7)-ROW(),0):$J$366)</f>
        <v>0</v>
      </c>
      <c r="M106" s="19">
        <f ca="1">SUMPRODUCT(X$7:X106,OFFSET($J$366,ROW($I$7)-ROW(),0):$J$366)</f>
        <v>0</v>
      </c>
      <c r="N106" s="19"/>
      <c r="O106" s="43">
        <f t="shared" si="40"/>
        <v>46478</v>
      </c>
      <c r="P106" s="24">
        <f t="shared" si="41"/>
        <v>3012</v>
      </c>
      <c r="Q106" s="19">
        <f t="shared" si="42"/>
        <v>10.354903908549488</v>
      </c>
      <c r="R106" s="19">
        <f t="shared" si="25"/>
        <v>54.886619053970058</v>
      </c>
      <c r="S106" s="19">
        <f t="shared" si="26"/>
        <v>1.4746219312934663</v>
      </c>
      <c r="T106" s="19"/>
      <c r="U106" s="24">
        <f t="shared" si="48"/>
        <v>3012.5699999999961</v>
      </c>
      <c r="V106" s="19">
        <f t="shared" si="27"/>
        <v>41.972286655804226</v>
      </c>
      <c r="W106" s="19">
        <f t="shared" si="28"/>
        <v>106.78671834060621</v>
      </c>
      <c r="X106" s="19">
        <f t="shared" si="29"/>
        <v>20.986143327902113</v>
      </c>
      <c r="Y106" s="27"/>
      <c r="Z106" s="42">
        <f t="shared" si="43"/>
        <v>47209</v>
      </c>
      <c r="AA106" s="19">
        <f t="shared" ca="1" si="30"/>
        <v>8.5046007964723653</v>
      </c>
      <c r="AB106" s="19">
        <f t="shared" ca="1" si="31"/>
        <v>46.145977590306181</v>
      </c>
      <c r="AC106" s="19">
        <f t="shared" ca="1" si="32"/>
        <v>0.6328725360834383</v>
      </c>
      <c r="AD106" s="19">
        <f t="shared" ca="1" si="33"/>
        <v>6.9218966385459275</v>
      </c>
      <c r="AE106" s="115">
        <f t="shared" ca="1" si="34"/>
        <v>255.13802389417097</v>
      </c>
      <c r="AF106" s="19">
        <f t="shared" ca="1" si="35"/>
        <v>1384.3793277091854</v>
      </c>
      <c r="AG106" s="19">
        <f t="shared" ca="1" si="36"/>
        <v>18.98617608250315</v>
      </c>
      <c r="AH106" s="19">
        <f t="shared" ca="1" si="37"/>
        <v>207.65689915637782</v>
      </c>
      <c r="AI106" s="46">
        <f t="shared" ca="1" si="44"/>
        <v>5426.001607206199</v>
      </c>
      <c r="AJ106" s="55">
        <f t="shared" ca="1" si="45"/>
        <v>6.9261218397057719E-2</v>
      </c>
      <c r="AK106" s="19">
        <f t="shared" ca="1" si="46"/>
        <v>184.29777069581283</v>
      </c>
      <c r="AL106" s="19">
        <f t="shared" ca="1" si="38"/>
        <v>150</v>
      </c>
    </row>
    <row r="107" spans="2:38" x14ac:dyDescent="0.25">
      <c r="B107" s="19"/>
      <c r="C107" s="19"/>
      <c r="D107" s="19"/>
      <c r="E107" s="19"/>
      <c r="F107" s="19"/>
      <c r="G107" s="19"/>
      <c r="H107" s="43">
        <f t="shared" si="47"/>
        <v>47239</v>
      </c>
      <c r="I107" s="264">
        <v>0</v>
      </c>
      <c r="J107" s="64">
        <f t="shared" ca="1" si="39"/>
        <v>0</v>
      </c>
      <c r="K107" s="19">
        <f ca="1">SUMPRODUCT(V$7:V107,OFFSET($J$366,ROW($I$7)-ROW(),0):$J$366)</f>
        <v>0</v>
      </c>
      <c r="L107" s="19">
        <f ca="1">SUMPRODUCT(W$7:W107,OFFSET($J$366,ROW($I$7)-ROW(),0):$J$366)</f>
        <v>0</v>
      </c>
      <c r="M107" s="19">
        <f ca="1">SUMPRODUCT(X$7:X107,OFFSET($J$366,ROW($I$7)-ROW(),0):$J$366)</f>
        <v>0</v>
      </c>
      <c r="N107" s="19"/>
      <c r="O107" s="43">
        <f t="shared" si="40"/>
        <v>46508</v>
      </c>
      <c r="P107" s="24">
        <f t="shared" si="41"/>
        <v>3042</v>
      </c>
      <c r="Q107" s="19">
        <f t="shared" si="42"/>
        <v>10.263265322291632</v>
      </c>
      <c r="R107" s="19">
        <f t="shared" si="25"/>
        <v>54.463252151001996</v>
      </c>
      <c r="S107" s="19">
        <f t="shared" si="26"/>
        <v>1.4242084525227905</v>
      </c>
      <c r="T107" s="19"/>
      <c r="U107" s="24">
        <f t="shared" si="48"/>
        <v>3042.9999999999959</v>
      </c>
      <c r="V107" s="19">
        <f t="shared" si="27"/>
        <v>41.685622118860145</v>
      </c>
      <c r="W107" s="19">
        <f t="shared" si="28"/>
        <v>106.1808811914067</v>
      </c>
      <c r="X107" s="19">
        <f t="shared" si="29"/>
        <v>20.842811059430073</v>
      </c>
      <c r="Y107" s="27"/>
      <c r="Z107" s="42">
        <f t="shared" si="43"/>
        <v>47239</v>
      </c>
      <c r="AA107" s="19">
        <f t="shared" ca="1" si="30"/>
        <v>8.4426878579805127</v>
      </c>
      <c r="AB107" s="19">
        <f t="shared" ca="1" si="31"/>
        <v>45.846347485649737</v>
      </c>
      <c r="AC107" s="19">
        <f t="shared" ca="1" si="32"/>
        <v>0.61132601008643539</v>
      </c>
      <c r="AD107" s="19">
        <f t="shared" ca="1" si="33"/>
        <v>6.8769521228474604</v>
      </c>
      <c r="AE107" s="115">
        <f t="shared" ca="1" si="34"/>
        <v>261.7233235973959</v>
      </c>
      <c r="AF107" s="19">
        <f t="shared" ca="1" si="35"/>
        <v>1421.236772055142</v>
      </c>
      <c r="AG107" s="19">
        <f t="shared" ca="1" si="36"/>
        <v>18.951106312679496</v>
      </c>
      <c r="AH107" s="19">
        <f t="shared" ca="1" si="37"/>
        <v>213.18551580827128</v>
      </c>
      <c r="AI107" s="46">
        <f t="shared" ca="1" si="44"/>
        <v>5430.3023227742742</v>
      </c>
      <c r="AJ107" s="55">
        <f t="shared" ca="1" si="45"/>
        <v>6.7519888857532184E-2</v>
      </c>
      <c r="AK107" s="19">
        <f t="shared" ca="1" si="46"/>
        <v>184.15180970791926</v>
      </c>
      <c r="AL107" s="19">
        <f t="shared" ca="1" si="38"/>
        <v>149.99999999999997</v>
      </c>
    </row>
    <row r="108" spans="2:38" x14ac:dyDescent="0.25">
      <c r="B108" s="19"/>
      <c r="C108" s="19"/>
      <c r="D108" s="19"/>
      <c r="E108" s="19"/>
      <c r="F108" s="19"/>
      <c r="G108" s="19"/>
      <c r="H108" s="43">
        <f t="shared" si="47"/>
        <v>47270</v>
      </c>
      <c r="I108" s="264">
        <v>0</v>
      </c>
      <c r="J108" s="64">
        <f t="shared" ca="1" si="39"/>
        <v>0</v>
      </c>
      <c r="K108" s="19">
        <f ca="1">SUMPRODUCT(V$7:V108,OFFSET($J$366,ROW($I$7)-ROW(),0):$J$366)</f>
        <v>0</v>
      </c>
      <c r="L108" s="19">
        <f ca="1">SUMPRODUCT(W$7:W108,OFFSET($J$366,ROW($I$7)-ROW(),0):$J$366)</f>
        <v>0</v>
      </c>
      <c r="M108" s="19">
        <f ca="1">SUMPRODUCT(X$7:X108,OFFSET($J$366,ROW($I$7)-ROW(),0):$J$366)</f>
        <v>0</v>
      </c>
      <c r="N108" s="19"/>
      <c r="O108" s="43">
        <f t="shared" si="40"/>
        <v>46539</v>
      </c>
      <c r="P108" s="24">
        <f t="shared" si="41"/>
        <v>3073</v>
      </c>
      <c r="Q108" s="19">
        <f t="shared" si="42"/>
        <v>10.170260636588774</v>
      </c>
      <c r="R108" s="19">
        <f t="shared" si="25"/>
        <v>54.032580217507885</v>
      </c>
      <c r="S108" s="19">
        <f t="shared" si="26"/>
        <v>1.373933200217661</v>
      </c>
      <c r="T108" s="19"/>
      <c r="U108" s="24">
        <f t="shared" si="48"/>
        <v>3073.4299999999957</v>
      </c>
      <c r="V108" s="19">
        <f t="shared" si="27"/>
        <v>41.391458799114048</v>
      </c>
      <c r="W108" s="19">
        <f t="shared" si="28"/>
        <v>105.56202914884673</v>
      </c>
      <c r="X108" s="19">
        <f t="shared" si="29"/>
        <v>20.695729399557024</v>
      </c>
      <c r="Y108" s="27"/>
      <c r="Z108" s="42">
        <f t="shared" si="43"/>
        <v>47270</v>
      </c>
      <c r="AA108" s="19">
        <f t="shared" ca="1" si="30"/>
        <v>8.3796511013482604</v>
      </c>
      <c r="AB108" s="19">
        <f t="shared" ca="1" si="31"/>
        <v>45.540790232961768</v>
      </c>
      <c r="AC108" s="19">
        <f t="shared" ca="1" si="32"/>
        <v>0.58983533954111511</v>
      </c>
      <c r="AD108" s="19">
        <f t="shared" ca="1" si="33"/>
        <v>6.8311185349442649</v>
      </c>
      <c r="AE108" s="115">
        <f t="shared" ca="1" si="34"/>
        <v>251.38953304044782</v>
      </c>
      <c r="AF108" s="19">
        <f t="shared" ca="1" si="35"/>
        <v>1366.2237069888531</v>
      </c>
      <c r="AG108" s="19">
        <f t="shared" ca="1" si="36"/>
        <v>17.695060186233455</v>
      </c>
      <c r="AH108" s="19">
        <f t="shared" ca="1" si="37"/>
        <v>204.93355604832794</v>
      </c>
      <c r="AI108" s="46">
        <f t="shared" ca="1" si="44"/>
        <v>5434.6881131643286</v>
      </c>
      <c r="AJ108" s="55">
        <f t="shared" ca="1" si="45"/>
        <v>6.5760213076661911E-2</v>
      </c>
      <c r="AK108" s="19">
        <f t="shared" ca="1" si="46"/>
        <v>184.0031992963352</v>
      </c>
      <c r="AL108" s="19">
        <f t="shared" ca="1" si="38"/>
        <v>149.99999999999997</v>
      </c>
    </row>
    <row r="109" spans="2:38" x14ac:dyDescent="0.25">
      <c r="B109" s="19"/>
      <c r="C109" s="19"/>
      <c r="D109" s="19"/>
      <c r="E109" s="19"/>
      <c r="F109" s="19"/>
      <c r="G109" s="19"/>
      <c r="H109" s="43">
        <f t="shared" si="47"/>
        <v>47300</v>
      </c>
      <c r="I109" s="264">
        <v>0</v>
      </c>
      <c r="J109" s="64">
        <f t="shared" ca="1" si="39"/>
        <v>0</v>
      </c>
      <c r="K109" s="19">
        <f ca="1">SUMPRODUCT(V$7:V109,OFFSET($J$366,ROW($I$7)-ROW(),0):$J$366)</f>
        <v>0</v>
      </c>
      <c r="L109" s="19">
        <f ca="1">SUMPRODUCT(W$7:W109,OFFSET($J$366,ROW($I$7)-ROW(),0):$J$366)</f>
        <v>0</v>
      </c>
      <c r="M109" s="19">
        <f ca="1">SUMPRODUCT(X$7:X109,OFFSET($J$366,ROW($I$7)-ROW(),0):$J$366)</f>
        <v>0</v>
      </c>
      <c r="N109" s="19"/>
      <c r="O109" s="43">
        <f t="shared" si="40"/>
        <v>46569</v>
      </c>
      <c r="P109" s="24">
        <f t="shared" si="41"/>
        <v>3103</v>
      </c>
      <c r="Q109" s="19">
        <f t="shared" si="42"/>
        <v>10.081847064111948</v>
      </c>
      <c r="R109" s="19">
        <f t="shared" si="25"/>
        <v>53.622236785584548</v>
      </c>
      <c r="S109" s="19">
        <f t="shared" si="26"/>
        <v>1.3269783251643683</v>
      </c>
      <c r="T109" s="19"/>
      <c r="U109" s="24">
        <f t="shared" si="48"/>
        <v>3103.8599999999956</v>
      </c>
      <c r="V109" s="19">
        <f t="shared" si="27"/>
        <v>41.1087612308974</v>
      </c>
      <c r="W109" s="19">
        <f t="shared" si="28"/>
        <v>104.96996994445686</v>
      </c>
      <c r="X109" s="19">
        <f t="shared" si="29"/>
        <v>20.5543806154487</v>
      </c>
      <c r="Y109" s="27"/>
      <c r="Z109" s="42">
        <f t="shared" si="43"/>
        <v>47300</v>
      </c>
      <c r="AA109" s="19">
        <f t="shared" ca="1" si="30"/>
        <v>8.3195376203191529</v>
      </c>
      <c r="AB109" s="19">
        <f t="shared" ca="1" si="31"/>
        <v>45.248942816837967</v>
      </c>
      <c r="AC109" s="19">
        <f t="shared" ca="1" si="32"/>
        <v>0.56976098842225087</v>
      </c>
      <c r="AD109" s="19">
        <f t="shared" ca="1" si="33"/>
        <v>6.7873414225256949</v>
      </c>
      <c r="AE109" s="115">
        <f t="shared" ca="1" si="34"/>
        <v>257.90566622989377</v>
      </c>
      <c r="AF109" s="19">
        <f t="shared" ca="1" si="35"/>
        <v>1402.7172273219769</v>
      </c>
      <c r="AG109" s="19">
        <f t="shared" ca="1" si="36"/>
        <v>17.662590641089778</v>
      </c>
      <c r="AH109" s="19">
        <f t="shared" ca="1" si="37"/>
        <v>210.40758409829655</v>
      </c>
      <c r="AI109" s="46">
        <f t="shared" ca="1" si="44"/>
        <v>5438.8771205655212</v>
      </c>
      <c r="AJ109" s="55">
        <f t="shared" ca="1" si="45"/>
        <v>6.409515682845543E-2</v>
      </c>
      <c r="AK109" s="19">
        <f t="shared" ca="1" si="46"/>
        <v>183.8614805653161</v>
      </c>
      <c r="AL109" s="19">
        <f t="shared" ca="1" si="38"/>
        <v>150</v>
      </c>
    </row>
    <row r="110" spans="2:38" x14ac:dyDescent="0.25">
      <c r="B110" s="19"/>
      <c r="C110" s="19"/>
      <c r="D110" s="19"/>
      <c r="E110" s="19"/>
      <c r="F110" s="19"/>
      <c r="G110" s="19"/>
      <c r="H110" s="43">
        <f t="shared" si="47"/>
        <v>47331</v>
      </c>
      <c r="I110" s="264">
        <v>0</v>
      </c>
      <c r="J110" s="64">
        <f t="shared" ca="1" si="39"/>
        <v>0</v>
      </c>
      <c r="K110" s="19">
        <f ca="1">SUMPRODUCT(V$7:V110,OFFSET($J$366,ROW($I$7)-ROW(),0):$J$366)</f>
        <v>0</v>
      </c>
      <c r="L110" s="19">
        <f ca="1">SUMPRODUCT(W$7:W110,OFFSET($J$366,ROW($I$7)-ROW(),0):$J$366)</f>
        <v>0</v>
      </c>
      <c r="M110" s="19">
        <f ca="1">SUMPRODUCT(X$7:X110,OFFSET($J$366,ROW($I$7)-ROW(),0):$J$366)</f>
        <v>0</v>
      </c>
      <c r="N110" s="19"/>
      <c r="O110" s="43">
        <f t="shared" si="40"/>
        <v>46600</v>
      </c>
      <c r="P110" s="24">
        <f t="shared" si="41"/>
        <v>3134</v>
      </c>
      <c r="Q110" s="19">
        <f t="shared" si="42"/>
        <v>9.992086928698777</v>
      </c>
      <c r="R110" s="19">
        <f t="shared" si="25"/>
        <v>53.204711948878604</v>
      </c>
      <c r="S110" s="19">
        <f t="shared" si="26"/>
        <v>1.2801516054260333</v>
      </c>
      <c r="T110" s="19"/>
      <c r="U110" s="24">
        <f t="shared" si="48"/>
        <v>3134.2899999999954</v>
      </c>
      <c r="V110" s="19">
        <f t="shared" si="27"/>
        <v>40.818668650778292</v>
      </c>
      <c r="W110" s="19">
        <f t="shared" si="28"/>
        <v>104.36511227578355</v>
      </c>
      <c r="X110" s="19">
        <f t="shared" si="29"/>
        <v>20.409334325389146</v>
      </c>
      <c r="Y110" s="27"/>
      <c r="Z110" s="42">
        <f t="shared" si="43"/>
        <v>47331</v>
      </c>
      <c r="AA110" s="19">
        <f t="shared" ca="1" si="30"/>
        <v>8.258319769967855</v>
      </c>
      <c r="AB110" s="19">
        <f t="shared" ca="1" si="31"/>
        <v>44.951271008717349</v>
      </c>
      <c r="AC110" s="19">
        <f t="shared" ca="1" si="32"/>
        <v>0.54973842703654419</v>
      </c>
      <c r="AD110" s="19">
        <f t="shared" ca="1" si="33"/>
        <v>6.7426906513076021</v>
      </c>
      <c r="AE110" s="115">
        <f t="shared" ca="1" si="34"/>
        <v>256.00791286900352</v>
      </c>
      <c r="AF110" s="19">
        <f t="shared" ca="1" si="35"/>
        <v>1393.4894012702377</v>
      </c>
      <c r="AG110" s="19">
        <f t="shared" ca="1" si="36"/>
        <v>17.04189123813287</v>
      </c>
      <c r="AH110" s="19">
        <f t="shared" ca="1" si="37"/>
        <v>209.02341019053566</v>
      </c>
      <c r="AI110" s="46">
        <f t="shared" ca="1" si="44"/>
        <v>5443.1497278885718</v>
      </c>
      <c r="AJ110" s="55">
        <f t="shared" ca="1" si="45"/>
        <v>6.2413123839657303E-2</v>
      </c>
      <c r="AK110" s="19">
        <f t="shared" ca="1" si="46"/>
        <v>183.71715826158351</v>
      </c>
      <c r="AL110" s="19">
        <f t="shared" ca="1" si="38"/>
        <v>150</v>
      </c>
    </row>
    <row r="111" spans="2:38" x14ac:dyDescent="0.25">
      <c r="B111" s="19"/>
      <c r="C111" s="19"/>
      <c r="D111" s="19"/>
      <c r="E111" s="19"/>
      <c r="F111" s="19"/>
      <c r="G111" s="19"/>
      <c r="H111" s="43">
        <f t="shared" si="47"/>
        <v>47362</v>
      </c>
      <c r="I111" s="264">
        <v>0</v>
      </c>
      <c r="J111" s="64">
        <f t="shared" ca="1" si="39"/>
        <v>0</v>
      </c>
      <c r="K111" s="19">
        <f ca="1">SUMPRODUCT(V$7:V111,OFFSET($J$366,ROW($I$7)-ROW(),0):$J$366)</f>
        <v>0</v>
      </c>
      <c r="L111" s="19">
        <f ca="1">SUMPRODUCT(W$7:W111,OFFSET($J$366,ROW($I$7)-ROW(),0):$J$366)</f>
        <v>0</v>
      </c>
      <c r="M111" s="19">
        <f ca="1">SUMPRODUCT(X$7:X111,OFFSET($J$366,ROW($I$7)-ROW(),0):$J$366)</f>
        <v>0</v>
      </c>
      <c r="N111" s="19"/>
      <c r="O111" s="43">
        <f t="shared" si="40"/>
        <v>46631</v>
      </c>
      <c r="P111" s="24">
        <f t="shared" si="41"/>
        <v>3165</v>
      </c>
      <c r="Q111" s="19">
        <f t="shared" si="42"/>
        <v>9.9039109838174202</v>
      </c>
      <c r="R111" s="19">
        <f t="shared" si="25"/>
        <v>52.793638916697084</v>
      </c>
      <c r="S111" s="19">
        <f t="shared" si="26"/>
        <v>1.2349852862048216</v>
      </c>
      <c r="T111" s="19"/>
      <c r="U111" s="24">
        <f t="shared" si="48"/>
        <v>3164.7199999999953</v>
      </c>
      <c r="V111" s="19">
        <f t="shared" si="27"/>
        <v>40.530623169684311</v>
      </c>
      <c r="W111" s="19">
        <f t="shared" si="28"/>
        <v>103.76718528950155</v>
      </c>
      <c r="X111" s="19">
        <f t="shared" si="29"/>
        <v>20.265311584842156</v>
      </c>
      <c r="Y111" s="27"/>
      <c r="Z111" s="42">
        <f t="shared" si="43"/>
        <v>47362</v>
      </c>
      <c r="AA111" s="19">
        <f t="shared" ca="1" si="30"/>
        <v>8.1979962602794618</v>
      </c>
      <c r="AB111" s="19">
        <f t="shared" ca="1" si="31"/>
        <v>44.657490093743434</v>
      </c>
      <c r="AC111" s="19">
        <f t="shared" ca="1" si="32"/>
        <v>0.5304228928057233</v>
      </c>
      <c r="AD111" s="19">
        <f t="shared" ca="1" si="33"/>
        <v>6.6986235140615147</v>
      </c>
      <c r="AE111" s="115">
        <f t="shared" ca="1" si="34"/>
        <v>245.93988780838384</v>
      </c>
      <c r="AF111" s="19">
        <f t="shared" ca="1" si="35"/>
        <v>1339.7247028123029</v>
      </c>
      <c r="AG111" s="19">
        <f t="shared" ca="1" si="36"/>
        <v>15.912686784171699</v>
      </c>
      <c r="AH111" s="19">
        <f t="shared" ca="1" si="37"/>
        <v>200.95870542184545</v>
      </c>
      <c r="AI111" s="46">
        <f t="shared" ca="1" si="44"/>
        <v>5447.366487603289</v>
      </c>
      <c r="AJ111" s="55">
        <f t="shared" ca="1" si="45"/>
        <v>6.0769640355577761E-2</v>
      </c>
      <c r="AK111" s="19">
        <f t="shared" ca="1" si="46"/>
        <v>183.57494438380922</v>
      </c>
      <c r="AL111" s="19">
        <f t="shared" ca="1" si="38"/>
        <v>150</v>
      </c>
    </row>
    <row r="112" spans="2:38" x14ac:dyDescent="0.25">
      <c r="B112" s="19"/>
      <c r="C112" s="19"/>
      <c r="D112" s="19"/>
      <c r="E112" s="19"/>
      <c r="F112" s="19"/>
      <c r="G112" s="19"/>
      <c r="H112" s="43">
        <f t="shared" si="47"/>
        <v>47392</v>
      </c>
      <c r="I112" s="264">
        <v>0</v>
      </c>
      <c r="J112" s="64">
        <f t="shared" ca="1" si="39"/>
        <v>0</v>
      </c>
      <c r="K112" s="19">
        <f ca="1">SUMPRODUCT(V$7:V112,OFFSET($J$366,ROW($I$7)-ROW(),0):$J$366)</f>
        <v>0</v>
      </c>
      <c r="L112" s="19">
        <f ca="1">SUMPRODUCT(W$7:W112,OFFSET($J$366,ROW($I$7)-ROW(),0):$J$366)</f>
        <v>0</v>
      </c>
      <c r="M112" s="19">
        <f ca="1">SUMPRODUCT(X$7:X112,OFFSET($J$366,ROW($I$7)-ROW(),0):$J$366)</f>
        <v>0</v>
      </c>
      <c r="N112" s="19"/>
      <c r="O112" s="43">
        <f t="shared" si="40"/>
        <v>46661</v>
      </c>
      <c r="P112" s="24">
        <f t="shared" si="41"/>
        <v>3195</v>
      </c>
      <c r="Q112" s="19">
        <f t="shared" si="42"/>
        <v>9.8200486165849004</v>
      </c>
      <c r="R112" s="19">
        <f t="shared" si="25"/>
        <v>52.401829471985124</v>
      </c>
      <c r="S112" s="19">
        <f t="shared" si="26"/>
        <v>1.1928011310151203</v>
      </c>
      <c r="T112" s="19"/>
      <c r="U112" s="24">
        <f t="shared" si="48"/>
        <v>3195.1499999999951</v>
      </c>
      <c r="V112" s="19">
        <f t="shared" si="27"/>
        <v>40.253804982048457</v>
      </c>
      <c r="W112" s="19">
        <f t="shared" si="28"/>
        <v>103.19503362198735</v>
      </c>
      <c r="X112" s="19">
        <f t="shared" si="29"/>
        <v>20.126902491024229</v>
      </c>
      <c r="Y112" s="27"/>
      <c r="Z112" s="42">
        <f t="shared" si="43"/>
        <v>47392</v>
      </c>
      <c r="AA112" s="19">
        <f t="shared" ca="1" si="30"/>
        <v>8.1404518716885157</v>
      </c>
      <c r="AB112" s="19">
        <f t="shared" ca="1" si="31"/>
        <v>44.376819227975609</v>
      </c>
      <c r="AC112" s="19">
        <f t="shared" ca="1" si="32"/>
        <v>0.51237998912425131</v>
      </c>
      <c r="AD112" s="19">
        <f t="shared" ca="1" si="33"/>
        <v>6.6565228841963409</v>
      </c>
      <c r="AE112" s="115">
        <f t="shared" ca="1" si="34"/>
        <v>252.35400802234398</v>
      </c>
      <c r="AF112" s="19">
        <f t="shared" ca="1" si="35"/>
        <v>1375.6813960672439</v>
      </c>
      <c r="AG112" s="19">
        <f t="shared" ca="1" si="36"/>
        <v>15.88377966285179</v>
      </c>
      <c r="AH112" s="19">
        <f t="shared" ca="1" si="37"/>
        <v>206.35220941008657</v>
      </c>
      <c r="AI112" s="46">
        <f t="shared" ca="1" si="44"/>
        <v>5451.3950733266665</v>
      </c>
      <c r="AJ112" s="55">
        <f t="shared" ca="1" si="45"/>
        <v>5.9215294757400158E-2</v>
      </c>
      <c r="AK112" s="19">
        <f t="shared" ca="1" si="46"/>
        <v>183.43928233947625</v>
      </c>
      <c r="AL112" s="19">
        <f t="shared" ca="1" si="38"/>
        <v>150</v>
      </c>
    </row>
    <row r="113" spans="2:38" x14ac:dyDescent="0.25">
      <c r="B113" s="19"/>
      <c r="C113" s="19"/>
      <c r="D113" s="19"/>
      <c r="E113" s="19"/>
      <c r="F113" s="19"/>
      <c r="G113" s="19"/>
      <c r="H113" s="43">
        <f t="shared" si="47"/>
        <v>47423</v>
      </c>
      <c r="I113" s="264">
        <v>0</v>
      </c>
      <c r="J113" s="64">
        <f t="shared" ca="1" si="39"/>
        <v>0</v>
      </c>
      <c r="K113" s="19">
        <f ca="1">SUMPRODUCT(V$7:V113,OFFSET($J$366,ROW($I$7)-ROW(),0):$J$366)</f>
        <v>0</v>
      </c>
      <c r="L113" s="19">
        <f ca="1">SUMPRODUCT(W$7:W113,OFFSET($J$366,ROW($I$7)-ROW(),0):$J$366)</f>
        <v>0</v>
      </c>
      <c r="M113" s="19">
        <f ca="1">SUMPRODUCT(X$7:X113,OFFSET($J$366,ROW($I$7)-ROW(),0):$J$366)</f>
        <v>0</v>
      </c>
      <c r="N113" s="19"/>
      <c r="O113" s="43">
        <f t="shared" si="40"/>
        <v>46692</v>
      </c>
      <c r="P113" s="24">
        <f t="shared" si="41"/>
        <v>3226</v>
      </c>
      <c r="Q113" s="19">
        <f t="shared" si="42"/>
        <v>9.7348699217979835</v>
      </c>
      <c r="R113" s="19">
        <f t="shared" si="25"/>
        <v>52.003022877110944</v>
      </c>
      <c r="S113" s="19">
        <f t="shared" si="26"/>
        <v>1.1507313140356681</v>
      </c>
      <c r="T113" s="19"/>
      <c r="U113" s="24">
        <f t="shared" si="48"/>
        <v>3225.5799999999949</v>
      </c>
      <c r="V113" s="19">
        <f t="shared" si="27"/>
        <v>39.969745579692223</v>
      </c>
      <c r="W113" s="19">
        <f t="shared" si="28"/>
        <v>102.61040111985344</v>
      </c>
      <c r="X113" s="19">
        <f t="shared" si="29"/>
        <v>19.984872789846111</v>
      </c>
      <c r="Y113" s="27"/>
      <c r="Z113" s="42">
        <f t="shared" si="43"/>
        <v>47423</v>
      </c>
      <c r="AA113" s="19">
        <f t="shared" ca="1" si="30"/>
        <v>8.0818319118019133</v>
      </c>
      <c r="AB113" s="19">
        <f t="shared" ca="1" si="31"/>
        <v>44.090475126240072</v>
      </c>
      <c r="AC113" s="19">
        <f t="shared" ca="1" si="32"/>
        <v>0.49438329650328261</v>
      </c>
      <c r="AD113" s="19">
        <f t="shared" ca="1" si="33"/>
        <v>6.6135712689360107</v>
      </c>
      <c r="AE113" s="115">
        <f t="shared" ca="1" si="34"/>
        <v>242.4549573540574</v>
      </c>
      <c r="AF113" s="19">
        <f t="shared" ca="1" si="35"/>
        <v>1322.7142537872021</v>
      </c>
      <c r="AG113" s="19">
        <f t="shared" ca="1" si="36"/>
        <v>14.831498895098479</v>
      </c>
      <c r="AH113" s="19">
        <f t="shared" ca="1" si="37"/>
        <v>198.40713806808031</v>
      </c>
      <c r="AI113" s="46">
        <f t="shared" ca="1" si="44"/>
        <v>5455.5050893665175</v>
      </c>
      <c r="AJ113" s="55">
        <f t="shared" ca="1" si="45"/>
        <v>5.7645859449110194E-2</v>
      </c>
      <c r="AK113" s="19">
        <f t="shared" ca="1" si="46"/>
        <v>183.30108461435199</v>
      </c>
      <c r="AL113" s="19">
        <f t="shared" ca="1" si="38"/>
        <v>150</v>
      </c>
    </row>
    <row r="114" spans="2:38" x14ac:dyDescent="0.25">
      <c r="B114" s="19"/>
      <c r="C114" s="19"/>
      <c r="D114" s="19"/>
      <c r="E114" s="19"/>
      <c r="F114" s="19"/>
      <c r="G114" s="19"/>
      <c r="H114" s="44">
        <f t="shared" si="47"/>
        <v>47453</v>
      </c>
      <c r="I114" s="265">
        <v>0</v>
      </c>
      <c r="J114" s="65">
        <f t="shared" ca="1" si="39"/>
        <v>0</v>
      </c>
      <c r="K114" s="21">
        <f ca="1">SUMPRODUCT(V$7:V114,OFFSET($J$366,ROW($I$7)-ROW(),0):$J$366)</f>
        <v>0</v>
      </c>
      <c r="L114" s="21">
        <f ca="1">SUMPRODUCT(W$7:W114,OFFSET($J$366,ROW($I$7)-ROW(),0):$J$366)</f>
        <v>0</v>
      </c>
      <c r="M114" s="21">
        <f ca="1">SUMPRODUCT(X$7:X114,OFFSET($J$366,ROW($I$7)-ROW(),0):$J$366)</f>
        <v>0</v>
      </c>
      <c r="N114" s="19"/>
      <c r="O114" s="44">
        <f t="shared" si="40"/>
        <v>46722</v>
      </c>
      <c r="P114" s="25">
        <f t="shared" si="41"/>
        <v>3256</v>
      </c>
      <c r="Q114" s="21">
        <f t="shared" si="42"/>
        <v>9.6538341565259262</v>
      </c>
      <c r="R114" s="21">
        <f t="shared" si="25"/>
        <v>51.622818462745641</v>
      </c>
      <c r="S114" s="21">
        <f t="shared" si="26"/>
        <v>1.1114387175437095</v>
      </c>
      <c r="T114" s="19"/>
      <c r="U114" s="25">
        <f t="shared" si="48"/>
        <v>3256.0099999999948</v>
      </c>
      <c r="V114" s="21">
        <f t="shared" si="27"/>
        <v>39.696758103400157</v>
      </c>
      <c r="W114" s="21">
        <f t="shared" si="28"/>
        <v>102.05090051382403</v>
      </c>
      <c r="X114" s="21">
        <f t="shared" si="29"/>
        <v>19.848379051700078</v>
      </c>
      <c r="Y114" s="27"/>
      <c r="Z114" s="48">
        <f t="shared" si="43"/>
        <v>47453</v>
      </c>
      <c r="AA114" s="21">
        <f t="shared" ca="1" si="30"/>
        <v>8.025901196469361</v>
      </c>
      <c r="AB114" s="21">
        <f t="shared" ca="1" si="31"/>
        <v>43.816864519577926</v>
      </c>
      <c r="AC114" s="21">
        <f t="shared" ca="1" si="32"/>
        <v>0.47757213157594347</v>
      </c>
      <c r="AD114" s="21">
        <f t="shared" ca="1" si="33"/>
        <v>6.5725296779366893</v>
      </c>
      <c r="AE114" s="116">
        <f t="shared" ca="1" si="34"/>
        <v>248.80293709055019</v>
      </c>
      <c r="AF114" s="21">
        <f t="shared" ca="1" si="35"/>
        <v>1358.3228001069158</v>
      </c>
      <c r="AG114" s="21">
        <f t="shared" ca="1" si="36"/>
        <v>14.804736078854248</v>
      </c>
      <c r="AH114" s="21">
        <f t="shared" ca="1" si="37"/>
        <v>203.74842001603736</v>
      </c>
      <c r="AI114" s="47">
        <f t="shared" ca="1" si="44"/>
        <v>5459.4323362531813</v>
      </c>
      <c r="AJ114" s="57">
        <f t="shared" ca="1" si="45"/>
        <v>5.6162007353026303E-2</v>
      </c>
      <c r="AK114" s="21">
        <f t="shared" ca="1" si="46"/>
        <v>183.16922683692454</v>
      </c>
      <c r="AL114" s="21">
        <f t="shared" ca="1" si="38"/>
        <v>149.99999999999997</v>
      </c>
    </row>
    <row r="115" spans="2:38" x14ac:dyDescent="0.25">
      <c r="B115" s="19"/>
      <c r="C115" s="19"/>
      <c r="D115" s="19"/>
      <c r="E115" s="19"/>
      <c r="F115" s="19"/>
      <c r="G115" s="19"/>
      <c r="H115" s="43">
        <f t="shared" si="47"/>
        <v>47484</v>
      </c>
      <c r="I115" s="264">
        <v>0</v>
      </c>
      <c r="J115" s="64">
        <f t="shared" ca="1" si="39"/>
        <v>0</v>
      </c>
      <c r="K115" s="19">
        <f ca="1">SUMPRODUCT(V$7:V115,OFFSET($J$366,ROW($I$7)-ROW(),0):$J$366)</f>
        <v>0</v>
      </c>
      <c r="L115" s="19">
        <f ca="1">SUMPRODUCT(W$7:W115,OFFSET($J$366,ROW($I$7)-ROW(),0):$J$366)</f>
        <v>0</v>
      </c>
      <c r="M115" s="19">
        <f ca="1">SUMPRODUCT(X$7:X115,OFFSET($J$366,ROW($I$7)-ROW(),0):$J$366)</f>
        <v>0</v>
      </c>
      <c r="N115" s="19"/>
      <c r="O115" s="43">
        <f t="shared" si="40"/>
        <v>46753</v>
      </c>
      <c r="P115" s="24">
        <f t="shared" si="41"/>
        <v>3287</v>
      </c>
      <c r="Q115" s="19">
        <f t="shared" si="42"/>
        <v>9.5715024459365345</v>
      </c>
      <c r="R115" s="19">
        <f t="shared" si="25"/>
        <v>51.235737337223291</v>
      </c>
      <c r="S115" s="19">
        <f t="shared" si="26"/>
        <v>1.0722521305001211</v>
      </c>
      <c r="T115" s="19"/>
      <c r="U115" s="24">
        <f t="shared" si="48"/>
        <v>3286.4399999999946</v>
      </c>
      <c r="V115" s="19">
        <f t="shared" si="27"/>
        <v>39.416629618965935</v>
      </c>
      <c r="W115" s="19">
        <f t="shared" si="28"/>
        <v>101.47912398395641</v>
      </c>
      <c r="X115" s="19">
        <f t="shared" si="29"/>
        <v>19.708314809482967</v>
      </c>
      <c r="Y115" s="27"/>
      <c r="Z115" s="42">
        <f t="shared" si="43"/>
        <v>47484</v>
      </c>
      <c r="AA115" s="19">
        <f t="shared" ca="1" si="30"/>
        <v>7.9689136290409683</v>
      </c>
      <c r="AB115" s="19">
        <f t="shared" ca="1" si="31"/>
        <v>43.537678378391632</v>
      </c>
      <c r="AC115" s="19">
        <f t="shared" ca="1" si="32"/>
        <v>0.46080381453458946</v>
      </c>
      <c r="AD115" s="19">
        <f t="shared" ca="1" si="33"/>
        <v>6.5306517567587452</v>
      </c>
      <c r="AE115" s="115">
        <f t="shared" ca="1" si="34"/>
        <v>247.03632250027002</v>
      </c>
      <c r="AF115" s="19">
        <f t="shared" ca="1" si="35"/>
        <v>1349.6680297301407</v>
      </c>
      <c r="AG115" s="19">
        <f t="shared" ca="1" si="36"/>
        <v>14.284918250572273</v>
      </c>
      <c r="AH115" s="19">
        <f t="shared" ca="1" si="37"/>
        <v>202.4502044595211</v>
      </c>
      <c r="AI115" s="46">
        <f t="shared" ca="1" si="44"/>
        <v>5463.4396111068463</v>
      </c>
      <c r="AJ115" s="55">
        <f t="shared" ca="1" si="45"/>
        <v>5.46642064362165E-2</v>
      </c>
      <c r="AK115" s="19">
        <f t="shared" ca="1" si="46"/>
        <v>183.034877509593</v>
      </c>
      <c r="AL115" s="19">
        <f t="shared" ca="1" si="38"/>
        <v>150</v>
      </c>
    </row>
    <row r="116" spans="2:38" x14ac:dyDescent="0.25">
      <c r="B116" s="19"/>
      <c r="C116" s="19"/>
      <c r="D116" s="19"/>
      <c r="E116" s="19"/>
      <c r="F116" s="19"/>
      <c r="G116" s="19"/>
      <c r="H116" s="43">
        <f t="shared" si="47"/>
        <v>47515</v>
      </c>
      <c r="I116" s="264">
        <v>0</v>
      </c>
      <c r="J116" s="64">
        <f t="shared" ca="1" si="39"/>
        <v>0</v>
      </c>
      <c r="K116" s="19">
        <f ca="1">SUMPRODUCT(V$7:V116,OFFSET($J$366,ROW($I$7)-ROW(),0):$J$366)</f>
        <v>0</v>
      </c>
      <c r="L116" s="19">
        <f ca="1">SUMPRODUCT(W$7:W116,OFFSET($J$366,ROW($I$7)-ROW(),0):$J$366)</f>
        <v>0</v>
      </c>
      <c r="M116" s="19">
        <f ca="1">SUMPRODUCT(X$7:X116,OFFSET($J$366,ROW($I$7)-ROW(),0):$J$366)</f>
        <v>0</v>
      </c>
      <c r="N116" s="19"/>
      <c r="O116" s="43">
        <f t="shared" si="40"/>
        <v>46784</v>
      </c>
      <c r="P116" s="24">
        <f t="shared" si="41"/>
        <v>3318</v>
      </c>
      <c r="Q116" s="19">
        <f t="shared" si="42"/>
        <v>9.4905631747655139</v>
      </c>
      <c r="R116" s="19">
        <f t="shared" si="25"/>
        <v>50.854417876265657</v>
      </c>
      <c r="S116" s="19">
        <f t="shared" si="26"/>
        <v>1.0344538284939186</v>
      </c>
      <c r="T116" s="19"/>
      <c r="U116" s="24">
        <f t="shared" si="48"/>
        <v>3316.8699999999944</v>
      </c>
      <c r="V116" s="19">
        <f t="shared" si="27"/>
        <v>39.138477919829576</v>
      </c>
      <c r="W116" s="19">
        <f t="shared" si="28"/>
        <v>100.9137189191397</v>
      </c>
      <c r="X116" s="19">
        <f t="shared" si="29"/>
        <v>19.569238959914788</v>
      </c>
      <c r="Y116" s="27"/>
      <c r="Z116" s="42">
        <f t="shared" si="43"/>
        <v>47515</v>
      </c>
      <c r="AA116" s="19">
        <f t="shared" ca="1" si="30"/>
        <v>7.9126535947351453</v>
      </c>
      <c r="AB116" s="19">
        <f t="shared" ca="1" si="31"/>
        <v>43.262027469964842</v>
      </c>
      <c r="AC116" s="19">
        <f t="shared" ca="1" si="32"/>
        <v>0.44462709942058382</v>
      </c>
      <c r="AD116" s="19">
        <f t="shared" ca="1" si="33"/>
        <v>6.4893041204947259</v>
      </c>
      <c r="AE116" s="115">
        <f t="shared" ca="1" si="34"/>
        <v>221.55430065258406</v>
      </c>
      <c r="AF116" s="19">
        <f t="shared" ca="1" si="35"/>
        <v>1211.3367691590156</v>
      </c>
      <c r="AG116" s="19">
        <f t="shared" ca="1" si="36"/>
        <v>12.449558783776347</v>
      </c>
      <c r="AH116" s="19">
        <f t="shared" ca="1" si="37"/>
        <v>181.70051537385234</v>
      </c>
      <c r="AI116" s="46">
        <f t="shared" ca="1" si="44"/>
        <v>5467.448682291636</v>
      </c>
      <c r="AJ116" s="55">
        <f t="shared" ca="1" si="45"/>
        <v>5.3202365182195309E-2</v>
      </c>
      <c r="AK116" s="19">
        <f t="shared" ca="1" si="46"/>
        <v>182.90066502843851</v>
      </c>
      <c r="AL116" s="19">
        <f t="shared" ca="1" si="38"/>
        <v>150</v>
      </c>
    </row>
    <row r="117" spans="2:38" x14ac:dyDescent="0.25">
      <c r="B117" s="19"/>
      <c r="C117" s="19"/>
      <c r="D117" s="19"/>
      <c r="E117" s="19"/>
      <c r="F117" s="19"/>
      <c r="G117" s="19"/>
      <c r="H117" s="43">
        <f t="shared" si="47"/>
        <v>47543</v>
      </c>
      <c r="I117" s="264">
        <v>0</v>
      </c>
      <c r="J117" s="64">
        <f t="shared" ca="1" si="39"/>
        <v>0</v>
      </c>
      <c r="K117" s="19">
        <f ca="1">SUMPRODUCT(V$7:V117,OFFSET($J$366,ROW($I$7)-ROW(),0):$J$366)</f>
        <v>0</v>
      </c>
      <c r="L117" s="19">
        <f ca="1">SUMPRODUCT(W$7:W117,OFFSET($J$366,ROW($I$7)-ROW(),0):$J$366)</f>
        <v>0</v>
      </c>
      <c r="M117" s="19">
        <f ca="1">SUMPRODUCT(X$7:X117,OFFSET($J$366,ROW($I$7)-ROW(),0):$J$366)</f>
        <v>0</v>
      </c>
      <c r="N117" s="19"/>
      <c r="O117" s="43">
        <f t="shared" si="40"/>
        <v>46813</v>
      </c>
      <c r="P117" s="24">
        <f t="shared" si="41"/>
        <v>3347</v>
      </c>
      <c r="Q117" s="19">
        <f t="shared" si="42"/>
        <v>9.4160753309322018</v>
      </c>
      <c r="R117" s="19">
        <f t="shared" si="25"/>
        <v>50.502802577259359</v>
      </c>
      <c r="S117" s="19">
        <f t="shared" si="26"/>
        <v>1.0003071476136278</v>
      </c>
      <c r="T117" s="19"/>
      <c r="U117" s="24">
        <f t="shared" si="48"/>
        <v>3347.2999999999943</v>
      </c>
      <c r="V117" s="19">
        <f t="shared" si="27"/>
        <v>38.88004873062355</v>
      </c>
      <c r="W117" s="19">
        <f t="shared" si="28"/>
        <v>100.39046588091108</v>
      </c>
      <c r="X117" s="19">
        <f t="shared" si="29"/>
        <v>19.440024365311775</v>
      </c>
      <c r="Y117" s="27"/>
      <c r="Z117" s="42">
        <f t="shared" si="43"/>
        <v>47543</v>
      </c>
      <c r="AA117" s="19">
        <f t="shared" ca="1" si="30"/>
        <v>7.8622026420532141</v>
      </c>
      <c r="AB117" s="19">
        <f t="shared" ca="1" si="31"/>
        <v>43.016035528055426</v>
      </c>
      <c r="AC117" s="19">
        <f t="shared" ca="1" si="32"/>
        <v>0.43050690743900649</v>
      </c>
      <c r="AD117" s="19">
        <f t="shared" ca="1" si="33"/>
        <v>6.4524053292083137</v>
      </c>
      <c r="AE117" s="115">
        <f t="shared" ca="1" si="34"/>
        <v>243.72828190364964</v>
      </c>
      <c r="AF117" s="19">
        <f t="shared" ca="1" si="35"/>
        <v>1333.4971013697182</v>
      </c>
      <c r="AG117" s="19">
        <f t="shared" ca="1" si="36"/>
        <v>13.345714130609201</v>
      </c>
      <c r="AH117" s="19">
        <f t="shared" ca="1" si="37"/>
        <v>200.02456520545772</v>
      </c>
      <c r="AI117" s="46">
        <f t="shared" ca="1" si="44"/>
        <v>5471.244826223633</v>
      </c>
      <c r="AJ117" s="55">
        <f t="shared" ca="1" si="45"/>
        <v>5.1913901586649353E-2</v>
      </c>
      <c r="AK117" s="19">
        <f t="shared" ca="1" si="46"/>
        <v>182.7737620526517</v>
      </c>
      <c r="AL117" s="19">
        <f t="shared" ca="1" si="38"/>
        <v>150</v>
      </c>
    </row>
    <row r="118" spans="2:38" x14ac:dyDescent="0.25">
      <c r="B118" s="19"/>
      <c r="C118" s="19"/>
      <c r="D118" s="19"/>
      <c r="E118" s="19"/>
      <c r="F118" s="19"/>
      <c r="G118" s="19"/>
      <c r="H118" s="43">
        <f t="shared" si="47"/>
        <v>47574</v>
      </c>
      <c r="I118" s="264">
        <v>0</v>
      </c>
      <c r="J118" s="64">
        <f t="shared" ca="1" si="39"/>
        <v>0</v>
      </c>
      <c r="K118" s="19">
        <f ca="1">SUMPRODUCT(V$7:V118,OFFSET($J$366,ROW($I$7)-ROW(),0):$J$366)</f>
        <v>0</v>
      </c>
      <c r="L118" s="19">
        <f ca="1">SUMPRODUCT(W$7:W118,OFFSET($J$366,ROW($I$7)-ROW(),0):$J$366)</f>
        <v>0</v>
      </c>
      <c r="M118" s="19">
        <f ca="1">SUMPRODUCT(X$7:X118,OFFSET($J$366,ROW($I$7)-ROW(),0):$J$366)</f>
        <v>0</v>
      </c>
      <c r="N118" s="19"/>
      <c r="O118" s="43">
        <f t="shared" si="40"/>
        <v>46844</v>
      </c>
      <c r="P118" s="24">
        <f t="shared" si="41"/>
        <v>3378</v>
      </c>
      <c r="Q118" s="19">
        <f t="shared" si="42"/>
        <v>9.3377326283964734</v>
      </c>
      <c r="R118" s="19">
        <f t="shared" si="25"/>
        <v>50.132275297794301</v>
      </c>
      <c r="S118" s="19">
        <f t="shared" si="26"/>
        <v>0.96505702515673641</v>
      </c>
      <c r="T118" s="19"/>
      <c r="U118" s="24">
        <f t="shared" si="48"/>
        <v>3377.7299999999941</v>
      </c>
      <c r="V118" s="19">
        <f t="shared" si="27"/>
        <v>38.605683526863864</v>
      </c>
      <c r="W118" s="19">
        <f t="shared" si="28"/>
        <v>99.837093888989244</v>
      </c>
      <c r="X118" s="19">
        <f t="shared" si="29"/>
        <v>19.302841763431932</v>
      </c>
      <c r="Y118" s="27"/>
      <c r="Z118" s="42">
        <f t="shared" si="43"/>
        <v>47574</v>
      </c>
      <c r="AA118" s="19">
        <f t="shared" ca="1" si="30"/>
        <v>7.8067213630858907</v>
      </c>
      <c r="AB118" s="19">
        <f t="shared" ca="1" si="31"/>
        <v>42.746930008987277</v>
      </c>
      <c r="AC118" s="19">
        <f t="shared" ca="1" si="32"/>
        <v>0.41539882480114076</v>
      </c>
      <c r="AD118" s="19">
        <f t="shared" ca="1" si="33"/>
        <v>6.412039501348092</v>
      </c>
      <c r="AE118" s="115">
        <f t="shared" ca="1" si="34"/>
        <v>234.20164089257673</v>
      </c>
      <c r="AF118" s="19">
        <f t="shared" ca="1" si="35"/>
        <v>1282.4079002696183</v>
      </c>
      <c r="AG118" s="19">
        <f t="shared" ca="1" si="36"/>
        <v>12.461964744034223</v>
      </c>
      <c r="AH118" s="19">
        <f t="shared" ca="1" si="37"/>
        <v>192.36118504044276</v>
      </c>
      <c r="AI118" s="46">
        <f t="shared" ca="1" si="44"/>
        <v>5475.6571960050069</v>
      </c>
      <c r="AJ118" s="55">
        <f t="shared" ca="1" si="45"/>
        <v>5.0522105650208496E-2</v>
      </c>
      <c r="AK118" s="19">
        <f t="shared" ca="1" si="46"/>
        <v>182.62648011084249</v>
      </c>
      <c r="AL118" s="19">
        <f t="shared" ca="1" si="38"/>
        <v>150.00000000000003</v>
      </c>
    </row>
    <row r="119" spans="2:38" x14ac:dyDescent="0.25">
      <c r="B119" s="19"/>
      <c r="C119" s="19"/>
      <c r="D119" s="19"/>
      <c r="E119" s="19"/>
      <c r="F119" s="19"/>
      <c r="G119" s="19"/>
      <c r="H119" s="43">
        <f t="shared" si="47"/>
        <v>47604</v>
      </c>
      <c r="I119" s="264">
        <v>0</v>
      </c>
      <c r="J119" s="64">
        <f t="shared" ca="1" si="39"/>
        <v>0</v>
      </c>
      <c r="K119" s="19">
        <f ca="1">SUMPRODUCT(V$7:V119,OFFSET($J$366,ROW($I$7)-ROW(),0):$J$366)</f>
        <v>0</v>
      </c>
      <c r="L119" s="19">
        <f ca="1">SUMPRODUCT(W$7:W119,OFFSET($J$366,ROW($I$7)-ROW(),0):$J$366)</f>
        <v>0</v>
      </c>
      <c r="M119" s="19">
        <f ca="1">SUMPRODUCT(X$7:X119,OFFSET($J$366,ROW($I$7)-ROW(),0):$J$366)</f>
        <v>0</v>
      </c>
      <c r="N119" s="19"/>
      <c r="O119" s="43">
        <f t="shared" si="40"/>
        <v>46874</v>
      </c>
      <c r="P119" s="24">
        <f t="shared" si="41"/>
        <v>3408</v>
      </c>
      <c r="Q119" s="19">
        <f t="shared" si="42"/>
        <v>9.2631484330201577</v>
      </c>
      <c r="R119" s="19">
        <f t="shared" si="25"/>
        <v>49.778840710542795</v>
      </c>
      <c r="S119" s="19">
        <f t="shared" si="26"/>
        <v>0.93213289593167803</v>
      </c>
      <c r="T119" s="19"/>
      <c r="U119" s="24">
        <f t="shared" si="48"/>
        <v>3408.1599999999939</v>
      </c>
      <c r="V119" s="19">
        <f t="shared" si="27"/>
        <v>38.342012393518367</v>
      </c>
      <c r="W119" s="19">
        <f t="shared" si="28"/>
        <v>99.307350360452489</v>
      </c>
      <c r="X119" s="19">
        <f t="shared" si="29"/>
        <v>19.171006196759183</v>
      </c>
      <c r="Y119" s="27"/>
      <c r="Z119" s="42">
        <f t="shared" si="43"/>
        <v>47604</v>
      </c>
      <c r="AA119" s="19">
        <f t="shared" ca="1" si="30"/>
        <v>7.7534026058079624</v>
      </c>
      <c r="AB119" s="19">
        <f t="shared" ca="1" si="31"/>
        <v>42.48969186636964</v>
      </c>
      <c r="AC119" s="19">
        <f t="shared" ca="1" si="32"/>
        <v>0.40128554925122428</v>
      </c>
      <c r="AD119" s="19">
        <f t="shared" ca="1" si="33"/>
        <v>6.3734537799554456</v>
      </c>
      <c r="AE119" s="115">
        <f t="shared" ca="1" si="34"/>
        <v>240.35548078004683</v>
      </c>
      <c r="AF119" s="19">
        <f t="shared" ca="1" si="35"/>
        <v>1317.1804478574588</v>
      </c>
      <c r="AG119" s="19">
        <f t="shared" ca="1" si="36"/>
        <v>12.439852026787953</v>
      </c>
      <c r="AH119" s="19">
        <f t="shared" ca="1" si="37"/>
        <v>197.57706717861882</v>
      </c>
      <c r="AI119" s="46">
        <f t="shared" ca="1" si="44"/>
        <v>5480.1348551848996</v>
      </c>
      <c r="AJ119" s="55">
        <f t="shared" ca="1" si="45"/>
        <v>4.9209183922289644E-2</v>
      </c>
      <c r="AK119" s="19">
        <f t="shared" ca="1" si="46"/>
        <v>182.47726131299007</v>
      </c>
      <c r="AL119" s="19">
        <f t="shared" ca="1" si="38"/>
        <v>150</v>
      </c>
    </row>
    <row r="120" spans="2:38" x14ac:dyDescent="0.25">
      <c r="B120" s="19"/>
      <c r="C120" s="19"/>
      <c r="D120" s="19"/>
      <c r="E120" s="19"/>
      <c r="F120" s="19"/>
      <c r="G120" s="19"/>
      <c r="H120" s="43">
        <f t="shared" si="47"/>
        <v>47635</v>
      </c>
      <c r="I120" s="264">
        <v>0</v>
      </c>
      <c r="J120" s="64">
        <f t="shared" ca="1" si="39"/>
        <v>0</v>
      </c>
      <c r="K120" s="19">
        <f ca="1">SUMPRODUCT(V$7:V120,OFFSET($J$366,ROW($I$7)-ROW(),0):$J$366)</f>
        <v>0</v>
      </c>
      <c r="L120" s="19">
        <f ca="1">SUMPRODUCT(W$7:W120,OFFSET($J$366,ROW($I$7)-ROW(),0):$J$366)</f>
        <v>0</v>
      </c>
      <c r="M120" s="19">
        <f ca="1">SUMPRODUCT(X$7:X120,OFFSET($J$366,ROW($I$7)-ROW(),0):$J$366)</f>
        <v>0</v>
      </c>
      <c r="N120" s="19"/>
      <c r="O120" s="43">
        <f t="shared" si="40"/>
        <v>46905</v>
      </c>
      <c r="P120" s="24">
        <f t="shared" si="41"/>
        <v>3439</v>
      </c>
      <c r="Q120" s="19">
        <f t="shared" si="42"/>
        <v>9.1873195539979875</v>
      </c>
      <c r="R120" s="19">
        <f t="shared" si="25"/>
        <v>49.418822504079088</v>
      </c>
      <c r="S120" s="19">
        <f t="shared" si="26"/>
        <v>0.89929656973650363</v>
      </c>
      <c r="T120" s="19"/>
      <c r="U120" s="24">
        <f t="shared" si="48"/>
        <v>3438.5899999999938</v>
      </c>
      <c r="V120" s="19">
        <f t="shared" si="27"/>
        <v>38.071443955814267</v>
      </c>
      <c r="W120" s="19">
        <f t="shared" si="28"/>
        <v>98.765822440500571</v>
      </c>
      <c r="X120" s="19">
        <f t="shared" si="29"/>
        <v>19.035721977907134</v>
      </c>
      <c r="Y120" s="27"/>
      <c r="Z120" s="42">
        <f t="shared" si="43"/>
        <v>47635</v>
      </c>
      <c r="AA120" s="19">
        <f t="shared" ca="1" si="30"/>
        <v>7.6986890970746815</v>
      </c>
      <c r="AB120" s="19">
        <f t="shared" ca="1" si="31"/>
        <v>42.227111500501167</v>
      </c>
      <c r="AC120" s="19">
        <f t="shared" ca="1" si="32"/>
        <v>0.38720781255163955</v>
      </c>
      <c r="AD120" s="19">
        <f t="shared" ca="1" si="33"/>
        <v>6.334066725075175</v>
      </c>
      <c r="AE120" s="115">
        <f t="shared" ca="1" si="34"/>
        <v>230.96067291224045</v>
      </c>
      <c r="AF120" s="19">
        <f t="shared" ca="1" si="35"/>
        <v>1266.8133450150349</v>
      </c>
      <c r="AG120" s="19">
        <f t="shared" ca="1" si="36"/>
        <v>11.616234376549187</v>
      </c>
      <c r="AH120" s="19">
        <f t="shared" ca="1" si="37"/>
        <v>190.02200175225525</v>
      </c>
      <c r="AI120" s="46">
        <f t="shared" ca="1" si="44"/>
        <v>5484.974255753029</v>
      </c>
      <c r="AJ120" s="55">
        <f t="shared" ca="1" si="45"/>
        <v>4.7886810440368806E-2</v>
      </c>
      <c r="AK120" s="19">
        <f t="shared" ca="1" si="46"/>
        <v>182.31626136642834</v>
      </c>
      <c r="AL120" s="19">
        <f t="shared" ca="1" si="38"/>
        <v>150</v>
      </c>
    </row>
    <row r="121" spans="2:38" x14ac:dyDescent="0.25">
      <c r="B121" s="19"/>
      <c r="C121" s="19"/>
      <c r="D121" s="19"/>
      <c r="E121" s="19"/>
      <c r="F121" s="19"/>
      <c r="G121" s="19"/>
      <c r="H121" s="43">
        <f t="shared" si="47"/>
        <v>47665</v>
      </c>
      <c r="I121" s="264">
        <v>0</v>
      </c>
      <c r="J121" s="64">
        <f t="shared" ca="1" si="39"/>
        <v>0</v>
      </c>
      <c r="K121" s="19">
        <f ca="1">SUMPRODUCT(V$7:V121,OFFSET($J$366,ROW($I$7)-ROW(),0):$J$366)</f>
        <v>0</v>
      </c>
      <c r="L121" s="19">
        <f ca="1">SUMPRODUCT(W$7:W121,OFFSET($J$366,ROW($I$7)-ROW(),0):$J$366)</f>
        <v>0</v>
      </c>
      <c r="M121" s="19">
        <f ca="1">SUMPRODUCT(X$7:X121,OFFSET($J$366,ROW($I$7)-ROW(),0):$J$366)</f>
        <v>0</v>
      </c>
      <c r="N121" s="19"/>
      <c r="O121" s="43">
        <f t="shared" si="40"/>
        <v>46935</v>
      </c>
      <c r="P121" s="24">
        <f t="shared" si="41"/>
        <v>3469</v>
      </c>
      <c r="Q121" s="19">
        <f t="shared" si="42"/>
        <v>9.1151095339915322</v>
      </c>
      <c r="R121" s="19">
        <f t="shared" si="25"/>
        <v>49.07534161519775</v>
      </c>
      <c r="S121" s="19">
        <f t="shared" si="26"/>
        <v>0.86862657759357742</v>
      </c>
      <c r="T121" s="19"/>
      <c r="U121" s="24">
        <f t="shared" si="48"/>
        <v>3469.0199999999936</v>
      </c>
      <c r="V121" s="19">
        <f t="shared" si="27"/>
        <v>37.811421600065955</v>
      </c>
      <c r="W121" s="19">
        <f t="shared" si="28"/>
        <v>98.247356902198774</v>
      </c>
      <c r="X121" s="19">
        <f t="shared" si="29"/>
        <v>18.905710800032978</v>
      </c>
      <c r="Y121" s="27"/>
      <c r="Z121" s="42">
        <f t="shared" si="43"/>
        <v>47665</v>
      </c>
      <c r="AA121" s="19">
        <f t="shared" ca="1" si="30"/>
        <v>7.6461081842645831</v>
      </c>
      <c r="AB121" s="19">
        <f t="shared" ca="1" si="31"/>
        <v>41.976073170813486</v>
      </c>
      <c r="AC121" s="19">
        <f t="shared" ca="1" si="32"/>
        <v>0.37405687554005629</v>
      </c>
      <c r="AD121" s="19">
        <f t="shared" ca="1" si="33"/>
        <v>6.296410975622023</v>
      </c>
      <c r="AE121" s="115">
        <f t="shared" ca="1" si="34"/>
        <v>237.02935371220207</v>
      </c>
      <c r="AF121" s="19">
        <f t="shared" ca="1" si="35"/>
        <v>1301.2582682952182</v>
      </c>
      <c r="AG121" s="19">
        <f t="shared" ca="1" si="36"/>
        <v>11.595763141741745</v>
      </c>
      <c r="AH121" s="19">
        <f t="shared" ca="1" si="37"/>
        <v>195.18874024428271</v>
      </c>
      <c r="AI121" s="46">
        <f t="shared" ca="1" si="44"/>
        <v>5489.8612678798791</v>
      </c>
      <c r="AJ121" s="55">
        <f t="shared" ca="1" si="45"/>
        <v>4.6639548282459892E-2</v>
      </c>
      <c r="AK121" s="19">
        <f t="shared" ca="1" si="46"/>
        <v>182.1539655019713</v>
      </c>
      <c r="AL121" s="19">
        <f t="shared" ca="1" si="38"/>
        <v>150</v>
      </c>
    </row>
    <row r="122" spans="2:38" x14ac:dyDescent="0.25">
      <c r="B122" s="19"/>
      <c r="C122" s="19"/>
      <c r="D122" s="19"/>
      <c r="E122" s="19"/>
      <c r="F122" s="19"/>
      <c r="G122" s="19"/>
      <c r="H122" s="43">
        <f t="shared" si="47"/>
        <v>47696</v>
      </c>
      <c r="I122" s="264">
        <v>0</v>
      </c>
      <c r="J122" s="64">
        <f t="shared" ca="1" si="39"/>
        <v>0</v>
      </c>
      <c r="K122" s="19">
        <f ca="1">SUMPRODUCT(V$7:V122,OFFSET($J$366,ROW($I$7)-ROW(),0):$J$366)</f>
        <v>0</v>
      </c>
      <c r="L122" s="19">
        <f ca="1">SUMPRODUCT(W$7:W122,OFFSET($J$366,ROW($I$7)-ROW(),0):$J$366)</f>
        <v>0</v>
      </c>
      <c r="M122" s="19">
        <f ca="1">SUMPRODUCT(X$7:X122,OFFSET($J$366,ROW($I$7)-ROW(),0):$J$366)</f>
        <v>0</v>
      </c>
      <c r="N122" s="19"/>
      <c r="O122" s="43">
        <f t="shared" si="40"/>
        <v>46966</v>
      </c>
      <c r="P122" s="24">
        <f t="shared" si="41"/>
        <v>3500</v>
      </c>
      <c r="Q122" s="19">
        <f t="shared" si="42"/>
        <v>9.0416753972908364</v>
      </c>
      <c r="R122" s="19">
        <f t="shared" si="25"/>
        <v>48.725391643689079</v>
      </c>
      <c r="S122" s="19">
        <f t="shared" si="26"/>
        <v>0.83803799450360406</v>
      </c>
      <c r="T122" s="19"/>
      <c r="U122" s="24">
        <f t="shared" si="48"/>
        <v>3499.4499999999935</v>
      </c>
      <c r="V122" s="19">
        <f t="shared" si="27"/>
        <v>37.544597387379866</v>
      </c>
      <c r="W122" s="19">
        <f t="shared" si="28"/>
        <v>97.717296827057538</v>
      </c>
      <c r="X122" s="19">
        <f t="shared" si="29"/>
        <v>18.772298693689933</v>
      </c>
      <c r="Y122" s="27"/>
      <c r="Z122" s="42">
        <f t="shared" si="43"/>
        <v>47696</v>
      </c>
      <c r="AA122" s="19">
        <f t="shared" ca="1" si="30"/>
        <v>7.5921518210799865</v>
      </c>
      <c r="AB122" s="19">
        <f t="shared" ca="1" si="31"/>
        <v>41.719783474476699</v>
      </c>
      <c r="AC122" s="19">
        <f t="shared" ca="1" si="32"/>
        <v>0.36093889140676422</v>
      </c>
      <c r="AD122" s="19">
        <f t="shared" ca="1" si="33"/>
        <v>6.2579675211715049</v>
      </c>
      <c r="AE122" s="115">
        <f t="shared" ca="1" si="34"/>
        <v>235.35670645347957</v>
      </c>
      <c r="AF122" s="19">
        <f t="shared" ca="1" si="35"/>
        <v>1293.3132877087776</v>
      </c>
      <c r="AG122" s="19">
        <f t="shared" ca="1" si="36"/>
        <v>11.189105633609691</v>
      </c>
      <c r="AH122" s="19">
        <f t="shared" ca="1" si="37"/>
        <v>193.99699315631665</v>
      </c>
      <c r="AI122" s="46">
        <f t="shared" ca="1" si="44"/>
        <v>5495.1197575685519</v>
      </c>
      <c r="AJ122" s="55">
        <f t="shared" ca="1" si="45"/>
        <v>4.5383474733926031E-2</v>
      </c>
      <c r="AK122" s="19">
        <f t="shared" ca="1" si="46"/>
        <v>181.97965542473892</v>
      </c>
      <c r="AL122" s="19">
        <f t="shared" ca="1" si="38"/>
        <v>150</v>
      </c>
    </row>
    <row r="123" spans="2:38" x14ac:dyDescent="0.25">
      <c r="B123" s="19"/>
      <c r="C123" s="19"/>
      <c r="D123" s="19"/>
      <c r="E123" s="19"/>
      <c r="F123" s="19"/>
      <c r="G123" s="19"/>
      <c r="H123" s="43">
        <f t="shared" si="47"/>
        <v>47727</v>
      </c>
      <c r="I123" s="264">
        <v>0</v>
      </c>
      <c r="J123" s="64">
        <f t="shared" ca="1" si="39"/>
        <v>0</v>
      </c>
      <c r="K123" s="19">
        <f ca="1">SUMPRODUCT(V$7:V123,OFFSET($J$366,ROW($I$7)-ROW(),0):$J$366)</f>
        <v>0</v>
      </c>
      <c r="L123" s="19">
        <f ca="1">SUMPRODUCT(W$7:W123,OFFSET($J$366,ROW($I$7)-ROW(),0):$J$366)</f>
        <v>0</v>
      </c>
      <c r="M123" s="19">
        <f ca="1">SUMPRODUCT(X$7:X123,OFFSET($J$366,ROW($I$7)-ROW(),0):$J$366)</f>
        <v>0</v>
      </c>
      <c r="N123" s="19"/>
      <c r="O123" s="43">
        <f t="shared" si="40"/>
        <v>46997</v>
      </c>
      <c r="P123" s="24">
        <f t="shared" si="41"/>
        <v>3531</v>
      </c>
      <c r="Q123" s="19">
        <f t="shared" si="42"/>
        <v>8.9694150205734928</v>
      </c>
      <c r="R123" s="19">
        <f t="shared" si="25"/>
        <v>48.380397231515623</v>
      </c>
      <c r="S123" s="19">
        <f t="shared" si="26"/>
        <v>0.80853177951405064</v>
      </c>
      <c r="T123" s="19"/>
      <c r="U123" s="24">
        <f t="shared" si="48"/>
        <v>3529.8799999999933</v>
      </c>
      <c r="V123" s="19">
        <f t="shared" si="27"/>
        <v>37.279656075612671</v>
      </c>
      <c r="W123" s="19">
        <f t="shared" si="28"/>
        <v>97.192925576181153</v>
      </c>
      <c r="X123" s="19">
        <f t="shared" si="29"/>
        <v>18.639828037806335</v>
      </c>
      <c r="Y123" s="27"/>
      <c r="Z123" s="42">
        <f t="shared" si="43"/>
        <v>47727</v>
      </c>
      <c r="AA123" s="19">
        <f t="shared" ca="1" si="30"/>
        <v>7.5385762122684588</v>
      </c>
      <c r="AB123" s="19">
        <f t="shared" ca="1" si="31"/>
        <v>41.466604397768513</v>
      </c>
      <c r="AC123" s="19">
        <f t="shared" ca="1" si="32"/>
        <v>0.34828316720997499</v>
      </c>
      <c r="AD123" s="19">
        <f t="shared" ca="1" si="33"/>
        <v>6.2199906596652772</v>
      </c>
      <c r="AE123" s="115">
        <f t="shared" ca="1" si="34"/>
        <v>226.15728636805378</v>
      </c>
      <c r="AF123" s="19">
        <f t="shared" ca="1" si="35"/>
        <v>1243.9981319330554</v>
      </c>
      <c r="AG123" s="19">
        <f t="shared" ca="1" si="36"/>
        <v>10.448495016299249</v>
      </c>
      <c r="AH123" s="19">
        <f t="shared" ca="1" si="37"/>
        <v>186.59971978995833</v>
      </c>
      <c r="AI123" s="46">
        <f t="shared" ca="1" si="44"/>
        <v>5500.5883379257702</v>
      </c>
      <c r="AJ123" s="55">
        <f t="shared" ca="1" si="45"/>
        <v>4.4159931152849753E-2</v>
      </c>
      <c r="AK123" s="19">
        <f t="shared" ca="1" si="46"/>
        <v>181.79873471082044</v>
      </c>
      <c r="AL123" s="19">
        <f t="shared" ca="1" si="38"/>
        <v>150</v>
      </c>
    </row>
    <row r="124" spans="2:38" x14ac:dyDescent="0.25">
      <c r="B124" s="19"/>
      <c r="C124" s="19"/>
      <c r="D124" s="19"/>
      <c r="E124" s="19"/>
      <c r="F124" s="19"/>
      <c r="G124" s="19"/>
      <c r="H124" s="43">
        <f t="shared" si="47"/>
        <v>47757</v>
      </c>
      <c r="I124" s="264">
        <v>0</v>
      </c>
      <c r="J124" s="64">
        <f t="shared" ca="1" si="39"/>
        <v>0</v>
      </c>
      <c r="K124" s="19">
        <f ca="1">SUMPRODUCT(V$7:V124,OFFSET($J$366,ROW($I$7)-ROW(),0):$J$366)</f>
        <v>0</v>
      </c>
      <c r="L124" s="19">
        <f ca="1">SUMPRODUCT(W$7:W124,OFFSET($J$366,ROW($I$7)-ROW(),0):$J$366)</f>
        <v>0</v>
      </c>
      <c r="M124" s="19">
        <f ca="1">SUMPRODUCT(X$7:X124,OFFSET($J$366,ROW($I$7)-ROW(),0):$J$366)</f>
        <v>0</v>
      </c>
      <c r="N124" s="19"/>
      <c r="O124" s="43">
        <f t="shared" si="40"/>
        <v>47027</v>
      </c>
      <c r="P124" s="24">
        <f t="shared" si="41"/>
        <v>3561</v>
      </c>
      <c r="Q124" s="19">
        <f t="shared" si="42"/>
        <v>8.9005768963990164</v>
      </c>
      <c r="R124" s="19">
        <f t="shared" si="25"/>
        <v>48.051151553055291</v>
      </c>
      <c r="S124" s="19">
        <f t="shared" si="26"/>
        <v>0.78097167900696463</v>
      </c>
      <c r="T124" s="19"/>
      <c r="U124" s="24">
        <f t="shared" si="48"/>
        <v>3560.3099999999931</v>
      </c>
      <c r="V124" s="19">
        <f t="shared" si="27"/>
        <v>37.025041514486013</v>
      </c>
      <c r="W124" s="19">
        <f t="shared" si="28"/>
        <v>96.690800230153371</v>
      </c>
      <c r="X124" s="19">
        <f t="shared" si="29"/>
        <v>18.512520757243006</v>
      </c>
      <c r="Y124" s="27"/>
      <c r="Z124" s="42">
        <f t="shared" si="43"/>
        <v>47757</v>
      </c>
      <c r="AA124" s="19">
        <f t="shared" ca="1" si="30"/>
        <v>7.4870888468830712</v>
      </c>
      <c r="AB124" s="19">
        <f t="shared" ca="1" si="31"/>
        <v>41.224501083253642</v>
      </c>
      <c r="AC124" s="19">
        <f t="shared" ca="1" si="32"/>
        <v>0.33646040421330747</v>
      </c>
      <c r="AD124" s="19">
        <f t="shared" ca="1" si="33"/>
        <v>6.1836751624880462</v>
      </c>
      <c r="AE124" s="115">
        <f t="shared" ca="1" si="34"/>
        <v>232.09975425337521</v>
      </c>
      <c r="AF124" s="19">
        <f t="shared" ca="1" si="35"/>
        <v>1277.9595335808629</v>
      </c>
      <c r="AG124" s="19">
        <f t="shared" ca="1" si="36"/>
        <v>10.430272530612532</v>
      </c>
      <c r="AH124" s="19">
        <f t="shared" ca="1" si="37"/>
        <v>191.69393003712943</v>
      </c>
      <c r="AI124" s="46">
        <f t="shared" ca="1" si="44"/>
        <v>5506.0787879411491</v>
      </c>
      <c r="AJ124" s="55">
        <f t="shared" ca="1" si="45"/>
        <v>4.300610802266714E-2</v>
      </c>
      <c r="AK124" s="19">
        <f t="shared" ca="1" si="46"/>
        <v>181.61745200415541</v>
      </c>
      <c r="AL124" s="19">
        <f t="shared" ca="1" si="38"/>
        <v>150</v>
      </c>
    </row>
    <row r="125" spans="2:38" x14ac:dyDescent="0.25">
      <c r="B125" s="19"/>
      <c r="C125" s="19"/>
      <c r="D125" s="19"/>
      <c r="E125" s="19"/>
      <c r="F125" s="19"/>
      <c r="G125" s="19"/>
      <c r="H125" s="43">
        <f t="shared" si="47"/>
        <v>47788</v>
      </c>
      <c r="I125" s="264">
        <v>0</v>
      </c>
      <c r="J125" s="64">
        <f t="shared" ca="1" si="39"/>
        <v>0</v>
      </c>
      <c r="K125" s="19">
        <f ca="1">SUMPRODUCT(V$7:V125,OFFSET($J$366,ROW($I$7)-ROW(),0):$J$366)</f>
        <v>0</v>
      </c>
      <c r="L125" s="19">
        <f ca="1">SUMPRODUCT(W$7:W125,OFFSET($J$366,ROW($I$7)-ROW(),0):$J$366)</f>
        <v>0</v>
      </c>
      <c r="M125" s="19">
        <f ca="1">SUMPRODUCT(X$7:X125,OFFSET($J$366,ROW($I$7)-ROW(),0):$J$366)</f>
        <v>0</v>
      </c>
      <c r="N125" s="19"/>
      <c r="O125" s="43">
        <f t="shared" si="40"/>
        <v>47058</v>
      </c>
      <c r="P125" s="24">
        <f t="shared" si="41"/>
        <v>3592</v>
      </c>
      <c r="Q125" s="19">
        <f t="shared" si="42"/>
        <v>8.8305454850518448</v>
      </c>
      <c r="R125" s="19">
        <f t="shared" si="25"/>
        <v>47.715605962502806</v>
      </c>
      <c r="S125" s="19">
        <f t="shared" si="26"/>
        <v>0.75348421475003591</v>
      </c>
      <c r="T125" s="19"/>
      <c r="U125" s="24">
        <f t="shared" si="48"/>
        <v>3590.739999999993</v>
      </c>
      <c r="V125" s="19">
        <f t="shared" si="27"/>
        <v>36.763766557509648</v>
      </c>
      <c r="W125" s="19">
        <f t="shared" si="28"/>
        <v>96.177358958516038</v>
      </c>
      <c r="X125" s="19">
        <f t="shared" si="29"/>
        <v>18.381883278754824</v>
      </c>
      <c r="Y125" s="27"/>
      <c r="Z125" s="42">
        <f t="shared" si="43"/>
        <v>47788</v>
      </c>
      <c r="AA125" s="19">
        <f t="shared" ca="1" si="30"/>
        <v>7.4342546369448534</v>
      </c>
      <c r="AB125" s="19">
        <f t="shared" ca="1" si="31"/>
        <v>40.977279817179934</v>
      </c>
      <c r="AC125" s="19">
        <f t="shared" ca="1" si="32"/>
        <v>0.32466704563033416</v>
      </c>
      <c r="AD125" s="19">
        <f t="shared" ca="1" si="33"/>
        <v>6.1465919725769904</v>
      </c>
      <c r="AE125" s="115">
        <f t="shared" ca="1" si="34"/>
        <v>223.0276391083456</v>
      </c>
      <c r="AF125" s="19">
        <f t="shared" ca="1" si="35"/>
        <v>1229.318394515398</v>
      </c>
      <c r="AG125" s="19">
        <f t="shared" ca="1" si="36"/>
        <v>9.7400113689100252</v>
      </c>
      <c r="AH125" s="19">
        <f t="shared" ca="1" si="37"/>
        <v>184.39775917730972</v>
      </c>
      <c r="AI125" s="46">
        <f t="shared" ca="1" si="44"/>
        <v>5511.9553766078379</v>
      </c>
      <c r="AJ125" s="55">
        <f t="shared" ca="1" si="45"/>
        <v>4.1844351433455523E-2</v>
      </c>
      <c r="AK125" s="19">
        <f t="shared" ca="1" si="46"/>
        <v>181.42381998299467</v>
      </c>
      <c r="AL125" s="19">
        <f t="shared" ca="1" si="38"/>
        <v>150</v>
      </c>
    </row>
    <row r="126" spans="2:38" x14ac:dyDescent="0.25">
      <c r="B126" s="19"/>
      <c r="C126" s="19"/>
      <c r="D126" s="19"/>
      <c r="E126" s="19"/>
      <c r="F126" s="19"/>
      <c r="G126" s="19"/>
      <c r="H126" s="44">
        <f t="shared" si="47"/>
        <v>47818</v>
      </c>
      <c r="I126" s="265">
        <v>0</v>
      </c>
      <c r="J126" s="65">
        <f t="shared" ca="1" si="39"/>
        <v>0</v>
      </c>
      <c r="K126" s="21">
        <f ca="1">SUMPRODUCT(V$7:V126,OFFSET($J$366,ROW($I$7)-ROW(),0):$J$366)</f>
        <v>0</v>
      </c>
      <c r="L126" s="21">
        <f ca="1">SUMPRODUCT(W$7:W126,OFFSET($J$366,ROW($I$7)-ROW(),0):$J$366)</f>
        <v>0</v>
      </c>
      <c r="M126" s="21">
        <f ca="1">SUMPRODUCT(X$7:X126,OFFSET($J$366,ROW($I$7)-ROW(),0):$J$366)</f>
        <v>0</v>
      </c>
      <c r="N126" s="19"/>
      <c r="O126" s="44">
        <f t="shared" si="40"/>
        <v>47088</v>
      </c>
      <c r="P126" s="25">
        <f t="shared" si="41"/>
        <v>3622</v>
      </c>
      <c r="Q126" s="21">
        <f t="shared" si="42"/>
        <v>8.7638145116251991</v>
      </c>
      <c r="R126" s="21">
        <f t="shared" si="25"/>
        <v>47.395316445772899</v>
      </c>
      <c r="S126" s="21">
        <f t="shared" si="26"/>
        <v>0.72780939528558752</v>
      </c>
      <c r="T126" s="19"/>
      <c r="U126" s="25">
        <f t="shared" si="48"/>
        <v>3621.1699999999928</v>
      </c>
      <c r="V126" s="21">
        <f t="shared" si="27"/>
        <v>36.512675445820804</v>
      </c>
      <c r="W126" s="21">
        <f t="shared" si="28"/>
        <v>95.685645638187779</v>
      </c>
      <c r="X126" s="21">
        <f t="shared" si="29"/>
        <v>18.256337722910402</v>
      </c>
      <c r="Y126" s="27"/>
      <c r="Z126" s="48">
        <f t="shared" si="43"/>
        <v>47818</v>
      </c>
      <c r="AA126" s="21">
        <f t="shared" ca="1" si="30"/>
        <v>7.3834797725563428</v>
      </c>
      <c r="AB126" s="21">
        <f t="shared" ca="1" si="31"/>
        <v>40.740840355625096</v>
      </c>
      <c r="AC126" s="21">
        <f t="shared" ca="1" si="32"/>
        <v>0.31364975347079688</v>
      </c>
      <c r="AD126" s="21">
        <f t="shared" ca="1" si="33"/>
        <v>6.1111260533437646</v>
      </c>
      <c r="AE126" s="116">
        <f t="shared" ca="1" si="34"/>
        <v>228.88787294924663</v>
      </c>
      <c r="AF126" s="21">
        <f t="shared" ca="1" si="35"/>
        <v>1262.966051024378</v>
      </c>
      <c r="AG126" s="21">
        <f t="shared" ca="1" si="36"/>
        <v>9.7231423575947034</v>
      </c>
      <c r="AH126" s="21">
        <f t="shared" ca="1" si="37"/>
        <v>189.44490765365671</v>
      </c>
      <c r="AI126" s="47">
        <f t="shared" ca="1" si="44"/>
        <v>5517.8373355954373</v>
      </c>
      <c r="AJ126" s="57">
        <f t="shared" ca="1" si="45"/>
        <v>4.0748924960950561E-2</v>
      </c>
      <c r="AK126" s="21">
        <f t="shared" ca="1" si="46"/>
        <v>181.23042401939324</v>
      </c>
      <c r="AL126" s="21">
        <f t="shared" ca="1" si="38"/>
        <v>150.00000000000003</v>
      </c>
    </row>
    <row r="127" spans="2:38" s="200" customFormat="1" x14ac:dyDescent="0.25">
      <c r="B127" s="275"/>
      <c r="C127" s="275"/>
      <c r="D127" s="275"/>
      <c r="E127" s="275"/>
      <c r="F127" s="275"/>
      <c r="G127" s="275"/>
      <c r="H127" s="272">
        <f t="shared" si="47"/>
        <v>47849</v>
      </c>
      <c r="I127" s="264">
        <v>0</v>
      </c>
      <c r="J127" s="277">
        <f t="shared" ca="1" si="39"/>
        <v>0</v>
      </c>
      <c r="K127" s="275">
        <f ca="1">SUMPRODUCT(V$7:V127,OFFSET($J$366,ROW($I$7)-ROW(),0):$J$366)</f>
        <v>0</v>
      </c>
      <c r="L127" s="275">
        <f ca="1">SUMPRODUCT(W$7:W127,OFFSET($J$366,ROW($I$7)-ROW(),0):$J$366)</f>
        <v>0</v>
      </c>
      <c r="M127" s="275">
        <f ca="1">SUMPRODUCT(X$7:X127,OFFSET($J$366,ROW($I$7)-ROW(),0):$J$366)</f>
        <v>0</v>
      </c>
      <c r="N127" s="275"/>
      <c r="O127" s="272">
        <f t="shared" si="40"/>
        <v>47119</v>
      </c>
      <c r="P127" s="273">
        <f t="shared" si="41"/>
        <v>3653</v>
      </c>
      <c r="Q127" s="274">
        <f t="shared" si="42"/>
        <v>8.6959105005649686</v>
      </c>
      <c r="R127" s="275">
        <f t="shared" si="25"/>
        <v>47.06883674396498</v>
      </c>
      <c r="S127" s="275">
        <f t="shared" si="26"/>
        <v>0.70220192359095168</v>
      </c>
      <c r="T127" s="275"/>
      <c r="U127" s="273">
        <f t="shared" si="48"/>
        <v>3651.5999999999926</v>
      </c>
      <c r="V127" s="275">
        <f t="shared" si="27"/>
        <v>36.255016107276475</v>
      </c>
      <c r="W127" s="275">
        <f t="shared" si="28"/>
        <v>95.182796136589474</v>
      </c>
      <c r="X127" s="275">
        <f t="shared" si="29"/>
        <v>18.127508053638238</v>
      </c>
      <c r="Y127" s="276"/>
      <c r="Z127" s="278">
        <f t="shared" si="43"/>
        <v>47849</v>
      </c>
      <c r="AA127" s="275">
        <f t="shared" ca="1" si="30"/>
        <v>7.331376701742613</v>
      </c>
      <c r="AB127" s="275">
        <f t="shared" ca="1" si="31"/>
        <v>40.499369048703194</v>
      </c>
      <c r="AC127" s="275">
        <f t="shared" ca="1" si="32"/>
        <v>0.30265972637551058</v>
      </c>
      <c r="AD127" s="275">
        <f t="shared" ca="1" si="33"/>
        <v>6.0749053573054788</v>
      </c>
      <c r="AE127" s="279">
        <f t="shared" ca="1" si="34"/>
        <v>227.272677754021</v>
      </c>
      <c r="AF127" s="275">
        <f t="shared" ca="1" si="35"/>
        <v>1255.4804405097991</v>
      </c>
      <c r="AG127" s="275">
        <f t="shared" ca="1" si="36"/>
        <v>9.3824515176408276</v>
      </c>
      <c r="AH127" s="275">
        <f t="shared" ca="1" si="37"/>
        <v>188.32206607646984</v>
      </c>
      <c r="AI127" s="280">
        <f t="shared" ca="1" si="44"/>
        <v>5524.1151418500704</v>
      </c>
      <c r="AJ127" s="281">
        <f t="shared" ca="1" si="45"/>
        <v>3.9646094071641685E-2</v>
      </c>
      <c r="AK127" s="275">
        <f t="shared" ca="1" si="46"/>
        <v>181.02446714481263</v>
      </c>
      <c r="AL127" s="275">
        <f t="shared" ca="1" si="38"/>
        <v>150</v>
      </c>
    </row>
    <row r="128" spans="2:38" x14ac:dyDescent="0.25">
      <c r="B128" s="19"/>
      <c r="C128" s="19"/>
      <c r="D128" s="19"/>
      <c r="E128" s="19"/>
      <c r="F128" s="19"/>
      <c r="G128" s="19"/>
      <c r="H128" s="43">
        <f t="shared" si="47"/>
        <v>47880</v>
      </c>
      <c r="I128" s="264">
        <v>0</v>
      </c>
      <c r="J128" s="64">
        <f t="shared" ca="1" si="39"/>
        <v>0</v>
      </c>
      <c r="K128" s="19">
        <f ca="1">SUMPRODUCT(V$7:V128,OFFSET($J$366,ROW($I$7)-ROW(),0):$J$366)</f>
        <v>0</v>
      </c>
      <c r="L128" s="19">
        <f ca="1">SUMPRODUCT(W$7:W128,OFFSET($J$366,ROW($I$7)-ROW(),0):$J$366)</f>
        <v>0</v>
      </c>
      <c r="M128" s="19">
        <f ca="1">SUMPRODUCT(X$7:X128,OFFSET($J$366,ROW($I$7)-ROW(),0):$J$366)</f>
        <v>0</v>
      </c>
      <c r="N128" s="19"/>
      <c r="O128" s="43">
        <f t="shared" si="40"/>
        <v>47150</v>
      </c>
      <c r="P128" s="24">
        <f t="shared" si="41"/>
        <v>3684</v>
      </c>
      <c r="Q128" s="19">
        <f t="shared" si="42"/>
        <v>8.629050670137584</v>
      </c>
      <c r="R128" s="19">
        <f t="shared" si="25"/>
        <v>46.746824141231151</v>
      </c>
      <c r="S128" s="19">
        <f t="shared" si="26"/>
        <v>0.67749977830495312</v>
      </c>
      <c r="T128" s="19"/>
      <c r="U128" s="24">
        <f t="shared" si="48"/>
        <v>3682.0299999999925</v>
      </c>
      <c r="V128" s="19">
        <f t="shared" si="27"/>
        <v>35.999174995797908</v>
      </c>
      <c r="W128" s="19">
        <f t="shared" si="28"/>
        <v>94.724075841405636</v>
      </c>
      <c r="X128" s="19">
        <f t="shared" si="29"/>
        <v>17.999587497898954</v>
      </c>
      <c r="Y128" s="27"/>
      <c r="Z128" s="42">
        <f t="shared" si="43"/>
        <v>47880</v>
      </c>
      <c r="AA128" s="19">
        <f t="shared" ca="1" si="30"/>
        <v>7.279641307156334</v>
      </c>
      <c r="AB128" s="19">
        <f t="shared" ca="1" si="31"/>
        <v>40.260743281220194</v>
      </c>
      <c r="AC128" s="19">
        <f t="shared" ca="1" si="32"/>
        <v>0.29205663813029914</v>
      </c>
      <c r="AD128" s="19">
        <f t="shared" ca="1" si="33"/>
        <v>6.0391114921830296</v>
      </c>
      <c r="AE128" s="115">
        <f t="shared" ca="1" si="34"/>
        <v>203.82995660037736</v>
      </c>
      <c r="AF128" s="19">
        <f t="shared" ca="1" si="35"/>
        <v>1127.3008118741654</v>
      </c>
      <c r="AG128" s="19">
        <f t="shared" ca="1" si="36"/>
        <v>8.177585867648375</v>
      </c>
      <c r="AH128" s="19">
        <f t="shared" ca="1" si="37"/>
        <v>169.09512178112482</v>
      </c>
      <c r="AI128" s="46">
        <f t="shared" ca="1" si="44"/>
        <v>5530.5943771764423</v>
      </c>
      <c r="AJ128" s="55">
        <f t="shared" ca="1" si="45"/>
        <v>3.8572145936183806E-2</v>
      </c>
      <c r="AK128" s="19">
        <f t="shared" ca="1" si="46"/>
        <v>180.81239226777902</v>
      </c>
      <c r="AL128" s="19">
        <f t="shared" ca="1" si="38"/>
        <v>150</v>
      </c>
    </row>
    <row r="129" spans="2:38" x14ac:dyDescent="0.25">
      <c r="B129" s="19"/>
      <c r="C129" s="19"/>
      <c r="D129" s="19"/>
      <c r="E129" s="19"/>
      <c r="F129" s="19"/>
      <c r="G129" s="19"/>
      <c r="H129" s="43">
        <f t="shared" si="47"/>
        <v>47908</v>
      </c>
      <c r="I129" s="264">
        <v>0</v>
      </c>
      <c r="J129" s="64">
        <f t="shared" ca="1" si="39"/>
        <v>0</v>
      </c>
      <c r="K129" s="19">
        <f ca="1">SUMPRODUCT(V$7:V129,OFFSET($J$366,ROW($I$7)-ROW(),0):$J$366)</f>
        <v>0</v>
      </c>
      <c r="L129" s="19">
        <f ca="1">SUMPRODUCT(W$7:W129,OFFSET($J$366,ROW($I$7)-ROW(),0):$J$366)</f>
        <v>0</v>
      </c>
      <c r="M129" s="19">
        <f ca="1">SUMPRODUCT(X$7:X129,OFFSET($J$366,ROW($I$7)-ROW(),0):$J$366)</f>
        <v>0</v>
      </c>
      <c r="N129" s="19"/>
      <c r="O129" s="43">
        <f t="shared" si="40"/>
        <v>47178</v>
      </c>
      <c r="P129" s="24">
        <f t="shared" si="41"/>
        <v>3712</v>
      </c>
      <c r="Q129" s="19">
        <f t="shared" si="42"/>
        <v>8.5695387457766223</v>
      </c>
      <c r="R129" s="19">
        <f t="shared" si="25"/>
        <v>46.459737822732762</v>
      </c>
      <c r="S129" s="19">
        <f t="shared" si="26"/>
        <v>0.65593953637100466</v>
      </c>
      <c r="T129" s="19"/>
      <c r="U129" s="24">
        <f t="shared" si="48"/>
        <v>3712.4599999999923</v>
      </c>
      <c r="V129" s="19">
        <f t="shared" si="27"/>
        <v>35.769644832173668</v>
      </c>
      <c r="W129" s="19">
        <f t="shared" si="28"/>
        <v>94.275523338298228</v>
      </c>
      <c r="X129" s="19">
        <f t="shared" si="29"/>
        <v>17.884822416086834</v>
      </c>
      <c r="Y129" s="27"/>
      <c r="Z129" s="42">
        <f t="shared" si="43"/>
        <v>47908</v>
      </c>
      <c r="AA129" s="19">
        <f t="shared" ca="1" si="30"/>
        <v>7.2332264306889575</v>
      </c>
      <c r="AB129" s="19">
        <f t="shared" ca="1" si="31"/>
        <v>40.04761451524822</v>
      </c>
      <c r="AC129" s="19">
        <f t="shared" ca="1" si="32"/>
        <v>0.28280084126371757</v>
      </c>
      <c r="AD129" s="19">
        <f t="shared" ca="1" si="33"/>
        <v>6.0071421772872329</v>
      </c>
      <c r="AE129" s="115">
        <f t="shared" ca="1" si="34"/>
        <v>224.2300193513577</v>
      </c>
      <c r="AF129" s="19">
        <f t="shared" ca="1" si="35"/>
        <v>1241.4760499726949</v>
      </c>
      <c r="AG129" s="19">
        <f t="shared" ca="1" si="36"/>
        <v>8.7668260791752441</v>
      </c>
      <c r="AH129" s="19">
        <f t="shared" ca="1" si="37"/>
        <v>186.22140749590423</v>
      </c>
      <c r="AI129" s="46">
        <f t="shared" ca="1" si="44"/>
        <v>5536.6183955385623</v>
      </c>
      <c r="AJ129" s="55">
        <f t="shared" ca="1" si="45"/>
        <v>3.7626372421377001E-2</v>
      </c>
      <c r="AK129" s="19">
        <f t="shared" ca="1" si="46"/>
        <v>180.61566258671638</v>
      </c>
      <c r="AL129" s="19">
        <f t="shared" ca="1" si="38"/>
        <v>150</v>
      </c>
    </row>
    <row r="130" spans="2:38" x14ac:dyDescent="0.25">
      <c r="B130" s="19"/>
      <c r="C130" s="19"/>
      <c r="D130" s="19"/>
      <c r="E130" s="19"/>
      <c r="F130" s="19"/>
      <c r="G130" s="19"/>
      <c r="H130" s="43">
        <f t="shared" si="47"/>
        <v>47939</v>
      </c>
      <c r="I130" s="264">
        <v>0</v>
      </c>
      <c r="J130" s="64">
        <f t="shared" ca="1" si="39"/>
        <v>0</v>
      </c>
      <c r="K130" s="19">
        <f ca="1">SUMPRODUCT(V$7:V130,OFFSET($J$366,ROW($I$7)-ROW(),0):$J$366)</f>
        <v>0</v>
      </c>
      <c r="L130" s="19">
        <f ca="1">SUMPRODUCT(W$7:W130,OFFSET($J$366,ROW($I$7)-ROW(),0):$J$366)</f>
        <v>0</v>
      </c>
      <c r="M130" s="19">
        <f ca="1">SUMPRODUCT(X$7:X130,OFFSET($J$366,ROW($I$7)-ROW(),0):$J$366)</f>
        <v>0</v>
      </c>
      <c r="N130" s="19"/>
      <c r="O130" s="43">
        <f t="shared" si="40"/>
        <v>47209</v>
      </c>
      <c r="P130" s="24">
        <f t="shared" si="41"/>
        <v>3743</v>
      </c>
      <c r="Q130" s="19">
        <f t="shared" si="42"/>
        <v>8.5046007964723653</v>
      </c>
      <c r="R130" s="19">
        <f t="shared" si="25"/>
        <v>46.145977590306181</v>
      </c>
      <c r="S130" s="19">
        <f t="shared" si="26"/>
        <v>0.6328725360834383</v>
      </c>
      <c r="T130" s="19"/>
      <c r="U130" s="24">
        <f t="shared" si="48"/>
        <v>3742.8899999999921</v>
      </c>
      <c r="V130" s="19">
        <f t="shared" si="27"/>
        <v>35.517228844714758</v>
      </c>
      <c r="W130" s="19">
        <f t="shared" si="28"/>
        <v>93.781388834072615</v>
      </c>
      <c r="X130" s="19">
        <f t="shared" si="29"/>
        <v>17.758614422357379</v>
      </c>
      <c r="Y130" s="27"/>
      <c r="Z130" s="42">
        <f t="shared" si="43"/>
        <v>47939</v>
      </c>
      <c r="AA130" s="19">
        <f t="shared" ca="1" si="30"/>
        <v>7.1821836540390205</v>
      </c>
      <c r="AB130" s="19">
        <f t="shared" ca="1" si="31"/>
        <v>39.814267273373801</v>
      </c>
      <c r="AC130" s="19">
        <f t="shared" ca="1" si="32"/>
        <v>0.27289677145789876</v>
      </c>
      <c r="AD130" s="19">
        <f t="shared" ca="1" si="33"/>
        <v>5.9721400910060707</v>
      </c>
      <c r="AE130" s="115">
        <f t="shared" ca="1" si="34"/>
        <v>215.46550962117061</v>
      </c>
      <c r="AF130" s="19">
        <f t="shared" ca="1" si="35"/>
        <v>1194.4280182012139</v>
      </c>
      <c r="AG130" s="19">
        <f t="shared" ca="1" si="36"/>
        <v>8.1869031437369628</v>
      </c>
      <c r="AH130" s="19">
        <f t="shared" ca="1" si="37"/>
        <v>179.16420273018213</v>
      </c>
      <c r="AI130" s="46">
        <f t="shared" ca="1" si="44"/>
        <v>5543.4766348509593</v>
      </c>
      <c r="AJ130" s="55">
        <f t="shared" ca="1" si="45"/>
        <v>3.6605476518344705E-2</v>
      </c>
      <c r="AK130" s="19">
        <f t="shared" ca="1" si="46"/>
        <v>180.39220977556906</v>
      </c>
      <c r="AL130" s="19">
        <f t="shared" ca="1" si="38"/>
        <v>150.00000000000003</v>
      </c>
    </row>
    <row r="131" spans="2:38" x14ac:dyDescent="0.25">
      <c r="B131" s="19"/>
      <c r="C131" s="19"/>
      <c r="D131" s="19"/>
      <c r="E131" s="19"/>
      <c r="F131" s="19"/>
      <c r="G131" s="19"/>
      <c r="H131" s="43">
        <f t="shared" si="47"/>
        <v>47969</v>
      </c>
      <c r="I131" s="264">
        <v>0</v>
      </c>
      <c r="J131" s="64">
        <f t="shared" ca="1" si="39"/>
        <v>0</v>
      </c>
      <c r="K131" s="19">
        <f ca="1">SUMPRODUCT(V$7:V131,OFFSET($J$366,ROW($I$7)-ROW(),0):$J$366)</f>
        <v>0</v>
      </c>
      <c r="L131" s="19">
        <f ca="1">SUMPRODUCT(W$7:W131,OFFSET($J$366,ROW($I$7)-ROW(),0):$J$366)</f>
        <v>0</v>
      </c>
      <c r="M131" s="19">
        <f ca="1">SUMPRODUCT(X$7:X131,OFFSET($J$366,ROW($I$7)-ROW(),0):$J$366)</f>
        <v>0</v>
      </c>
      <c r="N131" s="19"/>
      <c r="O131" s="43">
        <f t="shared" si="40"/>
        <v>47239</v>
      </c>
      <c r="P131" s="24">
        <f t="shared" si="41"/>
        <v>3773</v>
      </c>
      <c r="Q131" s="19">
        <f t="shared" si="42"/>
        <v>8.4426878579805127</v>
      </c>
      <c r="R131" s="19">
        <f t="shared" si="25"/>
        <v>45.846347485649737</v>
      </c>
      <c r="S131" s="19">
        <f t="shared" si="26"/>
        <v>0.61132601008643539</v>
      </c>
      <c r="T131" s="19"/>
      <c r="U131" s="24">
        <f t="shared" si="48"/>
        <v>3773.319999999992</v>
      </c>
      <c r="V131" s="19">
        <f t="shared" si="27"/>
        <v>35.274651402036895</v>
      </c>
      <c r="W131" s="19">
        <f t="shared" si="28"/>
        <v>93.305660269267293</v>
      </c>
      <c r="X131" s="19">
        <f t="shared" si="29"/>
        <v>17.637325701018447</v>
      </c>
      <c r="Y131" s="27"/>
      <c r="Z131" s="42">
        <f t="shared" si="43"/>
        <v>47969</v>
      </c>
      <c r="AA131" s="19">
        <f t="shared" ca="1" si="30"/>
        <v>7.1331303973433258</v>
      </c>
      <c r="AB131" s="19">
        <f t="shared" ca="1" si="31"/>
        <v>39.591021989236879</v>
      </c>
      <c r="AC131" s="19">
        <f t="shared" ca="1" si="32"/>
        <v>0.26364415928965546</v>
      </c>
      <c r="AD131" s="19">
        <f t="shared" ca="1" si="33"/>
        <v>5.9386532983855318</v>
      </c>
      <c r="AE131" s="115">
        <f t="shared" ca="1" si="34"/>
        <v>221.12704231764309</v>
      </c>
      <c r="AF131" s="19">
        <f t="shared" ca="1" si="35"/>
        <v>1227.3216816663432</v>
      </c>
      <c r="AG131" s="19">
        <f t="shared" ca="1" si="36"/>
        <v>8.17296893797932</v>
      </c>
      <c r="AH131" s="19">
        <f t="shared" ca="1" si="37"/>
        <v>184.09825224995149</v>
      </c>
      <c r="AI131" s="46">
        <f t="shared" ca="1" si="44"/>
        <v>5550.3011698737801</v>
      </c>
      <c r="AJ131" s="55">
        <f t="shared" ca="1" si="45"/>
        <v>3.5643124887892563E-2</v>
      </c>
      <c r="AK131" s="19">
        <f t="shared" ca="1" si="46"/>
        <v>180.17040326169203</v>
      </c>
      <c r="AL131" s="19">
        <f t="shared" ca="1" si="38"/>
        <v>150</v>
      </c>
    </row>
    <row r="132" spans="2:38" x14ac:dyDescent="0.25">
      <c r="B132" s="19"/>
      <c r="C132" s="19"/>
      <c r="D132" s="19"/>
      <c r="E132" s="19"/>
      <c r="F132" s="19"/>
      <c r="G132" s="19"/>
      <c r="H132" s="43">
        <f t="shared" si="47"/>
        <v>48000</v>
      </c>
      <c r="I132" s="264">
        <v>0</v>
      </c>
      <c r="J132" s="64">
        <f t="shared" ca="1" si="39"/>
        <v>0</v>
      </c>
      <c r="K132" s="19">
        <f ca="1">SUMPRODUCT(V$7:V132,OFFSET($J$366,ROW($I$7)-ROW(),0):$J$366)</f>
        <v>0</v>
      </c>
      <c r="L132" s="19">
        <f ca="1">SUMPRODUCT(W$7:W132,OFFSET($J$366,ROW($I$7)-ROW(),0):$J$366)</f>
        <v>0</v>
      </c>
      <c r="M132" s="19">
        <f ca="1">SUMPRODUCT(X$7:X132,OFFSET($J$366,ROW($I$7)-ROW(),0):$J$366)</f>
        <v>0</v>
      </c>
      <c r="N132" s="19"/>
      <c r="O132" s="43">
        <f t="shared" si="40"/>
        <v>47270</v>
      </c>
      <c r="P132" s="24">
        <f t="shared" si="41"/>
        <v>3804</v>
      </c>
      <c r="Q132" s="19">
        <f t="shared" si="42"/>
        <v>8.3796511013482604</v>
      </c>
      <c r="R132" s="19">
        <f t="shared" si="25"/>
        <v>45.540790232961768</v>
      </c>
      <c r="S132" s="19">
        <f t="shared" si="26"/>
        <v>0.58983533954111511</v>
      </c>
      <c r="T132" s="19"/>
      <c r="U132" s="24">
        <f t="shared" si="48"/>
        <v>3803.7499999999918</v>
      </c>
      <c r="V132" s="19">
        <f t="shared" si="27"/>
        <v>35.02572843934913</v>
      </c>
      <c r="W132" s="19">
        <f t="shared" si="28"/>
        <v>92.816609192741808</v>
      </c>
      <c r="X132" s="19">
        <f t="shared" si="29"/>
        <v>17.512864219674565</v>
      </c>
      <c r="Y132" s="27"/>
      <c r="Z132" s="42">
        <f t="shared" si="43"/>
        <v>48000</v>
      </c>
      <c r="AA132" s="19">
        <f t="shared" ca="1" si="30"/>
        <v>7.0827939693087076</v>
      </c>
      <c r="AB132" s="19">
        <f t="shared" ca="1" si="31"/>
        <v>39.362950160184702</v>
      </c>
      <c r="AC132" s="19">
        <f t="shared" ca="1" si="32"/>
        <v>0.25441416251877486</v>
      </c>
      <c r="AD132" s="19">
        <f t="shared" ca="1" si="33"/>
        <v>5.9044425240277052</v>
      </c>
      <c r="AE132" s="115">
        <f t="shared" ca="1" si="34"/>
        <v>212.48381907926122</v>
      </c>
      <c r="AF132" s="19">
        <f t="shared" ca="1" si="35"/>
        <v>1180.8885048055411</v>
      </c>
      <c r="AG132" s="19">
        <f t="shared" ca="1" si="36"/>
        <v>7.6324248755632453</v>
      </c>
      <c r="AH132" s="19">
        <f t="shared" ca="1" si="37"/>
        <v>177.13327572083116</v>
      </c>
      <c r="AI132" s="46">
        <f t="shared" ca="1" si="44"/>
        <v>5557.5455576927634</v>
      </c>
      <c r="AJ132" s="55">
        <f t="shared" ca="1" si="45"/>
        <v>3.4674518965214056E-2</v>
      </c>
      <c r="AK132" s="19">
        <f t="shared" ca="1" si="46"/>
        <v>179.93554701783748</v>
      </c>
      <c r="AL132" s="19">
        <f t="shared" ca="1" si="38"/>
        <v>150</v>
      </c>
    </row>
    <row r="133" spans="2:38" x14ac:dyDescent="0.25">
      <c r="B133" s="19"/>
      <c r="C133" s="19"/>
      <c r="D133" s="19"/>
      <c r="E133" s="19"/>
      <c r="F133" s="19"/>
      <c r="G133" s="19"/>
      <c r="H133" s="43">
        <f t="shared" si="47"/>
        <v>48030</v>
      </c>
      <c r="I133" s="264">
        <v>0</v>
      </c>
      <c r="J133" s="64">
        <f t="shared" ca="1" si="39"/>
        <v>0</v>
      </c>
      <c r="K133" s="19">
        <f ca="1">SUMPRODUCT(V$7:V133,OFFSET($J$366,ROW($I$7)-ROW(),0):$J$366)</f>
        <v>0</v>
      </c>
      <c r="L133" s="19">
        <f ca="1">SUMPRODUCT(W$7:W133,OFFSET($J$366,ROW($I$7)-ROW(),0):$J$366)</f>
        <v>0</v>
      </c>
      <c r="M133" s="19">
        <f ca="1">SUMPRODUCT(X$7:X133,OFFSET($J$366,ROW($I$7)-ROW(),0):$J$366)</f>
        <v>0</v>
      </c>
      <c r="N133" s="19"/>
      <c r="O133" s="43">
        <f t="shared" si="40"/>
        <v>47300</v>
      </c>
      <c r="P133" s="24">
        <f t="shared" si="41"/>
        <v>3834</v>
      </c>
      <c r="Q133" s="19">
        <f t="shared" si="42"/>
        <v>8.3195376203191529</v>
      </c>
      <c r="R133" s="19">
        <f t="shared" si="25"/>
        <v>45.248942816837967</v>
      </c>
      <c r="S133" s="19">
        <f t="shared" si="26"/>
        <v>0.56976098842225087</v>
      </c>
      <c r="T133" s="19"/>
      <c r="U133" s="24">
        <f t="shared" si="48"/>
        <v>3834.1799999999917</v>
      </c>
      <c r="V133" s="19">
        <f t="shared" si="27"/>
        <v>34.786507872060675</v>
      </c>
      <c r="W133" s="19">
        <f t="shared" si="28"/>
        <v>92.345774703827573</v>
      </c>
      <c r="X133" s="19">
        <f t="shared" si="29"/>
        <v>17.393253936030337</v>
      </c>
      <c r="Y133" s="27"/>
      <c r="Z133" s="42">
        <f t="shared" si="43"/>
        <v>48030</v>
      </c>
      <c r="AA133" s="19">
        <f t="shared" ca="1" si="30"/>
        <v>7.034419529523416</v>
      </c>
      <c r="AB133" s="19">
        <f t="shared" ca="1" si="31"/>
        <v>39.144723541299804</v>
      </c>
      <c r="AC133" s="19">
        <f t="shared" ca="1" si="32"/>
        <v>0.24579117846908982</v>
      </c>
      <c r="AD133" s="19">
        <f t="shared" ca="1" si="33"/>
        <v>5.8717085311949706</v>
      </c>
      <c r="AE133" s="115">
        <f t="shared" ca="1" si="34"/>
        <v>218.06700541522591</v>
      </c>
      <c r="AF133" s="19">
        <f t="shared" ca="1" si="35"/>
        <v>1213.486429780294</v>
      </c>
      <c r="AG133" s="19">
        <f t="shared" ca="1" si="36"/>
        <v>7.6195265325417845</v>
      </c>
      <c r="AH133" s="19">
        <f t="shared" ca="1" si="37"/>
        <v>182.02296446704409</v>
      </c>
      <c r="AI133" s="46">
        <f t="shared" ca="1" si="44"/>
        <v>5564.7411100531663</v>
      </c>
      <c r="AJ133" s="55">
        <f t="shared" ca="1" si="45"/>
        <v>3.3761547340827709E-2</v>
      </c>
      <c r="AK133" s="19">
        <f t="shared" ca="1" si="46"/>
        <v>179.70287929359679</v>
      </c>
      <c r="AL133" s="19">
        <f t="shared" ca="1" si="38"/>
        <v>149.99999999999997</v>
      </c>
    </row>
    <row r="134" spans="2:38" x14ac:dyDescent="0.25">
      <c r="B134" s="19"/>
      <c r="C134" s="19"/>
      <c r="D134" s="19"/>
      <c r="E134" s="19"/>
      <c r="F134" s="19"/>
      <c r="G134" s="19"/>
      <c r="H134" s="43">
        <f t="shared" si="47"/>
        <v>48061</v>
      </c>
      <c r="I134" s="264">
        <v>0</v>
      </c>
      <c r="J134" s="64">
        <f t="shared" ca="1" si="39"/>
        <v>0</v>
      </c>
      <c r="K134" s="19">
        <f ca="1">SUMPRODUCT(V$7:V134,OFFSET($J$366,ROW($I$7)-ROW(),0):$J$366)</f>
        <v>0</v>
      </c>
      <c r="L134" s="19">
        <f ca="1">SUMPRODUCT(W$7:W134,OFFSET($J$366,ROW($I$7)-ROW(),0):$J$366)</f>
        <v>0</v>
      </c>
      <c r="M134" s="19">
        <f ca="1">SUMPRODUCT(X$7:X134,OFFSET($J$366,ROW($I$7)-ROW(),0):$J$366)</f>
        <v>0</v>
      </c>
      <c r="N134" s="19"/>
      <c r="O134" s="43">
        <f t="shared" si="40"/>
        <v>47331</v>
      </c>
      <c r="P134" s="24">
        <f t="shared" si="41"/>
        <v>3865</v>
      </c>
      <c r="Q134" s="19">
        <f t="shared" si="42"/>
        <v>8.258319769967855</v>
      </c>
      <c r="R134" s="19">
        <f t="shared" si="25"/>
        <v>44.951271008717349</v>
      </c>
      <c r="S134" s="19">
        <f t="shared" si="26"/>
        <v>0.54973842703654419</v>
      </c>
      <c r="T134" s="19"/>
      <c r="U134" s="24">
        <f t="shared" si="48"/>
        <v>3864.6099999999915</v>
      </c>
      <c r="V134" s="19">
        <f t="shared" si="27"/>
        <v>34.541029596389478</v>
      </c>
      <c r="W134" s="19">
        <f t="shared" si="28"/>
        <v>91.861754759044416</v>
      </c>
      <c r="X134" s="19">
        <f t="shared" si="29"/>
        <v>17.270514798194739</v>
      </c>
      <c r="Y134" s="27"/>
      <c r="Z134" s="42">
        <f t="shared" si="43"/>
        <v>48061</v>
      </c>
      <c r="AA134" s="19">
        <f t="shared" ca="1" si="30"/>
        <v>6.9847796753935878</v>
      </c>
      <c r="AB134" s="19">
        <f t="shared" ca="1" si="31"/>
        <v>38.92175022968452</v>
      </c>
      <c r="AC134" s="19">
        <f t="shared" ca="1" si="32"/>
        <v>0.23718916463110387</v>
      </c>
      <c r="AD134" s="19">
        <f t="shared" ca="1" si="33"/>
        <v>5.838262534452678</v>
      </c>
      <c r="AE134" s="115">
        <f t="shared" ca="1" si="34"/>
        <v>216.52816993720123</v>
      </c>
      <c r="AF134" s="19">
        <f t="shared" ca="1" si="35"/>
        <v>1206.5742571202202</v>
      </c>
      <c r="AG134" s="19">
        <f t="shared" ca="1" si="36"/>
        <v>7.3528641035642197</v>
      </c>
      <c r="AH134" s="19">
        <f t="shared" ca="1" si="37"/>
        <v>180.98613856803303</v>
      </c>
      <c r="AI134" s="46">
        <f t="shared" ca="1" si="44"/>
        <v>5572.3662074553995</v>
      </c>
      <c r="AJ134" s="55">
        <f t="shared" ca="1" si="45"/>
        <v>3.2842728885312235E-2</v>
      </c>
      <c r="AK134" s="19">
        <f t="shared" ca="1" si="46"/>
        <v>179.45697801807722</v>
      </c>
      <c r="AL134" s="19">
        <f t="shared" ca="1" si="38"/>
        <v>150</v>
      </c>
    </row>
    <row r="135" spans="2:38" x14ac:dyDescent="0.25">
      <c r="B135" s="19"/>
      <c r="C135" s="19"/>
      <c r="D135" s="19"/>
      <c r="E135" s="19"/>
      <c r="F135" s="19"/>
      <c r="G135" s="19"/>
      <c r="H135" s="43">
        <f t="shared" si="47"/>
        <v>48092</v>
      </c>
      <c r="I135" s="264">
        <v>0</v>
      </c>
      <c r="J135" s="64">
        <f t="shared" ca="1" si="39"/>
        <v>0</v>
      </c>
      <c r="K135" s="19">
        <f ca="1">SUMPRODUCT(V$7:V135,OFFSET($J$366,ROW($I$7)-ROW(),0):$J$366)</f>
        <v>0</v>
      </c>
      <c r="L135" s="19">
        <f ca="1">SUMPRODUCT(W$7:W135,OFFSET($J$366,ROW($I$7)-ROW(),0):$J$366)</f>
        <v>0</v>
      </c>
      <c r="M135" s="19">
        <f ca="1">SUMPRODUCT(X$7:X135,OFFSET($J$366,ROW($I$7)-ROW(),0):$J$366)</f>
        <v>0</v>
      </c>
      <c r="N135" s="19"/>
      <c r="O135" s="43">
        <f t="shared" si="40"/>
        <v>47362</v>
      </c>
      <c r="P135" s="24">
        <f t="shared" si="41"/>
        <v>3896</v>
      </c>
      <c r="Q135" s="19">
        <f t="shared" si="42"/>
        <v>8.1979962602794618</v>
      </c>
      <c r="R135" s="19">
        <f t="shared" ref="R135:R198" si="49">IF(days&lt;tlim_gas,
qi_gas/(1+b_gas*(d_gas/365)*days)^(1/b_gas),
qlim_gas * EXP((-dmin_gas/365)* ( days-tlim_gas)))</f>
        <v>44.657490093743434</v>
      </c>
      <c r="S135" s="19">
        <f t="shared" ref="S135:S198" si="50">IF(days&lt;tlim_water,
qi_water/(1+b_water*(d_water/365)*days)^(1/b_water),
qlim_water * EXP((-dmin_water/365)* ( days-tlim_water)))</f>
        <v>0.5304228928057233</v>
      </c>
      <c r="T135" s="19"/>
      <c r="U135" s="24">
        <f t="shared" si="48"/>
        <v>3895.0399999999913</v>
      </c>
      <c r="V135" s="19">
        <f t="shared" ref="V135:V198" si="51">IF(days&lt;tlim_oil_new,
qi_oil_new/(1+b_oil_new*(d_oil_new/365)*days)^(1/b_oil_new),
qlim_oil_new * EXP((-dmin_oil_new/365)* ( days-tlim_oil_new)))</f>
        <v>34.297283589563662</v>
      </c>
      <c r="W135" s="19">
        <f t="shared" ref="W135:W198" si="52">IF(days&lt;tlim_gas_new,
qi_gas_new/(1+b_gas_new*(d_gas_new/365)*days)^(1/b_gas_new),
qlim_gas_new * EXP((-dmin_gas_new/365)* ( days-tlim_gas_new)))</f>
        <v>91.380271750116719</v>
      </c>
      <c r="X135" s="19">
        <f t="shared" ref="X135:X198" si="53">IF(days&lt;tlim_water_new,
qi_water_new/(1+b_water_new*(d_water_new/365)*days)^(1/b_water_new),
qlim_water_new * EXP((-dmin_water_new/365)* ( days-tlim_water_new)))</f>
        <v>17.148641794781831</v>
      </c>
      <c r="Y135" s="27"/>
      <c r="Z135" s="42">
        <f t="shared" si="43"/>
        <v>48092</v>
      </c>
      <c r="AA135" s="19">
        <f t="shared" ref="AA135:AA198" ca="1" si="54">mult_vol * OFFSET(Q$6,MATCH($Z135,$O$7:$O$534,0),0)  +K135</f>
        <v>6.9354901152869823</v>
      </c>
      <c r="AB135" s="19">
        <f t="shared" ref="AB135:AB198" ca="1" si="55">mult_vol * (  VLOOKUP($Z135-qi_start, daily_base, 3, TRUE)  +  L135  )</f>
        <v>38.701302699441641</v>
      </c>
      <c r="AC135" s="19">
        <f t="shared" ref="AC135:AC198" ca="1" si="56">mult_vol * (  VLOOKUP($Z135-qi_start, daily_base, 4, TRUE)  +  M135  )</f>
        <v>0.22888964971722175</v>
      </c>
      <c r="AD135" s="19">
        <f t="shared" ref="AD135:AD198" ca="1" si="57">NGL_yield*(AB135/1000)</f>
        <v>5.8051954049162466</v>
      </c>
      <c r="AE135" s="115">
        <f t="shared" ref="AE135:AE198" ca="1" si="58">AA135*($Z136-$Z135)</f>
        <v>208.06470345860947</v>
      </c>
      <c r="AF135" s="19">
        <f t="shared" ref="AF135:AF198" ca="1" si="59">AB135*($Z136-$Z135)</f>
        <v>1161.0390809832493</v>
      </c>
      <c r="AG135" s="19">
        <f t="shared" ref="AG135:AG198" ca="1" si="60">AC135*($Z136-$Z135)</f>
        <v>6.8666894915166523</v>
      </c>
      <c r="AH135" s="19">
        <f t="shared" ref="AH135:AH198" ca="1" si="61">AD135*($Z136-$Z135)</f>
        <v>174.1558621474874</v>
      </c>
      <c r="AI135" s="46">
        <f t="shared" ca="1" si="44"/>
        <v>5580.1828069998228</v>
      </c>
      <c r="AJ135" s="55">
        <f t="shared" ca="1" si="45"/>
        <v>3.1948285437809622E-2</v>
      </c>
      <c r="AK135" s="19">
        <f t="shared" ca="1" si="46"/>
        <v>179.2055985595297</v>
      </c>
      <c r="AL135" s="19">
        <f t="shared" ref="AL135:AL198" ca="1" si="62">AH135/(AF135/1000)</f>
        <v>150</v>
      </c>
    </row>
    <row r="136" spans="2:38" x14ac:dyDescent="0.25">
      <c r="B136" s="19"/>
      <c r="C136" s="19"/>
      <c r="D136" s="19"/>
      <c r="E136" s="19"/>
      <c r="F136" s="19"/>
      <c r="G136" s="19"/>
      <c r="H136" s="43">
        <f t="shared" si="47"/>
        <v>48122</v>
      </c>
      <c r="I136" s="264">
        <v>0</v>
      </c>
      <c r="J136" s="64">
        <f t="shared" ref="J136:J199" ca="1" si="63">OFFSET($I$7,ROW($I$366)-ROW(),0)</f>
        <v>0</v>
      </c>
      <c r="K136" s="19">
        <f ca="1">SUMPRODUCT(V$7:V136,OFFSET($J$366,ROW($I$7)-ROW(),0):$J$366)</f>
        <v>0</v>
      </c>
      <c r="L136" s="19">
        <f ca="1">SUMPRODUCT(W$7:W136,OFFSET($J$366,ROW($I$7)-ROW(),0):$J$366)</f>
        <v>0</v>
      </c>
      <c r="M136" s="19">
        <f ca="1">SUMPRODUCT(X$7:X136,OFFSET($J$366,ROW($I$7)-ROW(),0):$J$366)</f>
        <v>0</v>
      </c>
      <c r="N136" s="19"/>
      <c r="O136" s="43">
        <f t="shared" ref="O136:O199" si="64">EOMONTH(O135,0)+1</f>
        <v>47392</v>
      </c>
      <c r="P136" s="24">
        <f t="shared" ref="P136:P199" si="65">O136-$O$7</f>
        <v>3926</v>
      </c>
      <c r="Q136" s="19">
        <f t="shared" ref="Q136:Q199" si="66">IF(days&lt;tlim_oil,
qi_oil/(1+b_oil*(d_oil)*(days/365.25))^(1/b_oil),
qlim_oil * EXP((-dmin_oil/365)* ( days-tlim_oil)))</f>
        <v>8.1404518716885157</v>
      </c>
      <c r="R136" s="19">
        <f t="shared" si="49"/>
        <v>44.376819227975609</v>
      </c>
      <c r="S136" s="19">
        <f t="shared" si="50"/>
        <v>0.51237998912425131</v>
      </c>
      <c r="T136" s="19"/>
      <c r="U136" s="24">
        <f t="shared" si="48"/>
        <v>3925.4699999999912</v>
      </c>
      <c r="V136" s="19">
        <f t="shared" si="51"/>
        <v>34.063038193327138</v>
      </c>
      <c r="W136" s="19">
        <f t="shared" si="52"/>
        <v>90.916723427025488</v>
      </c>
      <c r="X136" s="19">
        <f t="shared" si="53"/>
        <v>17.031519096663569</v>
      </c>
      <c r="Y136" s="27"/>
      <c r="Z136" s="42">
        <f t="shared" ref="Z136:Z199" si="67">H136</f>
        <v>48122</v>
      </c>
      <c r="AA136" s="19">
        <f t="shared" ca="1" si="54"/>
        <v>6.8881217391324254</v>
      </c>
      <c r="AB136" s="19">
        <f t="shared" ca="1" si="55"/>
        <v>38.490331057131932</v>
      </c>
      <c r="AC136" s="19">
        <f t="shared" ca="1" si="56"/>
        <v>0.22113580977771213</v>
      </c>
      <c r="AD136" s="19">
        <f t="shared" ca="1" si="57"/>
        <v>5.7735496585697899</v>
      </c>
      <c r="AE136" s="115">
        <f t="shared" ca="1" si="58"/>
        <v>213.53177391310518</v>
      </c>
      <c r="AF136" s="19">
        <f t="shared" ca="1" si="59"/>
        <v>1193.2002627710899</v>
      </c>
      <c r="AG136" s="19">
        <f t="shared" ca="1" si="60"/>
        <v>6.8552101031090764</v>
      </c>
      <c r="AH136" s="19">
        <f t="shared" ca="1" si="61"/>
        <v>178.9800394156635</v>
      </c>
      <c r="AI136" s="46">
        <f t="shared" ref="AI136:AI199" ca="1" si="68">AF136/AE136*1000</f>
        <v>5587.9283954089751</v>
      </c>
      <c r="AJ136" s="55">
        <f t="shared" ref="AJ136:AJ199" ca="1" si="69">AG136/(AG136+AE136)</f>
        <v>3.1105331078012877E-2</v>
      </c>
      <c r="AK136" s="19">
        <f t="shared" ref="AK136:AK199" ca="1" si="70">AE136/(AF136/1000)</f>
        <v>178.95719652055618</v>
      </c>
      <c r="AL136" s="19">
        <f t="shared" ca="1" si="62"/>
        <v>150.00000000000003</v>
      </c>
    </row>
    <row r="137" spans="2:38" x14ac:dyDescent="0.25">
      <c r="B137" s="19"/>
      <c r="C137" s="19"/>
      <c r="D137" s="19"/>
      <c r="E137" s="19"/>
      <c r="F137" s="19"/>
      <c r="G137" s="19"/>
      <c r="H137" s="43">
        <f t="shared" ref="H137:H200" si="71">EOMONTH(H136,0)+1</f>
        <v>48153</v>
      </c>
      <c r="I137" s="264">
        <v>0</v>
      </c>
      <c r="J137" s="64">
        <f t="shared" ca="1" si="63"/>
        <v>0</v>
      </c>
      <c r="K137" s="19">
        <f ca="1">SUMPRODUCT(V$7:V137,OFFSET($J$366,ROW($I$7)-ROW(),0):$J$366)</f>
        <v>0</v>
      </c>
      <c r="L137" s="19">
        <f ca="1">SUMPRODUCT(W$7:W137,OFFSET($J$366,ROW($I$7)-ROW(),0):$J$366)</f>
        <v>0</v>
      </c>
      <c r="M137" s="19">
        <f ca="1">SUMPRODUCT(X$7:X137,OFFSET($J$366,ROW($I$7)-ROW(),0):$J$366)</f>
        <v>0</v>
      </c>
      <c r="N137" s="19"/>
      <c r="O137" s="43">
        <f t="shared" si="64"/>
        <v>47423</v>
      </c>
      <c r="P137" s="24">
        <f t="shared" si="65"/>
        <v>3957</v>
      </c>
      <c r="Q137" s="19">
        <f t="shared" si="66"/>
        <v>8.0818319118019133</v>
      </c>
      <c r="R137" s="19">
        <f t="shared" si="49"/>
        <v>44.090475126240072</v>
      </c>
      <c r="S137" s="19">
        <f t="shared" si="50"/>
        <v>0.49438329650328261</v>
      </c>
      <c r="T137" s="19"/>
      <c r="U137" s="24">
        <f t="shared" ref="U137:U200" si="72">U136+30.43</f>
        <v>3955.899999999991</v>
      </c>
      <c r="V137" s="19">
        <f t="shared" si="51"/>
        <v>33.822665232908875</v>
      </c>
      <c r="W137" s="19">
        <f t="shared" si="52"/>
        <v>90.440193693053899</v>
      </c>
      <c r="X137" s="19">
        <f t="shared" si="53"/>
        <v>16.911332616454438</v>
      </c>
      <c r="Y137" s="27"/>
      <c r="Z137" s="42">
        <f t="shared" si="67"/>
        <v>48153</v>
      </c>
      <c r="AA137" s="19">
        <f t="shared" ca="1" si="54"/>
        <v>6.8395142659892647</v>
      </c>
      <c r="AB137" s="19">
        <f t="shared" ca="1" si="55"/>
        <v>38.274729906792274</v>
      </c>
      <c r="AC137" s="19">
        <f t="shared" ca="1" si="56"/>
        <v>0.21340068242786397</v>
      </c>
      <c r="AD137" s="19">
        <f t="shared" ca="1" si="57"/>
        <v>5.7412094860188407</v>
      </c>
      <c r="AE137" s="115">
        <f t="shared" ca="1" si="58"/>
        <v>205.18542797967794</v>
      </c>
      <c r="AF137" s="19">
        <f t="shared" ca="1" si="59"/>
        <v>1148.2418972037683</v>
      </c>
      <c r="AG137" s="19">
        <f t="shared" ca="1" si="60"/>
        <v>6.4020204728359191</v>
      </c>
      <c r="AH137" s="19">
        <f t="shared" ca="1" si="61"/>
        <v>172.23628458056521</v>
      </c>
      <c r="AI137" s="46">
        <f t="shared" ca="1" si="68"/>
        <v>5596.1181479100596</v>
      </c>
      <c r="AJ137" s="55">
        <f t="shared" ca="1" si="69"/>
        <v>3.0257090010103845E-2</v>
      </c>
      <c r="AK137" s="19">
        <f t="shared" ca="1" si="70"/>
        <v>178.69529798499028</v>
      </c>
      <c r="AL137" s="19">
        <f t="shared" ca="1" si="62"/>
        <v>149.99999999999997</v>
      </c>
    </row>
    <row r="138" spans="2:38" x14ac:dyDescent="0.25">
      <c r="B138" s="19"/>
      <c r="C138" s="19"/>
      <c r="D138" s="19"/>
      <c r="E138" s="19"/>
      <c r="F138" s="19"/>
      <c r="G138" s="19"/>
      <c r="H138" s="44">
        <f t="shared" si="71"/>
        <v>48183</v>
      </c>
      <c r="I138" s="265">
        <v>0</v>
      </c>
      <c r="J138" s="65">
        <f t="shared" ca="1" si="63"/>
        <v>0</v>
      </c>
      <c r="K138" s="21">
        <f ca="1">SUMPRODUCT(V$7:V138,OFFSET($J$366,ROW($I$7)-ROW(),0):$J$366)</f>
        <v>0</v>
      </c>
      <c r="L138" s="21">
        <f ca="1">SUMPRODUCT(W$7:W138,OFFSET($J$366,ROW($I$7)-ROW(),0):$J$366)</f>
        <v>0</v>
      </c>
      <c r="M138" s="21">
        <f ca="1">SUMPRODUCT(X$7:X138,OFFSET($J$366,ROW($I$7)-ROW(),0):$J$366)</f>
        <v>0</v>
      </c>
      <c r="N138" s="19"/>
      <c r="O138" s="44">
        <f t="shared" si="64"/>
        <v>47453</v>
      </c>
      <c r="P138" s="25">
        <f t="shared" si="65"/>
        <v>3987</v>
      </c>
      <c r="Q138" s="21">
        <f t="shared" si="66"/>
        <v>8.025901196469361</v>
      </c>
      <c r="R138" s="21">
        <f t="shared" si="49"/>
        <v>43.816864519577926</v>
      </c>
      <c r="S138" s="21">
        <f t="shared" si="50"/>
        <v>0.47757213157594347</v>
      </c>
      <c r="T138" s="19"/>
      <c r="U138" s="25">
        <f t="shared" si="72"/>
        <v>3986.3299999999908</v>
      </c>
      <c r="V138" s="21">
        <f t="shared" si="51"/>
        <v>33.59166141015514</v>
      </c>
      <c r="W138" s="21">
        <f t="shared" si="52"/>
        <v>89.98141414114906</v>
      </c>
      <c r="X138" s="21">
        <f t="shared" si="53"/>
        <v>16.79583070507757</v>
      </c>
      <c r="Y138" s="27"/>
      <c r="Z138" s="48">
        <f t="shared" si="67"/>
        <v>48183</v>
      </c>
      <c r="AA138" s="21">
        <f t="shared" ca="1" si="54"/>
        <v>6.7928013907518352</v>
      </c>
      <c r="AB138" s="21">
        <f t="shared" ca="1" si="55"/>
        <v>38.068370970354295</v>
      </c>
      <c r="AC138" s="21">
        <f t="shared" ca="1" si="56"/>
        <v>0.20617403364271772</v>
      </c>
      <c r="AD138" s="21">
        <f t="shared" ca="1" si="57"/>
        <v>5.7102556455531444</v>
      </c>
      <c r="AE138" s="116">
        <f t="shared" ca="1" si="58"/>
        <v>210.57684311330689</v>
      </c>
      <c r="AF138" s="21">
        <f t="shared" ca="1" si="59"/>
        <v>1180.119500080983</v>
      </c>
      <c r="AG138" s="21">
        <f t="shared" ca="1" si="60"/>
        <v>6.3913950429242492</v>
      </c>
      <c r="AH138" s="21">
        <f t="shared" ca="1" si="61"/>
        <v>177.01792501214749</v>
      </c>
      <c r="AI138" s="47">
        <f t="shared" ca="1" si="68"/>
        <v>5604.2225851300564</v>
      </c>
      <c r="AJ138" s="57">
        <f t="shared" ca="1" si="69"/>
        <v>2.9457745047097781E-2</v>
      </c>
      <c r="AK138" s="21">
        <f t="shared" ca="1" si="70"/>
        <v>178.43688126402159</v>
      </c>
      <c r="AL138" s="21">
        <f t="shared" ca="1" si="62"/>
        <v>150.00000000000003</v>
      </c>
    </row>
    <row r="139" spans="2:38" x14ac:dyDescent="0.25">
      <c r="B139" s="19"/>
      <c r="C139" s="19"/>
      <c r="D139" s="19"/>
      <c r="E139" s="19"/>
      <c r="F139" s="19"/>
      <c r="G139" s="19"/>
      <c r="H139" s="43">
        <f t="shared" si="71"/>
        <v>48214</v>
      </c>
      <c r="I139" s="264">
        <v>0</v>
      </c>
      <c r="J139" s="64">
        <f t="shared" ca="1" si="63"/>
        <v>0</v>
      </c>
      <c r="K139" s="19">
        <f ca="1">SUMPRODUCT(V$7:V139,OFFSET($J$366,ROW($I$7)-ROW(),0):$J$366)</f>
        <v>0</v>
      </c>
      <c r="L139" s="19">
        <f ca="1">SUMPRODUCT(W$7:W139,OFFSET($J$366,ROW($I$7)-ROW(),0):$J$366)</f>
        <v>0</v>
      </c>
      <c r="M139" s="19">
        <f ca="1">SUMPRODUCT(X$7:X139,OFFSET($J$366,ROW($I$7)-ROW(),0):$J$366)</f>
        <v>0</v>
      </c>
      <c r="N139" s="19"/>
      <c r="O139" s="43">
        <f t="shared" si="64"/>
        <v>47484</v>
      </c>
      <c r="P139" s="24">
        <f t="shared" si="65"/>
        <v>4018</v>
      </c>
      <c r="Q139" s="19">
        <f t="shared" si="66"/>
        <v>7.9689136290409683</v>
      </c>
      <c r="R139" s="19">
        <f t="shared" si="49"/>
        <v>43.537678378391632</v>
      </c>
      <c r="S139" s="19">
        <f t="shared" si="50"/>
        <v>0.46080381453458946</v>
      </c>
      <c r="T139" s="19"/>
      <c r="U139" s="24">
        <f t="shared" si="72"/>
        <v>4016.7599999999907</v>
      </c>
      <c r="V139" s="19">
        <f t="shared" si="51"/>
        <v>33.354614818694358</v>
      </c>
      <c r="W139" s="19">
        <f t="shared" si="52"/>
        <v>89.509786725127114</v>
      </c>
      <c r="X139" s="19">
        <f t="shared" si="53"/>
        <v>16.677307409347179</v>
      </c>
      <c r="Y139" s="27"/>
      <c r="Z139" s="42">
        <f t="shared" si="67"/>
        <v>48214</v>
      </c>
      <c r="AA139" s="19">
        <f t="shared" ca="1" si="54"/>
        <v>6.7448665656032052</v>
      </c>
      <c r="AB139" s="19">
        <f t="shared" ca="1" si="55"/>
        <v>37.857458122446594</v>
      </c>
      <c r="AC139" s="19">
        <f t="shared" ca="1" si="56"/>
        <v>0.19896473627927694</v>
      </c>
      <c r="AD139" s="19">
        <f t="shared" ca="1" si="57"/>
        <v>5.6786187183669883</v>
      </c>
      <c r="AE139" s="115">
        <f t="shared" ca="1" si="58"/>
        <v>209.09086353369935</v>
      </c>
      <c r="AF139" s="19">
        <f t="shared" ca="1" si="59"/>
        <v>1173.5812017958444</v>
      </c>
      <c r="AG139" s="19">
        <f t="shared" ca="1" si="60"/>
        <v>6.1679068246575852</v>
      </c>
      <c r="AH139" s="19">
        <f t="shared" ca="1" si="61"/>
        <v>176.03718026937665</v>
      </c>
      <c r="AI139" s="46">
        <f t="shared" ca="1" si="68"/>
        <v>5612.7808836883842</v>
      </c>
      <c r="AJ139" s="55">
        <f t="shared" ca="1" si="69"/>
        <v>2.8653451909947371E-2</v>
      </c>
      <c r="AK139" s="19">
        <f t="shared" ca="1" si="70"/>
        <v>178.16480292436779</v>
      </c>
      <c r="AL139" s="19">
        <f t="shared" ca="1" si="62"/>
        <v>149.99999999999997</v>
      </c>
    </row>
    <row r="140" spans="2:38" x14ac:dyDescent="0.25">
      <c r="B140" s="19"/>
      <c r="C140" s="19"/>
      <c r="D140" s="19"/>
      <c r="E140" s="19"/>
      <c r="F140" s="19"/>
      <c r="G140" s="19"/>
      <c r="H140" s="43">
        <f t="shared" si="71"/>
        <v>48245</v>
      </c>
      <c r="I140" s="264">
        <v>0</v>
      </c>
      <c r="J140" s="64">
        <f t="shared" ca="1" si="63"/>
        <v>0</v>
      </c>
      <c r="K140" s="19">
        <f ca="1">SUMPRODUCT(V$7:V140,OFFSET($J$366,ROW($I$7)-ROW(),0):$J$366)</f>
        <v>0</v>
      </c>
      <c r="L140" s="19">
        <f ca="1">SUMPRODUCT(W$7:W140,OFFSET($J$366,ROW($I$7)-ROW(),0):$J$366)</f>
        <v>0</v>
      </c>
      <c r="M140" s="19">
        <f ca="1">SUMPRODUCT(X$7:X140,OFFSET($J$366,ROW($I$7)-ROW(),0):$J$366)</f>
        <v>0</v>
      </c>
      <c r="N140" s="19"/>
      <c r="O140" s="43">
        <f t="shared" si="64"/>
        <v>47515</v>
      </c>
      <c r="P140" s="24">
        <f t="shared" si="65"/>
        <v>4049</v>
      </c>
      <c r="Q140" s="19">
        <f t="shared" si="66"/>
        <v>7.9126535947351453</v>
      </c>
      <c r="R140" s="19">
        <f t="shared" si="49"/>
        <v>43.262027469964842</v>
      </c>
      <c r="S140" s="19">
        <f t="shared" si="50"/>
        <v>0.44462709942058382</v>
      </c>
      <c r="T140" s="19"/>
      <c r="U140" s="24">
        <f t="shared" si="72"/>
        <v>4047.1899999999905</v>
      </c>
      <c r="V140" s="19">
        <f t="shared" si="51"/>
        <v>33.119240996134081</v>
      </c>
      <c r="W140" s="19">
        <f t="shared" si="52"/>
        <v>89.040631290921283</v>
      </c>
      <c r="X140" s="19">
        <f t="shared" si="53"/>
        <v>16.559620498067041</v>
      </c>
      <c r="Y140" s="27"/>
      <c r="Z140" s="42">
        <f t="shared" si="67"/>
        <v>48245</v>
      </c>
      <c r="AA140" s="19">
        <f t="shared" ca="1" si="54"/>
        <v>6.697270002583827</v>
      </c>
      <c r="AB140" s="19">
        <f t="shared" ca="1" si="55"/>
        <v>37.648869467939356</v>
      </c>
      <c r="AC140" s="19">
        <f t="shared" ca="1" si="56"/>
        <v>0.19200874278836236</v>
      </c>
      <c r="AD140" s="19">
        <f t="shared" ca="1" si="57"/>
        <v>5.6473304201909036</v>
      </c>
      <c r="AE140" s="115">
        <f t="shared" ca="1" si="58"/>
        <v>194.22083007493097</v>
      </c>
      <c r="AF140" s="19">
        <f t="shared" ca="1" si="59"/>
        <v>1091.8172145702413</v>
      </c>
      <c r="AG140" s="19">
        <f t="shared" ca="1" si="60"/>
        <v>5.568253540862508</v>
      </c>
      <c r="AH140" s="19">
        <f t="shared" ca="1" si="61"/>
        <v>163.77258218553621</v>
      </c>
      <c r="AI140" s="46">
        <f t="shared" ca="1" si="68"/>
        <v>5621.5248083792812</v>
      </c>
      <c r="AJ140" s="55">
        <f t="shared" ca="1" si="69"/>
        <v>2.7870659598051899E-2</v>
      </c>
      <c r="AK140" s="19">
        <f t="shared" ca="1" si="70"/>
        <v>177.88767889264301</v>
      </c>
      <c r="AL140" s="19">
        <f t="shared" ca="1" si="62"/>
        <v>150.00000000000003</v>
      </c>
    </row>
    <row r="141" spans="2:38" s="200" customFormat="1" x14ac:dyDescent="0.25">
      <c r="B141" s="275"/>
      <c r="C141" s="275"/>
      <c r="D141" s="275"/>
      <c r="E141" s="275"/>
      <c r="F141" s="275"/>
      <c r="G141" s="275"/>
      <c r="H141" s="272">
        <f t="shared" si="71"/>
        <v>48274</v>
      </c>
      <c r="I141" s="264">
        <v>0</v>
      </c>
      <c r="J141" s="277">
        <f t="shared" ca="1" si="63"/>
        <v>0</v>
      </c>
      <c r="K141" s="275">
        <f ca="1">SUMPRODUCT(V$7:V141,OFFSET($J$366,ROW($I$7)-ROW(),0):$J$366)</f>
        <v>0</v>
      </c>
      <c r="L141" s="275">
        <f ca="1">SUMPRODUCT(W$7:W141,OFFSET($J$366,ROW($I$7)-ROW(),0):$J$366)</f>
        <v>0</v>
      </c>
      <c r="M141" s="275">
        <f ca="1">SUMPRODUCT(X$7:X141,OFFSET($J$366,ROW($I$7)-ROW(),0):$J$366)</f>
        <v>0</v>
      </c>
      <c r="N141" s="275"/>
      <c r="O141" s="272">
        <f t="shared" si="64"/>
        <v>47543</v>
      </c>
      <c r="P141" s="273">
        <f t="shared" si="65"/>
        <v>4077</v>
      </c>
      <c r="Q141" s="274">
        <f t="shared" si="66"/>
        <v>7.8622026420532141</v>
      </c>
      <c r="R141" s="275">
        <f t="shared" si="49"/>
        <v>43.016035528055426</v>
      </c>
      <c r="S141" s="275">
        <f t="shared" si="50"/>
        <v>0.43050690743900649</v>
      </c>
      <c r="T141" s="275"/>
      <c r="U141" s="273">
        <f t="shared" si="72"/>
        <v>4077.6199999999903</v>
      </c>
      <c r="V141" s="275">
        <f t="shared" si="51"/>
        <v>32.908073245599773</v>
      </c>
      <c r="W141" s="275">
        <f t="shared" si="52"/>
        <v>88.618991938000335</v>
      </c>
      <c r="X141" s="275">
        <f t="shared" si="53"/>
        <v>16.454036622799887</v>
      </c>
      <c r="Y141" s="276"/>
      <c r="Z141" s="278">
        <f t="shared" si="67"/>
        <v>48274</v>
      </c>
      <c r="AA141" s="275">
        <f t="shared" ca="1" si="54"/>
        <v>6.6530483018777637</v>
      </c>
      <c r="AB141" s="275">
        <f t="shared" ca="1" si="55"/>
        <v>37.455808397016682</v>
      </c>
      <c r="AC141" s="275">
        <f t="shared" ca="1" si="56"/>
        <v>0.18572291445951566</v>
      </c>
      <c r="AD141" s="275">
        <f t="shared" ca="1" si="57"/>
        <v>5.6183712595525028</v>
      </c>
      <c r="AE141" s="279">
        <f t="shared" ca="1" si="58"/>
        <v>206.24449735821068</v>
      </c>
      <c r="AF141" s="275">
        <f t="shared" ca="1" si="59"/>
        <v>1161.1300603075172</v>
      </c>
      <c r="AG141" s="275">
        <f t="shared" ca="1" si="60"/>
        <v>5.7574103482449859</v>
      </c>
      <c r="AH141" s="275">
        <f t="shared" ca="1" si="61"/>
        <v>174.16950904612759</v>
      </c>
      <c r="AI141" s="280">
        <f t="shared" ca="1" si="68"/>
        <v>5629.8717065446699</v>
      </c>
      <c r="AJ141" s="281">
        <f t="shared" ca="1" si="69"/>
        <v>2.7157351603726475E-2</v>
      </c>
      <c r="AK141" s="275">
        <f t="shared" ca="1" si="70"/>
        <v>177.62394102826713</v>
      </c>
      <c r="AL141" s="275">
        <f t="shared" ca="1" si="62"/>
        <v>150</v>
      </c>
    </row>
    <row r="142" spans="2:38" x14ac:dyDescent="0.25">
      <c r="B142" s="19"/>
      <c r="C142" s="19"/>
      <c r="D142" s="19"/>
      <c r="E142" s="19"/>
      <c r="F142" s="19"/>
      <c r="G142" s="19"/>
      <c r="H142" s="43">
        <f t="shared" si="71"/>
        <v>48305</v>
      </c>
      <c r="I142" s="264">
        <v>0</v>
      </c>
      <c r="J142" s="64">
        <f t="shared" ca="1" si="63"/>
        <v>0</v>
      </c>
      <c r="K142" s="19">
        <f ca="1">SUMPRODUCT(V$7:V142,OFFSET($J$366,ROW($I$7)-ROW(),0):$J$366)</f>
        <v>0</v>
      </c>
      <c r="L142" s="19">
        <f ca="1">SUMPRODUCT(W$7:W142,OFFSET($J$366,ROW($I$7)-ROW(),0):$J$366)</f>
        <v>0</v>
      </c>
      <c r="M142" s="19">
        <f ca="1">SUMPRODUCT(X$7:X142,OFFSET($J$366,ROW($I$7)-ROW(),0):$J$366)</f>
        <v>0</v>
      </c>
      <c r="N142" s="19"/>
      <c r="O142" s="43">
        <f t="shared" si="64"/>
        <v>47574</v>
      </c>
      <c r="P142" s="24">
        <f t="shared" si="65"/>
        <v>4108</v>
      </c>
      <c r="Q142" s="19">
        <f t="shared" si="66"/>
        <v>7.8067213630858907</v>
      </c>
      <c r="R142" s="19">
        <f t="shared" si="49"/>
        <v>42.746930008987277</v>
      </c>
      <c r="S142" s="19">
        <f t="shared" si="50"/>
        <v>0.41539882480114076</v>
      </c>
      <c r="T142" s="19"/>
      <c r="U142" s="24">
        <f t="shared" si="72"/>
        <v>4108.0499999999902</v>
      </c>
      <c r="V142" s="19">
        <f t="shared" si="51"/>
        <v>32.675850537137578</v>
      </c>
      <c r="W142" s="19">
        <f t="shared" si="52"/>
        <v>88.154505504028251</v>
      </c>
      <c r="X142" s="19">
        <f t="shared" si="53"/>
        <v>16.337925268568789</v>
      </c>
      <c r="Y142" s="27"/>
      <c r="Z142" s="42">
        <f t="shared" si="67"/>
        <v>48305</v>
      </c>
      <c r="AA142" s="19">
        <f t="shared" ca="1" si="54"/>
        <v>6.6060996736593536</v>
      </c>
      <c r="AB142" s="19">
        <f t="shared" ca="1" si="55"/>
        <v>37.251610380509796</v>
      </c>
      <c r="AC142" s="19">
        <f t="shared" ca="1" si="56"/>
        <v>0.17923206328775268</v>
      </c>
      <c r="AD142" s="19">
        <f t="shared" ca="1" si="57"/>
        <v>5.5877415570764688</v>
      </c>
      <c r="AE142" s="115">
        <f t="shared" ca="1" si="58"/>
        <v>198.1829902097806</v>
      </c>
      <c r="AF142" s="19">
        <f t="shared" ca="1" si="59"/>
        <v>1117.5483114152939</v>
      </c>
      <c r="AG142" s="19">
        <f t="shared" ca="1" si="60"/>
        <v>5.3769618986325804</v>
      </c>
      <c r="AH142" s="19">
        <f t="shared" ca="1" si="61"/>
        <v>167.63224671229406</v>
      </c>
      <c r="AI142" s="46">
        <f t="shared" ca="1" si="68"/>
        <v>5638.971892756018</v>
      </c>
      <c r="AJ142" s="55">
        <f t="shared" ca="1" si="69"/>
        <v>2.6414635309841721E-2</v>
      </c>
      <c r="AK142" s="19">
        <f t="shared" ca="1" si="70"/>
        <v>177.33729109106361</v>
      </c>
      <c r="AL142" s="19">
        <f t="shared" ca="1" si="62"/>
        <v>149.99999999999997</v>
      </c>
    </row>
    <row r="143" spans="2:38" x14ac:dyDescent="0.25">
      <c r="B143" s="19"/>
      <c r="C143" s="19"/>
      <c r="D143" s="19"/>
      <c r="E143" s="19"/>
      <c r="F143" s="19"/>
      <c r="G143" s="19"/>
      <c r="H143" s="43">
        <f t="shared" si="71"/>
        <v>48335</v>
      </c>
      <c r="I143" s="264">
        <v>0</v>
      </c>
      <c r="J143" s="64">
        <f t="shared" ca="1" si="63"/>
        <v>0</v>
      </c>
      <c r="K143" s="19">
        <f ca="1">SUMPRODUCT(V$7:V143,OFFSET($J$366,ROW($I$7)-ROW(),0):$J$366)</f>
        <v>0</v>
      </c>
      <c r="L143" s="19">
        <f ca="1">SUMPRODUCT(W$7:W143,OFFSET($J$366,ROW($I$7)-ROW(),0):$J$366)</f>
        <v>0</v>
      </c>
      <c r="M143" s="19">
        <f ca="1">SUMPRODUCT(X$7:X143,OFFSET($J$366,ROW($I$7)-ROW(),0):$J$366)</f>
        <v>0</v>
      </c>
      <c r="N143" s="19"/>
      <c r="O143" s="43">
        <f t="shared" si="64"/>
        <v>47604</v>
      </c>
      <c r="P143" s="24">
        <f t="shared" si="65"/>
        <v>4138</v>
      </c>
      <c r="Q143" s="19">
        <f t="shared" si="66"/>
        <v>7.7534026058079624</v>
      </c>
      <c r="R143" s="19">
        <f t="shared" si="49"/>
        <v>42.48969186636964</v>
      </c>
      <c r="S143" s="19">
        <f t="shared" si="50"/>
        <v>0.40128554925122428</v>
      </c>
      <c r="T143" s="19"/>
      <c r="U143" s="24">
        <f t="shared" si="72"/>
        <v>4138.4799999999905</v>
      </c>
      <c r="V143" s="19">
        <f t="shared" si="51"/>
        <v>32.452679289873949</v>
      </c>
      <c r="W143" s="19">
        <f t="shared" si="52"/>
        <v>87.707320653111253</v>
      </c>
      <c r="X143" s="19">
        <f t="shared" si="53"/>
        <v>16.226339644936974</v>
      </c>
      <c r="Y143" s="27"/>
      <c r="Z143" s="42">
        <f t="shared" si="67"/>
        <v>48335</v>
      </c>
      <c r="AA143" s="19">
        <f t="shared" ca="1" si="54"/>
        <v>6.5609809857144805</v>
      </c>
      <c r="AB143" s="19">
        <f t="shared" ca="1" si="55"/>
        <v>37.056108152733977</v>
      </c>
      <c r="AC143" s="19">
        <f t="shared" ca="1" si="56"/>
        <v>0.17316771037488635</v>
      </c>
      <c r="AD143" s="19">
        <f t="shared" ca="1" si="57"/>
        <v>5.558416222910096</v>
      </c>
      <c r="AE143" s="115">
        <f t="shared" ca="1" si="58"/>
        <v>203.3904105571489</v>
      </c>
      <c r="AF143" s="19">
        <f t="shared" ca="1" si="59"/>
        <v>1148.7393527347533</v>
      </c>
      <c r="AG143" s="19">
        <f t="shared" ca="1" si="60"/>
        <v>5.3681990216214768</v>
      </c>
      <c r="AH143" s="19">
        <f t="shared" ca="1" si="61"/>
        <v>172.31090291021297</v>
      </c>
      <c r="AI143" s="46">
        <f t="shared" ca="1" si="68"/>
        <v>5647.9523768500339</v>
      </c>
      <c r="AJ143" s="55">
        <f t="shared" ca="1" si="69"/>
        <v>2.5714862886150366E-2</v>
      </c>
      <c r="AK143" s="19">
        <f t="shared" ca="1" si="70"/>
        <v>177.05531726840059</v>
      </c>
      <c r="AL143" s="19">
        <f t="shared" ca="1" si="62"/>
        <v>149.99999999999997</v>
      </c>
    </row>
    <row r="144" spans="2:38" x14ac:dyDescent="0.25">
      <c r="B144" s="19"/>
      <c r="C144" s="19"/>
      <c r="D144" s="19"/>
      <c r="E144" s="19"/>
      <c r="F144" s="19"/>
      <c r="G144" s="19"/>
      <c r="H144" s="43">
        <f t="shared" si="71"/>
        <v>48366</v>
      </c>
      <c r="I144" s="264">
        <v>0</v>
      </c>
      <c r="J144" s="64">
        <f t="shared" ca="1" si="63"/>
        <v>0</v>
      </c>
      <c r="K144" s="19">
        <f ca="1">SUMPRODUCT(V$7:V144,OFFSET($J$366,ROW($I$7)-ROW(),0):$J$366)</f>
        <v>0</v>
      </c>
      <c r="L144" s="19">
        <f ca="1">SUMPRODUCT(W$7:W144,OFFSET($J$366,ROW($I$7)-ROW(),0):$J$366)</f>
        <v>0</v>
      </c>
      <c r="M144" s="19">
        <f ca="1">SUMPRODUCT(X$7:X144,OFFSET($J$366,ROW($I$7)-ROW(),0):$J$366)</f>
        <v>0</v>
      </c>
      <c r="N144" s="19"/>
      <c r="O144" s="43">
        <f t="shared" si="64"/>
        <v>47635</v>
      </c>
      <c r="P144" s="24">
        <f t="shared" si="65"/>
        <v>4169</v>
      </c>
      <c r="Q144" s="19">
        <f t="shared" si="66"/>
        <v>7.6986890970746815</v>
      </c>
      <c r="R144" s="19">
        <f t="shared" si="49"/>
        <v>42.227111500501167</v>
      </c>
      <c r="S144" s="19">
        <f t="shared" si="50"/>
        <v>0.38720781255163955</v>
      </c>
      <c r="T144" s="19"/>
      <c r="U144" s="24">
        <f t="shared" si="72"/>
        <v>4168.9099999999908</v>
      </c>
      <c r="V144" s="19">
        <f t="shared" si="51"/>
        <v>32.223670164201195</v>
      </c>
      <c r="W144" s="19">
        <f t="shared" si="52"/>
        <v>87.247612641177298</v>
      </c>
      <c r="X144" s="19">
        <f t="shared" si="53"/>
        <v>16.111835082100598</v>
      </c>
      <c r="Y144" s="27"/>
      <c r="Z144" s="42">
        <f t="shared" si="67"/>
        <v>48366</v>
      </c>
      <c r="AA144" s="19">
        <f t="shared" ca="1" si="54"/>
        <v>6.5146820497877087</v>
      </c>
      <c r="AB144" s="19">
        <f t="shared" ca="1" si="55"/>
        <v>36.856233350660339</v>
      </c>
      <c r="AC144" s="19">
        <f t="shared" ca="1" si="56"/>
        <v>0.16711773254349502</v>
      </c>
      <c r="AD144" s="19">
        <f t="shared" ca="1" si="57"/>
        <v>5.5284350025990507</v>
      </c>
      <c r="AE144" s="115">
        <f t="shared" ca="1" si="58"/>
        <v>195.44046149363126</v>
      </c>
      <c r="AF144" s="19">
        <f t="shared" ca="1" si="59"/>
        <v>1105.6870005198102</v>
      </c>
      <c r="AG144" s="19">
        <f t="shared" ca="1" si="60"/>
        <v>5.0135319763048507</v>
      </c>
      <c r="AH144" s="19">
        <f t="shared" ca="1" si="61"/>
        <v>165.85305007797152</v>
      </c>
      <c r="AI144" s="46">
        <f t="shared" ca="1" si="68"/>
        <v>5657.4109172160379</v>
      </c>
      <c r="AJ144" s="55">
        <f t="shared" ca="1" si="69"/>
        <v>2.5010885986947302E-2</v>
      </c>
      <c r="AK144" s="19">
        <f t="shared" ca="1" si="70"/>
        <v>176.75930114195967</v>
      </c>
      <c r="AL144" s="19">
        <f t="shared" ca="1" si="62"/>
        <v>149.99999999999997</v>
      </c>
    </row>
    <row r="145" spans="2:38" x14ac:dyDescent="0.25">
      <c r="B145" s="19"/>
      <c r="C145" s="19"/>
      <c r="D145" s="19"/>
      <c r="E145" s="19"/>
      <c r="F145" s="19"/>
      <c r="G145" s="19"/>
      <c r="H145" s="43">
        <f t="shared" si="71"/>
        <v>48396</v>
      </c>
      <c r="I145" s="264">
        <v>0</v>
      </c>
      <c r="J145" s="64">
        <f t="shared" ca="1" si="63"/>
        <v>0</v>
      </c>
      <c r="K145" s="19">
        <f ca="1">SUMPRODUCT(V$7:V145,OFFSET($J$366,ROW($I$7)-ROW(),0):$J$366)</f>
        <v>0</v>
      </c>
      <c r="L145" s="19">
        <f ca="1">SUMPRODUCT(W$7:W145,OFFSET($J$366,ROW($I$7)-ROW(),0):$J$366)</f>
        <v>0</v>
      </c>
      <c r="M145" s="19">
        <f ca="1">SUMPRODUCT(X$7:X145,OFFSET($J$366,ROW($I$7)-ROW(),0):$J$366)</f>
        <v>0</v>
      </c>
      <c r="N145" s="19"/>
      <c r="O145" s="43">
        <f t="shared" si="64"/>
        <v>47665</v>
      </c>
      <c r="P145" s="24">
        <f t="shared" si="65"/>
        <v>4199</v>
      </c>
      <c r="Q145" s="19">
        <f t="shared" si="66"/>
        <v>7.6461081842645831</v>
      </c>
      <c r="R145" s="19">
        <f t="shared" si="49"/>
        <v>41.976073170813486</v>
      </c>
      <c r="S145" s="19">
        <f t="shared" si="50"/>
        <v>0.37405687554005629</v>
      </c>
      <c r="T145" s="19"/>
      <c r="U145" s="24">
        <f t="shared" si="72"/>
        <v>4199.3399999999911</v>
      </c>
      <c r="V145" s="19">
        <f t="shared" si="51"/>
        <v>32.003587242295822</v>
      </c>
      <c r="W145" s="19">
        <f t="shared" si="52"/>
        <v>86.805028221597908</v>
      </c>
      <c r="X145" s="19">
        <f t="shared" si="53"/>
        <v>16.001793621147911</v>
      </c>
      <c r="Y145" s="27"/>
      <c r="Z145" s="42">
        <f t="shared" si="67"/>
        <v>48396</v>
      </c>
      <c r="AA145" s="19">
        <f t="shared" ca="1" si="54"/>
        <v>6.4701877307515536</v>
      </c>
      <c r="AB145" s="19">
        <f t="shared" ca="1" si="55"/>
        <v>36.664848438826574</v>
      </c>
      <c r="AC145" s="19">
        <f t="shared" ca="1" si="56"/>
        <v>0.16146521467266689</v>
      </c>
      <c r="AD145" s="19">
        <f t="shared" ca="1" si="57"/>
        <v>5.499727265823986</v>
      </c>
      <c r="AE145" s="115">
        <f t="shared" ca="1" si="58"/>
        <v>200.57581965329817</v>
      </c>
      <c r="AF145" s="19">
        <f t="shared" ca="1" si="59"/>
        <v>1136.6103016036238</v>
      </c>
      <c r="AG145" s="19">
        <f t="shared" ca="1" si="60"/>
        <v>5.0054216548526735</v>
      </c>
      <c r="AH145" s="19">
        <f t="shared" ca="1" si="61"/>
        <v>170.49154524054356</v>
      </c>
      <c r="AI145" s="46">
        <f t="shared" ca="1" si="68"/>
        <v>5666.7364170232077</v>
      </c>
      <c r="AJ145" s="55">
        <f t="shared" ca="1" si="69"/>
        <v>2.434765751486986E-2</v>
      </c>
      <c r="AK145" s="19">
        <f t="shared" ca="1" si="70"/>
        <v>176.46841610559858</v>
      </c>
      <c r="AL145" s="19">
        <f t="shared" ca="1" si="62"/>
        <v>150</v>
      </c>
    </row>
    <row r="146" spans="2:38" x14ac:dyDescent="0.25">
      <c r="B146" s="19"/>
      <c r="C146" s="19"/>
      <c r="D146" s="19"/>
      <c r="E146" s="19"/>
      <c r="F146" s="19"/>
      <c r="G146" s="19"/>
      <c r="H146" s="43">
        <f t="shared" si="71"/>
        <v>48427</v>
      </c>
      <c r="I146" s="264">
        <v>0</v>
      </c>
      <c r="J146" s="64">
        <f t="shared" ca="1" si="63"/>
        <v>0</v>
      </c>
      <c r="K146" s="19">
        <f ca="1">SUMPRODUCT(V$7:V146,OFFSET($J$366,ROW($I$7)-ROW(),0):$J$366)</f>
        <v>0</v>
      </c>
      <c r="L146" s="19">
        <f ca="1">SUMPRODUCT(W$7:W146,OFFSET($J$366,ROW($I$7)-ROW(),0):$J$366)</f>
        <v>0</v>
      </c>
      <c r="M146" s="19">
        <f ca="1">SUMPRODUCT(X$7:X146,OFFSET($J$366,ROW($I$7)-ROW(),0):$J$366)</f>
        <v>0</v>
      </c>
      <c r="N146" s="19"/>
      <c r="O146" s="43">
        <f t="shared" si="64"/>
        <v>47696</v>
      </c>
      <c r="P146" s="24">
        <f t="shared" si="65"/>
        <v>4230</v>
      </c>
      <c r="Q146" s="19">
        <f t="shared" si="66"/>
        <v>7.5921518210799865</v>
      </c>
      <c r="R146" s="19">
        <f t="shared" si="49"/>
        <v>41.719783474476699</v>
      </c>
      <c r="S146" s="19">
        <f t="shared" si="50"/>
        <v>0.36093889140676422</v>
      </c>
      <c r="T146" s="19"/>
      <c r="U146" s="24">
        <f t="shared" si="72"/>
        <v>4229.7699999999913</v>
      </c>
      <c r="V146" s="19">
        <f t="shared" si="51"/>
        <v>31.777747228678322</v>
      </c>
      <c r="W146" s="19">
        <f t="shared" si="52"/>
        <v>86.350049473501741</v>
      </c>
      <c r="X146" s="19">
        <f t="shared" si="53"/>
        <v>15.888873614339161</v>
      </c>
      <c r="Y146" s="27"/>
      <c r="Z146" s="42">
        <f t="shared" si="67"/>
        <v>48427</v>
      </c>
      <c r="AA146" s="19">
        <f t="shared" ca="1" si="54"/>
        <v>6.4245294964368203</v>
      </c>
      <c r="AB146" s="19">
        <f t="shared" ca="1" si="55"/>
        <v>36.469160995712414</v>
      </c>
      <c r="AC146" s="19">
        <f t="shared" ca="1" si="56"/>
        <v>0.15582602630639419</v>
      </c>
      <c r="AD146" s="19">
        <f t="shared" ca="1" si="57"/>
        <v>5.4703741493568625</v>
      </c>
      <c r="AE146" s="115">
        <f t="shared" ca="1" si="58"/>
        <v>199.16041438954142</v>
      </c>
      <c r="AF146" s="19">
        <f t="shared" ca="1" si="59"/>
        <v>1130.5439908670849</v>
      </c>
      <c r="AG146" s="19">
        <f t="shared" ca="1" si="60"/>
        <v>4.8306068154982196</v>
      </c>
      <c r="AH146" s="19">
        <f t="shared" ca="1" si="61"/>
        <v>169.58159863006273</v>
      </c>
      <c r="AI146" s="46">
        <f t="shared" ca="1" si="68"/>
        <v>5676.5497015678711</v>
      </c>
      <c r="AJ146" s="55">
        <f t="shared" ca="1" si="69"/>
        <v>2.368048743989953E-2</v>
      </c>
      <c r="AK146" s="19">
        <f t="shared" ca="1" si="70"/>
        <v>176.16334790899452</v>
      </c>
      <c r="AL146" s="19">
        <f t="shared" ca="1" si="62"/>
        <v>150</v>
      </c>
    </row>
    <row r="147" spans="2:38" x14ac:dyDescent="0.25">
      <c r="B147" s="19"/>
      <c r="C147" s="19"/>
      <c r="D147" s="19"/>
      <c r="E147" s="19"/>
      <c r="F147" s="19"/>
      <c r="G147" s="19"/>
      <c r="H147" s="43">
        <f t="shared" si="71"/>
        <v>48458</v>
      </c>
      <c r="I147" s="264">
        <v>0</v>
      </c>
      <c r="J147" s="64">
        <f t="shared" ca="1" si="63"/>
        <v>0</v>
      </c>
      <c r="K147" s="19">
        <f ca="1">SUMPRODUCT(V$7:V147,OFFSET($J$366,ROW($I$7)-ROW(),0):$J$366)</f>
        <v>0</v>
      </c>
      <c r="L147" s="19">
        <f ca="1">SUMPRODUCT(W$7:W147,OFFSET($J$366,ROW($I$7)-ROW(),0):$J$366)</f>
        <v>0</v>
      </c>
      <c r="M147" s="19">
        <f ca="1">SUMPRODUCT(X$7:X147,OFFSET($J$366,ROW($I$7)-ROW(),0):$J$366)</f>
        <v>0</v>
      </c>
      <c r="N147" s="19"/>
      <c r="O147" s="43">
        <f t="shared" si="64"/>
        <v>47727</v>
      </c>
      <c r="P147" s="24">
        <f t="shared" si="65"/>
        <v>4261</v>
      </c>
      <c r="Q147" s="19">
        <f t="shared" si="66"/>
        <v>7.5385762122684588</v>
      </c>
      <c r="R147" s="19">
        <f t="shared" si="49"/>
        <v>41.466604397768513</v>
      </c>
      <c r="S147" s="19">
        <f t="shared" si="50"/>
        <v>0.34828316720997499</v>
      </c>
      <c r="T147" s="19"/>
      <c r="U147" s="24">
        <f t="shared" si="72"/>
        <v>4260.1999999999916</v>
      </c>
      <c r="V147" s="19">
        <f t="shared" si="51"/>
        <v>31.553500902398572</v>
      </c>
      <c r="W147" s="19">
        <f t="shared" si="52"/>
        <v>85.897455445109713</v>
      </c>
      <c r="X147" s="19">
        <f t="shared" si="53"/>
        <v>15.776750451199286</v>
      </c>
      <c r="Y147" s="27"/>
      <c r="Z147" s="42">
        <f t="shared" si="67"/>
        <v>48458</v>
      </c>
      <c r="AA147" s="19">
        <f t="shared" ca="1" si="54"/>
        <v>6.3791934590114963</v>
      </c>
      <c r="AB147" s="19">
        <f t="shared" ca="1" si="55"/>
        <v>36.275551307274156</v>
      </c>
      <c r="AC147" s="19">
        <f t="shared" ca="1" si="56"/>
        <v>0.15038473723137943</v>
      </c>
      <c r="AD147" s="19">
        <f t="shared" ca="1" si="57"/>
        <v>5.4413326960911235</v>
      </c>
      <c r="AE147" s="115">
        <f t="shared" ca="1" si="58"/>
        <v>191.37580377034487</v>
      </c>
      <c r="AF147" s="19">
        <f t="shared" ca="1" si="59"/>
        <v>1088.2665392182248</v>
      </c>
      <c r="AG147" s="19">
        <f t="shared" ca="1" si="60"/>
        <v>4.5115421169413832</v>
      </c>
      <c r="AH147" s="19">
        <f t="shared" ca="1" si="61"/>
        <v>163.2399808827337</v>
      </c>
      <c r="AI147" s="46">
        <f t="shared" ca="1" si="68"/>
        <v>5686.5419649610894</v>
      </c>
      <c r="AJ147" s="55">
        <f t="shared" ca="1" si="69"/>
        <v>2.3031309636189202E-2</v>
      </c>
      <c r="AK147" s="19">
        <f t="shared" ca="1" si="70"/>
        <v>175.85379764393289</v>
      </c>
      <c r="AL147" s="19">
        <f t="shared" ca="1" si="62"/>
        <v>149.99999999999997</v>
      </c>
    </row>
    <row r="148" spans="2:38" x14ac:dyDescent="0.25">
      <c r="B148" s="19"/>
      <c r="C148" s="19"/>
      <c r="D148" s="19"/>
      <c r="E148" s="19"/>
      <c r="F148" s="19"/>
      <c r="G148" s="19"/>
      <c r="H148" s="43">
        <f t="shared" si="71"/>
        <v>48488</v>
      </c>
      <c r="I148" s="264">
        <v>0</v>
      </c>
      <c r="J148" s="64">
        <f t="shared" ca="1" si="63"/>
        <v>0</v>
      </c>
      <c r="K148" s="19">
        <f ca="1">SUMPRODUCT(V$7:V148,OFFSET($J$366,ROW($I$7)-ROW(),0):$J$366)</f>
        <v>0</v>
      </c>
      <c r="L148" s="19">
        <f ca="1">SUMPRODUCT(W$7:W148,OFFSET($J$366,ROW($I$7)-ROW(),0):$J$366)</f>
        <v>0</v>
      </c>
      <c r="M148" s="19">
        <f ca="1">SUMPRODUCT(X$7:X148,OFFSET($J$366,ROW($I$7)-ROW(),0):$J$366)</f>
        <v>0</v>
      </c>
      <c r="N148" s="19"/>
      <c r="O148" s="43">
        <f t="shared" si="64"/>
        <v>47757</v>
      </c>
      <c r="P148" s="24">
        <f t="shared" si="65"/>
        <v>4291</v>
      </c>
      <c r="Q148" s="19">
        <f t="shared" si="66"/>
        <v>7.4870888468830712</v>
      </c>
      <c r="R148" s="19">
        <f t="shared" si="49"/>
        <v>41.224501083253642</v>
      </c>
      <c r="S148" s="19">
        <f t="shared" si="50"/>
        <v>0.33646040421330747</v>
      </c>
      <c r="T148" s="19"/>
      <c r="U148" s="24">
        <f t="shared" si="72"/>
        <v>4290.6299999999919</v>
      </c>
      <c r="V148" s="19">
        <f t="shared" si="51"/>
        <v>31.337995137860961</v>
      </c>
      <c r="W148" s="19">
        <f t="shared" si="52"/>
        <v>85.461720021403949</v>
      </c>
      <c r="X148" s="19">
        <f t="shared" si="53"/>
        <v>15.668997568930481</v>
      </c>
      <c r="Y148" s="27"/>
      <c r="Z148" s="42">
        <f t="shared" si="67"/>
        <v>48488</v>
      </c>
      <c r="AA148" s="19">
        <f t="shared" ca="1" si="54"/>
        <v>6.3356245070980473</v>
      </c>
      <c r="AB148" s="19">
        <f t="shared" ca="1" si="55"/>
        <v>36.090134382415307</v>
      </c>
      <c r="AC148" s="19">
        <f t="shared" ca="1" si="56"/>
        <v>0.1453008253525653</v>
      </c>
      <c r="AD148" s="19">
        <f t="shared" ca="1" si="57"/>
        <v>5.4135201573622966</v>
      </c>
      <c r="AE148" s="115">
        <f t="shared" ca="1" si="58"/>
        <v>196.40435972003945</v>
      </c>
      <c r="AF148" s="19">
        <f t="shared" ca="1" si="59"/>
        <v>1118.7941658548746</v>
      </c>
      <c r="AG148" s="19">
        <f t="shared" ca="1" si="60"/>
        <v>4.5043255859295241</v>
      </c>
      <c r="AH148" s="19">
        <f t="shared" ca="1" si="61"/>
        <v>167.81912487823121</v>
      </c>
      <c r="AI148" s="46">
        <f t="shared" ca="1" si="68"/>
        <v>5696.3815235549591</v>
      </c>
      <c r="AJ148" s="55">
        <f t="shared" ca="1" si="69"/>
        <v>2.2419765372859671E-2</v>
      </c>
      <c r="AK148" s="19">
        <f t="shared" ca="1" si="70"/>
        <v>175.55003924244295</v>
      </c>
      <c r="AL148" s="19">
        <f t="shared" ca="1" si="62"/>
        <v>150.00000000000003</v>
      </c>
    </row>
    <row r="149" spans="2:38" x14ac:dyDescent="0.25">
      <c r="B149" s="19"/>
      <c r="C149" s="19"/>
      <c r="D149" s="19"/>
      <c r="E149" s="19"/>
      <c r="F149" s="19"/>
      <c r="G149" s="19"/>
      <c r="H149" s="43">
        <f t="shared" si="71"/>
        <v>48519</v>
      </c>
      <c r="I149" s="264">
        <v>0</v>
      </c>
      <c r="J149" s="64">
        <f t="shared" ca="1" si="63"/>
        <v>0</v>
      </c>
      <c r="K149" s="19">
        <f ca="1">SUMPRODUCT(V$7:V149,OFFSET($J$366,ROW($I$7)-ROW(),0):$J$366)</f>
        <v>0</v>
      </c>
      <c r="L149" s="19">
        <f ca="1">SUMPRODUCT(W$7:W149,OFFSET($J$366,ROW($I$7)-ROW(),0):$J$366)</f>
        <v>0</v>
      </c>
      <c r="M149" s="19">
        <f ca="1">SUMPRODUCT(X$7:X149,OFFSET($J$366,ROW($I$7)-ROW(),0):$J$366)</f>
        <v>0</v>
      </c>
      <c r="N149" s="19"/>
      <c r="O149" s="43">
        <f t="shared" si="64"/>
        <v>47788</v>
      </c>
      <c r="P149" s="24">
        <f t="shared" si="65"/>
        <v>4322</v>
      </c>
      <c r="Q149" s="19">
        <f t="shared" si="66"/>
        <v>7.4342546369448534</v>
      </c>
      <c r="R149" s="19">
        <f t="shared" si="49"/>
        <v>40.977279817179934</v>
      </c>
      <c r="S149" s="19">
        <f t="shared" si="50"/>
        <v>0.32466704563033416</v>
      </c>
      <c r="T149" s="19"/>
      <c r="U149" s="24">
        <f t="shared" si="72"/>
        <v>4321.0599999999922</v>
      </c>
      <c r="V149" s="19">
        <f t="shared" si="51"/>
        <v>31.116852014276169</v>
      </c>
      <c r="W149" s="19">
        <f t="shared" si="52"/>
        <v>85.013782071470672</v>
      </c>
      <c r="X149" s="19">
        <f t="shared" si="53"/>
        <v>15.558426007138085</v>
      </c>
      <c r="Y149" s="27"/>
      <c r="Z149" s="42">
        <f t="shared" si="67"/>
        <v>48519</v>
      </c>
      <c r="AA149" s="19">
        <f t="shared" ca="1" si="54"/>
        <v>6.2909158463430614</v>
      </c>
      <c r="AB149" s="19">
        <f t="shared" ca="1" si="55"/>
        <v>35.900517717709214</v>
      </c>
      <c r="AC149" s="19">
        <f t="shared" ca="1" si="56"/>
        <v>0.14022880812212773</v>
      </c>
      <c r="AD149" s="19">
        <f t="shared" ca="1" si="57"/>
        <v>5.3850776576563817</v>
      </c>
      <c r="AE149" s="115">
        <f t="shared" ca="1" si="58"/>
        <v>188.72747539029183</v>
      </c>
      <c r="AF149" s="19">
        <f t="shared" ca="1" si="59"/>
        <v>1077.0155315312763</v>
      </c>
      <c r="AG149" s="19">
        <f t="shared" ca="1" si="60"/>
        <v>4.2068642436638317</v>
      </c>
      <c r="AH149" s="19">
        <f t="shared" ca="1" si="61"/>
        <v>161.55232972969145</v>
      </c>
      <c r="AI149" s="46">
        <f t="shared" ca="1" si="68"/>
        <v>5706.7235668997782</v>
      </c>
      <c r="AJ149" s="55">
        <f t="shared" ca="1" si="69"/>
        <v>2.1804642199233674E-2</v>
      </c>
      <c r="AK149" s="19">
        <f t="shared" ca="1" si="70"/>
        <v>175.23189765143252</v>
      </c>
      <c r="AL149" s="19">
        <f t="shared" ca="1" si="62"/>
        <v>150</v>
      </c>
    </row>
    <row r="150" spans="2:38" x14ac:dyDescent="0.25">
      <c r="B150" s="19"/>
      <c r="C150" s="19"/>
      <c r="D150" s="19"/>
      <c r="E150" s="19"/>
      <c r="F150" s="19"/>
      <c r="G150" s="19"/>
      <c r="H150" s="44">
        <f t="shared" si="71"/>
        <v>48549</v>
      </c>
      <c r="I150" s="265">
        <v>0</v>
      </c>
      <c r="J150" s="65">
        <f t="shared" ca="1" si="63"/>
        <v>0</v>
      </c>
      <c r="K150" s="21">
        <f ca="1">SUMPRODUCT(V$7:V150,OFFSET($J$366,ROW($I$7)-ROW(),0):$J$366)</f>
        <v>0</v>
      </c>
      <c r="L150" s="21">
        <f ca="1">SUMPRODUCT(W$7:W150,OFFSET($J$366,ROW($I$7)-ROW(),0):$J$366)</f>
        <v>0</v>
      </c>
      <c r="M150" s="21">
        <f ca="1">SUMPRODUCT(X$7:X150,OFFSET($J$366,ROW($I$7)-ROW(),0):$J$366)</f>
        <v>0</v>
      </c>
      <c r="N150" s="19"/>
      <c r="O150" s="44">
        <f t="shared" si="64"/>
        <v>47818</v>
      </c>
      <c r="P150" s="25">
        <f t="shared" si="65"/>
        <v>4352</v>
      </c>
      <c r="Q150" s="21">
        <f t="shared" si="66"/>
        <v>7.3834797725563428</v>
      </c>
      <c r="R150" s="21">
        <f t="shared" si="49"/>
        <v>40.740840355625096</v>
      </c>
      <c r="S150" s="21">
        <f t="shared" si="50"/>
        <v>0.31364975347079688</v>
      </c>
      <c r="T150" s="19"/>
      <c r="U150" s="25">
        <f t="shared" si="72"/>
        <v>4351.4899999999925</v>
      </c>
      <c r="V150" s="21">
        <f t="shared" si="51"/>
        <v>30.904328497342732</v>
      </c>
      <c r="W150" s="21">
        <f t="shared" si="52"/>
        <v>84.582529292680107</v>
      </c>
      <c r="X150" s="21">
        <f t="shared" si="53"/>
        <v>15.452164248671366</v>
      </c>
      <c r="Y150" s="27"/>
      <c r="Z150" s="48">
        <f t="shared" si="67"/>
        <v>48549</v>
      </c>
      <c r="AA150" s="21">
        <f t="shared" ca="1" si="54"/>
        <v>6.2479498175242156</v>
      </c>
      <c r="AB150" s="21">
        <f t="shared" ca="1" si="55"/>
        <v>35.739359643498695</v>
      </c>
      <c r="AC150" s="21">
        <f t="shared" ca="1" si="56"/>
        <v>0.13548985654306153</v>
      </c>
      <c r="AD150" s="21">
        <f t="shared" ca="1" si="57"/>
        <v>5.3609039465248047</v>
      </c>
      <c r="AE150" s="116">
        <f t="shared" ca="1" si="58"/>
        <v>193.68644434325068</v>
      </c>
      <c r="AF150" s="21">
        <f t="shared" ca="1" si="59"/>
        <v>1107.9201489484594</v>
      </c>
      <c r="AG150" s="21">
        <f t="shared" ca="1" si="60"/>
        <v>4.2001855528349079</v>
      </c>
      <c r="AH150" s="21">
        <f t="shared" ca="1" si="61"/>
        <v>166.18802234226894</v>
      </c>
      <c r="AI150" s="47">
        <f t="shared" ca="1" si="68"/>
        <v>5720.1739270147673</v>
      </c>
      <c r="AJ150" s="57">
        <f t="shared" ca="1" si="69"/>
        <v>2.1225211400287696E-2</v>
      </c>
      <c r="AK150" s="21">
        <f t="shared" ca="1" si="70"/>
        <v>174.819859109053</v>
      </c>
      <c r="AL150" s="21">
        <f t="shared" ca="1" si="62"/>
        <v>150.00000000000003</v>
      </c>
    </row>
    <row r="151" spans="2:38" x14ac:dyDescent="0.25">
      <c r="B151" s="19"/>
      <c r="C151" s="19"/>
      <c r="D151" s="19"/>
      <c r="E151" s="19"/>
      <c r="F151" s="19"/>
      <c r="G151" s="19"/>
      <c r="H151" s="43">
        <f t="shared" si="71"/>
        <v>48580</v>
      </c>
      <c r="I151" s="264">
        <v>0</v>
      </c>
      <c r="J151" s="64">
        <f t="shared" ca="1" si="63"/>
        <v>0</v>
      </c>
      <c r="K151" s="19">
        <f ca="1">SUMPRODUCT(V$7:V151,OFFSET($J$366,ROW($I$7)-ROW(),0):$J$366)</f>
        <v>0</v>
      </c>
      <c r="L151" s="19">
        <f ca="1">SUMPRODUCT(W$7:W151,OFFSET($J$366,ROW($I$7)-ROW(),0):$J$366)</f>
        <v>0</v>
      </c>
      <c r="M151" s="19">
        <f ca="1">SUMPRODUCT(X$7:X151,OFFSET($J$366,ROW($I$7)-ROW(),0):$J$366)</f>
        <v>0</v>
      </c>
      <c r="N151" s="19"/>
      <c r="O151" s="43">
        <f t="shared" si="64"/>
        <v>47849</v>
      </c>
      <c r="P151" s="24">
        <f t="shared" si="65"/>
        <v>4383</v>
      </c>
      <c r="Q151" s="19">
        <f t="shared" si="66"/>
        <v>7.331376701742613</v>
      </c>
      <c r="R151" s="19">
        <f t="shared" si="49"/>
        <v>40.499369048703194</v>
      </c>
      <c r="S151" s="19">
        <f t="shared" si="50"/>
        <v>0.30265972637551058</v>
      </c>
      <c r="T151" s="19"/>
      <c r="U151" s="24">
        <f t="shared" si="72"/>
        <v>4381.9199999999928</v>
      </c>
      <c r="V151" s="19">
        <f t="shared" si="51"/>
        <v>30.686245633198808</v>
      </c>
      <c r="W151" s="19">
        <f t="shared" si="52"/>
        <v>84.139199521619489</v>
      </c>
      <c r="X151" s="19">
        <f t="shared" si="53"/>
        <v>15.343122816599404</v>
      </c>
      <c r="Y151" s="27"/>
      <c r="Z151" s="42">
        <f t="shared" si="67"/>
        <v>48580</v>
      </c>
      <c r="AA151" s="19">
        <f t="shared" ca="1" si="54"/>
        <v>6.2038598515717007</v>
      </c>
      <c r="AB151" s="19">
        <f t="shared" ca="1" si="55"/>
        <v>35.552035827799365</v>
      </c>
      <c r="AC151" s="19">
        <f t="shared" ca="1" si="56"/>
        <v>0.13076193447644166</v>
      </c>
      <c r="AD151" s="19">
        <f t="shared" ca="1" si="57"/>
        <v>5.3328053741699053</v>
      </c>
      <c r="AE151" s="115">
        <f t="shared" ca="1" si="58"/>
        <v>192.31965539872272</v>
      </c>
      <c r="AF151" s="19">
        <f t="shared" ca="1" si="59"/>
        <v>1102.1131106617804</v>
      </c>
      <c r="AG151" s="19">
        <f t="shared" ca="1" si="60"/>
        <v>4.0536199687696914</v>
      </c>
      <c r="AH151" s="19">
        <f t="shared" ca="1" si="61"/>
        <v>165.31696659926706</v>
      </c>
      <c r="AI151" s="46">
        <f t="shared" ca="1" si="68"/>
        <v>5730.6316838850789</v>
      </c>
      <c r="AJ151" s="55">
        <f t="shared" ca="1" si="69"/>
        <v>2.0642421740859382E-2</v>
      </c>
      <c r="AK151" s="19">
        <f t="shared" ca="1" si="70"/>
        <v>174.50083257175075</v>
      </c>
      <c r="AL151" s="19">
        <f t="shared" ca="1" si="62"/>
        <v>150.00000000000003</v>
      </c>
    </row>
    <row r="152" spans="2:38" x14ac:dyDescent="0.25">
      <c r="B152" s="19"/>
      <c r="C152" s="19"/>
      <c r="D152" s="19"/>
      <c r="E152" s="19"/>
      <c r="F152" s="19"/>
      <c r="G152" s="19"/>
      <c r="H152" s="43">
        <f t="shared" si="71"/>
        <v>48611</v>
      </c>
      <c r="I152" s="264">
        <v>0</v>
      </c>
      <c r="J152" s="64">
        <f t="shared" ca="1" si="63"/>
        <v>0</v>
      </c>
      <c r="K152" s="19">
        <f ca="1">SUMPRODUCT(V$7:V152,OFFSET($J$366,ROW($I$7)-ROW(),0):$J$366)</f>
        <v>0</v>
      </c>
      <c r="L152" s="19">
        <f ca="1">SUMPRODUCT(W$7:W152,OFFSET($J$366,ROW($I$7)-ROW(),0):$J$366)</f>
        <v>0</v>
      </c>
      <c r="M152" s="19">
        <f ca="1">SUMPRODUCT(X$7:X152,OFFSET($J$366,ROW($I$7)-ROW(),0):$J$366)</f>
        <v>0</v>
      </c>
      <c r="N152" s="19"/>
      <c r="O152" s="43">
        <f t="shared" si="64"/>
        <v>47880</v>
      </c>
      <c r="P152" s="24">
        <f t="shared" si="65"/>
        <v>4414</v>
      </c>
      <c r="Q152" s="19">
        <f t="shared" si="66"/>
        <v>7.279641307156334</v>
      </c>
      <c r="R152" s="19">
        <f t="shared" si="49"/>
        <v>40.260743281220194</v>
      </c>
      <c r="S152" s="19">
        <f t="shared" si="50"/>
        <v>0.29205663813029914</v>
      </c>
      <c r="T152" s="19"/>
      <c r="U152" s="24">
        <f t="shared" si="72"/>
        <v>4412.3499999999931</v>
      </c>
      <c r="V152" s="19">
        <f t="shared" si="51"/>
        <v>30.469701716443353</v>
      </c>
      <c r="W152" s="19">
        <f t="shared" si="52"/>
        <v>83.698193413466001</v>
      </c>
      <c r="X152" s="19">
        <f t="shared" si="53"/>
        <v>15.234850858221677</v>
      </c>
      <c r="Y152" s="27"/>
      <c r="Z152" s="42">
        <f t="shared" si="67"/>
        <v>48611</v>
      </c>
      <c r="AA152" s="19">
        <f t="shared" ca="1" si="54"/>
        <v>6.1600810156945665</v>
      </c>
      <c r="AB152" s="19">
        <f t="shared" ca="1" si="55"/>
        <v>35.365693848715971</v>
      </c>
      <c r="AC152" s="19">
        <f t="shared" ca="1" si="56"/>
        <v>0.12619978927047956</v>
      </c>
      <c r="AD152" s="19">
        <f t="shared" ca="1" si="57"/>
        <v>5.3048540773073958</v>
      </c>
      <c r="AE152" s="115">
        <f t="shared" ca="1" si="58"/>
        <v>172.48226843944786</v>
      </c>
      <c r="AF152" s="19">
        <f t="shared" ca="1" si="59"/>
        <v>990.23942776404715</v>
      </c>
      <c r="AG152" s="19">
        <f t="shared" ca="1" si="60"/>
        <v>3.5335940995734276</v>
      </c>
      <c r="AH152" s="19">
        <f t="shared" ca="1" si="61"/>
        <v>148.53591416460708</v>
      </c>
      <c r="AI152" s="46">
        <f t="shared" ca="1" si="68"/>
        <v>5741.1085598731179</v>
      </c>
      <c r="AJ152" s="55">
        <f t="shared" ca="1" si="69"/>
        <v>2.0075429842523758E-2</v>
      </c>
      <c r="AK152" s="19">
        <f t="shared" ca="1" si="70"/>
        <v>174.18238822191867</v>
      </c>
      <c r="AL152" s="19">
        <f t="shared" ca="1" si="62"/>
        <v>150</v>
      </c>
    </row>
    <row r="153" spans="2:38" x14ac:dyDescent="0.25">
      <c r="B153" s="19"/>
      <c r="C153" s="19"/>
      <c r="D153" s="19"/>
      <c r="E153" s="19"/>
      <c r="F153" s="19"/>
      <c r="G153" s="19"/>
      <c r="H153" s="43">
        <f t="shared" si="71"/>
        <v>48639</v>
      </c>
      <c r="I153" s="264">
        <v>0</v>
      </c>
      <c r="J153" s="64">
        <f t="shared" ca="1" si="63"/>
        <v>0</v>
      </c>
      <c r="K153" s="19">
        <f ca="1">SUMPRODUCT(V$7:V153,OFFSET($J$366,ROW($I$7)-ROW(),0):$J$366)</f>
        <v>0</v>
      </c>
      <c r="L153" s="19">
        <f ca="1">SUMPRODUCT(W$7:W153,OFFSET($J$366,ROW($I$7)-ROW(),0):$J$366)</f>
        <v>0</v>
      </c>
      <c r="M153" s="19">
        <f ca="1">SUMPRODUCT(X$7:X153,OFFSET($J$366,ROW($I$7)-ROW(),0):$J$366)</f>
        <v>0</v>
      </c>
      <c r="N153" s="19"/>
      <c r="O153" s="43">
        <f t="shared" si="64"/>
        <v>47908</v>
      </c>
      <c r="P153" s="24">
        <f t="shared" si="65"/>
        <v>4442</v>
      </c>
      <c r="Q153" s="19">
        <f t="shared" si="66"/>
        <v>7.2332264306889575</v>
      </c>
      <c r="R153" s="19">
        <f t="shared" si="49"/>
        <v>40.04761451524822</v>
      </c>
      <c r="S153" s="19">
        <f t="shared" si="50"/>
        <v>0.28280084126371757</v>
      </c>
      <c r="T153" s="19"/>
      <c r="U153" s="24">
        <f t="shared" si="72"/>
        <v>4442.7799999999934</v>
      </c>
      <c r="V153" s="19">
        <f t="shared" si="51"/>
        <v>30.275427385951794</v>
      </c>
      <c r="W153" s="19">
        <f t="shared" si="52"/>
        <v>83.301852421720298</v>
      </c>
      <c r="X153" s="19">
        <f t="shared" si="53"/>
        <v>15.137713692975897</v>
      </c>
      <c r="Y153" s="27"/>
      <c r="Z153" s="42">
        <f t="shared" si="67"/>
        <v>48639</v>
      </c>
      <c r="AA153" s="19">
        <f t="shared" ca="1" si="54"/>
        <v>6.1208044377275419</v>
      </c>
      <c r="AB153" s="19">
        <f t="shared" ca="1" si="55"/>
        <v>35.198224592784335</v>
      </c>
      <c r="AC153" s="19">
        <f t="shared" ca="1" si="56"/>
        <v>0.12221676836801154</v>
      </c>
      <c r="AD153" s="19">
        <f t="shared" ca="1" si="57"/>
        <v>5.2797336889176503</v>
      </c>
      <c r="AE153" s="115">
        <f t="shared" ca="1" si="58"/>
        <v>189.7449375695538</v>
      </c>
      <c r="AF153" s="19">
        <f t="shared" ca="1" si="59"/>
        <v>1091.1449623763144</v>
      </c>
      <c r="AG153" s="19">
        <f t="shared" ca="1" si="60"/>
        <v>3.7887198194083576</v>
      </c>
      <c r="AH153" s="19">
        <f t="shared" ca="1" si="61"/>
        <v>163.67174435644716</v>
      </c>
      <c r="AI153" s="46">
        <f t="shared" ca="1" si="68"/>
        <v>5750.5880069993391</v>
      </c>
      <c r="AJ153" s="55">
        <f t="shared" ca="1" si="69"/>
        <v>1.9576542243470465E-2</v>
      </c>
      <c r="AK153" s="19">
        <f t="shared" ca="1" si="70"/>
        <v>173.89526058602146</v>
      </c>
      <c r="AL153" s="19">
        <f t="shared" ca="1" si="62"/>
        <v>149.99999999999997</v>
      </c>
    </row>
    <row r="154" spans="2:38" x14ac:dyDescent="0.25">
      <c r="B154" s="19"/>
      <c r="C154" s="19"/>
      <c r="D154" s="19"/>
      <c r="E154" s="19"/>
      <c r="F154" s="19"/>
      <c r="G154" s="19"/>
      <c r="H154" s="43">
        <f t="shared" si="71"/>
        <v>48670</v>
      </c>
      <c r="I154" s="264">
        <v>0</v>
      </c>
      <c r="J154" s="64">
        <f t="shared" ca="1" si="63"/>
        <v>0</v>
      </c>
      <c r="K154" s="19">
        <f ca="1">SUMPRODUCT(V$7:V154,OFFSET($J$366,ROW($I$7)-ROW(),0):$J$366)</f>
        <v>0</v>
      </c>
      <c r="L154" s="19">
        <f ca="1">SUMPRODUCT(W$7:W154,OFFSET($J$366,ROW($I$7)-ROW(),0):$J$366)</f>
        <v>0</v>
      </c>
      <c r="M154" s="19">
        <f ca="1">SUMPRODUCT(X$7:X154,OFFSET($J$366,ROW($I$7)-ROW(),0):$J$366)</f>
        <v>0</v>
      </c>
      <c r="N154" s="19"/>
      <c r="O154" s="43">
        <f t="shared" si="64"/>
        <v>47939</v>
      </c>
      <c r="P154" s="24">
        <f t="shared" si="65"/>
        <v>4473</v>
      </c>
      <c r="Q154" s="19">
        <f t="shared" si="66"/>
        <v>7.1821836540390205</v>
      </c>
      <c r="R154" s="19">
        <f t="shared" si="49"/>
        <v>39.814267273373801</v>
      </c>
      <c r="S154" s="19">
        <f t="shared" si="50"/>
        <v>0.27289677145789876</v>
      </c>
      <c r="T154" s="19"/>
      <c r="U154" s="24">
        <f t="shared" si="72"/>
        <v>4473.2099999999937</v>
      </c>
      <c r="V154" s="19">
        <f t="shared" si="51"/>
        <v>30.061782494166572</v>
      </c>
      <c r="W154" s="19">
        <f t="shared" si="52"/>
        <v>82.865235173786544</v>
      </c>
      <c r="X154" s="19">
        <f t="shared" si="53"/>
        <v>15.030891247083286</v>
      </c>
      <c r="Y154" s="27"/>
      <c r="Z154" s="42">
        <f t="shared" si="67"/>
        <v>48670</v>
      </c>
      <c r="AA154" s="19">
        <f t="shared" ca="1" si="54"/>
        <v>6.0776116997666056</v>
      </c>
      <c r="AB154" s="19">
        <f t="shared" ca="1" si="55"/>
        <v>35.013737075315298</v>
      </c>
      <c r="AC154" s="19">
        <f t="shared" ca="1" si="56"/>
        <v>0.11795417001104476</v>
      </c>
      <c r="AD154" s="19">
        <f t="shared" ca="1" si="57"/>
        <v>5.252060561297295</v>
      </c>
      <c r="AE154" s="115">
        <f t="shared" ca="1" si="58"/>
        <v>182.32835099299817</v>
      </c>
      <c r="AF154" s="19">
        <f t="shared" ca="1" si="59"/>
        <v>1050.412112259459</v>
      </c>
      <c r="AG154" s="19">
        <f t="shared" ca="1" si="60"/>
        <v>3.5386251003313429</v>
      </c>
      <c r="AH154" s="19">
        <f t="shared" ca="1" si="61"/>
        <v>157.56181683891884</v>
      </c>
      <c r="AI154" s="46">
        <f t="shared" ca="1" si="68"/>
        <v>5761.1013676079228</v>
      </c>
      <c r="AJ154" s="55">
        <f t="shared" ca="1" si="69"/>
        <v>1.9038482116126378E-2</v>
      </c>
      <c r="AK154" s="19">
        <f t="shared" ca="1" si="70"/>
        <v>173.57792133680368</v>
      </c>
      <c r="AL154" s="19">
        <f t="shared" ca="1" si="62"/>
        <v>150</v>
      </c>
    </row>
    <row r="155" spans="2:38" x14ac:dyDescent="0.25">
      <c r="B155" s="19"/>
      <c r="C155" s="19"/>
      <c r="D155" s="19"/>
      <c r="E155" s="19"/>
      <c r="F155" s="19"/>
      <c r="G155" s="19"/>
      <c r="H155" s="43">
        <f t="shared" si="71"/>
        <v>48700</v>
      </c>
      <c r="I155" s="264">
        <v>0</v>
      </c>
      <c r="J155" s="64">
        <f t="shared" ca="1" si="63"/>
        <v>0</v>
      </c>
      <c r="K155" s="19">
        <f ca="1">SUMPRODUCT(V$7:V155,OFFSET($J$366,ROW($I$7)-ROW(),0):$J$366)</f>
        <v>0</v>
      </c>
      <c r="L155" s="19">
        <f ca="1">SUMPRODUCT(W$7:W155,OFFSET($J$366,ROW($I$7)-ROW(),0):$J$366)</f>
        <v>0</v>
      </c>
      <c r="M155" s="19">
        <f ca="1">SUMPRODUCT(X$7:X155,OFFSET($J$366,ROW($I$7)-ROW(),0):$J$366)</f>
        <v>0</v>
      </c>
      <c r="N155" s="19"/>
      <c r="O155" s="43">
        <f t="shared" si="64"/>
        <v>47969</v>
      </c>
      <c r="P155" s="24">
        <f t="shared" si="65"/>
        <v>4503</v>
      </c>
      <c r="Q155" s="19">
        <f t="shared" si="66"/>
        <v>7.1331303973433258</v>
      </c>
      <c r="R155" s="19">
        <f t="shared" si="49"/>
        <v>39.591021989236879</v>
      </c>
      <c r="S155" s="19">
        <f t="shared" si="50"/>
        <v>0.26364415928965546</v>
      </c>
      <c r="T155" s="19"/>
      <c r="U155" s="24">
        <f t="shared" si="72"/>
        <v>4503.639999999994</v>
      </c>
      <c r="V155" s="19">
        <f t="shared" si="51"/>
        <v>29.856464946684035</v>
      </c>
      <c r="W155" s="19">
        <f t="shared" si="52"/>
        <v>82.444881413924577</v>
      </c>
      <c r="X155" s="19">
        <f t="shared" si="53"/>
        <v>14.928232473342018</v>
      </c>
      <c r="Y155" s="27"/>
      <c r="Z155" s="42">
        <f t="shared" si="67"/>
        <v>48700</v>
      </c>
      <c r="AA155" s="19">
        <f t="shared" ca="1" si="54"/>
        <v>6.0361025068573229</v>
      </c>
      <c r="AB155" s="19">
        <f t="shared" ca="1" si="55"/>
        <v>34.836121504737839</v>
      </c>
      <c r="AC155" s="19">
        <f t="shared" ca="1" si="56"/>
        <v>0.11397136397706377</v>
      </c>
      <c r="AD155" s="19">
        <f t="shared" ca="1" si="57"/>
        <v>5.2254182257106763</v>
      </c>
      <c r="AE155" s="115">
        <f t="shared" ca="1" si="58"/>
        <v>187.119177712577</v>
      </c>
      <c r="AF155" s="19">
        <f t="shared" ca="1" si="59"/>
        <v>1079.9197666468731</v>
      </c>
      <c r="AG155" s="19">
        <f t="shared" ca="1" si="60"/>
        <v>3.5331122832889768</v>
      </c>
      <c r="AH155" s="19">
        <f t="shared" ca="1" si="61"/>
        <v>161.98796499703096</v>
      </c>
      <c r="AI155" s="46">
        <f t="shared" ca="1" si="68"/>
        <v>5771.2938879288777</v>
      </c>
      <c r="AJ155" s="55">
        <f t="shared" ca="1" si="69"/>
        <v>1.8531706508039255E-2</v>
      </c>
      <c r="AK155" s="19">
        <f t="shared" ca="1" si="70"/>
        <v>173.27137023667774</v>
      </c>
      <c r="AL155" s="19">
        <f t="shared" ca="1" si="62"/>
        <v>149.99999999999997</v>
      </c>
    </row>
    <row r="156" spans="2:38" x14ac:dyDescent="0.25">
      <c r="B156" s="19"/>
      <c r="C156" s="19"/>
      <c r="D156" s="19"/>
      <c r="E156" s="19"/>
      <c r="F156" s="19"/>
      <c r="G156" s="19"/>
      <c r="H156" s="43">
        <f t="shared" si="71"/>
        <v>48731</v>
      </c>
      <c r="I156" s="264">
        <v>0</v>
      </c>
      <c r="J156" s="64">
        <f t="shared" ca="1" si="63"/>
        <v>0</v>
      </c>
      <c r="K156" s="19">
        <f ca="1">SUMPRODUCT(V$7:V156,OFFSET($J$366,ROW($I$7)-ROW(),0):$J$366)</f>
        <v>0</v>
      </c>
      <c r="L156" s="19">
        <f ca="1">SUMPRODUCT(W$7:W156,OFFSET($J$366,ROW($I$7)-ROW(),0):$J$366)</f>
        <v>0</v>
      </c>
      <c r="M156" s="19">
        <f ca="1">SUMPRODUCT(X$7:X156,OFFSET($J$366,ROW($I$7)-ROW(),0):$J$366)</f>
        <v>0</v>
      </c>
      <c r="N156" s="19"/>
      <c r="O156" s="43">
        <f t="shared" si="64"/>
        <v>48000</v>
      </c>
      <c r="P156" s="24">
        <f t="shared" si="65"/>
        <v>4534</v>
      </c>
      <c r="Q156" s="19">
        <f t="shared" si="66"/>
        <v>7.0827939693087076</v>
      </c>
      <c r="R156" s="19">
        <f t="shared" si="49"/>
        <v>39.362950160184702</v>
      </c>
      <c r="S156" s="19">
        <f t="shared" si="50"/>
        <v>0.25441416251877486</v>
      </c>
      <c r="T156" s="19"/>
      <c r="U156" s="24">
        <f t="shared" si="72"/>
        <v>4534.0699999999943</v>
      </c>
      <c r="V156" s="19">
        <f t="shared" si="51"/>
        <v>29.645776551065104</v>
      </c>
      <c r="W156" s="19">
        <f t="shared" si="52"/>
        <v>82.012755882706657</v>
      </c>
      <c r="X156" s="19">
        <f t="shared" si="53"/>
        <v>14.822888275532552</v>
      </c>
      <c r="Y156" s="27"/>
      <c r="Z156" s="42">
        <f t="shared" si="67"/>
        <v>48731</v>
      </c>
      <c r="AA156" s="19">
        <f t="shared" ca="1" si="54"/>
        <v>5.9935074858046908</v>
      </c>
      <c r="AB156" s="19">
        <f t="shared" ca="1" si="55"/>
        <v>34.653531909693989</v>
      </c>
      <c r="AC156" s="19">
        <f t="shared" ca="1" si="56"/>
        <v>0.10999770697628633</v>
      </c>
      <c r="AD156" s="19">
        <f t="shared" ca="1" si="57"/>
        <v>5.1980297864540983</v>
      </c>
      <c r="AE156" s="115">
        <f t="shared" ca="1" si="58"/>
        <v>179.80522457414074</v>
      </c>
      <c r="AF156" s="19">
        <f t="shared" ca="1" si="59"/>
        <v>1039.6059572908196</v>
      </c>
      <c r="AG156" s="19">
        <f t="shared" ca="1" si="60"/>
        <v>3.29993120928859</v>
      </c>
      <c r="AH156" s="19">
        <f t="shared" ca="1" si="61"/>
        <v>155.94089359362295</v>
      </c>
      <c r="AI156" s="46">
        <f t="shared" ca="1" si="68"/>
        <v>5781.8451035172748</v>
      </c>
      <c r="AJ156" s="55">
        <f t="shared" ca="1" si="69"/>
        <v>1.8022055114557442E-2</v>
      </c>
      <c r="AK156" s="19">
        <f t="shared" ca="1" si="70"/>
        <v>172.95516951702305</v>
      </c>
      <c r="AL156" s="19">
        <f t="shared" ca="1" si="62"/>
        <v>150</v>
      </c>
    </row>
    <row r="157" spans="2:38" x14ac:dyDescent="0.25">
      <c r="B157" s="19"/>
      <c r="C157" s="19"/>
      <c r="D157" s="19"/>
      <c r="E157" s="19"/>
      <c r="F157" s="19"/>
      <c r="G157" s="19"/>
      <c r="H157" s="43">
        <f t="shared" si="71"/>
        <v>48761</v>
      </c>
      <c r="I157" s="264">
        <v>0</v>
      </c>
      <c r="J157" s="64">
        <f t="shared" ca="1" si="63"/>
        <v>0</v>
      </c>
      <c r="K157" s="19">
        <f ca="1">SUMPRODUCT(V$7:V157,OFFSET($J$366,ROW($I$7)-ROW(),0):$J$366)</f>
        <v>0</v>
      </c>
      <c r="L157" s="19">
        <f ca="1">SUMPRODUCT(W$7:W157,OFFSET($J$366,ROW($I$7)-ROW(),0):$J$366)</f>
        <v>0</v>
      </c>
      <c r="M157" s="19">
        <f ca="1">SUMPRODUCT(X$7:X157,OFFSET($J$366,ROW($I$7)-ROW(),0):$J$366)</f>
        <v>0</v>
      </c>
      <c r="N157" s="19"/>
      <c r="O157" s="43">
        <f t="shared" si="64"/>
        <v>48030</v>
      </c>
      <c r="P157" s="24">
        <f t="shared" si="65"/>
        <v>4564</v>
      </c>
      <c r="Q157" s="19">
        <f t="shared" si="66"/>
        <v>7.034419529523416</v>
      </c>
      <c r="R157" s="19">
        <f t="shared" si="49"/>
        <v>39.144723541299804</v>
      </c>
      <c r="S157" s="19">
        <f t="shared" si="50"/>
        <v>0.24579117846908982</v>
      </c>
      <c r="T157" s="19"/>
      <c r="U157" s="24">
        <f t="shared" si="72"/>
        <v>4564.4999999999945</v>
      </c>
      <c r="V157" s="19">
        <f t="shared" si="51"/>
        <v>29.443300262912157</v>
      </c>
      <c r="W157" s="19">
        <f t="shared" si="52"/>
        <v>81.596726528302028</v>
      </c>
      <c r="X157" s="19">
        <f t="shared" si="53"/>
        <v>14.721650131456078</v>
      </c>
      <c r="Y157" s="27"/>
      <c r="Z157" s="42">
        <f t="shared" si="67"/>
        <v>48761</v>
      </c>
      <c r="AA157" s="19">
        <f t="shared" ca="1" si="54"/>
        <v>5.9525727122914294</v>
      </c>
      <c r="AB157" s="19">
        <f t="shared" ca="1" si="55"/>
        <v>34.477743566124012</v>
      </c>
      <c r="AC157" s="19">
        <f t="shared" ca="1" si="56"/>
        <v>0.10628483099619841</v>
      </c>
      <c r="AD157" s="19">
        <f t="shared" ca="1" si="57"/>
        <v>5.1716615349186021</v>
      </c>
      <c r="AE157" s="115">
        <f t="shared" ca="1" si="58"/>
        <v>184.5297540810343</v>
      </c>
      <c r="AF157" s="19">
        <f t="shared" ca="1" si="59"/>
        <v>1068.8100505498444</v>
      </c>
      <c r="AG157" s="19">
        <f t="shared" ca="1" si="60"/>
        <v>3.2948297608821506</v>
      </c>
      <c r="AH157" s="19">
        <f t="shared" ca="1" si="61"/>
        <v>160.32150758247667</v>
      </c>
      <c r="AI157" s="46">
        <f t="shared" ca="1" si="68"/>
        <v>5792.0743235830014</v>
      </c>
      <c r="AJ157" s="55">
        <f t="shared" ca="1" si="69"/>
        <v>1.7542058092114617E-2</v>
      </c>
      <c r="AK157" s="19">
        <f t="shared" ca="1" si="70"/>
        <v>172.64971824142543</v>
      </c>
      <c r="AL157" s="19">
        <f t="shared" ca="1" si="62"/>
        <v>150.00000000000003</v>
      </c>
    </row>
    <row r="158" spans="2:38" x14ac:dyDescent="0.25">
      <c r="B158" s="19"/>
      <c r="C158" s="19"/>
      <c r="D158" s="19"/>
      <c r="E158" s="19"/>
      <c r="F158" s="19"/>
      <c r="G158" s="19"/>
      <c r="H158" s="43">
        <f t="shared" si="71"/>
        <v>48792</v>
      </c>
      <c r="I158" s="264">
        <v>0</v>
      </c>
      <c r="J158" s="64">
        <f t="shared" ca="1" si="63"/>
        <v>0</v>
      </c>
      <c r="K158" s="19">
        <f ca="1">SUMPRODUCT(V$7:V158,OFFSET($J$366,ROW($I$7)-ROW(),0):$J$366)</f>
        <v>0</v>
      </c>
      <c r="L158" s="19">
        <f ca="1">SUMPRODUCT(W$7:W158,OFFSET($J$366,ROW($I$7)-ROW(),0):$J$366)</f>
        <v>0</v>
      </c>
      <c r="M158" s="19">
        <f ca="1">SUMPRODUCT(X$7:X158,OFFSET($J$366,ROW($I$7)-ROW(),0):$J$366)</f>
        <v>0</v>
      </c>
      <c r="N158" s="19"/>
      <c r="O158" s="43">
        <f t="shared" si="64"/>
        <v>48061</v>
      </c>
      <c r="P158" s="24">
        <f t="shared" si="65"/>
        <v>4595</v>
      </c>
      <c r="Q158" s="19">
        <f t="shared" si="66"/>
        <v>6.9847796753935878</v>
      </c>
      <c r="R158" s="19">
        <f t="shared" si="49"/>
        <v>38.92175022968452</v>
      </c>
      <c r="S158" s="19">
        <f t="shared" si="50"/>
        <v>0.23718916463110387</v>
      </c>
      <c r="T158" s="19"/>
      <c r="U158" s="24">
        <f t="shared" si="72"/>
        <v>4594.9299999999948</v>
      </c>
      <c r="V158" s="19">
        <f t="shared" si="51"/>
        <v>29.235527450384058</v>
      </c>
      <c r="W158" s="19">
        <f t="shared" si="52"/>
        <v>81.169046505091629</v>
      </c>
      <c r="X158" s="19">
        <f t="shared" si="53"/>
        <v>14.617763725192029</v>
      </c>
      <c r="Y158" s="27"/>
      <c r="Z158" s="42">
        <f t="shared" si="67"/>
        <v>48792</v>
      </c>
      <c r="AA158" s="19">
        <f t="shared" ca="1" si="54"/>
        <v>5.9105671367218751</v>
      </c>
      <c r="AB158" s="19">
        <f t="shared" ca="1" si="55"/>
        <v>34.29703236855547</v>
      </c>
      <c r="AC158" s="19">
        <f t="shared" ca="1" si="56"/>
        <v>0.10258043861579211</v>
      </c>
      <c r="AD158" s="19">
        <f t="shared" ca="1" si="57"/>
        <v>5.14455485528332</v>
      </c>
      <c r="AE158" s="115">
        <f t="shared" ca="1" si="58"/>
        <v>183.22758123837812</v>
      </c>
      <c r="AF158" s="19">
        <f t="shared" ca="1" si="59"/>
        <v>1063.2080034252197</v>
      </c>
      <c r="AG158" s="19">
        <f t="shared" ca="1" si="60"/>
        <v>3.1799935970895552</v>
      </c>
      <c r="AH158" s="19">
        <f t="shared" ca="1" si="61"/>
        <v>159.48120051378291</v>
      </c>
      <c r="AI158" s="46">
        <f t="shared" ca="1" si="68"/>
        <v>5802.6635304539195</v>
      </c>
      <c r="AJ158" s="55">
        <f t="shared" ca="1" si="69"/>
        <v>1.7059358236361215E-2</v>
      </c>
      <c r="AK158" s="19">
        <f t="shared" ca="1" si="70"/>
        <v>172.33465196658989</v>
      </c>
      <c r="AL158" s="19">
        <f t="shared" ca="1" si="62"/>
        <v>149.99999999999997</v>
      </c>
    </row>
    <row r="159" spans="2:38" x14ac:dyDescent="0.25">
      <c r="B159" s="19"/>
      <c r="C159" s="19"/>
      <c r="D159" s="19"/>
      <c r="E159" s="19"/>
      <c r="F159" s="19"/>
      <c r="G159" s="19"/>
      <c r="H159" s="43">
        <f t="shared" si="71"/>
        <v>48823</v>
      </c>
      <c r="I159" s="264">
        <v>0</v>
      </c>
      <c r="J159" s="64">
        <f t="shared" ca="1" si="63"/>
        <v>0</v>
      </c>
      <c r="K159" s="19">
        <f ca="1">SUMPRODUCT(V$7:V159,OFFSET($J$366,ROW($I$7)-ROW(),0):$J$366)</f>
        <v>0</v>
      </c>
      <c r="L159" s="19">
        <f ca="1">SUMPRODUCT(W$7:W159,OFFSET($J$366,ROW($I$7)-ROW(),0):$J$366)</f>
        <v>0</v>
      </c>
      <c r="M159" s="19">
        <f ca="1">SUMPRODUCT(X$7:X159,OFFSET($J$366,ROW($I$7)-ROW(),0):$J$366)</f>
        <v>0</v>
      </c>
      <c r="N159" s="19"/>
      <c r="O159" s="43">
        <f t="shared" si="64"/>
        <v>48092</v>
      </c>
      <c r="P159" s="24">
        <f t="shared" si="65"/>
        <v>4626</v>
      </c>
      <c r="Q159" s="19">
        <f t="shared" si="66"/>
        <v>6.9354901152869823</v>
      </c>
      <c r="R159" s="19">
        <f t="shared" si="49"/>
        <v>38.701302699441641</v>
      </c>
      <c r="S159" s="19">
        <f t="shared" si="50"/>
        <v>0.22888964971722175</v>
      </c>
      <c r="T159" s="19"/>
      <c r="U159" s="24">
        <f t="shared" si="72"/>
        <v>4625.3599999999951</v>
      </c>
      <c r="V159" s="19">
        <f t="shared" si="51"/>
        <v>29.029220830206686</v>
      </c>
      <c r="W159" s="19">
        <f t="shared" si="52"/>
        <v>80.743608118403131</v>
      </c>
      <c r="X159" s="19">
        <f t="shared" si="53"/>
        <v>14.514610415103343</v>
      </c>
      <c r="Y159" s="27"/>
      <c r="Z159" s="42">
        <f t="shared" si="67"/>
        <v>48823</v>
      </c>
      <c r="AA159" s="19">
        <f t="shared" ca="1" si="54"/>
        <v>5.8688579822905771</v>
      </c>
      <c r="AB159" s="19">
        <f t="shared" ca="1" si="55"/>
        <v>34.117268348312038</v>
      </c>
      <c r="AC159" s="19">
        <f t="shared" ca="1" si="56"/>
        <v>9.900577994741315E-2</v>
      </c>
      <c r="AD159" s="19">
        <f t="shared" ca="1" si="57"/>
        <v>5.1175902522468055</v>
      </c>
      <c r="AE159" s="115">
        <f t="shared" ca="1" si="58"/>
        <v>176.06573946871731</v>
      </c>
      <c r="AF159" s="19">
        <f t="shared" ca="1" si="59"/>
        <v>1023.5180504493611</v>
      </c>
      <c r="AG159" s="19">
        <f t="shared" ca="1" si="60"/>
        <v>2.9701733984223946</v>
      </c>
      <c r="AH159" s="19">
        <f t="shared" ca="1" si="61"/>
        <v>153.52770756740418</v>
      </c>
      <c r="AI159" s="46">
        <f t="shared" ca="1" si="68"/>
        <v>5813.272096762561</v>
      </c>
      <c r="AJ159" s="55">
        <f t="shared" ca="1" si="69"/>
        <v>1.6589819052820552E-2</v>
      </c>
      <c r="AK159" s="19">
        <f t="shared" ca="1" si="70"/>
        <v>172.02016065219186</v>
      </c>
      <c r="AL159" s="19">
        <f t="shared" ca="1" si="62"/>
        <v>150.00000000000003</v>
      </c>
    </row>
    <row r="160" spans="2:38" x14ac:dyDescent="0.25">
      <c r="B160" s="19"/>
      <c r="C160" s="19"/>
      <c r="D160" s="19"/>
      <c r="E160" s="19"/>
      <c r="F160" s="19"/>
      <c r="G160" s="19"/>
      <c r="H160" s="43">
        <f t="shared" si="71"/>
        <v>48853</v>
      </c>
      <c r="I160" s="264">
        <v>0</v>
      </c>
      <c r="J160" s="64">
        <f t="shared" ca="1" si="63"/>
        <v>0</v>
      </c>
      <c r="K160" s="19">
        <f ca="1">SUMPRODUCT(V$7:V160,OFFSET($J$366,ROW($I$7)-ROW(),0):$J$366)</f>
        <v>0</v>
      </c>
      <c r="L160" s="19">
        <f ca="1">SUMPRODUCT(W$7:W160,OFFSET($J$366,ROW($I$7)-ROW(),0):$J$366)</f>
        <v>0</v>
      </c>
      <c r="M160" s="19">
        <f ca="1">SUMPRODUCT(X$7:X160,OFFSET($J$366,ROW($I$7)-ROW(),0):$J$366)</f>
        <v>0</v>
      </c>
      <c r="N160" s="19"/>
      <c r="O160" s="43">
        <f t="shared" si="64"/>
        <v>48122</v>
      </c>
      <c r="P160" s="24">
        <f t="shared" si="65"/>
        <v>4656</v>
      </c>
      <c r="Q160" s="19">
        <f t="shared" si="66"/>
        <v>6.8881217391324254</v>
      </c>
      <c r="R160" s="19">
        <f t="shared" si="49"/>
        <v>38.490331057131932</v>
      </c>
      <c r="S160" s="19">
        <f t="shared" si="50"/>
        <v>0.22113580977771213</v>
      </c>
      <c r="T160" s="19"/>
      <c r="U160" s="24">
        <f t="shared" si="72"/>
        <v>4655.7899999999954</v>
      </c>
      <c r="V160" s="19">
        <f t="shared" si="51"/>
        <v>28.830955526832085</v>
      </c>
      <c r="W160" s="19">
        <f t="shared" si="52"/>
        <v>80.334016820119714</v>
      </c>
      <c r="X160" s="19">
        <f t="shared" si="53"/>
        <v>14.415477763416042</v>
      </c>
      <c r="Y160" s="27"/>
      <c r="Z160" s="42">
        <f t="shared" si="67"/>
        <v>48853</v>
      </c>
      <c r="AA160" s="19">
        <f t="shared" ca="1" si="54"/>
        <v>5.8287745465302034</v>
      </c>
      <c r="AB160" s="19">
        <f t="shared" ca="1" si="55"/>
        <v>33.944200330145478</v>
      </c>
      <c r="AC160" s="19">
        <f t="shared" ca="1" si="56"/>
        <v>9.5665655365005001E-2</v>
      </c>
      <c r="AD160" s="19">
        <f t="shared" ca="1" si="57"/>
        <v>5.0916300495218207</v>
      </c>
      <c r="AE160" s="115">
        <f t="shared" ca="1" si="58"/>
        <v>180.6920109424363</v>
      </c>
      <c r="AF160" s="19">
        <f t="shared" ca="1" si="59"/>
        <v>1052.2702102345097</v>
      </c>
      <c r="AG160" s="19">
        <f t="shared" ca="1" si="60"/>
        <v>2.9656353163151552</v>
      </c>
      <c r="AH160" s="19">
        <f t="shared" ca="1" si="61"/>
        <v>157.84053153517644</v>
      </c>
      <c r="AI160" s="46">
        <f t="shared" ca="1" si="68"/>
        <v>5823.5569173544436</v>
      </c>
      <c r="AJ160" s="55">
        <f t="shared" ca="1" si="69"/>
        <v>1.6147627810371334E-2</v>
      </c>
      <c r="AK160" s="19">
        <f t="shared" ca="1" si="70"/>
        <v>171.71636066953482</v>
      </c>
      <c r="AL160" s="19">
        <f t="shared" ca="1" si="62"/>
        <v>150</v>
      </c>
    </row>
    <row r="161" spans="2:38" x14ac:dyDescent="0.25">
      <c r="B161" s="19"/>
      <c r="C161" s="19"/>
      <c r="D161" s="19"/>
      <c r="E161" s="19"/>
      <c r="F161" s="19"/>
      <c r="G161" s="19"/>
      <c r="H161" s="43">
        <f t="shared" si="71"/>
        <v>48884</v>
      </c>
      <c r="I161" s="264">
        <v>0</v>
      </c>
      <c r="J161" s="64">
        <f t="shared" ca="1" si="63"/>
        <v>0</v>
      </c>
      <c r="K161" s="19">
        <f ca="1">SUMPRODUCT(V$7:V161,OFFSET($J$366,ROW($I$7)-ROW(),0):$J$366)</f>
        <v>0</v>
      </c>
      <c r="L161" s="19">
        <f ca="1">SUMPRODUCT(W$7:W161,OFFSET($J$366,ROW($I$7)-ROW(),0):$J$366)</f>
        <v>0</v>
      </c>
      <c r="M161" s="19">
        <f ca="1">SUMPRODUCT(X$7:X161,OFFSET($J$366,ROW($I$7)-ROW(),0):$J$366)</f>
        <v>0</v>
      </c>
      <c r="N161" s="19"/>
      <c r="O161" s="43">
        <f t="shared" si="64"/>
        <v>48153</v>
      </c>
      <c r="P161" s="24">
        <f t="shared" si="65"/>
        <v>4687</v>
      </c>
      <c r="Q161" s="19">
        <f t="shared" si="66"/>
        <v>6.8395142659892647</v>
      </c>
      <c r="R161" s="19">
        <f t="shared" si="49"/>
        <v>38.274729906792274</v>
      </c>
      <c r="S161" s="19">
        <f t="shared" si="50"/>
        <v>0.21340068242786397</v>
      </c>
      <c r="T161" s="19"/>
      <c r="U161" s="24">
        <f t="shared" si="72"/>
        <v>4686.2199999999957</v>
      </c>
      <c r="V161" s="19">
        <f t="shared" si="51"/>
        <v>28.62750385313408</v>
      </c>
      <c r="W161" s="19">
        <f t="shared" si="52"/>
        <v>79.912955147182416</v>
      </c>
      <c r="X161" s="19">
        <f t="shared" si="53"/>
        <v>14.31375192656704</v>
      </c>
      <c r="Y161" s="27"/>
      <c r="Z161" s="42">
        <f t="shared" si="67"/>
        <v>48884</v>
      </c>
      <c r="AA161" s="19">
        <f t="shared" ca="1" si="54"/>
        <v>5.7876425786356158</v>
      </c>
      <c r="AB161" s="19">
        <f t="shared" ca="1" si="55"/>
        <v>33.766285639168018</v>
      </c>
      <c r="AC161" s="19">
        <f t="shared" ca="1" si="56"/>
        <v>9.233310117548231E-2</v>
      </c>
      <c r="AD161" s="19">
        <f t="shared" ca="1" si="57"/>
        <v>5.0649428458752022</v>
      </c>
      <c r="AE161" s="115">
        <f t="shared" ca="1" si="58"/>
        <v>173.62927735906848</v>
      </c>
      <c r="AF161" s="19">
        <f t="shared" ca="1" si="59"/>
        <v>1012.9885691750405</v>
      </c>
      <c r="AG161" s="19">
        <f t="shared" ca="1" si="60"/>
        <v>2.7699930352644695</v>
      </c>
      <c r="AH161" s="19">
        <f t="shared" ca="1" si="61"/>
        <v>151.94828537625605</v>
      </c>
      <c r="AI161" s="46">
        <f t="shared" ca="1" si="68"/>
        <v>5834.2036814457388</v>
      </c>
      <c r="AJ161" s="55">
        <f t="shared" ca="1" si="69"/>
        <v>1.5702973312033942E-2</v>
      </c>
      <c r="AK161" s="19">
        <f t="shared" ca="1" si="70"/>
        <v>171.40299766706056</v>
      </c>
      <c r="AL161" s="19">
        <f t="shared" ca="1" si="62"/>
        <v>150</v>
      </c>
    </row>
    <row r="162" spans="2:38" x14ac:dyDescent="0.25">
      <c r="B162" s="19"/>
      <c r="C162" s="19"/>
      <c r="D162" s="19"/>
      <c r="E162" s="19"/>
      <c r="F162" s="19"/>
      <c r="G162" s="19"/>
      <c r="H162" s="44">
        <f t="shared" si="71"/>
        <v>48914</v>
      </c>
      <c r="I162" s="265">
        <v>0</v>
      </c>
      <c r="J162" s="65">
        <f t="shared" ca="1" si="63"/>
        <v>0</v>
      </c>
      <c r="K162" s="21">
        <f ca="1">SUMPRODUCT(V$7:V162,OFFSET($J$366,ROW($I$7)-ROW(),0):$J$366)</f>
        <v>0</v>
      </c>
      <c r="L162" s="21">
        <f ca="1">SUMPRODUCT(W$7:W162,OFFSET($J$366,ROW($I$7)-ROW(),0):$J$366)</f>
        <v>0</v>
      </c>
      <c r="M162" s="21">
        <f ca="1">SUMPRODUCT(X$7:X162,OFFSET($J$366,ROW($I$7)-ROW(),0):$J$366)</f>
        <v>0</v>
      </c>
      <c r="N162" s="19"/>
      <c r="O162" s="44">
        <f t="shared" si="64"/>
        <v>48183</v>
      </c>
      <c r="P162" s="25">
        <f t="shared" si="65"/>
        <v>4717</v>
      </c>
      <c r="Q162" s="21">
        <f t="shared" si="66"/>
        <v>6.7928013907518352</v>
      </c>
      <c r="R162" s="21">
        <f t="shared" si="49"/>
        <v>38.068370970354295</v>
      </c>
      <c r="S162" s="21">
        <f t="shared" si="50"/>
        <v>0.20617403364271772</v>
      </c>
      <c r="T162" s="19"/>
      <c r="U162" s="25">
        <f t="shared" si="72"/>
        <v>4716.649999999996</v>
      </c>
      <c r="V162" s="21">
        <f t="shared" si="51"/>
        <v>28.431982217555316</v>
      </c>
      <c r="W162" s="21">
        <f t="shared" si="52"/>
        <v>79.507577535119282</v>
      </c>
      <c r="X162" s="21">
        <f t="shared" si="53"/>
        <v>14.215991108777658</v>
      </c>
      <c r="Y162" s="27"/>
      <c r="Z162" s="48">
        <f t="shared" si="67"/>
        <v>48914</v>
      </c>
      <c r="AA162" s="21">
        <f t="shared" ca="1" si="54"/>
        <v>5.7481138321222787</v>
      </c>
      <c r="AB162" s="21">
        <f t="shared" ca="1" si="55"/>
        <v>33.59499806488877</v>
      </c>
      <c r="AC162" s="21">
        <f t="shared" ca="1" si="56"/>
        <v>8.9219158449260677E-2</v>
      </c>
      <c r="AD162" s="21">
        <f t="shared" ca="1" si="57"/>
        <v>5.0392497097333155</v>
      </c>
      <c r="AE162" s="116">
        <f t="shared" ca="1" si="58"/>
        <v>178.19152879579065</v>
      </c>
      <c r="AF162" s="21">
        <f t="shared" ca="1" si="59"/>
        <v>1041.4449400115518</v>
      </c>
      <c r="AG162" s="21">
        <f t="shared" ca="1" si="60"/>
        <v>2.7657939119270809</v>
      </c>
      <c r="AH162" s="21">
        <f t="shared" ca="1" si="61"/>
        <v>156.21674100173277</v>
      </c>
      <c r="AI162" s="47">
        <f t="shared" ca="1" si="68"/>
        <v>5844.5255341237835</v>
      </c>
      <c r="AJ162" s="57">
        <f t="shared" ca="1" si="69"/>
        <v>1.5284233158082203E-2</v>
      </c>
      <c r="AK162" s="21">
        <f t="shared" ca="1" si="70"/>
        <v>171.10028763864764</v>
      </c>
      <c r="AL162" s="21">
        <f t="shared" ca="1" si="62"/>
        <v>150</v>
      </c>
    </row>
    <row r="163" spans="2:38" x14ac:dyDescent="0.25">
      <c r="B163" s="19"/>
      <c r="C163" s="19"/>
      <c r="D163" s="19"/>
      <c r="E163" s="19"/>
      <c r="F163" s="19"/>
      <c r="G163" s="19"/>
      <c r="H163" s="43">
        <f t="shared" si="71"/>
        <v>48945</v>
      </c>
      <c r="I163" s="264">
        <v>0</v>
      </c>
      <c r="J163" s="64">
        <f t="shared" ca="1" si="63"/>
        <v>0</v>
      </c>
      <c r="K163" s="19">
        <f ca="1">SUMPRODUCT(V$7:V163,OFFSET($J$366,ROW($I$7)-ROW(),0):$J$366)</f>
        <v>0</v>
      </c>
      <c r="L163" s="19">
        <f ca="1">SUMPRODUCT(W$7:W163,OFFSET($J$366,ROW($I$7)-ROW(),0):$J$366)</f>
        <v>0</v>
      </c>
      <c r="M163" s="19">
        <f ca="1">SUMPRODUCT(X$7:X163,OFFSET($J$366,ROW($I$7)-ROW(),0):$J$366)</f>
        <v>0</v>
      </c>
      <c r="N163" s="19"/>
      <c r="O163" s="43">
        <f t="shared" si="64"/>
        <v>48214</v>
      </c>
      <c r="P163" s="24">
        <f t="shared" si="65"/>
        <v>4748</v>
      </c>
      <c r="Q163" s="19">
        <f t="shared" si="66"/>
        <v>6.7448665656032052</v>
      </c>
      <c r="R163" s="19">
        <f t="shared" si="49"/>
        <v>37.857458122446594</v>
      </c>
      <c r="S163" s="19">
        <f t="shared" si="50"/>
        <v>0.19896473627927694</v>
      </c>
      <c r="T163" s="19"/>
      <c r="U163" s="24">
        <f t="shared" si="72"/>
        <v>4747.0799999999963</v>
      </c>
      <c r="V163" s="19">
        <f t="shared" si="51"/>
        <v>28.231345982542905</v>
      </c>
      <c r="W163" s="19">
        <f t="shared" si="52"/>
        <v>79.090847550322309</v>
      </c>
      <c r="X163" s="19">
        <f t="shared" si="53"/>
        <v>14.115672991271452</v>
      </c>
      <c r="Y163" s="27"/>
      <c r="Z163" s="42">
        <f t="shared" si="67"/>
        <v>48945</v>
      </c>
      <c r="AA163" s="19">
        <f t="shared" ca="1" si="54"/>
        <v>5.7075510634459654</v>
      </c>
      <c r="AB163" s="19">
        <f t="shared" ca="1" si="55"/>
        <v>33.418913678131403</v>
      </c>
      <c r="AC163" s="19">
        <f t="shared" ca="1" si="56"/>
        <v>8.6112235490168332E-2</v>
      </c>
      <c r="AD163" s="19">
        <f t="shared" ca="1" si="57"/>
        <v>5.0128370517197114</v>
      </c>
      <c r="AE163" s="115">
        <f t="shared" ca="1" si="58"/>
        <v>176.93408296682492</v>
      </c>
      <c r="AF163" s="19">
        <f t="shared" ca="1" si="59"/>
        <v>1035.9863240220734</v>
      </c>
      <c r="AG163" s="19">
        <f t="shared" ca="1" si="60"/>
        <v>2.6694793001952184</v>
      </c>
      <c r="AH163" s="19">
        <f t="shared" ca="1" si="61"/>
        <v>155.39794860331105</v>
      </c>
      <c r="AI163" s="46">
        <f t="shared" ca="1" si="68"/>
        <v>5855.2106335347526</v>
      </c>
      <c r="AJ163" s="55">
        <f t="shared" ca="1" si="69"/>
        <v>1.4863175688166204E-2</v>
      </c>
      <c r="AK163" s="19">
        <f t="shared" ca="1" si="70"/>
        <v>170.78804890001138</v>
      </c>
      <c r="AL163" s="19">
        <f t="shared" ca="1" si="62"/>
        <v>150.00000000000003</v>
      </c>
    </row>
    <row r="164" spans="2:38" x14ac:dyDescent="0.25">
      <c r="B164" s="19"/>
      <c r="C164" s="19"/>
      <c r="D164" s="19"/>
      <c r="E164" s="19"/>
      <c r="F164" s="19"/>
      <c r="G164" s="19"/>
      <c r="H164" s="43">
        <f t="shared" si="71"/>
        <v>48976</v>
      </c>
      <c r="I164" s="264">
        <v>0</v>
      </c>
      <c r="J164" s="64">
        <f t="shared" ca="1" si="63"/>
        <v>0</v>
      </c>
      <c r="K164" s="19">
        <f ca="1">SUMPRODUCT(V$7:V164,OFFSET($J$366,ROW($I$7)-ROW(),0):$J$366)</f>
        <v>0</v>
      </c>
      <c r="L164" s="19">
        <f ca="1">SUMPRODUCT(W$7:W164,OFFSET($J$366,ROW($I$7)-ROW(),0):$J$366)</f>
        <v>0</v>
      </c>
      <c r="M164" s="19">
        <f ca="1">SUMPRODUCT(X$7:X164,OFFSET($J$366,ROW($I$7)-ROW(),0):$J$366)</f>
        <v>0</v>
      </c>
      <c r="N164" s="19"/>
      <c r="O164" s="43">
        <f t="shared" si="64"/>
        <v>48245</v>
      </c>
      <c r="P164" s="24">
        <f t="shared" si="65"/>
        <v>4779</v>
      </c>
      <c r="Q164" s="19">
        <f t="shared" si="66"/>
        <v>6.697270002583827</v>
      </c>
      <c r="R164" s="19">
        <f t="shared" si="49"/>
        <v>37.648869467939356</v>
      </c>
      <c r="S164" s="19">
        <f t="shared" si="50"/>
        <v>0.19200874278836236</v>
      </c>
      <c r="T164" s="19"/>
      <c r="U164" s="24">
        <f t="shared" si="72"/>
        <v>4777.5099999999966</v>
      </c>
      <c r="V164" s="19">
        <f t="shared" si="51"/>
        <v>28.032125579127889</v>
      </c>
      <c r="W164" s="19">
        <f t="shared" si="52"/>
        <v>78.676301808658039</v>
      </c>
      <c r="X164" s="19">
        <f t="shared" si="53"/>
        <v>14.016062789563945</v>
      </c>
      <c r="Y164" s="27"/>
      <c r="Z164" s="42">
        <f t="shared" si="67"/>
        <v>48976</v>
      </c>
      <c r="AA164" s="19">
        <f t="shared" ca="1" si="54"/>
        <v>5.6672745344390014</v>
      </c>
      <c r="AB164" s="19">
        <f t="shared" ca="1" si="55"/>
        <v>33.243752217793009</v>
      </c>
      <c r="AC164" s="19">
        <f t="shared" ca="1" si="56"/>
        <v>8.3114028434244244E-2</v>
      </c>
      <c r="AD164" s="19">
        <f t="shared" ca="1" si="57"/>
        <v>4.9865628326689508</v>
      </c>
      <c r="AE164" s="115">
        <f t="shared" ca="1" si="58"/>
        <v>158.68368696429204</v>
      </c>
      <c r="AF164" s="19">
        <f t="shared" ca="1" si="59"/>
        <v>930.82506209820428</v>
      </c>
      <c r="AG164" s="19">
        <f t="shared" ca="1" si="60"/>
        <v>2.327192796158839</v>
      </c>
      <c r="AH164" s="19">
        <f t="shared" ca="1" si="61"/>
        <v>139.62375931473062</v>
      </c>
      <c r="AI164" s="46">
        <f t="shared" ca="1" si="68"/>
        <v>5865.9152676964468</v>
      </c>
      <c r="AJ164" s="55">
        <f t="shared" ca="1" si="69"/>
        <v>1.4453636919574598E-2</v>
      </c>
      <c r="AK164" s="19">
        <f t="shared" ca="1" si="70"/>
        <v>170.47637996187788</v>
      </c>
      <c r="AL164" s="19">
        <f t="shared" ca="1" si="62"/>
        <v>149.99999999999997</v>
      </c>
    </row>
    <row r="165" spans="2:38" x14ac:dyDescent="0.25">
      <c r="B165" s="19"/>
      <c r="C165" s="19"/>
      <c r="D165" s="19"/>
      <c r="E165" s="19"/>
      <c r="F165" s="19"/>
      <c r="G165" s="19"/>
      <c r="H165" s="43">
        <f t="shared" si="71"/>
        <v>49004</v>
      </c>
      <c r="I165" s="264">
        <v>0</v>
      </c>
      <c r="J165" s="64">
        <f t="shared" ca="1" si="63"/>
        <v>0</v>
      </c>
      <c r="K165" s="19">
        <f ca="1">SUMPRODUCT(V$7:V165,OFFSET($J$366,ROW($I$7)-ROW(),0):$J$366)</f>
        <v>0</v>
      </c>
      <c r="L165" s="19">
        <f ca="1">SUMPRODUCT(W$7:W165,OFFSET($J$366,ROW($I$7)-ROW(),0):$J$366)</f>
        <v>0</v>
      </c>
      <c r="M165" s="19">
        <f ca="1">SUMPRODUCT(X$7:X165,OFFSET($J$366,ROW($I$7)-ROW(),0):$J$366)</f>
        <v>0</v>
      </c>
      <c r="N165" s="19"/>
      <c r="O165" s="43">
        <f t="shared" si="64"/>
        <v>48274</v>
      </c>
      <c r="P165" s="24">
        <f t="shared" si="65"/>
        <v>4808</v>
      </c>
      <c r="Q165" s="19">
        <f t="shared" si="66"/>
        <v>6.6530483018777637</v>
      </c>
      <c r="R165" s="19">
        <f t="shared" si="49"/>
        <v>37.455808397016682</v>
      </c>
      <c r="S165" s="19">
        <f t="shared" si="50"/>
        <v>0.18572291445951566</v>
      </c>
      <c r="T165" s="19"/>
      <c r="U165" s="24">
        <f t="shared" si="72"/>
        <v>4807.9399999999969</v>
      </c>
      <c r="V165" s="19">
        <f t="shared" si="51"/>
        <v>27.847031015665948</v>
      </c>
      <c r="W165" s="19">
        <f t="shared" si="52"/>
        <v>78.290468221746664</v>
      </c>
      <c r="X165" s="19">
        <f t="shared" si="53"/>
        <v>13.923515507832974</v>
      </c>
      <c r="Y165" s="27"/>
      <c r="Z165" s="42">
        <f t="shared" si="67"/>
        <v>49004</v>
      </c>
      <c r="AA165" s="19">
        <f t="shared" ca="1" si="54"/>
        <v>5.6311400827093392</v>
      </c>
      <c r="AB165" s="19">
        <f t="shared" ca="1" si="55"/>
        <v>33.086331117217277</v>
      </c>
      <c r="AC165" s="19">
        <f t="shared" ca="1" si="56"/>
        <v>8.0496231901740656E-2</v>
      </c>
      <c r="AD165" s="19">
        <f t="shared" ca="1" si="57"/>
        <v>4.962949667582591</v>
      </c>
      <c r="AE165" s="115">
        <f t="shared" ca="1" si="58"/>
        <v>174.5653425639895</v>
      </c>
      <c r="AF165" s="19">
        <f t="shared" ca="1" si="59"/>
        <v>1025.6762646337356</v>
      </c>
      <c r="AG165" s="19">
        <f t="shared" ca="1" si="60"/>
        <v>2.4953831889539604</v>
      </c>
      <c r="AH165" s="19">
        <f t="shared" ca="1" si="61"/>
        <v>153.85143969506032</v>
      </c>
      <c r="AI165" s="46">
        <f t="shared" ca="1" si="68"/>
        <v>5875.6007897601949</v>
      </c>
      <c r="AJ165" s="55">
        <f t="shared" ca="1" si="69"/>
        <v>1.4093374904809894E-2</v>
      </c>
      <c r="AK165" s="19">
        <f t="shared" ca="1" si="70"/>
        <v>170.19536142461678</v>
      </c>
      <c r="AL165" s="19">
        <f t="shared" ca="1" si="62"/>
        <v>149.99999999999997</v>
      </c>
    </row>
    <row r="166" spans="2:38" x14ac:dyDescent="0.25">
      <c r="B166" s="19"/>
      <c r="C166" s="19"/>
      <c r="D166" s="19"/>
      <c r="E166" s="19"/>
      <c r="F166" s="19"/>
      <c r="G166" s="19"/>
      <c r="H166" s="43">
        <f t="shared" si="71"/>
        <v>49035</v>
      </c>
      <c r="I166" s="264">
        <v>0</v>
      </c>
      <c r="J166" s="64">
        <f t="shared" ca="1" si="63"/>
        <v>0</v>
      </c>
      <c r="K166" s="19">
        <f ca="1">SUMPRODUCT(V$7:V166,OFFSET($J$366,ROW($I$7)-ROW(),0):$J$366)</f>
        <v>0</v>
      </c>
      <c r="L166" s="19">
        <f ca="1">SUMPRODUCT(W$7:W166,OFFSET($J$366,ROW($I$7)-ROW(),0):$J$366)</f>
        <v>0</v>
      </c>
      <c r="M166" s="19">
        <f ca="1">SUMPRODUCT(X$7:X166,OFFSET($J$366,ROW($I$7)-ROW(),0):$J$366)</f>
        <v>0</v>
      </c>
      <c r="N166" s="19"/>
      <c r="O166" s="43">
        <f t="shared" si="64"/>
        <v>48305</v>
      </c>
      <c r="P166" s="24">
        <f t="shared" si="65"/>
        <v>4839</v>
      </c>
      <c r="Q166" s="19">
        <f t="shared" si="66"/>
        <v>6.6060996736593536</v>
      </c>
      <c r="R166" s="19">
        <f t="shared" si="49"/>
        <v>37.251610380509796</v>
      </c>
      <c r="S166" s="19">
        <f t="shared" si="50"/>
        <v>0.17923206328775268</v>
      </c>
      <c r="T166" s="19"/>
      <c r="U166" s="24">
        <f t="shared" si="72"/>
        <v>4838.3699999999972</v>
      </c>
      <c r="V166" s="19">
        <f t="shared" si="51"/>
        <v>27.650522611274528</v>
      </c>
      <c r="W166" s="19">
        <f t="shared" si="52"/>
        <v>77.880117577905381</v>
      </c>
      <c r="X166" s="19">
        <f t="shared" si="53"/>
        <v>13.825261305637264</v>
      </c>
      <c r="Y166" s="27"/>
      <c r="Z166" s="42">
        <f t="shared" si="67"/>
        <v>49035</v>
      </c>
      <c r="AA166" s="19">
        <f t="shared" ca="1" si="54"/>
        <v>5.5914027637852772</v>
      </c>
      <c r="AB166" s="19">
        <f t="shared" ca="1" si="55"/>
        <v>32.912912850796374</v>
      </c>
      <c r="AC166" s="19">
        <f t="shared" ca="1" si="56"/>
        <v>7.7694487875679674E-2</v>
      </c>
      <c r="AD166" s="19">
        <f t="shared" ca="1" si="57"/>
        <v>4.9369369276194561</v>
      </c>
      <c r="AE166" s="115">
        <f t="shared" ca="1" si="58"/>
        <v>167.74208291355831</v>
      </c>
      <c r="AF166" s="19">
        <f t="shared" ca="1" si="59"/>
        <v>987.38738552389123</v>
      </c>
      <c r="AG166" s="19">
        <f t="shared" ca="1" si="60"/>
        <v>2.3308346362703904</v>
      </c>
      <c r="AH166" s="19">
        <f t="shared" ca="1" si="61"/>
        <v>148.10810782858368</v>
      </c>
      <c r="AI166" s="46">
        <f t="shared" ca="1" si="68"/>
        <v>5886.3427016863543</v>
      </c>
      <c r="AJ166" s="55">
        <f t="shared" ca="1" si="69"/>
        <v>1.3704913573835131E-2</v>
      </c>
      <c r="AK166" s="19">
        <f t="shared" ca="1" si="70"/>
        <v>169.88477407431853</v>
      </c>
      <c r="AL166" s="19">
        <f t="shared" ca="1" si="62"/>
        <v>150</v>
      </c>
    </row>
    <row r="167" spans="2:38" x14ac:dyDescent="0.25">
      <c r="B167" s="19"/>
      <c r="C167" s="19"/>
      <c r="D167" s="19"/>
      <c r="E167" s="19"/>
      <c r="F167" s="19"/>
      <c r="G167" s="19"/>
      <c r="H167" s="43">
        <f t="shared" si="71"/>
        <v>49065</v>
      </c>
      <c r="I167" s="264">
        <v>0</v>
      </c>
      <c r="J167" s="64">
        <f t="shared" ca="1" si="63"/>
        <v>0</v>
      </c>
      <c r="K167" s="19">
        <f ca="1">SUMPRODUCT(V$7:V167,OFFSET($J$366,ROW($I$7)-ROW(),0):$J$366)</f>
        <v>0</v>
      </c>
      <c r="L167" s="19">
        <f ca="1">SUMPRODUCT(W$7:W167,OFFSET($J$366,ROW($I$7)-ROW(),0):$J$366)</f>
        <v>0</v>
      </c>
      <c r="M167" s="19">
        <f ca="1">SUMPRODUCT(X$7:X167,OFFSET($J$366,ROW($I$7)-ROW(),0):$J$366)</f>
        <v>0</v>
      </c>
      <c r="N167" s="19"/>
      <c r="O167" s="43">
        <f t="shared" si="64"/>
        <v>48335</v>
      </c>
      <c r="P167" s="24">
        <f t="shared" si="65"/>
        <v>4869</v>
      </c>
      <c r="Q167" s="19">
        <f t="shared" si="66"/>
        <v>6.5609809857144805</v>
      </c>
      <c r="R167" s="19">
        <f t="shared" si="49"/>
        <v>37.056108152733977</v>
      </c>
      <c r="S167" s="19">
        <f t="shared" si="50"/>
        <v>0.17316771037488635</v>
      </c>
      <c r="T167" s="19"/>
      <c r="U167" s="24">
        <f t="shared" si="72"/>
        <v>4868.7999999999975</v>
      </c>
      <c r="V167" s="19">
        <f t="shared" si="51"/>
        <v>27.461673613705639</v>
      </c>
      <c r="W167" s="19">
        <f t="shared" si="52"/>
        <v>77.485052021478637</v>
      </c>
      <c r="X167" s="19">
        <f t="shared" si="53"/>
        <v>13.730836806852819</v>
      </c>
      <c r="Y167" s="27"/>
      <c r="Z167" s="42">
        <f t="shared" si="67"/>
        <v>49065</v>
      </c>
      <c r="AA167" s="19">
        <f t="shared" ca="1" si="54"/>
        <v>5.5532143063087371</v>
      </c>
      <c r="AB167" s="19">
        <f t="shared" ca="1" si="55"/>
        <v>32.745954214453569</v>
      </c>
      <c r="AC167" s="19">
        <f t="shared" ca="1" si="56"/>
        <v>7.5076455624854085E-2</v>
      </c>
      <c r="AD167" s="19">
        <f t="shared" ca="1" si="57"/>
        <v>4.9118931321680348</v>
      </c>
      <c r="AE167" s="115">
        <f t="shared" ca="1" si="58"/>
        <v>172.14964349557084</v>
      </c>
      <c r="AF167" s="19">
        <f t="shared" ca="1" si="59"/>
        <v>1015.1245806480606</v>
      </c>
      <c r="AG167" s="19">
        <f t="shared" ca="1" si="60"/>
        <v>2.3273701243704767</v>
      </c>
      <c r="AH167" s="19">
        <f t="shared" ca="1" si="61"/>
        <v>152.26868709720907</v>
      </c>
      <c r="AI167" s="46">
        <f t="shared" ca="1" si="68"/>
        <v>5896.7567985360265</v>
      </c>
      <c r="AJ167" s="55">
        <f t="shared" ca="1" si="69"/>
        <v>1.333912173348018E-2</v>
      </c>
      <c r="AK167" s="19">
        <f t="shared" ca="1" si="70"/>
        <v>169.58474533802504</v>
      </c>
      <c r="AL167" s="19">
        <f t="shared" ca="1" si="62"/>
        <v>149.99999999999997</v>
      </c>
    </row>
    <row r="168" spans="2:38" x14ac:dyDescent="0.25">
      <c r="B168" s="19"/>
      <c r="C168" s="19"/>
      <c r="D168" s="19"/>
      <c r="E168" s="19"/>
      <c r="F168" s="19"/>
      <c r="G168" s="19"/>
      <c r="H168" s="43">
        <f t="shared" si="71"/>
        <v>49096</v>
      </c>
      <c r="I168" s="264">
        <v>0</v>
      </c>
      <c r="J168" s="64">
        <f t="shared" ca="1" si="63"/>
        <v>0</v>
      </c>
      <c r="K168" s="19">
        <f ca="1">SUMPRODUCT(V$7:V168,OFFSET($J$366,ROW($I$7)-ROW(),0):$J$366)</f>
        <v>0</v>
      </c>
      <c r="L168" s="19">
        <f ca="1">SUMPRODUCT(W$7:W168,OFFSET($J$366,ROW($I$7)-ROW(),0):$J$366)</f>
        <v>0</v>
      </c>
      <c r="M168" s="19">
        <f ca="1">SUMPRODUCT(X$7:X168,OFFSET($J$366,ROW($I$7)-ROW(),0):$J$366)</f>
        <v>0</v>
      </c>
      <c r="N168" s="19"/>
      <c r="O168" s="43">
        <f t="shared" si="64"/>
        <v>48366</v>
      </c>
      <c r="P168" s="24">
        <f t="shared" si="65"/>
        <v>4900</v>
      </c>
      <c r="Q168" s="19">
        <f t="shared" si="66"/>
        <v>6.5146820497877087</v>
      </c>
      <c r="R168" s="19">
        <f t="shared" si="49"/>
        <v>36.856233350660339</v>
      </c>
      <c r="S168" s="19">
        <f t="shared" si="50"/>
        <v>0.16711773254349502</v>
      </c>
      <c r="T168" s="19"/>
      <c r="U168" s="24">
        <f t="shared" si="72"/>
        <v>4899.2299999999977</v>
      </c>
      <c r="V168" s="19">
        <f t="shared" si="51"/>
        <v>27.267884564499234</v>
      </c>
      <c r="W168" s="19">
        <f t="shared" si="52"/>
        <v>77.078922875654243</v>
      </c>
      <c r="X168" s="19">
        <f t="shared" si="53"/>
        <v>13.633942282249617</v>
      </c>
      <c r="Y168" s="27"/>
      <c r="Z168" s="42">
        <f t="shared" si="67"/>
        <v>49096</v>
      </c>
      <c r="AA168" s="19">
        <f t="shared" ca="1" si="54"/>
        <v>5.5140268869403162</v>
      </c>
      <c r="AB168" s="19">
        <f t="shared" ca="1" si="55"/>
        <v>32.574319995112347</v>
      </c>
      <c r="AC168" s="19">
        <f t="shared" ca="1" si="56"/>
        <v>7.2464246250242351E-2</v>
      </c>
      <c r="AD168" s="19">
        <f t="shared" ca="1" si="57"/>
        <v>4.8861479992668517</v>
      </c>
      <c r="AE168" s="115">
        <f t="shared" ca="1" si="58"/>
        <v>165.42080660820949</v>
      </c>
      <c r="AF168" s="19">
        <f t="shared" ca="1" si="59"/>
        <v>977.22959985337047</v>
      </c>
      <c r="AG168" s="19">
        <f t="shared" ca="1" si="60"/>
        <v>2.1739273875072707</v>
      </c>
      <c r="AH168" s="19">
        <f t="shared" ca="1" si="61"/>
        <v>146.58443997800555</v>
      </c>
      <c r="AI168" s="46">
        <f t="shared" ca="1" si="68"/>
        <v>5907.5373883763459</v>
      </c>
      <c r="AJ168" s="55">
        <f t="shared" ca="1" si="69"/>
        <v>1.2971334693384996E-2</v>
      </c>
      <c r="AK168" s="19">
        <f t="shared" ca="1" si="70"/>
        <v>169.27527229325662</v>
      </c>
      <c r="AL168" s="19">
        <f t="shared" ca="1" si="62"/>
        <v>149.99999999999997</v>
      </c>
    </row>
    <row r="169" spans="2:38" x14ac:dyDescent="0.25">
      <c r="B169" s="19"/>
      <c r="C169" s="19"/>
      <c r="D169" s="19"/>
      <c r="E169" s="19"/>
      <c r="F169" s="19"/>
      <c r="G169" s="19"/>
      <c r="H169" s="43">
        <f t="shared" si="71"/>
        <v>49126</v>
      </c>
      <c r="I169" s="264">
        <v>0</v>
      </c>
      <c r="J169" s="64">
        <f t="shared" ca="1" si="63"/>
        <v>0</v>
      </c>
      <c r="K169" s="19">
        <f ca="1">SUMPRODUCT(V$7:V169,OFFSET($J$366,ROW($I$7)-ROW(),0):$J$366)</f>
        <v>0</v>
      </c>
      <c r="L169" s="19">
        <f ca="1">SUMPRODUCT(W$7:W169,OFFSET($J$366,ROW($I$7)-ROW(),0):$J$366)</f>
        <v>0</v>
      </c>
      <c r="M169" s="19">
        <f ca="1">SUMPRODUCT(X$7:X169,OFFSET($J$366,ROW($I$7)-ROW(),0):$J$366)</f>
        <v>0</v>
      </c>
      <c r="N169" s="19"/>
      <c r="O169" s="43">
        <f t="shared" si="64"/>
        <v>48396</v>
      </c>
      <c r="P169" s="24">
        <f t="shared" si="65"/>
        <v>4930</v>
      </c>
      <c r="Q169" s="19">
        <f t="shared" si="66"/>
        <v>6.4701877307515536</v>
      </c>
      <c r="R169" s="19">
        <f t="shared" si="49"/>
        <v>36.664848438826574</v>
      </c>
      <c r="S169" s="19">
        <f t="shared" si="50"/>
        <v>0.16146521467266689</v>
      </c>
      <c r="T169" s="19"/>
      <c r="U169" s="24">
        <f t="shared" si="72"/>
        <v>4929.659999999998</v>
      </c>
      <c r="V169" s="19">
        <f t="shared" si="51"/>
        <v>27.081648928441847</v>
      </c>
      <c r="W169" s="19">
        <f t="shared" si="52"/>
        <v>76.687921571320288</v>
      </c>
      <c r="X169" s="19">
        <f t="shared" si="53"/>
        <v>13.540824464220924</v>
      </c>
      <c r="Y169" s="27"/>
      <c r="Z169" s="42">
        <f t="shared" si="67"/>
        <v>49126</v>
      </c>
      <c r="AA169" s="19">
        <f t="shared" ca="1" si="54"/>
        <v>5.4763668953081153</v>
      </c>
      <c r="AB169" s="19">
        <f t="shared" ca="1" si="55"/>
        <v>32.40907895215657</v>
      </c>
      <c r="AC169" s="19">
        <f t="shared" ca="1" si="56"/>
        <v>7.0023290975560704E-2</v>
      </c>
      <c r="AD169" s="19">
        <f t="shared" ca="1" si="57"/>
        <v>4.8613618428234853</v>
      </c>
      <c r="AE169" s="115">
        <f t="shared" ca="1" si="58"/>
        <v>169.76737375455158</v>
      </c>
      <c r="AF169" s="19">
        <f t="shared" ca="1" si="59"/>
        <v>1004.6814475168536</v>
      </c>
      <c r="AG169" s="19">
        <f t="shared" ca="1" si="60"/>
        <v>2.1707220202423816</v>
      </c>
      <c r="AH169" s="19">
        <f t="shared" ca="1" si="61"/>
        <v>150.70221712752803</v>
      </c>
      <c r="AI169" s="46">
        <f t="shared" ca="1" si="68"/>
        <v>5917.9889827913257</v>
      </c>
      <c r="AJ169" s="55">
        <f t="shared" ca="1" si="69"/>
        <v>1.262502071144031E-2</v>
      </c>
      <c r="AK169" s="19">
        <f t="shared" ca="1" si="70"/>
        <v>168.97631998096963</v>
      </c>
      <c r="AL169" s="19">
        <f t="shared" ca="1" si="62"/>
        <v>150</v>
      </c>
    </row>
    <row r="170" spans="2:38" x14ac:dyDescent="0.25">
      <c r="B170" s="19"/>
      <c r="C170" s="19"/>
      <c r="D170" s="19"/>
      <c r="E170" s="19"/>
      <c r="F170" s="19"/>
      <c r="G170" s="19"/>
      <c r="H170" s="43">
        <f t="shared" si="71"/>
        <v>49157</v>
      </c>
      <c r="I170" s="264">
        <v>0</v>
      </c>
      <c r="J170" s="64">
        <f t="shared" ca="1" si="63"/>
        <v>0</v>
      </c>
      <c r="K170" s="19">
        <f ca="1">SUMPRODUCT(V$7:V170,OFFSET($J$366,ROW($I$7)-ROW(),0):$J$366)</f>
        <v>0</v>
      </c>
      <c r="L170" s="19">
        <f ca="1">SUMPRODUCT(W$7:W170,OFFSET($J$366,ROW($I$7)-ROW(),0):$J$366)</f>
        <v>0</v>
      </c>
      <c r="M170" s="19">
        <f ca="1">SUMPRODUCT(X$7:X170,OFFSET($J$366,ROW($I$7)-ROW(),0):$J$366)</f>
        <v>0</v>
      </c>
      <c r="N170" s="19"/>
      <c r="O170" s="43">
        <f t="shared" si="64"/>
        <v>48427</v>
      </c>
      <c r="P170" s="24">
        <f t="shared" si="65"/>
        <v>4961</v>
      </c>
      <c r="Q170" s="19">
        <f t="shared" si="66"/>
        <v>6.4245294964368203</v>
      </c>
      <c r="R170" s="19">
        <f t="shared" si="49"/>
        <v>36.469160995712414</v>
      </c>
      <c r="S170" s="19">
        <f t="shared" si="50"/>
        <v>0.15582602630639419</v>
      </c>
      <c r="T170" s="19"/>
      <c r="U170" s="24">
        <f t="shared" si="72"/>
        <v>4960.0899999999983</v>
      </c>
      <c r="V170" s="19">
        <f t="shared" si="51"/>
        <v>26.89054160298863</v>
      </c>
      <c r="W170" s="19">
        <f t="shared" si="52"/>
        <v>76.285970494689721</v>
      </c>
      <c r="X170" s="19">
        <f t="shared" si="53"/>
        <v>13.445270801494315</v>
      </c>
      <c r="Y170" s="27"/>
      <c r="Z170" s="42">
        <f t="shared" si="67"/>
        <v>49157</v>
      </c>
      <c r="AA170" s="19">
        <f t="shared" ca="1" si="54"/>
        <v>5.4377217657841248</v>
      </c>
      <c r="AB170" s="19">
        <f t="shared" ca="1" si="55"/>
        <v>32.239210426442142</v>
      </c>
      <c r="AC170" s="19">
        <f t="shared" ca="1" si="56"/>
        <v>6.7587735028195886E-2</v>
      </c>
      <c r="AD170" s="19">
        <f t="shared" ca="1" si="57"/>
        <v>4.8358815639663213</v>
      </c>
      <c r="AE170" s="115">
        <f t="shared" ca="1" si="58"/>
        <v>168.56937473930788</v>
      </c>
      <c r="AF170" s="19">
        <f t="shared" ca="1" si="59"/>
        <v>999.41552321970642</v>
      </c>
      <c r="AG170" s="19">
        <f t="shared" ca="1" si="60"/>
        <v>2.0952197858740726</v>
      </c>
      <c r="AH170" s="19">
        <f t="shared" ca="1" si="61"/>
        <v>149.91232848295596</v>
      </c>
      <c r="AI170" s="46">
        <f t="shared" ca="1" si="68"/>
        <v>5928.8083898116129</v>
      </c>
      <c r="AJ170" s="55">
        <f t="shared" ca="1" si="69"/>
        <v>1.2276827491392295E-2</v>
      </c>
      <c r="AK170" s="19">
        <f t="shared" ca="1" si="70"/>
        <v>168.6679572438965</v>
      </c>
      <c r="AL170" s="19">
        <f t="shared" ca="1" si="62"/>
        <v>150</v>
      </c>
    </row>
    <row r="171" spans="2:38" x14ac:dyDescent="0.25">
      <c r="B171" s="19"/>
      <c r="C171" s="19"/>
      <c r="D171" s="19"/>
      <c r="E171" s="19"/>
      <c r="F171" s="19"/>
      <c r="G171" s="19"/>
      <c r="H171" s="43">
        <f t="shared" si="71"/>
        <v>49188</v>
      </c>
      <c r="I171" s="264">
        <v>0</v>
      </c>
      <c r="J171" s="64">
        <f t="shared" ca="1" si="63"/>
        <v>0</v>
      </c>
      <c r="K171" s="19">
        <f ca="1">SUMPRODUCT(V$7:V171,OFFSET($J$366,ROW($I$7)-ROW(),0):$J$366)</f>
        <v>0</v>
      </c>
      <c r="L171" s="19">
        <f ca="1">SUMPRODUCT(W$7:W171,OFFSET($J$366,ROW($I$7)-ROW(),0):$J$366)</f>
        <v>0</v>
      </c>
      <c r="M171" s="19">
        <f ca="1">SUMPRODUCT(X$7:X171,OFFSET($J$366,ROW($I$7)-ROW(),0):$J$366)</f>
        <v>0</v>
      </c>
      <c r="N171" s="19"/>
      <c r="O171" s="43">
        <f t="shared" si="64"/>
        <v>48458</v>
      </c>
      <c r="P171" s="24">
        <f t="shared" si="65"/>
        <v>4992</v>
      </c>
      <c r="Q171" s="19">
        <f t="shared" si="66"/>
        <v>6.3791934590114963</v>
      </c>
      <c r="R171" s="19">
        <f t="shared" si="49"/>
        <v>36.275551307274156</v>
      </c>
      <c r="S171" s="19">
        <f t="shared" si="50"/>
        <v>0.15038473723137943</v>
      </c>
      <c r="T171" s="19"/>
      <c r="U171" s="24">
        <f t="shared" si="72"/>
        <v>4990.5199999999986</v>
      </c>
      <c r="V171" s="19">
        <f t="shared" si="51"/>
        <v>26.700782866387538</v>
      </c>
      <c r="W171" s="19">
        <f t="shared" si="52"/>
        <v>75.886126199214459</v>
      </c>
      <c r="X171" s="19">
        <f t="shared" si="53"/>
        <v>13.350391433193769</v>
      </c>
      <c r="Y171" s="27"/>
      <c r="Z171" s="42">
        <f t="shared" si="67"/>
        <v>49188</v>
      </c>
      <c r="AA171" s="19">
        <f t="shared" ca="1" si="54"/>
        <v>5.399349343707331</v>
      </c>
      <c r="AB171" s="19">
        <f t="shared" ca="1" si="55"/>
        <v>32.070232247413308</v>
      </c>
      <c r="AC171" s="19">
        <f t="shared" ca="1" si="56"/>
        <v>6.5237301513138196E-2</v>
      </c>
      <c r="AD171" s="19">
        <f t="shared" ca="1" si="57"/>
        <v>4.8105348371119963</v>
      </c>
      <c r="AE171" s="115">
        <f t="shared" ca="1" si="58"/>
        <v>161.98048031121994</v>
      </c>
      <c r="AF171" s="19">
        <f t="shared" ca="1" si="59"/>
        <v>962.10696742239929</v>
      </c>
      <c r="AG171" s="19">
        <f t="shared" ca="1" si="60"/>
        <v>1.9571190453941458</v>
      </c>
      <c r="AH171" s="19">
        <f t="shared" ca="1" si="61"/>
        <v>144.31604511335988</v>
      </c>
      <c r="AI171" s="46">
        <f t="shared" ca="1" si="68"/>
        <v>5939.6475771269634</v>
      </c>
      <c r="AJ171" s="55">
        <f t="shared" ca="1" si="69"/>
        <v>1.1938195100300435E-2</v>
      </c>
      <c r="AK171" s="19">
        <f t="shared" ca="1" si="70"/>
        <v>168.36015723406015</v>
      </c>
      <c r="AL171" s="19">
        <f t="shared" ca="1" si="62"/>
        <v>149.99999999999997</v>
      </c>
    </row>
    <row r="172" spans="2:38" x14ac:dyDescent="0.25">
      <c r="B172" s="19"/>
      <c r="C172" s="19"/>
      <c r="D172" s="19"/>
      <c r="E172" s="19"/>
      <c r="F172" s="19"/>
      <c r="G172" s="19"/>
      <c r="H172" s="43">
        <f t="shared" si="71"/>
        <v>49218</v>
      </c>
      <c r="I172" s="264">
        <v>0</v>
      </c>
      <c r="J172" s="64">
        <f t="shared" ca="1" si="63"/>
        <v>0</v>
      </c>
      <c r="K172" s="19">
        <f ca="1">SUMPRODUCT(V$7:V172,OFFSET($J$366,ROW($I$7)-ROW(),0):$J$366)</f>
        <v>0</v>
      </c>
      <c r="L172" s="19">
        <f ca="1">SUMPRODUCT(W$7:W172,OFFSET($J$366,ROW($I$7)-ROW(),0):$J$366)</f>
        <v>0</v>
      </c>
      <c r="M172" s="19">
        <f ca="1">SUMPRODUCT(X$7:X172,OFFSET($J$366,ROW($I$7)-ROW(),0):$J$366)</f>
        <v>0</v>
      </c>
      <c r="N172" s="19"/>
      <c r="O172" s="43">
        <f t="shared" si="64"/>
        <v>48488</v>
      </c>
      <c r="P172" s="24">
        <f t="shared" si="65"/>
        <v>5022</v>
      </c>
      <c r="Q172" s="19">
        <f t="shared" si="66"/>
        <v>6.3356245070980473</v>
      </c>
      <c r="R172" s="19">
        <f t="shared" si="49"/>
        <v>36.090134382415307</v>
      </c>
      <c r="S172" s="19">
        <f t="shared" si="50"/>
        <v>0.1453008253525653</v>
      </c>
      <c r="T172" s="19"/>
      <c r="U172" s="24">
        <f t="shared" si="72"/>
        <v>5020.9499999999989</v>
      </c>
      <c r="V172" s="19">
        <f t="shared" si="51"/>
        <v>26.518420451415828</v>
      </c>
      <c r="W172" s="19">
        <f t="shared" si="52"/>
        <v>75.501175641814839</v>
      </c>
      <c r="X172" s="19">
        <f t="shared" si="53"/>
        <v>13.259210225707914</v>
      </c>
      <c r="Y172" s="27"/>
      <c r="Z172" s="42">
        <f t="shared" si="67"/>
        <v>49218</v>
      </c>
      <c r="AA172" s="19">
        <f t="shared" ca="1" si="54"/>
        <v>5.3624725828077882</v>
      </c>
      <c r="AB172" s="19">
        <f t="shared" ca="1" si="55"/>
        <v>31.90754831033675</v>
      </c>
      <c r="AC172" s="19">
        <f t="shared" ca="1" si="56"/>
        <v>6.3040919912824969E-2</v>
      </c>
      <c r="AD172" s="19">
        <f t="shared" ca="1" si="57"/>
        <v>4.7861322465505127</v>
      </c>
      <c r="AE172" s="115">
        <f t="shared" ca="1" si="58"/>
        <v>166.23665006704144</v>
      </c>
      <c r="AF172" s="19">
        <f t="shared" ca="1" si="59"/>
        <v>989.13399762043923</v>
      </c>
      <c r="AG172" s="19">
        <f t="shared" ca="1" si="60"/>
        <v>1.954268517297574</v>
      </c>
      <c r="AH172" s="19">
        <f t="shared" ca="1" si="61"/>
        <v>148.37009964306588</v>
      </c>
      <c r="AI172" s="46">
        <f t="shared" ca="1" si="68"/>
        <v>5950.155980775191</v>
      </c>
      <c r="AJ172" s="55">
        <f t="shared" ca="1" si="69"/>
        <v>1.1619346239063496E-2</v>
      </c>
      <c r="AK172" s="19">
        <f t="shared" ca="1" si="70"/>
        <v>168.06282108082135</v>
      </c>
      <c r="AL172" s="19">
        <f t="shared" ca="1" si="62"/>
        <v>150</v>
      </c>
    </row>
    <row r="173" spans="2:38" x14ac:dyDescent="0.25">
      <c r="B173" s="19"/>
      <c r="C173" s="19"/>
      <c r="D173" s="19"/>
      <c r="E173" s="19"/>
      <c r="F173" s="19"/>
      <c r="G173" s="19"/>
      <c r="H173" s="43">
        <f t="shared" si="71"/>
        <v>49249</v>
      </c>
      <c r="I173" s="264">
        <v>0</v>
      </c>
      <c r="J173" s="64">
        <f t="shared" ca="1" si="63"/>
        <v>0</v>
      </c>
      <c r="K173" s="19">
        <f ca="1">SUMPRODUCT(V$7:V173,OFFSET($J$366,ROW($I$7)-ROW(),0):$J$366)</f>
        <v>0</v>
      </c>
      <c r="L173" s="19">
        <f ca="1">SUMPRODUCT(W$7:W173,OFFSET($J$366,ROW($I$7)-ROW(),0):$J$366)</f>
        <v>0</v>
      </c>
      <c r="M173" s="19">
        <f ca="1">SUMPRODUCT(X$7:X173,OFFSET($J$366,ROW($I$7)-ROW(),0):$J$366)</f>
        <v>0</v>
      </c>
      <c r="N173" s="19"/>
      <c r="O173" s="43">
        <f t="shared" si="64"/>
        <v>48519</v>
      </c>
      <c r="P173" s="24">
        <f t="shared" si="65"/>
        <v>5053</v>
      </c>
      <c r="Q173" s="19">
        <f t="shared" si="66"/>
        <v>6.2909158463430614</v>
      </c>
      <c r="R173" s="19">
        <f t="shared" si="49"/>
        <v>35.900517717709214</v>
      </c>
      <c r="S173" s="19">
        <f t="shared" si="50"/>
        <v>0.14022880812212773</v>
      </c>
      <c r="T173" s="19"/>
      <c r="U173" s="24">
        <f t="shared" si="72"/>
        <v>5051.3799999999992</v>
      </c>
      <c r="V173" s="19">
        <f t="shared" si="51"/>
        <v>26.331287665627752</v>
      </c>
      <c r="W173" s="19">
        <f t="shared" si="52"/>
        <v>75.105444759893942</v>
      </c>
      <c r="X173" s="19">
        <f t="shared" si="53"/>
        <v>13.165643832813876</v>
      </c>
      <c r="Y173" s="27"/>
      <c r="Z173" s="42">
        <f t="shared" si="67"/>
        <v>49249</v>
      </c>
      <c r="AA173" s="19">
        <f t="shared" ca="1" si="54"/>
        <v>5.324631172344767</v>
      </c>
      <c r="AB173" s="19">
        <f t="shared" ca="1" si="55"/>
        <v>31.740308500817935</v>
      </c>
      <c r="AC173" s="19">
        <f t="shared" ca="1" si="56"/>
        <v>6.0849356372595025E-2</v>
      </c>
      <c r="AD173" s="19">
        <f t="shared" ca="1" si="57"/>
        <v>4.7610462751226903</v>
      </c>
      <c r="AE173" s="115">
        <f t="shared" ca="1" si="58"/>
        <v>159.73893517034301</v>
      </c>
      <c r="AF173" s="19">
        <f t="shared" ca="1" si="59"/>
        <v>952.20925502453804</v>
      </c>
      <c r="AG173" s="19">
        <f t="shared" ca="1" si="60"/>
        <v>1.8254806911778507</v>
      </c>
      <c r="AH173" s="19">
        <f t="shared" ca="1" si="61"/>
        <v>142.8313882536807</v>
      </c>
      <c r="AI173" s="46">
        <f t="shared" ca="1" si="68"/>
        <v>5961.0341962597749</v>
      </c>
      <c r="AJ173" s="55">
        <f t="shared" ca="1" si="69"/>
        <v>1.1298779384332351E-2</v>
      </c>
      <c r="AK173" s="19">
        <f t="shared" ca="1" si="70"/>
        <v>167.75612537627205</v>
      </c>
      <c r="AL173" s="19">
        <f t="shared" ca="1" si="62"/>
        <v>150</v>
      </c>
    </row>
    <row r="174" spans="2:38" x14ac:dyDescent="0.25">
      <c r="B174" s="19"/>
      <c r="C174" s="19"/>
      <c r="D174" s="19"/>
      <c r="E174" s="19"/>
      <c r="F174" s="19"/>
      <c r="G174" s="19"/>
      <c r="H174" s="44">
        <f t="shared" si="71"/>
        <v>49279</v>
      </c>
      <c r="I174" s="265">
        <v>0</v>
      </c>
      <c r="J174" s="65">
        <f t="shared" ca="1" si="63"/>
        <v>0</v>
      </c>
      <c r="K174" s="21">
        <f ca="1">SUMPRODUCT(V$7:V174,OFFSET($J$366,ROW($I$7)-ROW(),0):$J$366)</f>
        <v>0</v>
      </c>
      <c r="L174" s="21">
        <f ca="1">SUMPRODUCT(W$7:W174,OFFSET($J$366,ROW($I$7)-ROW(),0):$J$366)</f>
        <v>0</v>
      </c>
      <c r="M174" s="21">
        <f ca="1">SUMPRODUCT(X$7:X174,OFFSET($J$366,ROW($I$7)-ROW(),0):$J$366)</f>
        <v>0</v>
      </c>
      <c r="N174" s="19"/>
      <c r="O174" s="44">
        <f t="shared" si="64"/>
        <v>48549</v>
      </c>
      <c r="P174" s="25">
        <f t="shared" si="65"/>
        <v>5083</v>
      </c>
      <c r="Q174" s="21">
        <f t="shared" si="66"/>
        <v>6.2479498175242156</v>
      </c>
      <c r="R174" s="21">
        <f t="shared" si="49"/>
        <v>35.739359643498695</v>
      </c>
      <c r="S174" s="21">
        <f t="shared" si="50"/>
        <v>0.13548985654306153</v>
      </c>
      <c r="T174" s="19"/>
      <c r="U174" s="25">
        <f t="shared" si="72"/>
        <v>5081.8099999999995</v>
      </c>
      <c r="V174" s="21">
        <f t="shared" si="51"/>
        <v>26.151448848464696</v>
      </c>
      <c r="W174" s="21">
        <f t="shared" si="52"/>
        <v>74.724454396145916</v>
      </c>
      <c r="X174" s="21">
        <f t="shared" si="53"/>
        <v>13.075724424232348</v>
      </c>
      <c r="Y174" s="27"/>
      <c r="Z174" s="48">
        <f t="shared" si="67"/>
        <v>49279</v>
      </c>
      <c r="AA174" s="21">
        <f t="shared" ca="1" si="54"/>
        <v>5.288264725552497</v>
      </c>
      <c r="AB174" s="21">
        <f t="shared" ca="1" si="55"/>
        <v>31.579298180995441</v>
      </c>
      <c r="AC174" s="21">
        <f t="shared" ca="1" si="56"/>
        <v>5.880140715279291E-2</v>
      </c>
      <c r="AD174" s="21">
        <f t="shared" ca="1" si="57"/>
        <v>4.7368947271493163</v>
      </c>
      <c r="AE174" s="116">
        <f t="shared" ca="1" si="58"/>
        <v>163.93620649212741</v>
      </c>
      <c r="AF174" s="21">
        <f t="shared" ca="1" si="59"/>
        <v>978.95824361085863</v>
      </c>
      <c r="AG174" s="21">
        <f t="shared" ca="1" si="60"/>
        <v>1.8228436217365802</v>
      </c>
      <c r="AH174" s="21">
        <f t="shared" ca="1" si="61"/>
        <v>146.8437365416288</v>
      </c>
      <c r="AI174" s="47">
        <f t="shared" ca="1" si="68"/>
        <v>5971.5804370395172</v>
      </c>
      <c r="AJ174" s="57">
        <f t="shared" ca="1" si="69"/>
        <v>1.0996947801549441E-2</v>
      </c>
      <c r="AK174" s="21">
        <f t="shared" ca="1" si="70"/>
        <v>167.45985598676154</v>
      </c>
      <c r="AL174" s="21">
        <f t="shared" ca="1" si="62"/>
        <v>150</v>
      </c>
    </row>
    <row r="175" spans="2:38" x14ac:dyDescent="0.25">
      <c r="B175" s="19"/>
      <c r="C175" s="19"/>
      <c r="D175" s="19"/>
      <c r="E175" s="19"/>
      <c r="F175" s="19"/>
      <c r="G175" s="19"/>
      <c r="H175" s="43">
        <f t="shared" si="71"/>
        <v>49310</v>
      </c>
      <c r="I175" s="264">
        <v>0</v>
      </c>
      <c r="J175" s="64">
        <f t="shared" ca="1" si="63"/>
        <v>0</v>
      </c>
      <c r="K175" s="19">
        <f ca="1">SUMPRODUCT(V$7:V175,OFFSET($J$366,ROW($I$7)-ROW(),0):$J$366)</f>
        <v>0</v>
      </c>
      <c r="L175" s="19">
        <f ca="1">SUMPRODUCT(W$7:W175,OFFSET($J$366,ROW($I$7)-ROW(),0):$J$366)</f>
        <v>0</v>
      </c>
      <c r="M175" s="19">
        <f ca="1">SUMPRODUCT(X$7:X175,OFFSET($J$366,ROW($I$7)-ROW(),0):$J$366)</f>
        <v>0</v>
      </c>
      <c r="N175" s="19"/>
      <c r="O175" s="43">
        <f t="shared" si="64"/>
        <v>48580</v>
      </c>
      <c r="P175" s="24">
        <f t="shared" si="65"/>
        <v>5114</v>
      </c>
      <c r="Q175" s="19">
        <f t="shared" si="66"/>
        <v>6.2038598515717007</v>
      </c>
      <c r="R175" s="19">
        <f t="shared" si="49"/>
        <v>35.552035827799365</v>
      </c>
      <c r="S175" s="19">
        <f t="shared" si="50"/>
        <v>0.13076193447644166</v>
      </c>
      <c r="T175" s="19"/>
      <c r="U175" s="24">
        <f t="shared" si="72"/>
        <v>5112.24</v>
      </c>
      <c r="V175" s="19">
        <f t="shared" si="51"/>
        <v>25.966905674621696</v>
      </c>
      <c r="W175" s="19">
        <f t="shared" si="52"/>
        <v>74.332794610879361</v>
      </c>
      <c r="X175" s="19">
        <f t="shared" si="53"/>
        <v>12.983452837310848</v>
      </c>
      <c r="Y175" s="27"/>
      <c r="Z175" s="42">
        <f t="shared" si="67"/>
        <v>49310</v>
      </c>
      <c r="AA175" s="19">
        <f t="shared" ca="1" si="54"/>
        <v>5.2509469783702887</v>
      </c>
      <c r="AB175" s="19">
        <f t="shared" ca="1" si="55"/>
        <v>31.413778857443511</v>
      </c>
      <c r="AC175" s="19">
        <f t="shared" ca="1" si="56"/>
        <v>5.6757925507372464E-2</v>
      </c>
      <c r="AD175" s="19">
        <f t="shared" ca="1" si="57"/>
        <v>4.7120668286165266</v>
      </c>
      <c r="AE175" s="115">
        <f t="shared" ca="1" si="58"/>
        <v>162.77935632947896</v>
      </c>
      <c r="AF175" s="19">
        <f t="shared" ca="1" si="59"/>
        <v>973.82714458074884</v>
      </c>
      <c r="AG175" s="19">
        <f t="shared" ca="1" si="60"/>
        <v>1.7594956907285464</v>
      </c>
      <c r="AH175" s="19">
        <f t="shared" ca="1" si="61"/>
        <v>146.07407168711234</v>
      </c>
      <c r="AI175" s="46">
        <f t="shared" ca="1" si="68"/>
        <v>5982.4978212202886</v>
      </c>
      <c r="AJ175" s="55">
        <f t="shared" ca="1" si="69"/>
        <v>1.069349681929504E-2</v>
      </c>
      <c r="AK175" s="19">
        <f t="shared" ca="1" si="70"/>
        <v>167.15426062554312</v>
      </c>
      <c r="AL175" s="19">
        <f t="shared" ca="1" si="62"/>
        <v>150.00000000000003</v>
      </c>
    </row>
    <row r="176" spans="2:38" x14ac:dyDescent="0.25">
      <c r="B176" s="19"/>
      <c r="C176" s="19"/>
      <c r="D176" s="19"/>
      <c r="E176" s="19"/>
      <c r="F176" s="19"/>
      <c r="G176" s="19"/>
      <c r="H176" s="43">
        <f t="shared" si="71"/>
        <v>49341</v>
      </c>
      <c r="I176" s="264">
        <v>0</v>
      </c>
      <c r="J176" s="64">
        <f t="shared" ca="1" si="63"/>
        <v>0</v>
      </c>
      <c r="K176" s="19">
        <f ca="1">SUMPRODUCT(V$7:V176,OFFSET($J$366,ROW($I$7)-ROW(),0):$J$366)</f>
        <v>0</v>
      </c>
      <c r="L176" s="19">
        <f ca="1">SUMPRODUCT(W$7:W176,OFFSET($J$366,ROW($I$7)-ROW(),0):$J$366)</f>
        <v>0</v>
      </c>
      <c r="M176" s="19">
        <f ca="1">SUMPRODUCT(X$7:X176,OFFSET($J$366,ROW($I$7)-ROW(),0):$J$366)</f>
        <v>0</v>
      </c>
      <c r="N176" s="19"/>
      <c r="O176" s="43">
        <f t="shared" si="64"/>
        <v>48611</v>
      </c>
      <c r="P176" s="24">
        <f t="shared" si="65"/>
        <v>5145</v>
      </c>
      <c r="Q176" s="19">
        <f t="shared" si="66"/>
        <v>6.1600810156945665</v>
      </c>
      <c r="R176" s="19">
        <f t="shared" si="49"/>
        <v>35.365693848715971</v>
      </c>
      <c r="S176" s="19">
        <f t="shared" si="50"/>
        <v>0.12619978927047956</v>
      </c>
      <c r="T176" s="19"/>
      <c r="U176" s="24">
        <f t="shared" si="72"/>
        <v>5142.67</v>
      </c>
      <c r="V176" s="19">
        <f t="shared" si="51"/>
        <v>25.783664768320708</v>
      </c>
      <c r="W176" s="19">
        <f t="shared" si="52"/>
        <v>73.94318766612713</v>
      </c>
      <c r="X176" s="19">
        <f t="shared" si="53"/>
        <v>12.891832384160354</v>
      </c>
      <c r="Y176" s="27"/>
      <c r="Z176" s="42">
        <f t="shared" si="67"/>
        <v>49341</v>
      </c>
      <c r="AA176" s="19">
        <f t="shared" ca="1" si="54"/>
        <v>5.2138925716838811</v>
      </c>
      <c r="AB176" s="19">
        <f t="shared" ca="1" si="55"/>
        <v>31.249127084725426</v>
      </c>
      <c r="AC176" s="19">
        <f t="shared" ca="1" si="56"/>
        <v>5.4785802105365877E-2</v>
      </c>
      <c r="AD176" s="19">
        <f t="shared" ca="1" si="57"/>
        <v>4.6873690627088136</v>
      </c>
      <c r="AE176" s="115">
        <f t="shared" ca="1" si="58"/>
        <v>145.98899200714868</v>
      </c>
      <c r="AF176" s="19">
        <f t="shared" ca="1" si="59"/>
        <v>874.97555837231198</v>
      </c>
      <c r="AG176" s="19">
        <f t="shared" ca="1" si="60"/>
        <v>1.5340024589502446</v>
      </c>
      <c r="AH176" s="19">
        <f t="shared" ca="1" si="61"/>
        <v>131.24633375584679</v>
      </c>
      <c r="AI176" s="46">
        <f t="shared" ca="1" si="68"/>
        <v>5993.4351648202819</v>
      </c>
      <c r="AJ176" s="55">
        <f t="shared" ca="1" si="69"/>
        <v>1.0398395616235687E-2</v>
      </c>
      <c r="AK176" s="19">
        <f t="shared" ca="1" si="70"/>
        <v>166.84922294141239</v>
      </c>
      <c r="AL176" s="19">
        <f t="shared" ca="1" si="62"/>
        <v>150</v>
      </c>
    </row>
    <row r="177" spans="2:38" x14ac:dyDescent="0.25">
      <c r="B177" s="19"/>
      <c r="C177" s="19"/>
      <c r="D177" s="19"/>
      <c r="E177" s="19"/>
      <c r="F177" s="19"/>
      <c r="G177" s="19"/>
      <c r="H177" s="43">
        <f t="shared" si="71"/>
        <v>49369</v>
      </c>
      <c r="I177" s="264">
        <v>0</v>
      </c>
      <c r="J177" s="64">
        <f t="shared" ca="1" si="63"/>
        <v>0</v>
      </c>
      <c r="K177" s="19">
        <f ca="1">SUMPRODUCT(V$7:V177,OFFSET($J$366,ROW($I$7)-ROW(),0):$J$366)</f>
        <v>0</v>
      </c>
      <c r="L177" s="19">
        <f ca="1">SUMPRODUCT(W$7:W177,OFFSET($J$366,ROW($I$7)-ROW(),0):$J$366)</f>
        <v>0</v>
      </c>
      <c r="M177" s="19">
        <f ca="1">SUMPRODUCT(X$7:X177,OFFSET($J$366,ROW($I$7)-ROW(),0):$J$366)</f>
        <v>0</v>
      </c>
      <c r="N177" s="19"/>
      <c r="O177" s="43">
        <f t="shared" si="64"/>
        <v>48639</v>
      </c>
      <c r="P177" s="24">
        <f t="shared" si="65"/>
        <v>5173</v>
      </c>
      <c r="Q177" s="19">
        <f t="shared" si="66"/>
        <v>6.1208044377275419</v>
      </c>
      <c r="R177" s="19">
        <f t="shared" si="49"/>
        <v>35.198224592784335</v>
      </c>
      <c r="S177" s="19">
        <f t="shared" si="50"/>
        <v>0.12221676836801154</v>
      </c>
      <c r="T177" s="19"/>
      <c r="U177" s="24">
        <f t="shared" si="72"/>
        <v>5173.1000000000004</v>
      </c>
      <c r="V177" s="19">
        <f t="shared" si="51"/>
        <v>25.619268534412672</v>
      </c>
      <c r="W177" s="19">
        <f t="shared" si="52"/>
        <v>73.593040128441856</v>
      </c>
      <c r="X177" s="19">
        <f t="shared" si="53"/>
        <v>12.809634267206336</v>
      </c>
      <c r="Y177" s="27"/>
      <c r="Z177" s="42">
        <f t="shared" si="67"/>
        <v>49369</v>
      </c>
      <c r="AA177" s="19">
        <f t="shared" ca="1" si="54"/>
        <v>5.1806488760925928</v>
      </c>
      <c r="AB177" s="19">
        <f t="shared" ca="1" si="55"/>
        <v>31.101151250184238</v>
      </c>
      <c r="AC177" s="19">
        <f t="shared" ca="1" si="56"/>
        <v>5.3063778860951628E-2</v>
      </c>
      <c r="AD177" s="19">
        <f t="shared" ca="1" si="57"/>
        <v>4.6651726875276358</v>
      </c>
      <c r="AE177" s="115">
        <f t="shared" ca="1" si="58"/>
        <v>160.60011515887038</v>
      </c>
      <c r="AF177" s="19">
        <f t="shared" ca="1" si="59"/>
        <v>964.13568875571139</v>
      </c>
      <c r="AG177" s="19">
        <f t="shared" ca="1" si="60"/>
        <v>1.6449771446895005</v>
      </c>
      <c r="AH177" s="19">
        <f t="shared" ca="1" si="61"/>
        <v>144.6203533133567</v>
      </c>
      <c r="AI177" s="46">
        <f t="shared" ca="1" si="68"/>
        <v>6003.3312417115012</v>
      </c>
      <c r="AJ177" s="55">
        <f t="shared" ca="1" si="69"/>
        <v>1.0138840696714297E-2</v>
      </c>
      <c r="AK177" s="19">
        <f t="shared" ca="1" si="70"/>
        <v>166.57418352196538</v>
      </c>
      <c r="AL177" s="19">
        <f t="shared" ca="1" si="62"/>
        <v>150</v>
      </c>
    </row>
    <row r="178" spans="2:38" x14ac:dyDescent="0.25">
      <c r="B178" s="19"/>
      <c r="C178" s="19"/>
      <c r="D178" s="19"/>
      <c r="E178" s="19"/>
      <c r="F178" s="19"/>
      <c r="G178" s="19"/>
      <c r="H178" s="43">
        <f t="shared" si="71"/>
        <v>49400</v>
      </c>
      <c r="I178" s="264">
        <v>0</v>
      </c>
      <c r="J178" s="64">
        <f t="shared" ca="1" si="63"/>
        <v>0</v>
      </c>
      <c r="K178" s="19">
        <f ca="1">SUMPRODUCT(V$7:V178,OFFSET($J$366,ROW($I$7)-ROW(),0):$J$366)</f>
        <v>0</v>
      </c>
      <c r="L178" s="19">
        <f ca="1">SUMPRODUCT(W$7:W178,OFFSET($J$366,ROW($I$7)-ROW(),0):$J$366)</f>
        <v>0</v>
      </c>
      <c r="M178" s="19">
        <f ca="1">SUMPRODUCT(X$7:X178,OFFSET($J$366,ROW($I$7)-ROW(),0):$J$366)</f>
        <v>0</v>
      </c>
      <c r="N178" s="19"/>
      <c r="O178" s="43">
        <f t="shared" si="64"/>
        <v>48670</v>
      </c>
      <c r="P178" s="24">
        <f t="shared" si="65"/>
        <v>5204</v>
      </c>
      <c r="Q178" s="19">
        <f t="shared" si="66"/>
        <v>6.0776116997666056</v>
      </c>
      <c r="R178" s="19">
        <f t="shared" si="49"/>
        <v>35.013737075315298</v>
      </c>
      <c r="S178" s="19">
        <f t="shared" si="50"/>
        <v>0.11795417001104476</v>
      </c>
      <c r="T178" s="19"/>
      <c r="U178" s="24">
        <f t="shared" si="72"/>
        <v>5203.5300000000007</v>
      </c>
      <c r="V178" s="19">
        <f t="shared" si="51"/>
        <v>25.43848080237257</v>
      </c>
      <c r="W178" s="19">
        <f t="shared" si="52"/>
        <v>73.207310523231058</v>
      </c>
      <c r="X178" s="19">
        <f t="shared" si="53"/>
        <v>12.719240401186285</v>
      </c>
      <c r="Y178" s="27"/>
      <c r="Z178" s="42">
        <f t="shared" si="67"/>
        <v>49400</v>
      </c>
      <c r="AA178" s="19">
        <f t="shared" ca="1" si="54"/>
        <v>5.1440905426824557</v>
      </c>
      <c r="AB178" s="19">
        <f t="shared" ca="1" si="55"/>
        <v>30.93813807974859</v>
      </c>
      <c r="AC178" s="19">
        <f t="shared" ca="1" si="56"/>
        <v>5.1220622468635874E-2</v>
      </c>
      <c r="AD178" s="19">
        <f t="shared" ca="1" si="57"/>
        <v>4.6407207119622882</v>
      </c>
      <c r="AE178" s="115">
        <f t="shared" ca="1" si="58"/>
        <v>154.32271628047368</v>
      </c>
      <c r="AF178" s="19">
        <f t="shared" ca="1" si="59"/>
        <v>928.14414239245775</v>
      </c>
      <c r="AG178" s="19">
        <f t="shared" ca="1" si="60"/>
        <v>1.5366186740590762</v>
      </c>
      <c r="AH178" s="19">
        <f t="shared" ca="1" si="61"/>
        <v>139.22162135886865</v>
      </c>
      <c r="AI178" s="46">
        <f t="shared" ca="1" si="68"/>
        <v>6014.3066734621425</v>
      </c>
      <c r="AJ178" s="55">
        <f t="shared" ca="1" si="69"/>
        <v>9.8590095646650753E-3</v>
      </c>
      <c r="AK178" s="19">
        <f t="shared" ca="1" si="70"/>
        <v>166.27020441316284</v>
      </c>
      <c r="AL178" s="19">
        <f t="shared" ca="1" si="62"/>
        <v>149.99999999999997</v>
      </c>
    </row>
    <row r="179" spans="2:38" x14ac:dyDescent="0.25">
      <c r="B179" s="19"/>
      <c r="C179" s="19"/>
      <c r="D179" s="19"/>
      <c r="E179" s="19"/>
      <c r="F179" s="19"/>
      <c r="G179" s="19"/>
      <c r="H179" s="43">
        <f t="shared" si="71"/>
        <v>49430</v>
      </c>
      <c r="I179" s="264">
        <v>0</v>
      </c>
      <c r="J179" s="64">
        <f t="shared" ca="1" si="63"/>
        <v>0</v>
      </c>
      <c r="K179" s="19">
        <f ca="1">SUMPRODUCT(V$7:V179,OFFSET($J$366,ROW($I$7)-ROW(),0):$J$366)</f>
        <v>0</v>
      </c>
      <c r="L179" s="19">
        <f ca="1">SUMPRODUCT(W$7:W179,OFFSET($J$366,ROW($I$7)-ROW(),0):$J$366)</f>
        <v>0</v>
      </c>
      <c r="M179" s="19">
        <f ca="1">SUMPRODUCT(X$7:X179,OFFSET($J$366,ROW($I$7)-ROW(),0):$J$366)</f>
        <v>0</v>
      </c>
      <c r="N179" s="19"/>
      <c r="O179" s="43">
        <f t="shared" si="64"/>
        <v>48700</v>
      </c>
      <c r="P179" s="24">
        <f t="shared" si="65"/>
        <v>5234</v>
      </c>
      <c r="Q179" s="19">
        <f t="shared" si="66"/>
        <v>6.0361025068573229</v>
      </c>
      <c r="R179" s="19">
        <f t="shared" si="49"/>
        <v>34.836121504737839</v>
      </c>
      <c r="S179" s="19">
        <f t="shared" si="50"/>
        <v>0.11397136397706377</v>
      </c>
      <c r="T179" s="19"/>
      <c r="U179" s="24">
        <f t="shared" si="72"/>
        <v>5233.9600000000009</v>
      </c>
      <c r="V179" s="19">
        <f t="shared" si="51"/>
        <v>25.264739724609189</v>
      </c>
      <c r="W179" s="19">
        <f t="shared" si="52"/>
        <v>72.835948900189905</v>
      </c>
      <c r="X179" s="19">
        <f t="shared" si="53"/>
        <v>12.632369862304595</v>
      </c>
      <c r="Y179" s="27"/>
      <c r="Z179" s="42">
        <f t="shared" si="67"/>
        <v>49430</v>
      </c>
      <c r="AA179" s="19">
        <f t="shared" ca="1" si="54"/>
        <v>5.1089571618040388</v>
      </c>
      <c r="AB179" s="19">
        <f t="shared" ca="1" si="55"/>
        <v>30.78119696158635</v>
      </c>
      <c r="AC179" s="19">
        <f t="shared" ca="1" si="56"/>
        <v>4.9498197206653688E-2</v>
      </c>
      <c r="AD179" s="19">
        <f t="shared" ca="1" si="57"/>
        <v>4.6171795442379526</v>
      </c>
      <c r="AE179" s="115">
        <f t="shared" ca="1" si="58"/>
        <v>158.37767201592521</v>
      </c>
      <c r="AF179" s="19">
        <f t="shared" ca="1" si="59"/>
        <v>954.21710580917681</v>
      </c>
      <c r="AG179" s="19">
        <f t="shared" ca="1" si="60"/>
        <v>1.5344441134062643</v>
      </c>
      <c r="AH179" s="19">
        <f t="shared" ca="1" si="61"/>
        <v>143.13256587137653</v>
      </c>
      <c r="AI179" s="46">
        <f t="shared" ca="1" si="68"/>
        <v>6024.9471637215902</v>
      </c>
      <c r="AJ179" s="55">
        <f t="shared" ca="1" si="69"/>
        <v>9.595546294723898E-3</v>
      </c>
      <c r="AK179" s="19">
        <f t="shared" ca="1" si="70"/>
        <v>165.97655926700332</v>
      </c>
      <c r="AL179" s="19">
        <f t="shared" ca="1" si="62"/>
        <v>150</v>
      </c>
    </row>
    <row r="180" spans="2:38" x14ac:dyDescent="0.25">
      <c r="B180" s="19"/>
      <c r="C180" s="19"/>
      <c r="D180" s="19"/>
      <c r="E180" s="19"/>
      <c r="F180" s="19"/>
      <c r="G180" s="19"/>
      <c r="H180" s="43">
        <f t="shared" si="71"/>
        <v>49461</v>
      </c>
      <c r="I180" s="264">
        <v>0</v>
      </c>
      <c r="J180" s="64">
        <f t="shared" ca="1" si="63"/>
        <v>0</v>
      </c>
      <c r="K180" s="19">
        <f ca="1">SUMPRODUCT(V$7:V180,OFFSET($J$366,ROW($I$7)-ROW(),0):$J$366)</f>
        <v>0</v>
      </c>
      <c r="L180" s="19">
        <f ca="1">SUMPRODUCT(W$7:W180,OFFSET($J$366,ROW($I$7)-ROW(),0):$J$366)</f>
        <v>0</v>
      </c>
      <c r="M180" s="19">
        <f ca="1">SUMPRODUCT(X$7:X180,OFFSET($J$366,ROW($I$7)-ROW(),0):$J$366)</f>
        <v>0</v>
      </c>
      <c r="N180" s="19"/>
      <c r="O180" s="43">
        <f t="shared" si="64"/>
        <v>48731</v>
      </c>
      <c r="P180" s="24">
        <f t="shared" si="65"/>
        <v>5265</v>
      </c>
      <c r="Q180" s="19">
        <f t="shared" si="66"/>
        <v>5.9935074858046908</v>
      </c>
      <c r="R180" s="19">
        <f t="shared" si="49"/>
        <v>34.653531909693989</v>
      </c>
      <c r="S180" s="19">
        <f t="shared" si="50"/>
        <v>0.10999770697628633</v>
      </c>
      <c r="T180" s="19"/>
      <c r="U180" s="24">
        <f t="shared" si="72"/>
        <v>5264.3900000000012</v>
      </c>
      <c r="V180" s="19">
        <f t="shared" si="51"/>
        <v>25.086453799339299</v>
      </c>
      <c r="W180" s="19">
        <f t="shared" si="52"/>
        <v>72.454187503114994</v>
      </c>
      <c r="X180" s="19">
        <f t="shared" si="53"/>
        <v>12.54322689966965</v>
      </c>
      <c r="Y180" s="27"/>
      <c r="Z180" s="42">
        <f t="shared" si="67"/>
        <v>49461</v>
      </c>
      <c r="AA180" s="19">
        <f t="shared" ca="1" si="54"/>
        <v>5.0729047359850918</v>
      </c>
      <c r="AB180" s="19">
        <f t="shared" ca="1" si="55"/>
        <v>30.619860795405604</v>
      </c>
      <c r="AC180" s="19">
        <f t="shared" ca="1" si="56"/>
        <v>4.7779477657286844E-2</v>
      </c>
      <c r="AD180" s="19">
        <f t="shared" ca="1" si="57"/>
        <v>4.5929791193108409</v>
      </c>
      <c r="AE180" s="115">
        <f t="shared" ca="1" si="58"/>
        <v>152.18714207955276</v>
      </c>
      <c r="AF180" s="19">
        <f t="shared" ca="1" si="59"/>
        <v>918.59582386216812</v>
      </c>
      <c r="AG180" s="19">
        <f t="shared" ca="1" si="60"/>
        <v>1.4333843297186053</v>
      </c>
      <c r="AH180" s="19">
        <f t="shared" ca="1" si="61"/>
        <v>137.78937357932523</v>
      </c>
      <c r="AI180" s="46">
        <f t="shared" ca="1" si="68"/>
        <v>6035.9621142106125</v>
      </c>
      <c r="AJ180" s="55">
        <f t="shared" ca="1" si="69"/>
        <v>9.3306823197560479E-3</v>
      </c>
      <c r="AK180" s="19">
        <f t="shared" ca="1" si="70"/>
        <v>165.67367075510228</v>
      </c>
      <c r="AL180" s="19">
        <f t="shared" ca="1" si="62"/>
        <v>150.00000000000003</v>
      </c>
    </row>
    <row r="181" spans="2:38" x14ac:dyDescent="0.25">
      <c r="B181" s="19"/>
      <c r="C181" s="19"/>
      <c r="D181" s="19"/>
      <c r="E181" s="19"/>
      <c r="F181" s="19"/>
      <c r="G181" s="19"/>
      <c r="H181" s="43">
        <f t="shared" si="71"/>
        <v>49491</v>
      </c>
      <c r="I181" s="264">
        <v>0</v>
      </c>
      <c r="J181" s="64">
        <f t="shared" ca="1" si="63"/>
        <v>0</v>
      </c>
      <c r="K181" s="19">
        <f ca="1">SUMPRODUCT(V$7:V181,OFFSET($J$366,ROW($I$7)-ROW(),0):$J$366)</f>
        <v>0</v>
      </c>
      <c r="L181" s="19">
        <f ca="1">SUMPRODUCT(W$7:W181,OFFSET($J$366,ROW($I$7)-ROW(),0):$J$366)</f>
        <v>0</v>
      </c>
      <c r="M181" s="19">
        <f ca="1">SUMPRODUCT(X$7:X181,OFFSET($J$366,ROW($I$7)-ROW(),0):$J$366)</f>
        <v>0</v>
      </c>
      <c r="N181" s="19"/>
      <c r="O181" s="43">
        <f t="shared" si="64"/>
        <v>48761</v>
      </c>
      <c r="P181" s="24">
        <f t="shared" si="65"/>
        <v>5295</v>
      </c>
      <c r="Q181" s="19">
        <f t="shared" si="66"/>
        <v>5.9525727122914294</v>
      </c>
      <c r="R181" s="19">
        <f t="shared" si="49"/>
        <v>34.477743566124012</v>
      </c>
      <c r="S181" s="19">
        <f t="shared" si="50"/>
        <v>0.10628483099619841</v>
      </c>
      <c r="T181" s="19"/>
      <c r="U181" s="24">
        <f t="shared" si="72"/>
        <v>5294.8200000000015</v>
      </c>
      <c r="V181" s="19">
        <f t="shared" si="51"/>
        <v>24.915117014166501</v>
      </c>
      <c r="W181" s="19">
        <f t="shared" si="52"/>
        <v>72.086646277041055</v>
      </c>
      <c r="X181" s="19">
        <f t="shared" si="53"/>
        <v>12.457558507083251</v>
      </c>
      <c r="Y181" s="27"/>
      <c r="Z181" s="42">
        <f t="shared" si="67"/>
        <v>49491</v>
      </c>
      <c r="AA181" s="19">
        <f t="shared" ca="1" si="54"/>
        <v>5.038257543683466</v>
      </c>
      <c r="AB181" s="19">
        <f t="shared" ca="1" si="55"/>
        <v>30.464534215027168</v>
      </c>
      <c r="AC181" s="19">
        <f t="shared" ca="1" si="56"/>
        <v>4.6173318806999646E-2</v>
      </c>
      <c r="AD181" s="19">
        <f t="shared" ca="1" si="57"/>
        <v>4.5696801322540752</v>
      </c>
      <c r="AE181" s="115">
        <f t="shared" ca="1" si="58"/>
        <v>156.18598385418744</v>
      </c>
      <c r="AF181" s="19">
        <f t="shared" ca="1" si="59"/>
        <v>944.40056066584225</v>
      </c>
      <c r="AG181" s="19">
        <f t="shared" ca="1" si="60"/>
        <v>1.431372883016989</v>
      </c>
      <c r="AH181" s="19">
        <f t="shared" ca="1" si="61"/>
        <v>141.66008409987634</v>
      </c>
      <c r="AI181" s="46">
        <f t="shared" ca="1" si="68"/>
        <v>6046.640917199833</v>
      </c>
      <c r="AJ181" s="55">
        <f t="shared" ca="1" si="69"/>
        <v>9.0813151079770886E-3</v>
      </c>
      <c r="AK181" s="19">
        <f t="shared" ca="1" si="70"/>
        <v>165.3810791303107</v>
      </c>
      <c r="AL181" s="19">
        <f t="shared" ca="1" si="62"/>
        <v>150</v>
      </c>
    </row>
    <row r="182" spans="2:38" x14ac:dyDescent="0.25">
      <c r="B182" s="19"/>
      <c r="C182" s="19"/>
      <c r="D182" s="19"/>
      <c r="E182" s="19"/>
      <c r="F182" s="19"/>
      <c r="G182" s="19"/>
      <c r="H182" s="43">
        <f t="shared" si="71"/>
        <v>49522</v>
      </c>
      <c r="I182" s="264">
        <v>0</v>
      </c>
      <c r="J182" s="64">
        <f t="shared" ca="1" si="63"/>
        <v>0</v>
      </c>
      <c r="K182" s="19">
        <f ca="1">SUMPRODUCT(V$7:V182,OFFSET($J$366,ROW($I$7)-ROW(),0):$J$366)</f>
        <v>0</v>
      </c>
      <c r="L182" s="19">
        <f ca="1">SUMPRODUCT(W$7:W182,OFFSET($J$366,ROW($I$7)-ROW(),0):$J$366)</f>
        <v>0</v>
      </c>
      <c r="M182" s="19">
        <f ca="1">SUMPRODUCT(X$7:X182,OFFSET($J$366,ROW($I$7)-ROW(),0):$J$366)</f>
        <v>0</v>
      </c>
      <c r="N182" s="19"/>
      <c r="O182" s="43">
        <f t="shared" si="64"/>
        <v>48792</v>
      </c>
      <c r="P182" s="24">
        <f t="shared" si="65"/>
        <v>5326</v>
      </c>
      <c r="Q182" s="19">
        <f t="shared" si="66"/>
        <v>5.9105671367218751</v>
      </c>
      <c r="R182" s="19">
        <f t="shared" si="49"/>
        <v>34.29703236855547</v>
      </c>
      <c r="S182" s="19">
        <f t="shared" si="50"/>
        <v>0.10258043861579211</v>
      </c>
      <c r="T182" s="19"/>
      <c r="U182" s="24">
        <f t="shared" si="72"/>
        <v>5325.2500000000018</v>
      </c>
      <c r="V182" s="19">
        <f t="shared" si="51"/>
        <v>24.739298274749544</v>
      </c>
      <c r="W182" s="19">
        <f t="shared" si="52"/>
        <v>71.708812265008333</v>
      </c>
      <c r="X182" s="19">
        <f t="shared" si="53"/>
        <v>12.369649137374772</v>
      </c>
      <c r="Y182" s="27"/>
      <c r="Z182" s="42">
        <f t="shared" si="67"/>
        <v>49522</v>
      </c>
      <c r="AA182" s="19">
        <f t="shared" ca="1" si="54"/>
        <v>5.0027040245213961</v>
      </c>
      <c r="AB182" s="19">
        <f t="shared" ca="1" si="55"/>
        <v>30.304857800855608</v>
      </c>
      <c r="AC182" s="19">
        <f t="shared" ca="1" si="56"/>
        <v>4.457059606202491E-2</v>
      </c>
      <c r="AD182" s="19">
        <f t="shared" ca="1" si="57"/>
        <v>4.5457286701283417</v>
      </c>
      <c r="AE182" s="115">
        <f t="shared" ca="1" si="58"/>
        <v>155.08382476016328</v>
      </c>
      <c r="AF182" s="19">
        <f t="shared" ca="1" si="59"/>
        <v>939.45059182652381</v>
      </c>
      <c r="AG182" s="19">
        <f t="shared" ca="1" si="60"/>
        <v>1.3816884779227723</v>
      </c>
      <c r="AH182" s="19">
        <f t="shared" ca="1" si="61"/>
        <v>140.91758877397859</v>
      </c>
      <c r="AI182" s="46">
        <f t="shared" ca="1" si="68"/>
        <v>6057.6955287205583</v>
      </c>
      <c r="AJ182" s="55">
        <f t="shared" ca="1" si="69"/>
        <v>8.8306263107341947E-3</v>
      </c>
      <c r="AK182" s="19">
        <f t="shared" ca="1" si="70"/>
        <v>165.07927730253706</v>
      </c>
      <c r="AL182" s="19">
        <f t="shared" ca="1" si="62"/>
        <v>150.00000000000003</v>
      </c>
    </row>
    <row r="183" spans="2:38" x14ac:dyDescent="0.25">
      <c r="B183" s="19"/>
      <c r="C183" s="19"/>
      <c r="D183" s="19"/>
      <c r="E183" s="19"/>
      <c r="F183" s="19"/>
      <c r="G183" s="19"/>
      <c r="H183" s="43">
        <f t="shared" si="71"/>
        <v>49553</v>
      </c>
      <c r="I183" s="264">
        <v>0</v>
      </c>
      <c r="J183" s="64">
        <f t="shared" ca="1" si="63"/>
        <v>0</v>
      </c>
      <c r="K183" s="19">
        <f ca="1">SUMPRODUCT(V$7:V183,OFFSET($J$366,ROW($I$7)-ROW(),0):$J$366)</f>
        <v>0</v>
      </c>
      <c r="L183" s="19">
        <f ca="1">SUMPRODUCT(W$7:W183,OFFSET($J$366,ROW($I$7)-ROW(),0):$J$366)</f>
        <v>0</v>
      </c>
      <c r="M183" s="19">
        <f ca="1">SUMPRODUCT(X$7:X183,OFFSET($J$366,ROW($I$7)-ROW(),0):$J$366)</f>
        <v>0</v>
      </c>
      <c r="N183" s="19"/>
      <c r="O183" s="43">
        <f t="shared" si="64"/>
        <v>48823</v>
      </c>
      <c r="P183" s="24">
        <f t="shared" si="65"/>
        <v>5357</v>
      </c>
      <c r="Q183" s="19">
        <f t="shared" si="66"/>
        <v>5.8688579822905771</v>
      </c>
      <c r="R183" s="19">
        <f t="shared" si="49"/>
        <v>34.117268348312038</v>
      </c>
      <c r="S183" s="19">
        <f t="shared" si="50"/>
        <v>9.900577994741315E-2</v>
      </c>
      <c r="T183" s="19"/>
      <c r="U183" s="24">
        <f t="shared" si="72"/>
        <v>5355.6800000000021</v>
      </c>
      <c r="V183" s="19">
        <f t="shared" si="51"/>
        <v>24.564720237076532</v>
      </c>
      <c r="W183" s="19">
        <f t="shared" si="52"/>
        <v>71.33295862726159</v>
      </c>
      <c r="X183" s="19">
        <f t="shared" si="53"/>
        <v>12.282360118538266</v>
      </c>
      <c r="Y183" s="27"/>
      <c r="Z183" s="42">
        <f t="shared" si="67"/>
        <v>49553</v>
      </c>
      <c r="AA183" s="19">
        <f t="shared" ca="1" si="54"/>
        <v>4.9674013962107448</v>
      </c>
      <c r="AB183" s="19">
        <f t="shared" ca="1" si="55"/>
        <v>30.146018312568508</v>
      </c>
      <c r="AC183" s="19">
        <f t="shared" ca="1" si="56"/>
        <v>4.3023773880636364E-2</v>
      </c>
      <c r="AD183" s="19">
        <f t="shared" ca="1" si="57"/>
        <v>4.5219027468852762</v>
      </c>
      <c r="AE183" s="115">
        <f t="shared" ca="1" si="58"/>
        <v>149.02204188632234</v>
      </c>
      <c r="AF183" s="19">
        <f t="shared" ca="1" si="59"/>
        <v>904.38054937705522</v>
      </c>
      <c r="AG183" s="19">
        <f t="shared" ca="1" si="60"/>
        <v>1.2907132164190909</v>
      </c>
      <c r="AH183" s="19">
        <f t="shared" ca="1" si="61"/>
        <v>135.65708240655829</v>
      </c>
      <c r="AI183" s="46">
        <f t="shared" ca="1" si="68"/>
        <v>6068.7703505427662</v>
      </c>
      <c r="AJ183" s="55">
        <f t="shared" ca="1" si="69"/>
        <v>8.5868508998911339E-3</v>
      </c>
      <c r="AK183" s="19">
        <f t="shared" ca="1" si="70"/>
        <v>164.77802622908015</v>
      </c>
      <c r="AL183" s="19">
        <f t="shared" ca="1" si="62"/>
        <v>150</v>
      </c>
    </row>
    <row r="184" spans="2:38" x14ac:dyDescent="0.25">
      <c r="B184" s="19"/>
      <c r="C184" s="19"/>
      <c r="D184" s="19"/>
      <c r="E184" s="19"/>
      <c r="F184" s="19"/>
      <c r="G184" s="19"/>
      <c r="H184" s="43">
        <f t="shared" si="71"/>
        <v>49583</v>
      </c>
      <c r="I184" s="264">
        <v>0</v>
      </c>
      <c r="J184" s="64">
        <f t="shared" ca="1" si="63"/>
        <v>0</v>
      </c>
      <c r="K184" s="19">
        <f ca="1">SUMPRODUCT(V$7:V184,OFFSET($J$366,ROW($I$7)-ROW(),0):$J$366)</f>
        <v>0</v>
      </c>
      <c r="L184" s="19">
        <f ca="1">SUMPRODUCT(W$7:W184,OFFSET($J$366,ROW($I$7)-ROW(),0):$J$366)</f>
        <v>0</v>
      </c>
      <c r="M184" s="19">
        <f ca="1">SUMPRODUCT(X$7:X184,OFFSET($J$366,ROW($I$7)-ROW(),0):$J$366)</f>
        <v>0</v>
      </c>
      <c r="N184" s="19"/>
      <c r="O184" s="43">
        <f t="shared" si="64"/>
        <v>48853</v>
      </c>
      <c r="P184" s="24">
        <f t="shared" si="65"/>
        <v>5387</v>
      </c>
      <c r="Q184" s="19">
        <f t="shared" si="66"/>
        <v>5.8287745465302034</v>
      </c>
      <c r="R184" s="19">
        <f t="shared" si="49"/>
        <v>33.944200330145478</v>
      </c>
      <c r="S184" s="19">
        <f t="shared" si="50"/>
        <v>9.5665655365005001E-2</v>
      </c>
      <c r="T184" s="19"/>
      <c r="U184" s="24">
        <f t="shared" si="72"/>
        <v>5386.1100000000024</v>
      </c>
      <c r="V184" s="19">
        <f t="shared" si="51"/>
        <v>24.396946815302559</v>
      </c>
      <c r="W184" s="19">
        <f t="shared" si="52"/>
        <v>70.971105103305945</v>
      </c>
      <c r="X184" s="19">
        <f t="shared" si="53"/>
        <v>12.19847340765128</v>
      </c>
      <c r="Y184" s="27"/>
      <c r="Z184" s="42">
        <f t="shared" si="67"/>
        <v>49583</v>
      </c>
      <c r="AA184" s="19">
        <f t="shared" ca="1" si="54"/>
        <v>4.9334747761831643</v>
      </c>
      <c r="AB184" s="19">
        <f t="shared" ca="1" si="55"/>
        <v>29.993095411716542</v>
      </c>
      <c r="AC184" s="19">
        <f t="shared" ca="1" si="56"/>
        <v>4.1578228188658105E-2</v>
      </c>
      <c r="AD184" s="19">
        <f t="shared" ca="1" si="57"/>
        <v>4.4989643117574811</v>
      </c>
      <c r="AE184" s="115">
        <f t="shared" ca="1" si="58"/>
        <v>152.93771806167808</v>
      </c>
      <c r="AF184" s="19">
        <f t="shared" ca="1" si="59"/>
        <v>929.78595776321276</v>
      </c>
      <c r="AG184" s="19">
        <f t="shared" ca="1" si="60"/>
        <v>1.2889250738484013</v>
      </c>
      <c r="AH184" s="19">
        <f t="shared" ca="1" si="61"/>
        <v>139.46789366448192</v>
      </c>
      <c r="AI184" s="46">
        <f t="shared" ca="1" si="68"/>
        <v>6079.5071977485659</v>
      </c>
      <c r="AJ184" s="55">
        <f t="shared" ca="1" si="69"/>
        <v>8.3573437613873244E-3</v>
      </c>
      <c r="AK184" s="19">
        <f t="shared" ca="1" si="70"/>
        <v>164.48701637697405</v>
      </c>
      <c r="AL184" s="19">
        <f t="shared" ca="1" si="62"/>
        <v>150.00000000000003</v>
      </c>
    </row>
    <row r="185" spans="2:38" x14ac:dyDescent="0.25">
      <c r="B185" s="19"/>
      <c r="C185" s="19"/>
      <c r="D185" s="19"/>
      <c r="E185" s="19"/>
      <c r="F185" s="19"/>
      <c r="G185" s="19"/>
      <c r="H185" s="43">
        <f t="shared" si="71"/>
        <v>49614</v>
      </c>
      <c r="I185" s="264">
        <v>0</v>
      </c>
      <c r="J185" s="64">
        <f t="shared" ca="1" si="63"/>
        <v>0</v>
      </c>
      <c r="K185" s="19">
        <f ca="1">SUMPRODUCT(V$7:V185,OFFSET($J$366,ROW($I$7)-ROW(),0):$J$366)</f>
        <v>0</v>
      </c>
      <c r="L185" s="19">
        <f ca="1">SUMPRODUCT(W$7:W185,OFFSET($J$366,ROW($I$7)-ROW(),0):$J$366)</f>
        <v>0</v>
      </c>
      <c r="M185" s="19">
        <f ca="1">SUMPRODUCT(X$7:X185,OFFSET($J$366,ROW($I$7)-ROW(),0):$J$366)</f>
        <v>0</v>
      </c>
      <c r="N185" s="19"/>
      <c r="O185" s="43">
        <f t="shared" si="64"/>
        <v>48884</v>
      </c>
      <c r="P185" s="24">
        <f t="shared" si="65"/>
        <v>5418</v>
      </c>
      <c r="Q185" s="19">
        <f t="shared" si="66"/>
        <v>5.7876425786356158</v>
      </c>
      <c r="R185" s="19">
        <f t="shared" si="49"/>
        <v>33.766285639168018</v>
      </c>
      <c r="S185" s="19">
        <f t="shared" si="50"/>
        <v>9.233310117548231E-2</v>
      </c>
      <c r="T185" s="19"/>
      <c r="U185" s="24">
        <f t="shared" si="72"/>
        <v>5416.5400000000027</v>
      </c>
      <c r="V185" s="19">
        <f t="shared" si="51"/>
        <v>24.224784652377533</v>
      </c>
      <c r="W185" s="19">
        <f t="shared" si="52"/>
        <v>70.599118074300307</v>
      </c>
      <c r="X185" s="19">
        <f t="shared" si="53"/>
        <v>12.112392326188766</v>
      </c>
      <c r="Y185" s="27"/>
      <c r="Z185" s="42">
        <f t="shared" si="67"/>
        <v>49614</v>
      </c>
      <c r="AA185" s="19">
        <f t="shared" ca="1" si="54"/>
        <v>4.898660678557186</v>
      </c>
      <c r="AB185" s="19">
        <f t="shared" ca="1" si="55"/>
        <v>29.835889990768859</v>
      </c>
      <c r="AC185" s="19">
        <f t="shared" ca="1" si="56"/>
        <v>4.0135748597332016E-2</v>
      </c>
      <c r="AD185" s="19">
        <f t="shared" ca="1" si="57"/>
        <v>4.4753834986153294</v>
      </c>
      <c r="AE185" s="115">
        <f t="shared" ca="1" si="58"/>
        <v>146.95982035671557</v>
      </c>
      <c r="AF185" s="19">
        <f t="shared" ca="1" si="59"/>
        <v>895.07669972306576</v>
      </c>
      <c r="AG185" s="19">
        <f t="shared" ca="1" si="60"/>
        <v>1.2040724579199604</v>
      </c>
      <c r="AH185" s="19">
        <f t="shared" ca="1" si="61"/>
        <v>134.26150495845988</v>
      </c>
      <c r="AI185" s="46">
        <f t="shared" ca="1" si="68"/>
        <v>6090.6218961784662</v>
      </c>
      <c r="AJ185" s="55">
        <f t="shared" ca="1" si="69"/>
        <v>8.1266254216629426E-3</v>
      </c>
      <c r="AK185" s="19">
        <f t="shared" ca="1" si="70"/>
        <v>164.18684611294711</v>
      </c>
      <c r="AL185" s="19">
        <f t="shared" ca="1" si="62"/>
        <v>150</v>
      </c>
    </row>
    <row r="186" spans="2:38" x14ac:dyDescent="0.25">
      <c r="B186" s="19"/>
      <c r="C186" s="19"/>
      <c r="D186" s="19"/>
      <c r="E186" s="19"/>
      <c r="F186" s="19"/>
      <c r="G186" s="19"/>
      <c r="H186" s="44">
        <f t="shared" si="71"/>
        <v>49644</v>
      </c>
      <c r="I186" s="265">
        <v>0</v>
      </c>
      <c r="J186" s="65">
        <f t="shared" ca="1" si="63"/>
        <v>0</v>
      </c>
      <c r="K186" s="21">
        <f ca="1">SUMPRODUCT(V$7:V186,OFFSET($J$366,ROW($I$7)-ROW(),0):$J$366)</f>
        <v>0</v>
      </c>
      <c r="L186" s="21">
        <f ca="1">SUMPRODUCT(W$7:W186,OFFSET($J$366,ROW($I$7)-ROW(),0):$J$366)</f>
        <v>0</v>
      </c>
      <c r="M186" s="21">
        <f ca="1">SUMPRODUCT(X$7:X186,OFFSET($J$366,ROW($I$7)-ROW(),0):$J$366)</f>
        <v>0</v>
      </c>
      <c r="N186" s="19"/>
      <c r="O186" s="44">
        <f t="shared" si="64"/>
        <v>48914</v>
      </c>
      <c r="P186" s="25">
        <f t="shared" si="65"/>
        <v>5448</v>
      </c>
      <c r="Q186" s="21">
        <f t="shared" si="66"/>
        <v>5.7481138321222787</v>
      </c>
      <c r="R186" s="21">
        <f t="shared" si="49"/>
        <v>33.59499806488877</v>
      </c>
      <c r="S186" s="21">
        <f t="shared" si="50"/>
        <v>8.9219158449260677E-2</v>
      </c>
      <c r="T186" s="19"/>
      <c r="U186" s="25">
        <f t="shared" si="72"/>
        <v>5446.970000000003</v>
      </c>
      <c r="V186" s="21">
        <f t="shared" si="51"/>
        <v>24.059332940587524</v>
      </c>
      <c r="W186" s="21">
        <f t="shared" si="52"/>
        <v>70.240987132377143</v>
      </c>
      <c r="X186" s="21">
        <f t="shared" si="53"/>
        <v>12.029666470293762</v>
      </c>
      <c r="Y186" s="27"/>
      <c r="Z186" s="48">
        <f t="shared" si="67"/>
        <v>49644</v>
      </c>
      <c r="AA186" s="21">
        <f t="shared" ca="1" si="54"/>
        <v>4.8652035475082975</v>
      </c>
      <c r="AB186" s="21">
        <f t="shared" ca="1" si="55"/>
        <v>29.684540290135711</v>
      </c>
      <c r="AC186" s="21">
        <f t="shared" ca="1" si="56"/>
        <v>3.8787697422331173E-2</v>
      </c>
      <c r="AD186" s="21">
        <f t="shared" ca="1" si="57"/>
        <v>4.4526810435203563</v>
      </c>
      <c r="AE186" s="116">
        <f t="shared" ca="1" si="58"/>
        <v>150.82130997275723</v>
      </c>
      <c r="AF186" s="21">
        <f t="shared" ca="1" si="59"/>
        <v>920.22074899420704</v>
      </c>
      <c r="AG186" s="21">
        <f t="shared" ca="1" si="60"/>
        <v>1.2024186200922664</v>
      </c>
      <c r="AH186" s="21">
        <f t="shared" ca="1" si="61"/>
        <v>138.03311234913104</v>
      </c>
      <c r="AI186" s="47">
        <f t="shared" ca="1" si="68"/>
        <v>6101.3974030621139</v>
      </c>
      <c r="AJ186" s="57">
        <f t="shared" ca="1" si="69"/>
        <v>7.9094140843801314E-3</v>
      </c>
      <c r="AK186" s="21">
        <f t="shared" ca="1" si="70"/>
        <v>163.89688032746878</v>
      </c>
      <c r="AL186" s="21">
        <f t="shared" ca="1" si="62"/>
        <v>150</v>
      </c>
    </row>
    <row r="187" spans="2:38" x14ac:dyDescent="0.25">
      <c r="B187" s="19"/>
      <c r="C187" s="19"/>
      <c r="D187" s="19"/>
      <c r="E187" s="19"/>
      <c r="F187" s="19"/>
      <c r="G187" s="19"/>
      <c r="H187" s="43">
        <f t="shared" si="71"/>
        <v>49675</v>
      </c>
      <c r="I187" s="264">
        <v>0</v>
      </c>
      <c r="J187" s="64">
        <f t="shared" ca="1" si="63"/>
        <v>0</v>
      </c>
      <c r="K187" s="19">
        <f ca="1">SUMPRODUCT(V$7:V187,OFFSET($J$366,ROW($I$7)-ROW(),0):$J$366)</f>
        <v>0</v>
      </c>
      <c r="L187" s="19">
        <f ca="1">SUMPRODUCT(W$7:W187,OFFSET($J$366,ROW($I$7)-ROW(),0):$J$366)</f>
        <v>0</v>
      </c>
      <c r="M187" s="19">
        <f ca="1">SUMPRODUCT(X$7:X187,OFFSET($J$366,ROW($I$7)-ROW(),0):$J$366)</f>
        <v>0</v>
      </c>
      <c r="N187" s="19"/>
      <c r="O187" s="43">
        <f t="shared" si="64"/>
        <v>48945</v>
      </c>
      <c r="P187" s="24">
        <f t="shared" si="65"/>
        <v>5479</v>
      </c>
      <c r="Q187" s="19">
        <f t="shared" si="66"/>
        <v>5.7075510634459654</v>
      </c>
      <c r="R187" s="19">
        <f t="shared" si="49"/>
        <v>33.418913678131403</v>
      </c>
      <c r="S187" s="19">
        <f t="shared" si="50"/>
        <v>8.6112235490168332E-2</v>
      </c>
      <c r="T187" s="19"/>
      <c r="U187" s="24">
        <f t="shared" si="72"/>
        <v>5477.4000000000033</v>
      </c>
      <c r="V187" s="19">
        <f t="shared" si="51"/>
        <v>23.889553220651958</v>
      </c>
      <c r="W187" s="19">
        <f t="shared" si="52"/>
        <v>69.872826934226595</v>
      </c>
      <c r="X187" s="19">
        <f t="shared" si="53"/>
        <v>11.944776610325979</v>
      </c>
      <c r="Y187" s="27"/>
      <c r="Z187" s="42">
        <f t="shared" si="67"/>
        <v>49675</v>
      </c>
      <c r="AA187" s="19">
        <f t="shared" ca="1" si="54"/>
        <v>4.8308712201006658</v>
      </c>
      <c r="AB187" s="19">
        <f t="shared" ca="1" si="55"/>
        <v>29.528952125996899</v>
      </c>
      <c r="AC187" s="19">
        <f t="shared" ca="1" si="56"/>
        <v>3.7442489245707054E-2</v>
      </c>
      <c r="AD187" s="19">
        <f t="shared" ca="1" si="57"/>
        <v>4.429342818899535</v>
      </c>
      <c r="AE187" s="115">
        <f t="shared" ca="1" si="58"/>
        <v>149.75700782312063</v>
      </c>
      <c r="AF187" s="19">
        <f t="shared" ca="1" si="59"/>
        <v>915.3975159059039</v>
      </c>
      <c r="AG187" s="19">
        <f t="shared" ca="1" si="60"/>
        <v>1.1607171666169187</v>
      </c>
      <c r="AH187" s="19">
        <f t="shared" ca="1" si="61"/>
        <v>137.30962738588559</v>
      </c>
      <c r="AI187" s="46">
        <f t="shared" ca="1" si="68"/>
        <v>6112.5521216815996</v>
      </c>
      <c r="AJ187" s="55">
        <f t="shared" ca="1" si="69"/>
        <v>7.6910592622294561E-3</v>
      </c>
      <c r="AK187" s="19">
        <f t="shared" ca="1" si="70"/>
        <v>163.5977869952124</v>
      </c>
      <c r="AL187" s="19">
        <f t="shared" ca="1" si="62"/>
        <v>150</v>
      </c>
    </row>
    <row r="188" spans="2:38" x14ac:dyDescent="0.25">
      <c r="B188" s="19"/>
      <c r="C188" s="19"/>
      <c r="D188" s="19"/>
      <c r="E188" s="19"/>
      <c r="F188" s="19"/>
      <c r="G188" s="19"/>
      <c r="H188" s="43">
        <f t="shared" si="71"/>
        <v>49706</v>
      </c>
      <c r="I188" s="264">
        <v>0</v>
      </c>
      <c r="J188" s="64">
        <f t="shared" ca="1" si="63"/>
        <v>0</v>
      </c>
      <c r="K188" s="19">
        <f ca="1">SUMPRODUCT(V$7:V188,OFFSET($J$366,ROW($I$7)-ROW(),0):$J$366)</f>
        <v>0</v>
      </c>
      <c r="L188" s="19">
        <f ca="1">SUMPRODUCT(W$7:W188,OFFSET($J$366,ROW($I$7)-ROW(),0):$J$366)</f>
        <v>0</v>
      </c>
      <c r="M188" s="19">
        <f ca="1">SUMPRODUCT(X$7:X188,OFFSET($J$366,ROW($I$7)-ROW(),0):$J$366)</f>
        <v>0</v>
      </c>
      <c r="N188" s="19"/>
      <c r="O188" s="43">
        <f t="shared" si="64"/>
        <v>48976</v>
      </c>
      <c r="P188" s="24">
        <f t="shared" si="65"/>
        <v>5510</v>
      </c>
      <c r="Q188" s="19">
        <f t="shared" si="66"/>
        <v>5.6672745344390014</v>
      </c>
      <c r="R188" s="19">
        <f t="shared" si="49"/>
        <v>33.243752217793009</v>
      </c>
      <c r="S188" s="19">
        <f t="shared" si="50"/>
        <v>8.3114028434244244E-2</v>
      </c>
      <c r="T188" s="19"/>
      <c r="U188" s="24">
        <f t="shared" si="72"/>
        <v>5507.8300000000036</v>
      </c>
      <c r="V188" s="19">
        <f t="shared" si="51"/>
        <v>23.72097158685505</v>
      </c>
      <c r="W188" s="19">
        <f t="shared" si="52"/>
        <v>69.506596406159503</v>
      </c>
      <c r="X188" s="19">
        <f t="shared" si="53"/>
        <v>11.860485793427525</v>
      </c>
      <c r="Y188" s="27"/>
      <c r="Z188" s="42">
        <f t="shared" si="67"/>
        <v>49706</v>
      </c>
      <c r="AA188" s="19">
        <f t="shared" ca="1" si="54"/>
        <v>4.796781165949171</v>
      </c>
      <c r="AB188" s="19">
        <f t="shared" ca="1" si="55"/>
        <v>29.374179459641898</v>
      </c>
      <c r="AC188" s="19">
        <f t="shared" ca="1" si="56"/>
        <v>3.6144159766969601E-2</v>
      </c>
      <c r="AD188" s="19">
        <f t="shared" ca="1" si="57"/>
        <v>4.4061269189462848</v>
      </c>
      <c r="AE188" s="115">
        <f t="shared" ca="1" si="58"/>
        <v>139.10665381252596</v>
      </c>
      <c r="AF188" s="19">
        <f t="shared" ca="1" si="59"/>
        <v>851.85120432961503</v>
      </c>
      <c r="AG188" s="19">
        <f t="shared" ca="1" si="60"/>
        <v>1.0481806332421184</v>
      </c>
      <c r="AH188" s="19">
        <f t="shared" ca="1" si="61"/>
        <v>127.77768064944226</v>
      </c>
      <c r="AI188" s="46">
        <f t="shared" ca="1" si="68"/>
        <v>6123.7272336207216</v>
      </c>
      <c r="AJ188" s="55">
        <f t="shared" ca="1" si="69"/>
        <v>7.4787333407875028E-3</v>
      </c>
      <c r="AK188" s="19">
        <f t="shared" ca="1" si="70"/>
        <v>163.29923947457388</v>
      </c>
      <c r="AL188" s="19">
        <f t="shared" ca="1" si="62"/>
        <v>150</v>
      </c>
    </row>
    <row r="189" spans="2:38" x14ac:dyDescent="0.25">
      <c r="B189" s="19"/>
      <c r="C189" s="19"/>
      <c r="D189" s="19"/>
      <c r="E189" s="19"/>
      <c r="F189" s="19"/>
      <c r="G189" s="19"/>
      <c r="H189" s="43">
        <f t="shared" si="71"/>
        <v>49735</v>
      </c>
      <c r="I189" s="264">
        <v>0</v>
      </c>
      <c r="J189" s="64">
        <f t="shared" ca="1" si="63"/>
        <v>0</v>
      </c>
      <c r="K189" s="19">
        <f ca="1">SUMPRODUCT(V$7:V189,OFFSET($J$366,ROW($I$7)-ROW(),0):$J$366)</f>
        <v>0</v>
      </c>
      <c r="L189" s="19">
        <f ca="1">SUMPRODUCT(W$7:W189,OFFSET($J$366,ROW($I$7)-ROW(),0):$J$366)</f>
        <v>0</v>
      </c>
      <c r="M189" s="19">
        <f ca="1">SUMPRODUCT(X$7:X189,OFFSET($J$366,ROW($I$7)-ROW(),0):$J$366)</f>
        <v>0</v>
      </c>
      <c r="N189" s="19"/>
      <c r="O189" s="43">
        <f t="shared" si="64"/>
        <v>49004</v>
      </c>
      <c r="P189" s="24">
        <f t="shared" si="65"/>
        <v>5538</v>
      </c>
      <c r="Q189" s="19">
        <f t="shared" si="66"/>
        <v>5.6311400827093392</v>
      </c>
      <c r="R189" s="19">
        <f t="shared" si="49"/>
        <v>33.086331117217277</v>
      </c>
      <c r="S189" s="19">
        <f t="shared" si="50"/>
        <v>8.0496231901740656E-2</v>
      </c>
      <c r="T189" s="19"/>
      <c r="U189" s="24">
        <f t="shared" si="72"/>
        <v>5538.2600000000039</v>
      </c>
      <c r="V189" s="19">
        <f t="shared" si="51"/>
        <v>23.569727051659662</v>
      </c>
      <c r="W189" s="19">
        <f t="shared" si="52"/>
        <v>69.177457720735333</v>
      </c>
      <c r="X189" s="19">
        <f t="shared" si="53"/>
        <v>11.784863525829831</v>
      </c>
      <c r="Y189" s="27"/>
      <c r="Z189" s="42">
        <f t="shared" si="67"/>
        <v>49735</v>
      </c>
      <c r="AA189" s="19">
        <f t="shared" ca="1" si="54"/>
        <v>4.7651082871506087</v>
      </c>
      <c r="AB189" s="19">
        <f t="shared" ca="1" si="55"/>
        <v>29.230126615736555</v>
      </c>
      <c r="AC189" s="19">
        <f t="shared" ca="1" si="56"/>
        <v>3.4970578156230059E-2</v>
      </c>
      <c r="AD189" s="19">
        <f t="shared" ca="1" si="57"/>
        <v>4.3845189923604835</v>
      </c>
      <c r="AE189" s="115">
        <f t="shared" ca="1" si="58"/>
        <v>147.71835690166887</v>
      </c>
      <c r="AF189" s="19">
        <f t="shared" ca="1" si="59"/>
        <v>906.13392508783318</v>
      </c>
      <c r="AG189" s="19">
        <f t="shared" ca="1" si="60"/>
        <v>1.0840879228431319</v>
      </c>
      <c r="AH189" s="19">
        <f t="shared" ca="1" si="61"/>
        <v>135.92008876317499</v>
      </c>
      <c r="AI189" s="46">
        <f t="shared" ca="1" si="68"/>
        <v>6134.1998658366883</v>
      </c>
      <c r="AJ189" s="55">
        <f t="shared" ca="1" si="69"/>
        <v>7.285417414489629E-3</v>
      </c>
      <c r="AK189" s="19">
        <f t="shared" ca="1" si="70"/>
        <v>163.02044632900183</v>
      </c>
      <c r="AL189" s="19">
        <f t="shared" ca="1" si="62"/>
        <v>150</v>
      </c>
    </row>
    <row r="190" spans="2:38" x14ac:dyDescent="0.25">
      <c r="B190" s="19"/>
      <c r="C190" s="19"/>
      <c r="D190" s="19"/>
      <c r="E190" s="19"/>
      <c r="F190" s="19"/>
      <c r="G190" s="19"/>
      <c r="H190" s="43">
        <f t="shared" si="71"/>
        <v>49766</v>
      </c>
      <c r="I190" s="264">
        <v>0</v>
      </c>
      <c r="J190" s="64">
        <f t="shared" ca="1" si="63"/>
        <v>0</v>
      </c>
      <c r="K190" s="19">
        <f ca="1">SUMPRODUCT(V$7:V190,OFFSET($J$366,ROW($I$7)-ROW(),0):$J$366)</f>
        <v>0</v>
      </c>
      <c r="L190" s="19">
        <f ca="1">SUMPRODUCT(W$7:W190,OFFSET($J$366,ROW($I$7)-ROW(),0):$J$366)</f>
        <v>0</v>
      </c>
      <c r="M190" s="19">
        <f ca="1">SUMPRODUCT(X$7:X190,OFFSET($J$366,ROW($I$7)-ROW(),0):$J$366)</f>
        <v>0</v>
      </c>
      <c r="N190" s="19"/>
      <c r="O190" s="43">
        <f t="shared" si="64"/>
        <v>49035</v>
      </c>
      <c r="P190" s="24">
        <f t="shared" si="65"/>
        <v>5569</v>
      </c>
      <c r="Q190" s="19">
        <f t="shared" si="66"/>
        <v>5.5914027637852772</v>
      </c>
      <c r="R190" s="19">
        <f t="shared" si="49"/>
        <v>32.912912850796374</v>
      </c>
      <c r="S190" s="19">
        <f t="shared" si="50"/>
        <v>7.7694487875679674E-2</v>
      </c>
      <c r="T190" s="19"/>
      <c r="U190" s="24">
        <f t="shared" si="72"/>
        <v>5568.6900000000041</v>
      </c>
      <c r="V190" s="19">
        <f t="shared" si="51"/>
        <v>23.403402338182765</v>
      </c>
      <c r="W190" s="19">
        <f t="shared" si="52"/>
        <v>68.814871891837186</v>
      </c>
      <c r="X190" s="19">
        <f t="shared" si="53"/>
        <v>11.701701169091383</v>
      </c>
      <c r="Y190" s="27"/>
      <c r="Z190" s="42">
        <f t="shared" si="67"/>
        <v>49766</v>
      </c>
      <c r="AA190" s="19">
        <f t="shared" ca="1" si="54"/>
        <v>4.7314823029035447</v>
      </c>
      <c r="AB190" s="19">
        <f t="shared" ca="1" si="55"/>
        <v>29.076920209531952</v>
      </c>
      <c r="AC190" s="19">
        <f t="shared" ca="1" si="56"/>
        <v>3.3758369667017063E-2</v>
      </c>
      <c r="AD190" s="19">
        <f t="shared" ca="1" si="57"/>
        <v>4.3615380314297933</v>
      </c>
      <c r="AE190" s="115">
        <f t="shared" ca="1" si="58"/>
        <v>141.94446908710634</v>
      </c>
      <c r="AF190" s="19">
        <f t="shared" ca="1" si="59"/>
        <v>872.30760628595851</v>
      </c>
      <c r="AG190" s="19">
        <f t="shared" ca="1" si="60"/>
        <v>1.0127510900105119</v>
      </c>
      <c r="AH190" s="19">
        <f t="shared" ca="1" si="61"/>
        <v>130.84614094289381</v>
      </c>
      <c r="AI190" s="46">
        <f t="shared" ca="1" si="68"/>
        <v>6145.4145546921873</v>
      </c>
      <c r="AJ190" s="55">
        <f t="shared" ca="1" si="69"/>
        <v>7.0842947894185684E-3</v>
      </c>
      <c r="AK190" s="19">
        <f t="shared" ca="1" si="70"/>
        <v>162.72295239000167</v>
      </c>
      <c r="AL190" s="19">
        <f t="shared" ca="1" si="62"/>
        <v>150.00000000000006</v>
      </c>
    </row>
    <row r="191" spans="2:38" x14ac:dyDescent="0.25">
      <c r="B191" s="19"/>
      <c r="C191" s="19"/>
      <c r="D191" s="19"/>
      <c r="E191" s="19"/>
      <c r="F191" s="19"/>
      <c r="G191" s="19"/>
      <c r="H191" s="43">
        <f t="shared" si="71"/>
        <v>49796</v>
      </c>
      <c r="I191" s="264">
        <v>0</v>
      </c>
      <c r="J191" s="64">
        <f t="shared" ca="1" si="63"/>
        <v>0</v>
      </c>
      <c r="K191" s="19">
        <f ca="1">SUMPRODUCT(V$7:V191,OFFSET($J$366,ROW($I$7)-ROW(),0):$J$366)</f>
        <v>0</v>
      </c>
      <c r="L191" s="19">
        <f ca="1">SUMPRODUCT(W$7:W191,OFFSET($J$366,ROW($I$7)-ROW(),0):$J$366)</f>
        <v>0</v>
      </c>
      <c r="M191" s="19">
        <f ca="1">SUMPRODUCT(X$7:X191,OFFSET($J$366,ROW($I$7)-ROW(),0):$J$366)</f>
        <v>0</v>
      </c>
      <c r="N191" s="19"/>
      <c r="O191" s="43">
        <f t="shared" si="64"/>
        <v>49065</v>
      </c>
      <c r="P191" s="24">
        <f t="shared" si="65"/>
        <v>5599</v>
      </c>
      <c r="Q191" s="19">
        <f t="shared" si="66"/>
        <v>5.5532143063087371</v>
      </c>
      <c r="R191" s="19">
        <f t="shared" si="49"/>
        <v>32.745954214453569</v>
      </c>
      <c r="S191" s="19">
        <f t="shared" si="50"/>
        <v>7.5076455624854085E-2</v>
      </c>
      <c r="T191" s="19"/>
      <c r="U191" s="24">
        <f t="shared" si="72"/>
        <v>5599.1200000000044</v>
      </c>
      <c r="V191" s="19">
        <f t="shared" si="51"/>
        <v>23.243560546640456</v>
      </c>
      <c r="W191" s="19">
        <f t="shared" si="52"/>
        <v>68.465791966178514</v>
      </c>
      <c r="X191" s="19">
        <f t="shared" si="53"/>
        <v>11.621780273320228</v>
      </c>
      <c r="Y191" s="27"/>
      <c r="Z191" s="42">
        <f t="shared" si="67"/>
        <v>49796</v>
      </c>
      <c r="AA191" s="19">
        <f t="shared" ca="1" si="54"/>
        <v>4.6991669755413792</v>
      </c>
      <c r="AB191" s="19">
        <f t="shared" ca="1" si="55"/>
        <v>28.929420564962669</v>
      </c>
      <c r="AC191" s="19">
        <f t="shared" ca="1" si="56"/>
        <v>3.2625481247308519E-2</v>
      </c>
      <c r="AD191" s="19">
        <f t="shared" ca="1" si="57"/>
        <v>4.3394130847444004</v>
      </c>
      <c r="AE191" s="115">
        <f t="shared" ca="1" si="58"/>
        <v>145.67417624178276</v>
      </c>
      <c r="AF191" s="19">
        <f t="shared" ca="1" si="59"/>
        <v>896.81203751384271</v>
      </c>
      <c r="AG191" s="19">
        <f t="shared" ca="1" si="60"/>
        <v>1.011389918666564</v>
      </c>
      <c r="AH191" s="19">
        <f t="shared" ca="1" si="61"/>
        <v>134.52180562707642</v>
      </c>
      <c r="AI191" s="46">
        <f t="shared" ca="1" si="68"/>
        <v>6156.287000554983</v>
      </c>
      <c r="AJ191" s="55">
        <f t="shared" ca="1" si="69"/>
        <v>6.894951869772065E-3</v>
      </c>
      <c r="AK191" s="19">
        <f t="shared" ca="1" si="70"/>
        <v>162.43557194618299</v>
      </c>
      <c r="AL191" s="19">
        <f t="shared" ca="1" si="62"/>
        <v>150</v>
      </c>
    </row>
    <row r="192" spans="2:38" x14ac:dyDescent="0.25">
      <c r="B192" s="19"/>
      <c r="C192" s="19"/>
      <c r="D192" s="19"/>
      <c r="E192" s="19"/>
      <c r="F192" s="19"/>
      <c r="G192" s="19"/>
      <c r="H192" s="43">
        <f t="shared" si="71"/>
        <v>49827</v>
      </c>
      <c r="I192" s="264">
        <v>0</v>
      </c>
      <c r="J192" s="64">
        <f t="shared" ca="1" si="63"/>
        <v>0</v>
      </c>
      <c r="K192" s="19">
        <f ca="1">SUMPRODUCT(V$7:V192,OFFSET($J$366,ROW($I$7)-ROW(),0):$J$366)</f>
        <v>0</v>
      </c>
      <c r="L192" s="19">
        <f ca="1">SUMPRODUCT(W$7:W192,OFFSET($J$366,ROW($I$7)-ROW(),0):$J$366)</f>
        <v>0</v>
      </c>
      <c r="M192" s="19">
        <f ca="1">SUMPRODUCT(X$7:X192,OFFSET($J$366,ROW($I$7)-ROW(),0):$J$366)</f>
        <v>0</v>
      </c>
      <c r="N192" s="19"/>
      <c r="O192" s="43">
        <f t="shared" si="64"/>
        <v>49096</v>
      </c>
      <c r="P192" s="24">
        <f t="shared" si="65"/>
        <v>5630</v>
      </c>
      <c r="Q192" s="19">
        <f t="shared" si="66"/>
        <v>5.5140268869403162</v>
      </c>
      <c r="R192" s="19">
        <f t="shared" si="49"/>
        <v>32.574319995112347</v>
      </c>
      <c r="S192" s="19">
        <f t="shared" si="50"/>
        <v>7.2464246250242351E-2</v>
      </c>
      <c r="T192" s="19"/>
      <c r="U192" s="24">
        <f t="shared" si="72"/>
        <v>5629.5500000000047</v>
      </c>
      <c r="V192" s="19">
        <f t="shared" si="51"/>
        <v>23.079537495392156</v>
      </c>
      <c r="W192" s="19">
        <f t="shared" si="52"/>
        <v>68.106936252928094</v>
      </c>
      <c r="X192" s="19">
        <f t="shared" si="53"/>
        <v>11.539768747696078</v>
      </c>
      <c r="Y192" s="27"/>
      <c r="Z192" s="42">
        <f t="shared" si="67"/>
        <v>49827</v>
      </c>
      <c r="AA192" s="19">
        <f t="shared" ca="1" si="54"/>
        <v>4.6660063199650992</v>
      </c>
      <c r="AB192" s="19">
        <f t="shared" ca="1" si="55"/>
        <v>28.777790275549098</v>
      </c>
      <c r="AC192" s="19">
        <f t="shared" ca="1" si="56"/>
        <v>3.1494947940933458E-2</v>
      </c>
      <c r="AD192" s="19">
        <f t="shared" ca="1" si="57"/>
        <v>4.3166685413323647</v>
      </c>
      <c r="AE192" s="115">
        <f t="shared" ca="1" si="58"/>
        <v>139.98018959895296</v>
      </c>
      <c r="AF192" s="19">
        <f t="shared" ca="1" si="59"/>
        <v>863.33370826647297</v>
      </c>
      <c r="AG192" s="19">
        <f t="shared" ca="1" si="60"/>
        <v>0.9448484382280038</v>
      </c>
      <c r="AH192" s="19">
        <f t="shared" ca="1" si="61"/>
        <v>129.50005623997095</v>
      </c>
      <c r="AI192" s="46">
        <f t="shared" ca="1" si="68"/>
        <v>6167.5420696310484</v>
      </c>
      <c r="AJ192" s="55">
        <f t="shared" ca="1" si="69"/>
        <v>6.7046172304648915E-3</v>
      </c>
      <c r="AK192" s="19">
        <f t="shared" ca="1" si="70"/>
        <v>162.13914533700481</v>
      </c>
      <c r="AL192" s="19">
        <f t="shared" ca="1" si="62"/>
        <v>150</v>
      </c>
    </row>
    <row r="193" spans="2:38" x14ac:dyDescent="0.25">
      <c r="B193" s="19"/>
      <c r="C193" s="19"/>
      <c r="D193" s="19"/>
      <c r="E193" s="19"/>
      <c r="F193" s="19"/>
      <c r="G193" s="19"/>
      <c r="H193" s="43">
        <f t="shared" si="71"/>
        <v>49857</v>
      </c>
      <c r="I193" s="264">
        <v>0</v>
      </c>
      <c r="J193" s="64">
        <f t="shared" ca="1" si="63"/>
        <v>0</v>
      </c>
      <c r="K193" s="19">
        <f ca="1">SUMPRODUCT(V$7:V193,OFFSET($J$366,ROW($I$7)-ROW(),0):$J$366)</f>
        <v>0</v>
      </c>
      <c r="L193" s="19">
        <f ca="1">SUMPRODUCT(W$7:W193,OFFSET($J$366,ROW($I$7)-ROW(),0):$J$366)</f>
        <v>0</v>
      </c>
      <c r="M193" s="19">
        <f ca="1">SUMPRODUCT(X$7:X193,OFFSET($J$366,ROW($I$7)-ROW(),0):$J$366)</f>
        <v>0</v>
      </c>
      <c r="N193" s="19"/>
      <c r="O193" s="43">
        <f t="shared" si="64"/>
        <v>49126</v>
      </c>
      <c r="P193" s="24">
        <f t="shared" si="65"/>
        <v>5660</v>
      </c>
      <c r="Q193" s="19">
        <f t="shared" si="66"/>
        <v>5.4763668953081153</v>
      </c>
      <c r="R193" s="19">
        <f t="shared" si="49"/>
        <v>32.40907895215657</v>
      </c>
      <c r="S193" s="19">
        <f t="shared" si="50"/>
        <v>7.0023290975560704E-2</v>
      </c>
      <c r="T193" s="19"/>
      <c r="U193" s="24">
        <f t="shared" si="72"/>
        <v>5659.980000000005</v>
      </c>
      <c r="V193" s="19">
        <f t="shared" si="51"/>
        <v>22.92190765303318</v>
      </c>
      <c r="W193" s="19">
        <f t="shared" si="52"/>
        <v>67.761447500418583</v>
      </c>
      <c r="X193" s="19">
        <f t="shared" si="53"/>
        <v>11.46095382651659</v>
      </c>
      <c r="Y193" s="27"/>
      <c r="Z193" s="42">
        <f t="shared" si="67"/>
        <v>49857</v>
      </c>
      <c r="AA193" s="19">
        <f t="shared" ca="1" si="54"/>
        <v>4.6341381839242919</v>
      </c>
      <c r="AB193" s="19">
        <f t="shared" ca="1" si="55"/>
        <v>28.631808039241236</v>
      </c>
      <c r="AC193" s="19">
        <f t="shared" ca="1" si="56"/>
        <v>3.0438377553354969E-2</v>
      </c>
      <c r="AD193" s="19">
        <f t="shared" ca="1" si="57"/>
        <v>4.2947712058861853</v>
      </c>
      <c r="AE193" s="115">
        <f t="shared" ca="1" si="58"/>
        <v>143.65828370165306</v>
      </c>
      <c r="AF193" s="19">
        <f t="shared" ca="1" si="59"/>
        <v>887.58604921647827</v>
      </c>
      <c r="AG193" s="19">
        <f t="shared" ca="1" si="60"/>
        <v>0.94358970415400401</v>
      </c>
      <c r="AH193" s="19">
        <f t="shared" ca="1" si="61"/>
        <v>133.13790738247175</v>
      </c>
      <c r="AI193" s="46">
        <f t="shared" ca="1" si="68"/>
        <v>6178.4536634156157</v>
      </c>
      <c r="AJ193" s="55">
        <f t="shared" ca="1" si="69"/>
        <v>6.5254320841745782E-3</v>
      </c>
      <c r="AK193" s="19">
        <f t="shared" ca="1" si="70"/>
        <v>161.8527959384538</v>
      </c>
      <c r="AL193" s="19">
        <f t="shared" ca="1" si="62"/>
        <v>150</v>
      </c>
    </row>
    <row r="194" spans="2:38" x14ac:dyDescent="0.25">
      <c r="B194" s="19"/>
      <c r="C194" s="19"/>
      <c r="D194" s="19"/>
      <c r="E194" s="19"/>
      <c r="F194" s="19"/>
      <c r="G194" s="19"/>
      <c r="H194" s="43">
        <f t="shared" si="71"/>
        <v>49888</v>
      </c>
      <c r="I194" s="264">
        <v>0</v>
      </c>
      <c r="J194" s="64">
        <f t="shared" ca="1" si="63"/>
        <v>0</v>
      </c>
      <c r="K194" s="19">
        <f ca="1">SUMPRODUCT(V$7:V194,OFFSET($J$366,ROW($I$7)-ROW(),0):$J$366)</f>
        <v>0</v>
      </c>
      <c r="L194" s="19">
        <f ca="1">SUMPRODUCT(W$7:W194,OFFSET($J$366,ROW($I$7)-ROW(),0):$J$366)</f>
        <v>0</v>
      </c>
      <c r="M194" s="19">
        <f ca="1">SUMPRODUCT(X$7:X194,OFFSET($J$366,ROW($I$7)-ROW(),0):$J$366)</f>
        <v>0</v>
      </c>
      <c r="N194" s="19"/>
      <c r="O194" s="43">
        <f t="shared" si="64"/>
        <v>49157</v>
      </c>
      <c r="P194" s="24">
        <f t="shared" si="65"/>
        <v>5691</v>
      </c>
      <c r="Q194" s="19">
        <f t="shared" si="66"/>
        <v>5.4377217657841248</v>
      </c>
      <c r="R194" s="19">
        <f t="shared" si="49"/>
        <v>32.239210426442142</v>
      </c>
      <c r="S194" s="19">
        <f t="shared" si="50"/>
        <v>6.7587735028195886E-2</v>
      </c>
      <c r="T194" s="19"/>
      <c r="U194" s="24">
        <f t="shared" si="72"/>
        <v>5690.4100000000053</v>
      </c>
      <c r="V194" s="19">
        <f t="shared" si="51"/>
        <v>22.76015441276958</v>
      </c>
      <c r="W194" s="19">
        <f t="shared" si="52"/>
        <v>67.406283529107839</v>
      </c>
      <c r="X194" s="19">
        <f t="shared" si="53"/>
        <v>11.38007720638479</v>
      </c>
      <c r="Y194" s="27"/>
      <c r="Z194" s="42">
        <f t="shared" si="67"/>
        <v>49888</v>
      </c>
      <c r="AA194" s="19">
        <f t="shared" ca="1" si="54"/>
        <v>4.6014364176304277</v>
      </c>
      <c r="AB194" s="19">
        <f t="shared" ca="1" si="55"/>
        <v>28.481737652256641</v>
      </c>
      <c r="AC194" s="19">
        <f t="shared" ca="1" si="56"/>
        <v>2.9383990872009394E-2</v>
      </c>
      <c r="AD194" s="19">
        <f t="shared" ca="1" si="57"/>
        <v>4.2722606478384959</v>
      </c>
      <c r="AE194" s="115">
        <f t="shared" ca="1" si="58"/>
        <v>142.64452894654326</v>
      </c>
      <c r="AF194" s="19">
        <f t="shared" ca="1" si="59"/>
        <v>882.9338672199558</v>
      </c>
      <c r="AG194" s="19">
        <f t="shared" ca="1" si="60"/>
        <v>0.91090371703229123</v>
      </c>
      <c r="AH194" s="19">
        <f t="shared" ca="1" si="61"/>
        <v>132.44008008299338</v>
      </c>
      <c r="AI194" s="46">
        <f t="shared" ca="1" si="68"/>
        <v>6189.7492581074703</v>
      </c>
      <c r="AJ194" s="55">
        <f t="shared" ca="1" si="69"/>
        <v>6.3453099623683954E-3</v>
      </c>
      <c r="AK194" s="19">
        <f t="shared" ca="1" si="70"/>
        <v>161.55743282979967</v>
      </c>
      <c r="AL194" s="19">
        <f t="shared" ca="1" si="62"/>
        <v>150</v>
      </c>
    </row>
    <row r="195" spans="2:38" x14ac:dyDescent="0.25">
      <c r="B195" s="19"/>
      <c r="C195" s="19"/>
      <c r="D195" s="19"/>
      <c r="E195" s="19"/>
      <c r="F195" s="19"/>
      <c r="G195" s="19"/>
      <c r="H195" s="43">
        <f t="shared" si="71"/>
        <v>49919</v>
      </c>
      <c r="I195" s="264">
        <v>0</v>
      </c>
      <c r="J195" s="64">
        <f t="shared" ca="1" si="63"/>
        <v>0</v>
      </c>
      <c r="K195" s="19">
        <f ca="1">SUMPRODUCT(V$7:V195,OFFSET($J$366,ROW($I$7)-ROW(),0):$J$366)</f>
        <v>0</v>
      </c>
      <c r="L195" s="19">
        <f ca="1">SUMPRODUCT(W$7:W195,OFFSET($J$366,ROW($I$7)-ROW(),0):$J$366)</f>
        <v>0</v>
      </c>
      <c r="M195" s="19">
        <f ca="1">SUMPRODUCT(X$7:X195,OFFSET($J$366,ROW($I$7)-ROW(),0):$J$366)</f>
        <v>0</v>
      </c>
      <c r="N195" s="19"/>
      <c r="O195" s="43">
        <f t="shared" si="64"/>
        <v>49188</v>
      </c>
      <c r="P195" s="24">
        <f t="shared" si="65"/>
        <v>5722</v>
      </c>
      <c r="Q195" s="19">
        <f t="shared" si="66"/>
        <v>5.399349343707331</v>
      </c>
      <c r="R195" s="19">
        <f t="shared" si="49"/>
        <v>32.070232247413308</v>
      </c>
      <c r="S195" s="19">
        <f t="shared" si="50"/>
        <v>6.5237301513138196E-2</v>
      </c>
      <c r="T195" s="19"/>
      <c r="U195" s="24">
        <f t="shared" si="72"/>
        <v>5720.8400000000056</v>
      </c>
      <c r="V195" s="19">
        <f t="shared" si="51"/>
        <v>22.599542618110409</v>
      </c>
      <c r="W195" s="19">
        <f t="shared" si="52"/>
        <v>67.05298110962589</v>
      </c>
      <c r="X195" s="19">
        <f t="shared" si="53"/>
        <v>11.299771309055204</v>
      </c>
      <c r="Y195" s="27"/>
      <c r="Z195" s="42">
        <f t="shared" si="67"/>
        <v>49919</v>
      </c>
      <c r="AA195" s="19">
        <f t="shared" ca="1" si="54"/>
        <v>4.5689654181968287</v>
      </c>
      <c r="AB195" s="19">
        <f t="shared" ca="1" si="55"/>
        <v>28.33245384225031</v>
      </c>
      <c r="AC195" s="19">
        <f t="shared" ca="1" si="56"/>
        <v>2.8366304435000787E-2</v>
      </c>
      <c r="AD195" s="19">
        <f t="shared" ca="1" si="57"/>
        <v>4.2498680763375463</v>
      </c>
      <c r="AE195" s="115">
        <f t="shared" ca="1" si="58"/>
        <v>137.06896254590487</v>
      </c>
      <c r="AF195" s="19">
        <f t="shared" ca="1" si="59"/>
        <v>849.97361526750933</v>
      </c>
      <c r="AG195" s="19">
        <f t="shared" ca="1" si="60"/>
        <v>0.85098913305002366</v>
      </c>
      <c r="AH195" s="19">
        <f t="shared" ca="1" si="61"/>
        <v>127.49604229012638</v>
      </c>
      <c r="AI195" s="46">
        <f t="shared" ca="1" si="68"/>
        <v>6201.0655036719218</v>
      </c>
      <c r="AJ195" s="55">
        <f t="shared" ca="1" si="69"/>
        <v>6.1701669895514863E-3</v>
      </c>
      <c r="AK195" s="19">
        <f t="shared" ca="1" si="70"/>
        <v>161.26260872552569</v>
      </c>
      <c r="AL195" s="19">
        <f t="shared" ca="1" si="62"/>
        <v>149.99999999999997</v>
      </c>
    </row>
    <row r="196" spans="2:38" x14ac:dyDescent="0.25">
      <c r="B196" s="19"/>
      <c r="C196" s="19"/>
      <c r="D196" s="19"/>
      <c r="E196" s="19"/>
      <c r="F196" s="19"/>
      <c r="G196" s="19"/>
      <c r="H196" s="43">
        <f t="shared" si="71"/>
        <v>49949</v>
      </c>
      <c r="I196" s="264">
        <v>0</v>
      </c>
      <c r="J196" s="64">
        <f t="shared" ca="1" si="63"/>
        <v>0</v>
      </c>
      <c r="K196" s="19">
        <f ca="1">SUMPRODUCT(V$7:V196,OFFSET($J$366,ROW($I$7)-ROW(),0):$J$366)</f>
        <v>0</v>
      </c>
      <c r="L196" s="19">
        <f ca="1">SUMPRODUCT(W$7:W196,OFFSET($J$366,ROW($I$7)-ROW(),0):$J$366)</f>
        <v>0</v>
      </c>
      <c r="M196" s="19">
        <f ca="1">SUMPRODUCT(X$7:X196,OFFSET($J$366,ROW($I$7)-ROW(),0):$J$366)</f>
        <v>0</v>
      </c>
      <c r="N196" s="19"/>
      <c r="O196" s="43">
        <f t="shared" si="64"/>
        <v>49218</v>
      </c>
      <c r="P196" s="24">
        <f t="shared" si="65"/>
        <v>5752</v>
      </c>
      <c r="Q196" s="19">
        <f t="shared" si="66"/>
        <v>5.3624725828077882</v>
      </c>
      <c r="R196" s="19">
        <f t="shared" si="49"/>
        <v>31.90754831033675</v>
      </c>
      <c r="S196" s="19">
        <f t="shared" si="50"/>
        <v>6.3040919912824969E-2</v>
      </c>
      <c r="T196" s="19"/>
      <c r="U196" s="24">
        <f t="shared" si="72"/>
        <v>5751.2700000000059</v>
      </c>
      <c r="V196" s="19">
        <f t="shared" si="51"/>
        <v>22.445191070078355</v>
      </c>
      <c r="W196" s="19">
        <f t="shared" si="52"/>
        <v>66.712838797107594</v>
      </c>
      <c r="X196" s="19">
        <f t="shared" si="53"/>
        <v>11.222595535039178</v>
      </c>
      <c r="Y196" s="27"/>
      <c r="Z196" s="42">
        <f t="shared" si="67"/>
        <v>49949</v>
      </c>
      <c r="AA196" s="19">
        <f t="shared" ca="1" si="54"/>
        <v>4.5377600572246788</v>
      </c>
      <c r="AB196" s="19">
        <f t="shared" ca="1" si="55"/>
        <v>28.188730681702602</v>
      </c>
      <c r="AC196" s="19">
        <f t="shared" ca="1" si="56"/>
        <v>2.741518078466482E-2</v>
      </c>
      <c r="AD196" s="19">
        <f t="shared" ca="1" si="57"/>
        <v>4.2283096022553908</v>
      </c>
      <c r="AE196" s="115">
        <f t="shared" ca="1" si="58"/>
        <v>140.67056177396503</v>
      </c>
      <c r="AF196" s="19">
        <f t="shared" ca="1" si="59"/>
        <v>873.85065113278063</v>
      </c>
      <c r="AG196" s="19">
        <f t="shared" ca="1" si="60"/>
        <v>0.84987060432460937</v>
      </c>
      <c r="AH196" s="19">
        <f t="shared" ca="1" si="61"/>
        <v>131.07759766991711</v>
      </c>
      <c r="AI196" s="46">
        <f t="shared" ca="1" si="68"/>
        <v>6212.0364069983452</v>
      </c>
      <c r="AJ196" s="55">
        <f t="shared" ca="1" si="69"/>
        <v>6.0052855269186285E-3</v>
      </c>
      <c r="AK196" s="19">
        <f t="shared" ca="1" si="70"/>
        <v>160.97780735370799</v>
      </c>
      <c r="AL196" s="19">
        <f t="shared" ca="1" si="62"/>
        <v>150.00000000000003</v>
      </c>
    </row>
    <row r="197" spans="2:38" x14ac:dyDescent="0.25">
      <c r="B197" s="19"/>
      <c r="C197" s="19"/>
      <c r="D197" s="19"/>
      <c r="E197" s="19"/>
      <c r="F197" s="19"/>
      <c r="G197" s="19"/>
      <c r="H197" s="43">
        <f t="shared" si="71"/>
        <v>49980</v>
      </c>
      <c r="I197" s="264">
        <v>0</v>
      </c>
      <c r="J197" s="64">
        <f t="shared" ca="1" si="63"/>
        <v>0</v>
      </c>
      <c r="K197" s="19">
        <f ca="1">SUMPRODUCT(V$7:V197,OFFSET($J$366,ROW($I$7)-ROW(),0):$J$366)</f>
        <v>0</v>
      </c>
      <c r="L197" s="19">
        <f ca="1">SUMPRODUCT(W$7:W197,OFFSET($J$366,ROW($I$7)-ROW(),0):$J$366)</f>
        <v>0</v>
      </c>
      <c r="M197" s="19">
        <f ca="1">SUMPRODUCT(X$7:X197,OFFSET($J$366,ROW($I$7)-ROW(),0):$J$366)</f>
        <v>0</v>
      </c>
      <c r="N197" s="19"/>
      <c r="O197" s="43">
        <f t="shared" si="64"/>
        <v>49249</v>
      </c>
      <c r="P197" s="24">
        <f t="shared" si="65"/>
        <v>5783</v>
      </c>
      <c r="Q197" s="19">
        <f t="shared" si="66"/>
        <v>5.324631172344767</v>
      </c>
      <c r="R197" s="19">
        <f t="shared" si="49"/>
        <v>31.740308500817935</v>
      </c>
      <c r="S197" s="19">
        <f t="shared" si="50"/>
        <v>6.0849356372595025E-2</v>
      </c>
      <c r="T197" s="19"/>
      <c r="U197" s="24">
        <f t="shared" si="72"/>
        <v>5781.7000000000062</v>
      </c>
      <c r="V197" s="19">
        <f t="shared" si="51"/>
        <v>22.286801880187333</v>
      </c>
      <c r="W197" s="19">
        <f t="shared" si="52"/>
        <v>66.363170989842274</v>
      </c>
      <c r="X197" s="19">
        <f t="shared" si="53"/>
        <v>11.143400940093667</v>
      </c>
      <c r="Y197" s="27"/>
      <c r="Z197" s="42">
        <f t="shared" si="67"/>
        <v>49980</v>
      </c>
      <c r="AA197" s="19">
        <f t="shared" ca="1" si="54"/>
        <v>4.5057384033595076</v>
      </c>
      <c r="AB197" s="19">
        <f t="shared" ca="1" si="55"/>
        <v>28.040982634628179</v>
      </c>
      <c r="AC197" s="19">
        <f t="shared" ca="1" si="56"/>
        <v>2.6466005605190499E-2</v>
      </c>
      <c r="AD197" s="19">
        <f t="shared" ca="1" si="57"/>
        <v>4.2061473951942272</v>
      </c>
      <c r="AE197" s="115">
        <f t="shared" ca="1" si="58"/>
        <v>135.17215210078524</v>
      </c>
      <c r="AF197" s="19">
        <f t="shared" ca="1" si="59"/>
        <v>841.2294790388454</v>
      </c>
      <c r="AG197" s="19">
        <f t="shared" ca="1" si="60"/>
        <v>0.79398016815571493</v>
      </c>
      <c r="AH197" s="19">
        <f t="shared" ca="1" si="61"/>
        <v>126.18442185582681</v>
      </c>
      <c r="AI197" s="46">
        <f t="shared" ca="1" si="68"/>
        <v>6223.3933984539899</v>
      </c>
      <c r="AJ197" s="55">
        <f t="shared" ca="1" si="69"/>
        <v>5.8395436783126439E-3</v>
      </c>
      <c r="AK197" s="19">
        <f t="shared" ca="1" si="70"/>
        <v>160.68404100059291</v>
      </c>
      <c r="AL197" s="19">
        <f t="shared" ca="1" si="62"/>
        <v>150</v>
      </c>
    </row>
    <row r="198" spans="2:38" x14ac:dyDescent="0.25">
      <c r="B198" s="19"/>
      <c r="C198" s="19"/>
      <c r="D198" s="19"/>
      <c r="E198" s="19"/>
      <c r="F198" s="19"/>
      <c r="G198" s="19"/>
      <c r="H198" s="44">
        <f t="shared" si="71"/>
        <v>50010</v>
      </c>
      <c r="I198" s="265">
        <v>0</v>
      </c>
      <c r="J198" s="65">
        <f t="shared" ca="1" si="63"/>
        <v>0</v>
      </c>
      <c r="K198" s="21">
        <f ca="1">SUMPRODUCT(V$7:V198,OFFSET($J$366,ROW($I$7)-ROW(),0):$J$366)</f>
        <v>0</v>
      </c>
      <c r="L198" s="21">
        <f ca="1">SUMPRODUCT(W$7:W198,OFFSET($J$366,ROW($I$7)-ROW(),0):$J$366)</f>
        <v>0</v>
      </c>
      <c r="M198" s="21">
        <f ca="1">SUMPRODUCT(X$7:X198,OFFSET($J$366,ROW($I$7)-ROW(),0):$J$366)</f>
        <v>0</v>
      </c>
      <c r="N198" s="19"/>
      <c r="O198" s="44">
        <f t="shared" si="64"/>
        <v>49279</v>
      </c>
      <c r="P198" s="25">
        <f t="shared" si="65"/>
        <v>5813</v>
      </c>
      <c r="Q198" s="21">
        <f t="shared" si="66"/>
        <v>5.288264725552497</v>
      </c>
      <c r="R198" s="21">
        <f t="shared" si="49"/>
        <v>31.579298180995441</v>
      </c>
      <c r="S198" s="21">
        <f t="shared" si="50"/>
        <v>5.880140715279291E-2</v>
      </c>
      <c r="T198" s="19"/>
      <c r="U198" s="25">
        <f t="shared" si="72"/>
        <v>5812.1300000000065</v>
      </c>
      <c r="V198" s="21">
        <f t="shared" si="51"/>
        <v>22.134586305340523</v>
      </c>
      <c r="W198" s="21">
        <f t="shared" si="52"/>
        <v>66.026527904434516</v>
      </c>
      <c r="X198" s="21">
        <f t="shared" si="53"/>
        <v>11.067293152670262</v>
      </c>
      <c r="Y198" s="27"/>
      <c r="Z198" s="48">
        <f t="shared" si="67"/>
        <v>50010</v>
      </c>
      <c r="AA198" s="21">
        <f t="shared" ca="1" si="54"/>
        <v>4.4749648735877727</v>
      </c>
      <c r="AB198" s="21">
        <f t="shared" ca="1" si="55"/>
        <v>27.898738031617398</v>
      </c>
      <c r="AC198" s="21">
        <f t="shared" ca="1" si="56"/>
        <v>2.557890144722651E-2</v>
      </c>
      <c r="AD198" s="21">
        <f t="shared" ca="1" si="57"/>
        <v>4.1848107047426097</v>
      </c>
      <c r="AE198" s="116">
        <f t="shared" ca="1" si="58"/>
        <v>138.72391108122096</v>
      </c>
      <c r="AF198" s="21">
        <f t="shared" ca="1" si="59"/>
        <v>864.86087898013932</v>
      </c>
      <c r="AG198" s="21">
        <f t="shared" ca="1" si="60"/>
        <v>0.79294594486402181</v>
      </c>
      <c r="AH198" s="21">
        <f t="shared" ca="1" si="61"/>
        <v>129.72913184702091</v>
      </c>
      <c r="AI198" s="47">
        <f t="shared" ca="1" si="68"/>
        <v>6234.4038042135007</v>
      </c>
      <c r="AJ198" s="57">
        <f t="shared" ca="1" si="69"/>
        <v>5.6835135321014829E-3</v>
      </c>
      <c r="AK198" s="21">
        <f t="shared" ca="1" si="70"/>
        <v>160.40026142101246</v>
      </c>
      <c r="AL198" s="21">
        <f t="shared" ca="1" si="62"/>
        <v>150.00000000000003</v>
      </c>
    </row>
    <row r="199" spans="2:38" x14ac:dyDescent="0.25">
      <c r="B199" s="19"/>
      <c r="C199" s="19"/>
      <c r="D199" s="19"/>
      <c r="E199" s="19"/>
      <c r="F199" s="19"/>
      <c r="G199" s="19"/>
      <c r="H199" s="43">
        <f t="shared" si="71"/>
        <v>50041</v>
      </c>
      <c r="I199" s="264">
        <v>0</v>
      </c>
      <c r="J199" s="64">
        <f t="shared" ca="1" si="63"/>
        <v>0</v>
      </c>
      <c r="K199" s="19">
        <f ca="1">SUMPRODUCT(V$7:V199,OFFSET($J$366,ROW($I$7)-ROW(),0):$J$366)</f>
        <v>0</v>
      </c>
      <c r="L199" s="19">
        <f ca="1">SUMPRODUCT(W$7:W199,OFFSET($J$366,ROW($I$7)-ROW(),0):$J$366)</f>
        <v>0</v>
      </c>
      <c r="M199" s="19">
        <f ca="1">SUMPRODUCT(X$7:X199,OFFSET($J$366,ROW($I$7)-ROW(),0):$J$366)</f>
        <v>0</v>
      </c>
      <c r="N199" s="19"/>
      <c r="O199" s="43">
        <f t="shared" si="64"/>
        <v>49310</v>
      </c>
      <c r="P199" s="24">
        <f t="shared" si="65"/>
        <v>5844</v>
      </c>
      <c r="Q199" s="19">
        <f t="shared" si="66"/>
        <v>5.2509469783702887</v>
      </c>
      <c r="R199" s="19">
        <f t="shared" ref="R199:R262" si="73">IF(days&lt;tlim_gas,
qi_gas/(1+b_gas*(d_gas/365)*days)^(1/b_gas),
qlim_gas * EXP((-dmin_gas/365)* ( days-tlim_gas)))</f>
        <v>31.413778857443511</v>
      </c>
      <c r="S199" s="19">
        <f t="shared" ref="S199:S262" si="74">IF(days&lt;tlim_water,
qi_water/(1+b_water*(d_water/365)*days)^(1/b_water),
qlim_water * EXP((-dmin_water/365)* ( days-tlim_water)))</f>
        <v>5.6757925507372464E-2</v>
      </c>
      <c r="T199" s="19"/>
      <c r="U199" s="24">
        <f t="shared" si="72"/>
        <v>5842.5600000000068</v>
      </c>
      <c r="V199" s="19">
        <f t="shared" ref="V199:V262" si="75">IF(days&lt;tlim_oil_new,
qi_oil_new/(1+b_oil_new*(d_oil_new/365)*days)^(1/b_oil_new),
qlim_oil_new * EXP((-dmin_oil_new/365)* ( days-tlim_oil_new)))</f>
        <v>21.978388962999801</v>
      </c>
      <c r="W199" s="19">
        <f t="shared" ref="W199:W262" si="76">IF(days&lt;tlim_gas_new,
qi_gas_new/(1+b_gas_new*(d_gas_new/365)*days)^(1/b_gas_new),
qlim_gas_new * EXP((-dmin_gas_new/365)* ( days-tlim_gas_new)))</f>
        <v>65.680457318172998</v>
      </c>
      <c r="X199" s="19">
        <f t="shared" ref="X199:X262" si="77">IF(days&lt;tlim_water_new,
qi_water_new/(1+b_water_new*(d_water_new/365)*days)^(1/b_water_new),
qlim_water_new * EXP((-dmin_water_new/365)* ( days-tlim_water_new)))</f>
        <v>10.989194481499901</v>
      </c>
      <c r="Y199" s="27"/>
      <c r="Z199" s="42">
        <f t="shared" si="67"/>
        <v>50041</v>
      </c>
      <c r="AA199" s="19">
        <f t="shared" ref="AA199:AA262" ca="1" si="78">mult_vol * OFFSET(Q$6,MATCH($Z199,$O$7:$O$534,0),0)  +K199</f>
        <v>4.4433863470826793</v>
      </c>
      <c r="AB199" s="19">
        <f t="shared" ref="AB199:AB262" ca="1" si="79">mult_vol * (  VLOOKUP($Z199-qi_start, daily_base, 3, TRUE)  +  L199  )</f>
        <v>27.752509948254716</v>
      </c>
      <c r="AC199" s="19">
        <f t="shared" ref="AC199:AC262" ca="1" si="80">mult_vol * (  VLOOKUP($Z199-qi_start, daily_base, 4, TRUE)  +  M199  )</f>
        <v>2.4693603920798488E-2</v>
      </c>
      <c r="AD199" s="19">
        <f t="shared" ref="AD199:AD262" ca="1" si="81">NGL_yield*(AB199/1000)</f>
        <v>4.1628764922382073</v>
      </c>
      <c r="AE199" s="115">
        <f t="shared" ref="AE199:AE262" ca="1" si="82">AA199*($Z200-$Z199)</f>
        <v>137.74497675956306</v>
      </c>
      <c r="AF199" s="19">
        <f t="shared" ref="AF199:AF262" ca="1" si="83">AB199*($Z200-$Z199)</f>
        <v>860.32780839589623</v>
      </c>
      <c r="AG199" s="19">
        <f t="shared" ref="AG199:AG262" ca="1" si="84">AC199*($Z200-$Z199)</f>
        <v>0.76550172154475316</v>
      </c>
      <c r="AH199" s="19">
        <f t="shared" ref="AH199:AH262" ca="1" si="85">AD199*($Z200-$Z199)</f>
        <v>129.04917125938442</v>
      </c>
      <c r="AI199" s="46">
        <f t="shared" ca="1" si="68"/>
        <v>6245.8016882722168</v>
      </c>
      <c r="AJ199" s="55">
        <f t="shared" ca="1" si="69"/>
        <v>5.5266701114541602E-3</v>
      </c>
      <c r="AK199" s="19">
        <f t="shared" ca="1" si="70"/>
        <v>160.10754902412395</v>
      </c>
      <c r="AL199" s="19">
        <f t="shared" ref="AL199:AL262" ca="1" si="86">AH199/(AF199/1000)</f>
        <v>150</v>
      </c>
    </row>
    <row r="200" spans="2:38" x14ac:dyDescent="0.25">
      <c r="B200" s="19"/>
      <c r="C200" s="19"/>
      <c r="D200" s="19"/>
      <c r="E200" s="19"/>
      <c r="F200" s="19"/>
      <c r="G200" s="19"/>
      <c r="H200" s="43">
        <f t="shared" si="71"/>
        <v>50072</v>
      </c>
      <c r="I200" s="264">
        <v>0</v>
      </c>
      <c r="J200" s="64">
        <f t="shared" ref="J200:J263" ca="1" si="87">OFFSET($I$7,ROW($I$366)-ROW(),0)</f>
        <v>0</v>
      </c>
      <c r="K200" s="19">
        <f ca="1">SUMPRODUCT(V$7:V200,OFFSET($J$366,ROW($I$7)-ROW(),0):$J$366)</f>
        <v>0</v>
      </c>
      <c r="L200" s="19">
        <f ca="1">SUMPRODUCT(W$7:W200,OFFSET($J$366,ROW($I$7)-ROW(),0):$J$366)</f>
        <v>0</v>
      </c>
      <c r="M200" s="19">
        <f ca="1">SUMPRODUCT(X$7:X200,OFFSET($J$366,ROW($I$7)-ROW(),0):$J$366)</f>
        <v>0</v>
      </c>
      <c r="N200" s="19"/>
      <c r="O200" s="43">
        <f t="shared" ref="O200:O263" si="88">EOMONTH(O199,0)+1</f>
        <v>49341</v>
      </c>
      <c r="P200" s="24">
        <f t="shared" ref="P200:P263" si="89">O200-$O$7</f>
        <v>5875</v>
      </c>
      <c r="Q200" s="19">
        <f t="shared" ref="Q200:Q263" si="90">IF(days&lt;tlim_oil,
qi_oil/(1+b_oil*(d_oil)*(days/365.25))^(1/b_oil),
qlim_oil * EXP((-dmin_oil/365)* ( days-tlim_oil)))</f>
        <v>5.2138925716838811</v>
      </c>
      <c r="R200" s="19">
        <f t="shared" si="73"/>
        <v>31.249127084725426</v>
      </c>
      <c r="S200" s="19">
        <f t="shared" si="74"/>
        <v>5.4785802105365877E-2</v>
      </c>
      <c r="T200" s="19"/>
      <c r="U200" s="24">
        <f t="shared" si="72"/>
        <v>5872.9900000000071</v>
      </c>
      <c r="V200" s="19">
        <f t="shared" si="75"/>
        <v>21.823293859906649</v>
      </c>
      <c r="W200" s="19">
        <f t="shared" si="76"/>
        <v>65.336200621789928</v>
      </c>
      <c r="X200" s="19">
        <f t="shared" si="77"/>
        <v>10.911646929953324</v>
      </c>
      <c r="Y200" s="27"/>
      <c r="Z200" s="42">
        <f t="shared" ref="Z200:Z263" si="91">H200</f>
        <v>50072</v>
      </c>
      <c r="AA200" s="19">
        <f t="shared" ca="1" si="78"/>
        <v>4.4120306610611202</v>
      </c>
      <c r="AB200" s="19">
        <f t="shared" ca="1" si="79"/>
        <v>27.607048302869963</v>
      </c>
      <c r="AC200" s="19">
        <f t="shared" ca="1" si="80"/>
        <v>2.3839094807821232E-2</v>
      </c>
      <c r="AD200" s="19">
        <f t="shared" ca="1" si="81"/>
        <v>4.1410572454304946</v>
      </c>
      <c r="AE200" s="115">
        <f t="shared" ca="1" si="82"/>
        <v>123.53685850971137</v>
      </c>
      <c r="AF200" s="19">
        <f t="shared" ca="1" si="83"/>
        <v>772.99735248035893</v>
      </c>
      <c r="AG200" s="19">
        <f t="shared" ca="1" si="84"/>
        <v>0.66749465461899449</v>
      </c>
      <c r="AH200" s="19">
        <f t="shared" ca="1" si="85"/>
        <v>115.94960287205384</v>
      </c>
      <c r="AI200" s="46">
        <f t="shared" ref="AI200:AI263" ca="1" si="92">AF200/AE200*1000</f>
        <v>6257.2204102113601</v>
      </c>
      <c r="AJ200" s="55">
        <f t="shared" ref="AJ200:AJ263" ca="1" si="93">AG200/(AG200+AE200)</f>
        <v>5.3741647342734926E-3</v>
      </c>
      <c r="AK200" s="19">
        <f t="shared" ref="AK200:AK263" ca="1" si="94">AE200/(AF200/1000)</f>
        <v>159.81537079436544</v>
      </c>
      <c r="AL200" s="19">
        <f t="shared" ca="1" si="86"/>
        <v>150</v>
      </c>
    </row>
    <row r="201" spans="2:38" x14ac:dyDescent="0.25">
      <c r="B201" s="19"/>
      <c r="C201" s="19"/>
      <c r="D201" s="19"/>
      <c r="E201" s="19"/>
      <c r="F201" s="19"/>
      <c r="G201" s="19"/>
      <c r="H201" s="43">
        <f t="shared" ref="H201:H264" si="95">EOMONTH(H200,0)+1</f>
        <v>50100</v>
      </c>
      <c r="I201" s="264">
        <v>0</v>
      </c>
      <c r="J201" s="64">
        <f t="shared" ca="1" si="87"/>
        <v>0</v>
      </c>
      <c r="K201" s="19">
        <f ca="1">SUMPRODUCT(V$7:V201,OFFSET($J$366,ROW($I$7)-ROW(),0):$J$366)</f>
        <v>0</v>
      </c>
      <c r="L201" s="19">
        <f ca="1">SUMPRODUCT(W$7:W201,OFFSET($J$366,ROW($I$7)-ROW(),0):$J$366)</f>
        <v>0</v>
      </c>
      <c r="M201" s="19">
        <f ca="1">SUMPRODUCT(X$7:X201,OFFSET($J$366,ROW($I$7)-ROW(),0):$J$366)</f>
        <v>0</v>
      </c>
      <c r="N201" s="19"/>
      <c r="O201" s="43">
        <f t="shared" si="88"/>
        <v>49369</v>
      </c>
      <c r="P201" s="24">
        <f t="shared" si="89"/>
        <v>5903</v>
      </c>
      <c r="Q201" s="19">
        <f t="shared" si="90"/>
        <v>5.1806488760925928</v>
      </c>
      <c r="R201" s="19">
        <f t="shared" si="73"/>
        <v>31.101151250184238</v>
      </c>
      <c r="S201" s="19">
        <f t="shared" si="74"/>
        <v>5.3063778860951628E-2</v>
      </c>
      <c r="T201" s="19"/>
      <c r="U201" s="24">
        <f t="shared" ref="U201:U264" si="96">U200+30.43</f>
        <v>5903.4200000000073</v>
      </c>
      <c r="V201" s="19">
        <f t="shared" si="75"/>
        <v>21.684148887526888</v>
      </c>
      <c r="W201" s="19">
        <f t="shared" si="76"/>
        <v>65.026810257491221</v>
      </c>
      <c r="X201" s="19">
        <f t="shared" si="77"/>
        <v>10.842074443763444</v>
      </c>
      <c r="Y201" s="27"/>
      <c r="Z201" s="42">
        <f t="shared" si="91"/>
        <v>50100</v>
      </c>
      <c r="AA201" s="19">
        <f t="shared" ca="1" si="78"/>
        <v>4.3838996241785599</v>
      </c>
      <c r="AB201" s="19">
        <f t="shared" ca="1" si="79"/>
        <v>27.47631901879236</v>
      </c>
      <c r="AC201" s="19">
        <f t="shared" ca="1" si="80"/>
        <v>2.3092847742598902E-2</v>
      </c>
      <c r="AD201" s="19">
        <f t="shared" ca="1" si="81"/>
        <v>4.1214478528188536</v>
      </c>
      <c r="AE201" s="115">
        <f t="shared" ca="1" si="82"/>
        <v>135.90088834953536</v>
      </c>
      <c r="AF201" s="19">
        <f t="shared" ca="1" si="83"/>
        <v>851.7658895825632</v>
      </c>
      <c r="AG201" s="19">
        <f t="shared" ca="1" si="84"/>
        <v>0.71587828002056597</v>
      </c>
      <c r="AH201" s="19">
        <f t="shared" ca="1" si="85"/>
        <v>127.76488343738447</v>
      </c>
      <c r="AI201" s="46">
        <f t="shared" ca="1" si="92"/>
        <v>6267.5520368331381</v>
      </c>
      <c r="AJ201" s="55">
        <f t="shared" ca="1" si="93"/>
        <v>5.2400470138611191E-3</v>
      </c>
      <c r="AK201" s="19">
        <f t="shared" ca="1" si="94"/>
        <v>159.55192619434223</v>
      </c>
      <c r="AL201" s="19">
        <f t="shared" ca="1" si="86"/>
        <v>150</v>
      </c>
    </row>
    <row r="202" spans="2:38" x14ac:dyDescent="0.25">
      <c r="B202" s="19"/>
      <c r="C202" s="19"/>
      <c r="D202" s="19"/>
      <c r="E202" s="19"/>
      <c r="F202" s="19"/>
      <c r="G202" s="19"/>
      <c r="H202" s="43">
        <f t="shared" si="95"/>
        <v>50131</v>
      </c>
      <c r="I202" s="264">
        <v>0</v>
      </c>
      <c r="J202" s="64">
        <f t="shared" ca="1" si="87"/>
        <v>0</v>
      </c>
      <c r="K202" s="19">
        <f ca="1">SUMPRODUCT(V$7:V202,OFFSET($J$366,ROW($I$7)-ROW(),0):$J$366)</f>
        <v>0</v>
      </c>
      <c r="L202" s="19">
        <f ca="1">SUMPRODUCT(W$7:W202,OFFSET($J$366,ROW($I$7)-ROW(),0):$J$366)</f>
        <v>0</v>
      </c>
      <c r="M202" s="19">
        <f ca="1">SUMPRODUCT(X$7:X202,OFFSET($J$366,ROW($I$7)-ROW(),0):$J$366)</f>
        <v>0</v>
      </c>
      <c r="N202" s="19"/>
      <c r="O202" s="43">
        <f t="shared" si="88"/>
        <v>49400</v>
      </c>
      <c r="P202" s="24">
        <f t="shared" si="89"/>
        <v>5934</v>
      </c>
      <c r="Q202" s="19">
        <f t="shared" si="90"/>
        <v>5.1440905426824557</v>
      </c>
      <c r="R202" s="19">
        <f t="shared" si="73"/>
        <v>30.93813807974859</v>
      </c>
      <c r="S202" s="19">
        <f t="shared" si="74"/>
        <v>5.1220622468635874E-2</v>
      </c>
      <c r="T202" s="19"/>
      <c r="U202" s="24">
        <f t="shared" si="96"/>
        <v>5933.8500000000076</v>
      </c>
      <c r="V202" s="19">
        <f t="shared" si="75"/>
        <v>21.531130151128146</v>
      </c>
      <c r="W202" s="19">
        <f t="shared" si="76"/>
        <v>64.68597957832695</v>
      </c>
      <c r="X202" s="19">
        <f t="shared" si="77"/>
        <v>10.765565075564073</v>
      </c>
      <c r="Y202" s="27"/>
      <c r="Z202" s="42">
        <f t="shared" si="91"/>
        <v>50131</v>
      </c>
      <c r="AA202" s="19">
        <f t="shared" ca="1" si="78"/>
        <v>4.3529637186712611</v>
      </c>
      <c r="AB202" s="19">
        <f t="shared" ca="1" si="79"/>
        <v>27.332304996960033</v>
      </c>
      <c r="AC202" s="19">
        <f t="shared" ca="1" si="80"/>
        <v>2.2293994986687313E-2</v>
      </c>
      <c r="AD202" s="19">
        <f t="shared" ca="1" si="81"/>
        <v>4.0998457495440048</v>
      </c>
      <c r="AE202" s="115">
        <f t="shared" ca="1" si="82"/>
        <v>130.58891156013783</v>
      </c>
      <c r="AF202" s="19">
        <f t="shared" ca="1" si="83"/>
        <v>819.969149908801</v>
      </c>
      <c r="AG202" s="19">
        <f t="shared" ca="1" si="84"/>
        <v>0.66881984960061935</v>
      </c>
      <c r="AH202" s="19">
        <f t="shared" ca="1" si="85"/>
        <v>122.99537248632015</v>
      </c>
      <c r="AI202" s="46">
        <f t="shared" ca="1" si="92"/>
        <v>6279.0105232724527</v>
      </c>
      <c r="AJ202" s="55">
        <f t="shared" ca="1" si="93"/>
        <v>5.0954701290151765E-3</v>
      </c>
      <c r="AK202" s="19">
        <f t="shared" ca="1" si="94"/>
        <v>159.26076191361864</v>
      </c>
      <c r="AL202" s="19">
        <f t="shared" ca="1" si="86"/>
        <v>150</v>
      </c>
    </row>
    <row r="203" spans="2:38" x14ac:dyDescent="0.25">
      <c r="B203" s="19"/>
      <c r="C203" s="19"/>
      <c r="D203" s="19"/>
      <c r="E203" s="19"/>
      <c r="F203" s="19"/>
      <c r="G203" s="19"/>
      <c r="H203" s="43">
        <f t="shared" si="95"/>
        <v>50161</v>
      </c>
      <c r="I203" s="264">
        <v>0</v>
      </c>
      <c r="J203" s="64">
        <f t="shared" ca="1" si="87"/>
        <v>0</v>
      </c>
      <c r="K203" s="19">
        <f ca="1">SUMPRODUCT(V$7:V203,OFFSET($J$366,ROW($I$7)-ROW(),0):$J$366)</f>
        <v>0</v>
      </c>
      <c r="L203" s="19">
        <f ca="1">SUMPRODUCT(W$7:W203,OFFSET($J$366,ROW($I$7)-ROW(),0):$J$366)</f>
        <v>0</v>
      </c>
      <c r="M203" s="19">
        <f ca="1">SUMPRODUCT(X$7:X203,OFFSET($J$366,ROW($I$7)-ROW(),0):$J$366)</f>
        <v>0</v>
      </c>
      <c r="N203" s="19"/>
      <c r="O203" s="43">
        <f t="shared" si="88"/>
        <v>49430</v>
      </c>
      <c r="P203" s="24">
        <f t="shared" si="89"/>
        <v>5964</v>
      </c>
      <c r="Q203" s="19">
        <f t="shared" si="90"/>
        <v>5.1089571618040388</v>
      </c>
      <c r="R203" s="19">
        <f t="shared" si="73"/>
        <v>30.78119696158635</v>
      </c>
      <c r="S203" s="19">
        <f t="shared" si="74"/>
        <v>4.9498197206653688E-2</v>
      </c>
      <c r="T203" s="19"/>
      <c r="U203" s="24">
        <f t="shared" si="96"/>
        <v>5964.2800000000079</v>
      </c>
      <c r="V203" s="19">
        <f t="shared" si="75"/>
        <v>21.384075702909222</v>
      </c>
      <c r="W203" s="19">
        <f t="shared" si="76"/>
        <v>64.3578444482078</v>
      </c>
      <c r="X203" s="19">
        <f t="shared" si="77"/>
        <v>10.692037851454611</v>
      </c>
      <c r="Y203" s="27"/>
      <c r="Z203" s="42">
        <f t="shared" si="91"/>
        <v>50161</v>
      </c>
      <c r="AA203" s="19">
        <f t="shared" ca="1" si="78"/>
        <v>4.3232336174980697</v>
      </c>
      <c r="AB203" s="19">
        <f t="shared" ca="1" si="79"/>
        <v>27.19365533106491</v>
      </c>
      <c r="AC203" s="19">
        <f t="shared" ca="1" si="80"/>
        <v>2.1547360658584716E-2</v>
      </c>
      <c r="AD203" s="19">
        <f t="shared" ca="1" si="81"/>
        <v>4.0790482996597364</v>
      </c>
      <c r="AE203" s="115">
        <f t="shared" ca="1" si="82"/>
        <v>134.02024214244017</v>
      </c>
      <c r="AF203" s="19">
        <f t="shared" ca="1" si="83"/>
        <v>843.00331526301227</v>
      </c>
      <c r="AG203" s="19">
        <f t="shared" ca="1" si="84"/>
        <v>0.66796818041612616</v>
      </c>
      <c r="AH203" s="19">
        <f t="shared" ca="1" si="85"/>
        <v>126.45049728945183</v>
      </c>
      <c r="AI203" s="46">
        <f t="shared" ca="1" si="92"/>
        <v>6290.1193266540031</v>
      </c>
      <c r="AJ203" s="55">
        <f t="shared" ca="1" si="93"/>
        <v>4.9593663678132146E-3</v>
      </c>
      <c r="AK203" s="19">
        <f t="shared" ca="1" si="94"/>
        <v>158.97949594732805</v>
      </c>
      <c r="AL203" s="19">
        <f t="shared" ca="1" si="86"/>
        <v>149.99999999999997</v>
      </c>
    </row>
    <row r="204" spans="2:38" x14ac:dyDescent="0.25">
      <c r="B204" s="19"/>
      <c r="C204" s="19"/>
      <c r="D204" s="19"/>
      <c r="E204" s="19"/>
      <c r="F204" s="19"/>
      <c r="G204" s="19"/>
      <c r="H204" s="43">
        <f t="shared" si="95"/>
        <v>50192</v>
      </c>
      <c r="I204" s="264">
        <v>0</v>
      </c>
      <c r="J204" s="64">
        <f t="shared" ca="1" si="87"/>
        <v>0</v>
      </c>
      <c r="K204" s="19">
        <f ca="1">SUMPRODUCT(V$7:V204,OFFSET($J$366,ROW($I$7)-ROW(),0):$J$366)</f>
        <v>0</v>
      </c>
      <c r="L204" s="19">
        <f ca="1">SUMPRODUCT(W$7:W204,OFFSET($J$366,ROW($I$7)-ROW(),0):$J$366)</f>
        <v>0</v>
      </c>
      <c r="M204" s="19">
        <f ca="1">SUMPRODUCT(X$7:X204,OFFSET($J$366,ROW($I$7)-ROW(),0):$J$366)</f>
        <v>0</v>
      </c>
      <c r="N204" s="19"/>
      <c r="O204" s="43">
        <f t="shared" si="88"/>
        <v>49461</v>
      </c>
      <c r="P204" s="24">
        <f t="shared" si="89"/>
        <v>5995</v>
      </c>
      <c r="Q204" s="19">
        <f t="shared" si="90"/>
        <v>5.0729047359850918</v>
      </c>
      <c r="R204" s="19">
        <f t="shared" si="73"/>
        <v>30.619860795405604</v>
      </c>
      <c r="S204" s="19">
        <f t="shared" si="74"/>
        <v>4.7779477657286844E-2</v>
      </c>
      <c r="T204" s="19"/>
      <c r="U204" s="24">
        <f t="shared" si="96"/>
        <v>5994.7100000000082</v>
      </c>
      <c r="V204" s="19">
        <f t="shared" si="75"/>
        <v>21.233174495760782</v>
      </c>
      <c r="W204" s="19">
        <f t="shared" si="76"/>
        <v>64.020520077752408</v>
      </c>
      <c r="X204" s="19">
        <f t="shared" si="77"/>
        <v>10.616587247880391</v>
      </c>
      <c r="Y204" s="27"/>
      <c r="Z204" s="42">
        <f t="shared" si="91"/>
        <v>50192</v>
      </c>
      <c r="AA204" s="19">
        <f t="shared" ca="1" si="78"/>
        <v>4.2927258143678921</v>
      </c>
      <c r="AB204" s="19">
        <f t="shared" ca="1" si="79"/>
        <v>27.05112285901615</v>
      </c>
      <c r="AC204" s="19">
        <f t="shared" ca="1" si="80"/>
        <v>2.0802224644599156E-2</v>
      </c>
      <c r="AD204" s="19">
        <f t="shared" ca="1" si="81"/>
        <v>4.0576684288524225</v>
      </c>
      <c r="AE204" s="115">
        <f t="shared" ca="1" si="82"/>
        <v>128.78177443103675</v>
      </c>
      <c r="AF204" s="19">
        <f t="shared" ca="1" si="83"/>
        <v>811.53368577048445</v>
      </c>
      <c r="AG204" s="19">
        <f t="shared" ca="1" si="84"/>
        <v>0.62406673933797474</v>
      </c>
      <c r="AH204" s="19">
        <f t="shared" ca="1" si="85"/>
        <v>121.73005286557267</v>
      </c>
      <c r="AI204" s="46">
        <f t="shared" ca="1" si="92"/>
        <v>6301.6190711447653</v>
      </c>
      <c r="AJ204" s="55">
        <f t="shared" ca="1" si="93"/>
        <v>4.8225546365896522E-3</v>
      </c>
      <c r="AK204" s="19">
        <f t="shared" ca="1" si="94"/>
        <v>158.68937628728136</v>
      </c>
      <c r="AL204" s="19">
        <f t="shared" ca="1" si="86"/>
        <v>150</v>
      </c>
    </row>
    <row r="205" spans="2:38" x14ac:dyDescent="0.25">
      <c r="B205" s="19"/>
      <c r="C205" s="19"/>
      <c r="D205" s="19"/>
      <c r="E205" s="19"/>
      <c r="F205" s="19"/>
      <c r="G205" s="19"/>
      <c r="H205" s="43">
        <f t="shared" si="95"/>
        <v>50222</v>
      </c>
      <c r="I205" s="264">
        <v>0</v>
      </c>
      <c r="J205" s="64">
        <f t="shared" ca="1" si="87"/>
        <v>0</v>
      </c>
      <c r="K205" s="19">
        <f ca="1">SUMPRODUCT(V$7:V205,OFFSET($J$366,ROW($I$7)-ROW(),0):$J$366)</f>
        <v>0</v>
      </c>
      <c r="L205" s="19">
        <f ca="1">SUMPRODUCT(W$7:W205,OFFSET($J$366,ROW($I$7)-ROW(),0):$J$366)</f>
        <v>0</v>
      </c>
      <c r="M205" s="19">
        <f ca="1">SUMPRODUCT(X$7:X205,OFFSET($J$366,ROW($I$7)-ROW(),0):$J$366)</f>
        <v>0</v>
      </c>
      <c r="N205" s="19"/>
      <c r="O205" s="43">
        <f t="shared" si="88"/>
        <v>49491</v>
      </c>
      <c r="P205" s="24">
        <f t="shared" si="89"/>
        <v>6025</v>
      </c>
      <c r="Q205" s="19">
        <f t="shared" si="90"/>
        <v>5.038257543683466</v>
      </c>
      <c r="R205" s="19">
        <f t="shared" si="73"/>
        <v>30.464534215027168</v>
      </c>
      <c r="S205" s="19">
        <f t="shared" si="74"/>
        <v>4.6173318806999646E-2</v>
      </c>
      <c r="T205" s="19"/>
      <c r="U205" s="24">
        <f t="shared" si="96"/>
        <v>6025.1400000000085</v>
      </c>
      <c r="V205" s="19">
        <f t="shared" si="75"/>
        <v>21.088155040790525</v>
      </c>
      <c r="W205" s="19">
        <f t="shared" si="76"/>
        <v>63.695760650393467</v>
      </c>
      <c r="X205" s="19">
        <f t="shared" si="77"/>
        <v>10.544077520395263</v>
      </c>
      <c r="Y205" s="27"/>
      <c r="Z205" s="42">
        <f t="shared" si="91"/>
        <v>50222</v>
      </c>
      <c r="AA205" s="19">
        <f t="shared" ca="1" si="78"/>
        <v>4.263407129210349</v>
      </c>
      <c r="AB205" s="19">
        <f t="shared" ca="1" si="79"/>
        <v>26.913899556886761</v>
      </c>
      <c r="AC205" s="19">
        <f t="shared" ca="1" si="80"/>
        <v>2.0105787373617897E-2</v>
      </c>
      <c r="AD205" s="19">
        <f t="shared" ca="1" si="81"/>
        <v>4.0370849335330137</v>
      </c>
      <c r="AE205" s="115">
        <f t="shared" ca="1" si="82"/>
        <v>132.16562100552082</v>
      </c>
      <c r="AF205" s="19">
        <f t="shared" ca="1" si="83"/>
        <v>834.33088626348956</v>
      </c>
      <c r="AG205" s="19">
        <f t="shared" ca="1" si="84"/>
        <v>0.6232794085821548</v>
      </c>
      <c r="AH205" s="19">
        <f t="shared" ca="1" si="85"/>
        <v>125.14963293952343</v>
      </c>
      <c r="AI205" s="46">
        <f t="shared" ca="1" si="92"/>
        <v>6312.7678734898691</v>
      </c>
      <c r="AJ205" s="55">
        <f t="shared" ca="1" si="93"/>
        <v>4.6937613508241591E-3</v>
      </c>
      <c r="AK205" s="19">
        <f t="shared" ca="1" si="94"/>
        <v>158.40911942912498</v>
      </c>
      <c r="AL205" s="19">
        <f t="shared" ca="1" si="86"/>
        <v>149.99999999999997</v>
      </c>
    </row>
    <row r="206" spans="2:38" x14ac:dyDescent="0.25">
      <c r="B206" s="19"/>
      <c r="C206" s="19"/>
      <c r="D206" s="19"/>
      <c r="E206" s="19"/>
      <c r="F206" s="19"/>
      <c r="G206" s="19"/>
      <c r="H206" s="43">
        <f t="shared" si="95"/>
        <v>50253</v>
      </c>
      <c r="I206" s="264">
        <v>0</v>
      </c>
      <c r="J206" s="64">
        <f t="shared" ca="1" si="87"/>
        <v>0</v>
      </c>
      <c r="K206" s="19">
        <f ca="1">SUMPRODUCT(V$7:V206,OFFSET($J$366,ROW($I$7)-ROW(),0):$J$366)</f>
        <v>0</v>
      </c>
      <c r="L206" s="19">
        <f ca="1">SUMPRODUCT(W$7:W206,OFFSET($J$366,ROW($I$7)-ROW(),0):$J$366)</f>
        <v>0</v>
      </c>
      <c r="M206" s="19">
        <f ca="1">SUMPRODUCT(X$7:X206,OFFSET($J$366,ROW($I$7)-ROW(),0):$J$366)</f>
        <v>0</v>
      </c>
      <c r="N206" s="19"/>
      <c r="O206" s="43">
        <f t="shared" si="88"/>
        <v>49522</v>
      </c>
      <c r="P206" s="24">
        <f t="shared" si="89"/>
        <v>6056</v>
      </c>
      <c r="Q206" s="19">
        <f t="shared" si="90"/>
        <v>5.0027040245213961</v>
      </c>
      <c r="R206" s="19">
        <f t="shared" si="73"/>
        <v>30.304857800855608</v>
      </c>
      <c r="S206" s="19">
        <f t="shared" si="74"/>
        <v>4.457059606202491E-2</v>
      </c>
      <c r="T206" s="19"/>
      <c r="U206" s="24">
        <f t="shared" si="96"/>
        <v>6055.5700000000088</v>
      </c>
      <c r="V206" s="19">
        <f t="shared" si="75"/>
        <v>20.939342059748014</v>
      </c>
      <c r="W206" s="19">
        <f t="shared" si="76"/>
        <v>63.361906517361362</v>
      </c>
      <c r="X206" s="19">
        <f t="shared" si="77"/>
        <v>10.469671029874007</v>
      </c>
      <c r="Y206" s="27"/>
      <c r="Z206" s="42">
        <f t="shared" si="91"/>
        <v>50253</v>
      </c>
      <c r="AA206" s="19">
        <f t="shared" ca="1" si="78"/>
        <v>4.2333215042199939</v>
      </c>
      <c r="AB206" s="19">
        <f t="shared" ca="1" si="79"/>
        <v>26.772833393121243</v>
      </c>
      <c r="AC206" s="19">
        <f t="shared" ca="1" si="80"/>
        <v>1.9410739311615535E-2</v>
      </c>
      <c r="AD206" s="19">
        <f t="shared" ca="1" si="81"/>
        <v>4.0159250089681864</v>
      </c>
      <c r="AE206" s="115">
        <f t="shared" ca="1" si="82"/>
        <v>131.23296663081982</v>
      </c>
      <c r="AF206" s="19">
        <f t="shared" ca="1" si="83"/>
        <v>829.95783518675853</v>
      </c>
      <c r="AG206" s="19">
        <f t="shared" ca="1" si="84"/>
        <v>0.60173291866008161</v>
      </c>
      <c r="AH206" s="19">
        <f t="shared" ca="1" si="85"/>
        <v>124.49367527801378</v>
      </c>
      <c r="AI206" s="46">
        <f t="shared" ca="1" si="92"/>
        <v>6324.3090245880676</v>
      </c>
      <c r="AJ206" s="55">
        <f t="shared" ca="1" si="93"/>
        <v>4.5642984792045637E-3</v>
      </c>
      <c r="AK206" s="19">
        <f t="shared" ca="1" si="94"/>
        <v>158.12004064193161</v>
      </c>
      <c r="AL206" s="19">
        <f t="shared" ca="1" si="86"/>
        <v>150</v>
      </c>
    </row>
    <row r="207" spans="2:38" x14ac:dyDescent="0.25">
      <c r="B207" s="19"/>
      <c r="C207" s="19"/>
      <c r="D207" s="19"/>
      <c r="E207" s="19"/>
      <c r="F207" s="19"/>
      <c r="G207" s="19"/>
      <c r="H207" s="43">
        <f t="shared" si="95"/>
        <v>50284</v>
      </c>
      <c r="I207" s="264">
        <v>0</v>
      </c>
      <c r="J207" s="64">
        <f t="shared" ca="1" si="87"/>
        <v>0</v>
      </c>
      <c r="K207" s="19">
        <f ca="1">SUMPRODUCT(V$7:V207,OFFSET($J$366,ROW($I$7)-ROW(),0):$J$366)</f>
        <v>0</v>
      </c>
      <c r="L207" s="19">
        <f ca="1">SUMPRODUCT(W$7:W207,OFFSET($J$366,ROW($I$7)-ROW(),0):$J$366)</f>
        <v>0</v>
      </c>
      <c r="M207" s="19">
        <f ca="1">SUMPRODUCT(X$7:X207,OFFSET($J$366,ROW($I$7)-ROW(),0):$J$366)</f>
        <v>0</v>
      </c>
      <c r="N207" s="19"/>
      <c r="O207" s="43">
        <f t="shared" si="88"/>
        <v>49553</v>
      </c>
      <c r="P207" s="24">
        <f t="shared" si="89"/>
        <v>6087</v>
      </c>
      <c r="Q207" s="19">
        <f t="shared" si="90"/>
        <v>4.9674013962107448</v>
      </c>
      <c r="R207" s="19">
        <f t="shared" si="73"/>
        <v>30.146018312568508</v>
      </c>
      <c r="S207" s="19">
        <f t="shared" si="74"/>
        <v>4.3023773880636364E-2</v>
      </c>
      <c r="T207" s="19"/>
      <c r="U207" s="24">
        <f t="shared" si="96"/>
        <v>6086.0000000000091</v>
      </c>
      <c r="V207" s="19">
        <f t="shared" si="75"/>
        <v>20.791579208661581</v>
      </c>
      <c r="W207" s="19">
        <f t="shared" si="76"/>
        <v>63.02980224304833</v>
      </c>
      <c r="X207" s="19">
        <f t="shared" si="77"/>
        <v>10.39578960433079</v>
      </c>
      <c r="Y207" s="27"/>
      <c r="Z207" s="42">
        <f t="shared" si="91"/>
        <v>50284</v>
      </c>
      <c r="AA207" s="19">
        <f t="shared" ca="1" si="78"/>
        <v>4.2034481847410827</v>
      </c>
      <c r="AB207" s="19">
        <f t="shared" ca="1" si="79"/>
        <v>26.632506611715289</v>
      </c>
      <c r="AC207" s="19">
        <f t="shared" ca="1" si="80"/>
        <v>1.8739834702131409E-2</v>
      </c>
      <c r="AD207" s="19">
        <f t="shared" ca="1" si="81"/>
        <v>3.9948759917572936</v>
      </c>
      <c r="AE207" s="115">
        <f t="shared" ca="1" si="82"/>
        <v>126.10344554223248</v>
      </c>
      <c r="AF207" s="19">
        <f t="shared" ca="1" si="83"/>
        <v>798.97519835145863</v>
      </c>
      <c r="AG207" s="19">
        <f t="shared" ca="1" si="84"/>
        <v>0.56219504106394225</v>
      </c>
      <c r="AH207" s="19">
        <f t="shared" ca="1" si="85"/>
        <v>119.8462797527188</v>
      </c>
      <c r="AI207" s="46">
        <f t="shared" ca="1" si="92"/>
        <v>6335.8712754908756</v>
      </c>
      <c r="AJ207" s="55">
        <f t="shared" ca="1" si="93"/>
        <v>4.4384178572423353E-3</v>
      </c>
      <c r="AK207" s="19">
        <f t="shared" ca="1" si="94"/>
        <v>157.83148939094008</v>
      </c>
      <c r="AL207" s="19">
        <f t="shared" ca="1" si="86"/>
        <v>150.00000000000003</v>
      </c>
    </row>
    <row r="208" spans="2:38" x14ac:dyDescent="0.25">
      <c r="B208" s="19"/>
      <c r="C208" s="19"/>
      <c r="D208" s="19"/>
      <c r="E208" s="19"/>
      <c r="F208" s="19"/>
      <c r="G208" s="19"/>
      <c r="H208" s="43">
        <f t="shared" si="95"/>
        <v>50314</v>
      </c>
      <c r="I208" s="264">
        <v>0</v>
      </c>
      <c r="J208" s="64">
        <f t="shared" ca="1" si="87"/>
        <v>0</v>
      </c>
      <c r="K208" s="19">
        <f ca="1">SUMPRODUCT(V$7:V208,OFFSET($J$366,ROW($I$7)-ROW(),0):$J$366)</f>
        <v>0</v>
      </c>
      <c r="L208" s="19">
        <f ca="1">SUMPRODUCT(W$7:W208,OFFSET($J$366,ROW($I$7)-ROW(),0):$J$366)</f>
        <v>0</v>
      </c>
      <c r="M208" s="19">
        <f ca="1">SUMPRODUCT(X$7:X208,OFFSET($J$366,ROW($I$7)-ROW(),0):$J$366)</f>
        <v>0</v>
      </c>
      <c r="N208" s="19"/>
      <c r="O208" s="43">
        <f t="shared" si="88"/>
        <v>49583</v>
      </c>
      <c r="P208" s="24">
        <f t="shared" si="89"/>
        <v>6117</v>
      </c>
      <c r="Q208" s="19">
        <f t="shared" si="90"/>
        <v>4.9334747761831643</v>
      </c>
      <c r="R208" s="19">
        <f t="shared" si="73"/>
        <v>29.993095411716542</v>
      </c>
      <c r="S208" s="19">
        <f t="shared" si="74"/>
        <v>4.1578228188658105E-2</v>
      </c>
      <c r="T208" s="19"/>
      <c r="U208" s="24">
        <f t="shared" si="96"/>
        <v>6116.4300000000094</v>
      </c>
      <c r="V208" s="19">
        <f t="shared" si="75"/>
        <v>20.649575784472088</v>
      </c>
      <c r="W208" s="19">
        <f t="shared" si="76"/>
        <v>62.710068469281133</v>
      </c>
      <c r="X208" s="19">
        <f t="shared" si="77"/>
        <v>10.324787892236044</v>
      </c>
      <c r="Y208" s="27"/>
      <c r="Z208" s="42">
        <f t="shared" si="91"/>
        <v>50314</v>
      </c>
      <c r="AA208" s="19">
        <f t="shared" ca="1" si="78"/>
        <v>4.1747392526467042</v>
      </c>
      <c r="AB208" s="19">
        <f t="shared" ca="1" si="79"/>
        <v>26.497406840800444</v>
      </c>
      <c r="AC208" s="19">
        <f t="shared" ca="1" si="80"/>
        <v>1.8112766014686452E-2</v>
      </c>
      <c r="AD208" s="19">
        <f t="shared" ca="1" si="81"/>
        <v>3.9746110261200664</v>
      </c>
      <c r="AE208" s="115">
        <f t="shared" ca="1" si="82"/>
        <v>129.41691683204783</v>
      </c>
      <c r="AF208" s="19">
        <f t="shared" ca="1" si="83"/>
        <v>821.4196120648138</v>
      </c>
      <c r="AG208" s="19">
        <f t="shared" ca="1" si="84"/>
        <v>0.56149574645528</v>
      </c>
      <c r="AH208" s="19">
        <f t="shared" ca="1" si="85"/>
        <v>123.21294180972205</v>
      </c>
      <c r="AI208" s="46">
        <f t="shared" ca="1" si="92"/>
        <v>6347.080676715701</v>
      </c>
      <c r="AJ208" s="55">
        <f t="shared" ca="1" si="93"/>
        <v>4.3199154022299912E-3</v>
      </c>
      <c r="AK208" s="19">
        <f t="shared" ca="1" si="94"/>
        <v>157.55274762277801</v>
      </c>
      <c r="AL208" s="19">
        <f t="shared" ca="1" si="86"/>
        <v>149.99999999999997</v>
      </c>
    </row>
    <row r="209" spans="2:38" x14ac:dyDescent="0.25">
      <c r="B209" s="19"/>
      <c r="C209" s="19"/>
      <c r="D209" s="19"/>
      <c r="E209" s="19"/>
      <c r="F209" s="19"/>
      <c r="G209" s="19"/>
      <c r="H209" s="43">
        <f t="shared" si="95"/>
        <v>50345</v>
      </c>
      <c r="I209" s="264">
        <v>0</v>
      </c>
      <c r="J209" s="64">
        <f t="shared" ca="1" si="87"/>
        <v>0</v>
      </c>
      <c r="K209" s="19">
        <f ca="1">SUMPRODUCT(V$7:V209,OFFSET($J$366,ROW($I$7)-ROW(),0):$J$366)</f>
        <v>0</v>
      </c>
      <c r="L209" s="19">
        <f ca="1">SUMPRODUCT(W$7:W209,OFFSET($J$366,ROW($I$7)-ROW(),0):$J$366)</f>
        <v>0</v>
      </c>
      <c r="M209" s="19">
        <f ca="1">SUMPRODUCT(X$7:X209,OFFSET($J$366,ROW($I$7)-ROW(),0):$J$366)</f>
        <v>0</v>
      </c>
      <c r="N209" s="19"/>
      <c r="O209" s="43">
        <f t="shared" si="88"/>
        <v>49614</v>
      </c>
      <c r="P209" s="24">
        <f t="shared" si="89"/>
        <v>6148</v>
      </c>
      <c r="Q209" s="19">
        <f t="shared" si="90"/>
        <v>4.898660678557186</v>
      </c>
      <c r="R209" s="19">
        <f t="shared" si="73"/>
        <v>29.835889990768859</v>
      </c>
      <c r="S209" s="19">
        <f t="shared" si="74"/>
        <v>4.0135748597332016E-2</v>
      </c>
      <c r="T209" s="19"/>
      <c r="U209" s="24">
        <f t="shared" si="96"/>
        <v>6146.8600000000097</v>
      </c>
      <c r="V209" s="19">
        <f t="shared" si="75"/>
        <v>20.503857729772349</v>
      </c>
      <c r="W209" s="19">
        <f t="shared" si="76"/>
        <v>62.381380730451731</v>
      </c>
      <c r="X209" s="19">
        <f t="shared" si="77"/>
        <v>10.251928864886175</v>
      </c>
      <c r="Y209" s="27"/>
      <c r="Z209" s="42">
        <f t="shared" si="91"/>
        <v>50345</v>
      </c>
      <c r="AA209" s="19">
        <f t="shared" ca="1" si="78"/>
        <v>4.1452793310907481</v>
      </c>
      <c r="AB209" s="19">
        <f t="shared" ca="1" si="79"/>
        <v>26.358523676550487</v>
      </c>
      <c r="AC209" s="19">
        <f t="shared" ca="1" si="80"/>
        <v>1.7486936805158941E-2</v>
      </c>
      <c r="AD209" s="19">
        <f t="shared" ca="1" si="81"/>
        <v>3.9537785514825732</v>
      </c>
      <c r="AE209" s="115">
        <f t="shared" ca="1" si="82"/>
        <v>124.35837993272244</v>
      </c>
      <c r="AF209" s="19">
        <f t="shared" ca="1" si="83"/>
        <v>790.75571029651462</v>
      </c>
      <c r="AG209" s="19">
        <f t="shared" ca="1" si="84"/>
        <v>0.52460810415476822</v>
      </c>
      <c r="AH209" s="19">
        <f t="shared" ca="1" si="85"/>
        <v>118.6133565444772</v>
      </c>
      <c r="AI209" s="46">
        <f t="shared" ca="1" si="92"/>
        <v>6358.6845592899444</v>
      </c>
      <c r="AJ209" s="55">
        <f t="shared" ca="1" si="93"/>
        <v>4.2007971814371908E-3</v>
      </c>
      <c r="AK209" s="19">
        <f t="shared" ca="1" si="94"/>
        <v>157.26523161760161</v>
      </c>
      <c r="AL209" s="19">
        <f t="shared" ca="1" si="86"/>
        <v>150</v>
      </c>
    </row>
    <row r="210" spans="2:38" x14ac:dyDescent="0.25">
      <c r="B210" s="19"/>
      <c r="C210" s="19"/>
      <c r="D210" s="19"/>
      <c r="E210" s="19"/>
      <c r="F210" s="19"/>
      <c r="G210" s="19"/>
      <c r="H210" s="44">
        <f t="shared" si="95"/>
        <v>50375</v>
      </c>
      <c r="I210" s="265">
        <v>0</v>
      </c>
      <c r="J210" s="65">
        <f t="shared" ca="1" si="87"/>
        <v>0</v>
      </c>
      <c r="K210" s="21">
        <f ca="1">SUMPRODUCT(V$7:V210,OFFSET($J$366,ROW($I$7)-ROW(),0):$J$366)</f>
        <v>0</v>
      </c>
      <c r="L210" s="21">
        <f ca="1">SUMPRODUCT(W$7:W210,OFFSET($J$366,ROW($I$7)-ROW(),0):$J$366)</f>
        <v>0</v>
      </c>
      <c r="M210" s="21">
        <f ca="1">SUMPRODUCT(X$7:X210,OFFSET($J$366,ROW($I$7)-ROW(),0):$J$366)</f>
        <v>0</v>
      </c>
      <c r="N210" s="19"/>
      <c r="O210" s="44">
        <f t="shared" si="88"/>
        <v>49644</v>
      </c>
      <c r="P210" s="25">
        <f t="shared" si="89"/>
        <v>6178</v>
      </c>
      <c r="Q210" s="21">
        <f t="shared" si="90"/>
        <v>4.8652035475082975</v>
      </c>
      <c r="R210" s="21">
        <f t="shared" si="73"/>
        <v>29.684540290135711</v>
      </c>
      <c r="S210" s="21">
        <f t="shared" si="74"/>
        <v>3.8787697422331173E-2</v>
      </c>
      <c r="T210" s="19"/>
      <c r="U210" s="25">
        <f t="shared" si="96"/>
        <v>6177.29000000001</v>
      </c>
      <c r="V210" s="21">
        <f t="shared" si="75"/>
        <v>20.363819400913282</v>
      </c>
      <c r="W210" s="21">
        <f t="shared" si="76"/>
        <v>62.064936230168442</v>
      </c>
      <c r="X210" s="21">
        <f t="shared" si="77"/>
        <v>10.181909700456641</v>
      </c>
      <c r="Y210" s="27"/>
      <c r="Z210" s="48">
        <f t="shared" si="91"/>
        <v>50375</v>
      </c>
      <c r="AA210" s="21">
        <f t="shared" ca="1" si="78"/>
        <v>4.1169676837007509</v>
      </c>
      <c r="AB210" s="21">
        <f t="shared" ca="1" si="79"/>
        <v>26.224813749720354</v>
      </c>
      <c r="AC210" s="21">
        <f t="shared" ca="1" si="80"/>
        <v>1.69019913186906E-2</v>
      </c>
      <c r="AD210" s="21">
        <f t="shared" ca="1" si="81"/>
        <v>3.9337220624580533</v>
      </c>
      <c r="AE210" s="116">
        <f t="shared" ca="1" si="82"/>
        <v>127.62599819472328</v>
      </c>
      <c r="AF210" s="21">
        <f t="shared" ca="1" si="83"/>
        <v>812.96922624133094</v>
      </c>
      <c r="AG210" s="21">
        <f t="shared" ca="1" si="84"/>
        <v>0.52396173087940856</v>
      </c>
      <c r="AH210" s="21">
        <f t="shared" ca="1" si="85"/>
        <v>121.94538393619965</v>
      </c>
      <c r="AI210" s="47">
        <f t="shared" ca="1" si="92"/>
        <v>6369.9343216964025</v>
      </c>
      <c r="AJ210" s="57">
        <f t="shared" ca="1" si="93"/>
        <v>4.0886609030825593E-3</v>
      </c>
      <c r="AK210" s="21">
        <f t="shared" ca="1" si="94"/>
        <v>156.98748990141644</v>
      </c>
      <c r="AL210" s="21">
        <f t="shared" ca="1" si="86"/>
        <v>150</v>
      </c>
    </row>
    <row r="211" spans="2:38" x14ac:dyDescent="0.25">
      <c r="B211" s="19"/>
      <c r="C211" s="19"/>
      <c r="D211" s="19"/>
      <c r="E211" s="19"/>
      <c r="F211" s="19"/>
      <c r="G211" s="19"/>
      <c r="H211" s="43">
        <f t="shared" si="95"/>
        <v>50406</v>
      </c>
      <c r="I211" s="264">
        <v>0</v>
      </c>
      <c r="J211" s="64">
        <f t="shared" ca="1" si="87"/>
        <v>0</v>
      </c>
      <c r="K211" s="19">
        <f ca="1">SUMPRODUCT(V$7:V211,OFFSET($J$366,ROW($I$7)-ROW(),0):$J$366)</f>
        <v>0</v>
      </c>
      <c r="L211" s="19">
        <f ca="1">SUMPRODUCT(W$7:W211,OFFSET($J$366,ROW($I$7)-ROW(),0):$J$366)</f>
        <v>0</v>
      </c>
      <c r="M211" s="19">
        <f ca="1">SUMPRODUCT(X$7:X211,OFFSET($J$366,ROW($I$7)-ROW(),0):$J$366)</f>
        <v>0</v>
      </c>
      <c r="N211" s="19"/>
      <c r="O211" s="43">
        <f t="shared" si="88"/>
        <v>49675</v>
      </c>
      <c r="P211" s="24">
        <f t="shared" si="89"/>
        <v>6209</v>
      </c>
      <c r="Q211" s="19">
        <f t="shared" si="90"/>
        <v>4.8308712201006658</v>
      </c>
      <c r="R211" s="19">
        <f t="shared" si="73"/>
        <v>29.528952125996899</v>
      </c>
      <c r="S211" s="19">
        <f t="shared" si="74"/>
        <v>3.7442489245707054E-2</v>
      </c>
      <c r="T211" s="19"/>
      <c r="U211" s="24">
        <f t="shared" si="96"/>
        <v>6207.7200000000103</v>
      </c>
      <c r="V211" s="19">
        <f t="shared" si="75"/>
        <v>20.22011784595982</v>
      </c>
      <c r="W211" s="19">
        <f t="shared" si="76"/>
        <v>61.739629879082614</v>
      </c>
      <c r="X211" s="19">
        <f t="shared" si="77"/>
        <v>10.11005892297991</v>
      </c>
      <c r="Y211" s="27"/>
      <c r="Z211" s="42">
        <f t="shared" si="91"/>
        <v>50406</v>
      </c>
      <c r="AA211" s="19">
        <f t="shared" ca="1" si="78"/>
        <v>4.087915439316065</v>
      </c>
      <c r="AB211" s="19">
        <f t="shared" ca="1" si="79"/>
        <v>26.087359351359432</v>
      </c>
      <c r="AC211" s="19">
        <f t="shared" ca="1" si="80"/>
        <v>1.6318195028887504E-2</v>
      </c>
      <c r="AD211" s="19">
        <f t="shared" ca="1" si="81"/>
        <v>3.9131039027039147</v>
      </c>
      <c r="AE211" s="115">
        <f t="shared" ca="1" si="82"/>
        <v>126.72537861879802</v>
      </c>
      <c r="AF211" s="19">
        <f t="shared" ca="1" si="83"/>
        <v>808.70813989214241</v>
      </c>
      <c r="AG211" s="19">
        <f t="shared" ca="1" si="84"/>
        <v>0.50586404589551259</v>
      </c>
      <c r="AH211" s="19">
        <f t="shared" ca="1" si="85"/>
        <v>121.30622098382136</v>
      </c>
      <c r="AI211" s="46">
        <f t="shared" ca="1" si="92"/>
        <v>6381.5799858433511</v>
      </c>
      <c r="AJ211" s="55">
        <f t="shared" ca="1" si="93"/>
        <v>3.9759420351546176E-3</v>
      </c>
      <c r="AK211" s="19">
        <f t="shared" ca="1" si="94"/>
        <v>156.70100542786599</v>
      </c>
      <c r="AL211" s="19">
        <f t="shared" ca="1" si="86"/>
        <v>150</v>
      </c>
    </row>
    <row r="212" spans="2:38" x14ac:dyDescent="0.25">
      <c r="B212" s="19"/>
      <c r="C212" s="19"/>
      <c r="D212" s="19"/>
      <c r="E212" s="19"/>
      <c r="F212" s="19"/>
      <c r="G212" s="19"/>
      <c r="H212" s="43">
        <f t="shared" si="95"/>
        <v>50437</v>
      </c>
      <c r="I212" s="264">
        <v>0</v>
      </c>
      <c r="J212" s="64">
        <f t="shared" ca="1" si="87"/>
        <v>0</v>
      </c>
      <c r="K212" s="19">
        <f ca="1">SUMPRODUCT(V$7:V212,OFFSET($J$366,ROW($I$7)-ROW(),0):$J$366)</f>
        <v>0</v>
      </c>
      <c r="L212" s="19">
        <f ca="1">SUMPRODUCT(W$7:W212,OFFSET($J$366,ROW($I$7)-ROW(),0):$J$366)</f>
        <v>0</v>
      </c>
      <c r="M212" s="19">
        <f ca="1">SUMPRODUCT(X$7:X212,OFFSET($J$366,ROW($I$7)-ROW(),0):$J$366)</f>
        <v>0</v>
      </c>
      <c r="N212" s="19"/>
      <c r="O212" s="43">
        <f t="shared" si="88"/>
        <v>49706</v>
      </c>
      <c r="P212" s="24">
        <f t="shared" si="89"/>
        <v>6240</v>
      </c>
      <c r="Q212" s="19">
        <f t="shared" si="90"/>
        <v>4.796781165949171</v>
      </c>
      <c r="R212" s="19">
        <f t="shared" si="73"/>
        <v>29.374179459641898</v>
      </c>
      <c r="S212" s="19">
        <f t="shared" si="74"/>
        <v>3.6144159766969601E-2</v>
      </c>
      <c r="T212" s="19"/>
      <c r="U212" s="24">
        <f t="shared" si="96"/>
        <v>6238.1500000000106</v>
      </c>
      <c r="V212" s="19">
        <f t="shared" si="75"/>
        <v>20.077430351114117</v>
      </c>
      <c r="W212" s="19">
        <f t="shared" si="76"/>
        <v>61.416028584482525</v>
      </c>
      <c r="X212" s="19">
        <f t="shared" si="77"/>
        <v>10.038715175557059</v>
      </c>
      <c r="Y212" s="27"/>
      <c r="Z212" s="42">
        <f t="shared" si="91"/>
        <v>50437</v>
      </c>
      <c r="AA212" s="19">
        <f t="shared" ca="1" si="78"/>
        <v>4.0590682081762308</v>
      </c>
      <c r="AB212" s="19">
        <f t="shared" ca="1" si="79"/>
        <v>25.950625404697764</v>
      </c>
      <c r="AC212" s="19">
        <f t="shared" ca="1" si="80"/>
        <v>1.5754660427738015E-2</v>
      </c>
      <c r="AD212" s="19">
        <f t="shared" ca="1" si="81"/>
        <v>3.8925938107046645</v>
      </c>
      <c r="AE212" s="115">
        <f t="shared" ca="1" si="82"/>
        <v>113.65390982893446</v>
      </c>
      <c r="AF212" s="19">
        <f t="shared" ca="1" si="83"/>
        <v>726.61751133153734</v>
      </c>
      <c r="AG212" s="19">
        <f t="shared" ca="1" si="84"/>
        <v>0.44113049197666443</v>
      </c>
      <c r="AH212" s="19">
        <f t="shared" ca="1" si="85"/>
        <v>108.99262669973061</v>
      </c>
      <c r="AI212" s="46">
        <f t="shared" ca="1" si="92"/>
        <v>6393.2469408681291</v>
      </c>
      <c r="AJ212" s="55">
        <f t="shared" ca="1" si="93"/>
        <v>3.8663423995987218E-3</v>
      </c>
      <c r="AK212" s="19">
        <f t="shared" ca="1" si="94"/>
        <v>156.41504375618749</v>
      </c>
      <c r="AL212" s="19">
        <f t="shared" ca="1" si="86"/>
        <v>150.00000000000003</v>
      </c>
    </row>
    <row r="213" spans="2:38" x14ac:dyDescent="0.25">
      <c r="B213" s="19"/>
      <c r="C213" s="19"/>
      <c r="D213" s="19"/>
      <c r="E213" s="19"/>
      <c r="F213" s="19"/>
      <c r="G213" s="19"/>
      <c r="H213" s="43">
        <f t="shared" si="95"/>
        <v>50465</v>
      </c>
      <c r="I213" s="264">
        <v>0</v>
      </c>
      <c r="J213" s="64">
        <f t="shared" ca="1" si="87"/>
        <v>0</v>
      </c>
      <c r="K213" s="19">
        <f ca="1">SUMPRODUCT(V$7:V213,OFFSET($J$366,ROW($I$7)-ROW(),0):$J$366)</f>
        <v>0</v>
      </c>
      <c r="L213" s="19">
        <f ca="1">SUMPRODUCT(W$7:W213,OFFSET($J$366,ROW($I$7)-ROW(),0):$J$366)</f>
        <v>0</v>
      </c>
      <c r="M213" s="19">
        <f ca="1">SUMPRODUCT(X$7:X213,OFFSET($J$366,ROW($I$7)-ROW(),0):$J$366)</f>
        <v>0</v>
      </c>
      <c r="N213" s="19"/>
      <c r="O213" s="43">
        <f t="shared" si="88"/>
        <v>49735</v>
      </c>
      <c r="P213" s="24">
        <f t="shared" si="89"/>
        <v>6269</v>
      </c>
      <c r="Q213" s="19">
        <f t="shared" si="90"/>
        <v>4.7651082871506087</v>
      </c>
      <c r="R213" s="19">
        <f t="shared" si="73"/>
        <v>29.230126615736555</v>
      </c>
      <c r="S213" s="19">
        <f t="shared" si="74"/>
        <v>3.4970578156230059E-2</v>
      </c>
      <c r="T213" s="19"/>
      <c r="U213" s="24">
        <f t="shared" si="96"/>
        <v>6268.5800000000108</v>
      </c>
      <c r="V213" s="19">
        <f t="shared" si="75"/>
        <v>19.94486019706758</v>
      </c>
      <c r="W213" s="19">
        <f t="shared" si="76"/>
        <v>61.114840475002836</v>
      </c>
      <c r="X213" s="19">
        <f t="shared" si="77"/>
        <v>9.9724300985337901</v>
      </c>
      <c r="Y213" s="27"/>
      <c r="Z213" s="42">
        <f t="shared" si="91"/>
        <v>50465</v>
      </c>
      <c r="AA213" s="19">
        <f t="shared" ca="1" si="78"/>
        <v>4.0331876542442755</v>
      </c>
      <c r="AB213" s="19">
        <f t="shared" ca="1" si="79"/>
        <v>25.827739877664822</v>
      </c>
      <c r="AC213" s="19">
        <f t="shared" ca="1" si="80"/>
        <v>1.5262488543225174E-2</v>
      </c>
      <c r="AD213" s="19">
        <f t="shared" ca="1" si="81"/>
        <v>3.8741609816497231</v>
      </c>
      <c r="AE213" s="115">
        <f t="shared" ca="1" si="82"/>
        <v>125.02881728157254</v>
      </c>
      <c r="AF213" s="19">
        <f t="shared" ca="1" si="83"/>
        <v>800.65993620760946</v>
      </c>
      <c r="AG213" s="19">
        <f t="shared" ca="1" si="84"/>
        <v>0.47313714483998043</v>
      </c>
      <c r="AH213" s="19">
        <f t="shared" ca="1" si="85"/>
        <v>120.09899043114142</v>
      </c>
      <c r="AI213" s="46">
        <f t="shared" ca="1" si="92"/>
        <v>6403.8031680686408</v>
      </c>
      <c r="AJ213" s="55">
        <f t="shared" ca="1" si="93"/>
        <v>3.7699583803485876E-3</v>
      </c>
      <c r="AK213" s="19">
        <f t="shared" ca="1" si="94"/>
        <v>156.15720436042005</v>
      </c>
      <c r="AL213" s="19">
        <f t="shared" ca="1" si="86"/>
        <v>150</v>
      </c>
    </row>
    <row r="214" spans="2:38" x14ac:dyDescent="0.25">
      <c r="B214" s="19"/>
      <c r="C214" s="19"/>
      <c r="D214" s="19"/>
      <c r="E214" s="19"/>
      <c r="F214" s="19"/>
      <c r="G214" s="19"/>
      <c r="H214" s="43">
        <f t="shared" si="95"/>
        <v>50496</v>
      </c>
      <c r="I214" s="264">
        <v>0</v>
      </c>
      <c r="J214" s="64">
        <f t="shared" ca="1" si="87"/>
        <v>0</v>
      </c>
      <c r="K214" s="19">
        <f ca="1">SUMPRODUCT(V$7:V214,OFFSET($J$366,ROW($I$7)-ROW(),0):$J$366)</f>
        <v>0</v>
      </c>
      <c r="L214" s="19">
        <f ca="1">SUMPRODUCT(W$7:W214,OFFSET($J$366,ROW($I$7)-ROW(),0):$J$366)</f>
        <v>0</v>
      </c>
      <c r="M214" s="19">
        <f ca="1">SUMPRODUCT(X$7:X214,OFFSET($J$366,ROW($I$7)-ROW(),0):$J$366)</f>
        <v>0</v>
      </c>
      <c r="N214" s="19"/>
      <c r="O214" s="43">
        <f t="shared" si="88"/>
        <v>49766</v>
      </c>
      <c r="P214" s="24">
        <f t="shared" si="89"/>
        <v>6300</v>
      </c>
      <c r="Q214" s="19">
        <f t="shared" si="90"/>
        <v>4.7314823029035447</v>
      </c>
      <c r="R214" s="19">
        <f t="shared" si="73"/>
        <v>29.076920209531952</v>
      </c>
      <c r="S214" s="19">
        <f t="shared" si="74"/>
        <v>3.3758369667017063E-2</v>
      </c>
      <c r="T214" s="19"/>
      <c r="U214" s="24">
        <f t="shared" si="96"/>
        <v>6299.0100000000111</v>
      </c>
      <c r="V214" s="19">
        <f t="shared" si="75"/>
        <v>19.804115115448976</v>
      </c>
      <c r="W214" s="19">
        <f t="shared" si="76"/>
        <v>60.794513943474854</v>
      </c>
      <c r="X214" s="19">
        <f t="shared" si="77"/>
        <v>9.902057557724488</v>
      </c>
      <c r="Y214" s="27"/>
      <c r="Z214" s="42">
        <f t="shared" si="91"/>
        <v>50496</v>
      </c>
      <c r="AA214" s="19">
        <f t="shared" ca="1" si="78"/>
        <v>4.0047266211775607</v>
      </c>
      <c r="AB214" s="19">
        <f t="shared" ca="1" si="79"/>
        <v>25.692366697142429</v>
      </c>
      <c r="AC214" s="19">
        <f t="shared" ca="1" si="80"/>
        <v>1.4735584981869476E-2</v>
      </c>
      <c r="AD214" s="19">
        <f t="shared" ca="1" si="81"/>
        <v>3.8538550045713644</v>
      </c>
      <c r="AE214" s="115">
        <f t="shared" ca="1" si="82"/>
        <v>120.14179863532682</v>
      </c>
      <c r="AF214" s="19">
        <f t="shared" ca="1" si="83"/>
        <v>770.77100091427292</v>
      </c>
      <c r="AG214" s="19">
        <f t="shared" ca="1" si="84"/>
        <v>0.44206754945608429</v>
      </c>
      <c r="AH214" s="19">
        <f t="shared" ca="1" si="85"/>
        <v>115.61565013714093</v>
      </c>
      <c r="AI214" s="46">
        <f t="shared" ca="1" si="92"/>
        <v>6415.5107520392439</v>
      </c>
      <c r="AJ214" s="55">
        <f t="shared" ca="1" si="93"/>
        <v>3.6660588471981756E-3</v>
      </c>
      <c r="AK214" s="19">
        <f t="shared" ca="1" si="94"/>
        <v>155.87223506439275</v>
      </c>
      <c r="AL214" s="19">
        <f t="shared" ca="1" si="86"/>
        <v>150</v>
      </c>
    </row>
    <row r="215" spans="2:38" x14ac:dyDescent="0.25">
      <c r="B215" s="19"/>
      <c r="C215" s="19"/>
      <c r="D215" s="19"/>
      <c r="E215" s="19"/>
      <c r="F215" s="19"/>
      <c r="G215" s="19"/>
      <c r="H215" s="43">
        <f t="shared" si="95"/>
        <v>50526</v>
      </c>
      <c r="I215" s="264">
        <v>0</v>
      </c>
      <c r="J215" s="64">
        <f t="shared" ca="1" si="87"/>
        <v>0</v>
      </c>
      <c r="K215" s="19">
        <f ca="1">SUMPRODUCT(V$7:V215,OFFSET($J$366,ROW($I$7)-ROW(),0):$J$366)</f>
        <v>0</v>
      </c>
      <c r="L215" s="19">
        <f ca="1">SUMPRODUCT(W$7:W215,OFFSET($J$366,ROW($I$7)-ROW(),0):$J$366)</f>
        <v>0</v>
      </c>
      <c r="M215" s="19">
        <f ca="1">SUMPRODUCT(X$7:X215,OFFSET($J$366,ROW($I$7)-ROW(),0):$J$366)</f>
        <v>0</v>
      </c>
      <c r="N215" s="19"/>
      <c r="O215" s="43">
        <f t="shared" si="88"/>
        <v>49796</v>
      </c>
      <c r="P215" s="24">
        <f t="shared" si="89"/>
        <v>6330</v>
      </c>
      <c r="Q215" s="19">
        <f t="shared" si="90"/>
        <v>4.6991669755413792</v>
      </c>
      <c r="R215" s="19">
        <f t="shared" si="73"/>
        <v>28.929420564962669</v>
      </c>
      <c r="S215" s="19">
        <f t="shared" si="74"/>
        <v>3.2625481247308519E-2</v>
      </c>
      <c r="T215" s="19"/>
      <c r="U215" s="24">
        <f t="shared" si="96"/>
        <v>6329.4400000000114</v>
      </c>
      <c r="V215" s="19">
        <f t="shared" si="75"/>
        <v>19.668855925600376</v>
      </c>
      <c r="W215" s="19">
        <f t="shared" si="76"/>
        <v>60.486119205180486</v>
      </c>
      <c r="X215" s="19">
        <f t="shared" si="77"/>
        <v>9.8344279628001878</v>
      </c>
      <c r="Y215" s="27"/>
      <c r="Z215" s="42">
        <f t="shared" si="91"/>
        <v>50526</v>
      </c>
      <c r="AA215" s="19">
        <f t="shared" ca="1" si="78"/>
        <v>3.9773749280982238</v>
      </c>
      <c r="AB215" s="19">
        <f t="shared" ca="1" si="79"/>
        <v>25.562036011201013</v>
      </c>
      <c r="AC215" s="19">
        <f t="shared" ca="1" si="80"/>
        <v>1.4243087947748079E-2</v>
      </c>
      <c r="AD215" s="19">
        <f t="shared" ca="1" si="81"/>
        <v>3.8343054016801519</v>
      </c>
      <c r="AE215" s="115">
        <f t="shared" ca="1" si="82"/>
        <v>123.29862277104493</v>
      </c>
      <c r="AF215" s="19">
        <f t="shared" ca="1" si="83"/>
        <v>792.42311634723137</v>
      </c>
      <c r="AG215" s="19">
        <f t="shared" ca="1" si="84"/>
        <v>0.44153572638019045</v>
      </c>
      <c r="AH215" s="19">
        <f t="shared" ca="1" si="85"/>
        <v>118.86346745208471</v>
      </c>
      <c r="AI215" s="46">
        <f t="shared" ca="1" si="92"/>
        <v>6426.8610511464813</v>
      </c>
      <c r="AJ215" s="55">
        <f t="shared" ca="1" si="93"/>
        <v>3.5682492389031346E-3</v>
      </c>
      <c r="AK215" s="19">
        <f t="shared" ca="1" si="94"/>
        <v>155.59695348036362</v>
      </c>
      <c r="AL215" s="19">
        <f t="shared" ca="1" si="86"/>
        <v>150</v>
      </c>
    </row>
    <row r="216" spans="2:38" x14ac:dyDescent="0.25">
      <c r="B216" s="19"/>
      <c r="C216" s="19"/>
      <c r="D216" s="19"/>
      <c r="E216" s="19"/>
      <c r="F216" s="19"/>
      <c r="G216" s="19"/>
      <c r="H216" s="43">
        <f t="shared" si="95"/>
        <v>50557</v>
      </c>
      <c r="I216" s="264">
        <v>0</v>
      </c>
      <c r="J216" s="64">
        <f t="shared" ca="1" si="87"/>
        <v>0</v>
      </c>
      <c r="K216" s="19">
        <f ca="1">SUMPRODUCT(V$7:V216,OFFSET($J$366,ROW($I$7)-ROW(),0):$J$366)</f>
        <v>0</v>
      </c>
      <c r="L216" s="19">
        <f ca="1">SUMPRODUCT(W$7:W216,OFFSET($J$366,ROW($I$7)-ROW(),0):$J$366)</f>
        <v>0</v>
      </c>
      <c r="M216" s="19">
        <f ca="1">SUMPRODUCT(X$7:X216,OFFSET($J$366,ROW($I$7)-ROW(),0):$J$366)</f>
        <v>0</v>
      </c>
      <c r="N216" s="19"/>
      <c r="O216" s="43">
        <f t="shared" si="88"/>
        <v>49827</v>
      </c>
      <c r="P216" s="24">
        <f t="shared" si="89"/>
        <v>6361</v>
      </c>
      <c r="Q216" s="19">
        <f t="shared" si="90"/>
        <v>4.6660063199650992</v>
      </c>
      <c r="R216" s="19">
        <f t="shared" si="73"/>
        <v>28.777790275549098</v>
      </c>
      <c r="S216" s="19">
        <f t="shared" si="74"/>
        <v>3.1494947940933458E-2</v>
      </c>
      <c r="T216" s="19"/>
      <c r="U216" s="24">
        <f t="shared" si="96"/>
        <v>6359.8700000000117</v>
      </c>
      <c r="V216" s="19">
        <f t="shared" si="75"/>
        <v>19.530058525907386</v>
      </c>
      <c r="W216" s="19">
        <f t="shared" si="76"/>
        <v>60.169088045154652</v>
      </c>
      <c r="X216" s="19">
        <f t="shared" si="77"/>
        <v>9.7650292629536928</v>
      </c>
      <c r="Y216" s="27"/>
      <c r="Z216" s="42">
        <f t="shared" si="91"/>
        <v>50557</v>
      </c>
      <c r="AA216" s="19">
        <f t="shared" ca="1" si="78"/>
        <v>3.9493077492184607</v>
      </c>
      <c r="AB216" s="19">
        <f t="shared" ca="1" si="79"/>
        <v>25.428055487475181</v>
      </c>
      <c r="AC216" s="19">
        <f t="shared" ca="1" si="80"/>
        <v>1.375154387120605E-2</v>
      </c>
      <c r="AD216" s="19">
        <f t="shared" ca="1" si="81"/>
        <v>3.8142083231212771</v>
      </c>
      <c r="AE216" s="115">
        <f t="shared" ca="1" si="82"/>
        <v>118.47923247655382</v>
      </c>
      <c r="AF216" s="19">
        <f t="shared" ca="1" si="83"/>
        <v>762.84166462425537</v>
      </c>
      <c r="AG216" s="19">
        <f t="shared" ca="1" si="84"/>
        <v>0.41254631613618148</v>
      </c>
      <c r="AH216" s="19">
        <f t="shared" ca="1" si="85"/>
        <v>114.42624969363831</v>
      </c>
      <c r="AI216" s="46">
        <f t="shared" ca="1" si="92"/>
        <v>6438.6107900826937</v>
      </c>
      <c r="AJ216" s="55">
        <f t="shared" ca="1" si="93"/>
        <v>3.4699313974899219E-3</v>
      </c>
      <c r="AK216" s="19">
        <f t="shared" ca="1" si="94"/>
        <v>155.31300657904134</v>
      </c>
      <c r="AL216" s="19">
        <f t="shared" ca="1" si="86"/>
        <v>150</v>
      </c>
    </row>
    <row r="217" spans="2:38" x14ac:dyDescent="0.25">
      <c r="B217" s="19"/>
      <c r="C217" s="19"/>
      <c r="D217" s="19"/>
      <c r="E217" s="19"/>
      <c r="F217" s="19"/>
      <c r="G217" s="19"/>
      <c r="H217" s="43">
        <f t="shared" si="95"/>
        <v>50587</v>
      </c>
      <c r="I217" s="264">
        <v>0</v>
      </c>
      <c r="J217" s="64">
        <f t="shared" ca="1" si="87"/>
        <v>0</v>
      </c>
      <c r="K217" s="19">
        <f ca="1">SUMPRODUCT(V$7:V217,OFFSET($J$366,ROW($I$7)-ROW(),0):$J$366)</f>
        <v>0</v>
      </c>
      <c r="L217" s="19">
        <f ca="1">SUMPRODUCT(W$7:W217,OFFSET($J$366,ROW($I$7)-ROW(),0):$J$366)</f>
        <v>0</v>
      </c>
      <c r="M217" s="19">
        <f ca="1">SUMPRODUCT(X$7:X217,OFFSET($J$366,ROW($I$7)-ROW(),0):$J$366)</f>
        <v>0</v>
      </c>
      <c r="N217" s="19"/>
      <c r="O217" s="43">
        <f t="shared" si="88"/>
        <v>49857</v>
      </c>
      <c r="P217" s="24">
        <f t="shared" si="89"/>
        <v>6391</v>
      </c>
      <c r="Q217" s="19">
        <f t="shared" si="90"/>
        <v>4.6341381839242919</v>
      </c>
      <c r="R217" s="19">
        <f t="shared" si="73"/>
        <v>28.631808039241236</v>
      </c>
      <c r="S217" s="19">
        <f t="shared" si="74"/>
        <v>3.0438377553354969E-2</v>
      </c>
      <c r="T217" s="19"/>
      <c r="U217" s="24">
        <f t="shared" si="96"/>
        <v>6390.300000000012</v>
      </c>
      <c r="V217" s="19">
        <f t="shared" si="75"/>
        <v>19.396671102207282</v>
      </c>
      <c r="W217" s="19">
        <f t="shared" si="76"/>
        <v>59.863865929581053</v>
      </c>
      <c r="X217" s="19">
        <f t="shared" si="77"/>
        <v>9.6983355511036411</v>
      </c>
      <c r="Y217" s="27"/>
      <c r="Z217" s="42">
        <f t="shared" si="91"/>
        <v>50587</v>
      </c>
      <c r="AA217" s="19">
        <f t="shared" ca="1" si="78"/>
        <v>3.922334558873521</v>
      </c>
      <c r="AB217" s="19">
        <f t="shared" ca="1" si="79"/>
        <v>25.299065583473553</v>
      </c>
      <c r="AC217" s="19">
        <f t="shared" ca="1" si="80"/>
        <v>1.3292091850792184E-2</v>
      </c>
      <c r="AD217" s="19">
        <f t="shared" ca="1" si="81"/>
        <v>3.7948598375210332</v>
      </c>
      <c r="AE217" s="115">
        <f t="shared" ca="1" si="82"/>
        <v>121.59237132507916</v>
      </c>
      <c r="AF217" s="19">
        <f t="shared" ca="1" si="83"/>
        <v>784.27103308768017</v>
      </c>
      <c r="AG217" s="19">
        <f t="shared" ca="1" si="84"/>
        <v>0.41205484737455772</v>
      </c>
      <c r="AH217" s="19">
        <f t="shared" ca="1" si="85"/>
        <v>117.64065496315203</v>
      </c>
      <c r="AI217" s="46">
        <f t="shared" ca="1" si="92"/>
        <v>6450.0019576961695</v>
      </c>
      <c r="AJ217" s="55">
        <f t="shared" ca="1" si="93"/>
        <v>3.3773762174178551E-3</v>
      </c>
      <c r="AK217" s="19">
        <f t="shared" ca="1" si="94"/>
        <v>155.03871263276062</v>
      </c>
      <c r="AL217" s="19">
        <f t="shared" ca="1" si="86"/>
        <v>150</v>
      </c>
    </row>
    <row r="218" spans="2:38" x14ac:dyDescent="0.25">
      <c r="B218" s="19"/>
      <c r="C218" s="19"/>
      <c r="D218" s="19"/>
      <c r="E218" s="19"/>
      <c r="F218" s="19"/>
      <c r="G218" s="19"/>
      <c r="H218" s="43">
        <f t="shared" si="95"/>
        <v>50618</v>
      </c>
      <c r="I218" s="264">
        <v>0</v>
      </c>
      <c r="J218" s="64">
        <f t="shared" ca="1" si="87"/>
        <v>0</v>
      </c>
      <c r="K218" s="19">
        <f ca="1">SUMPRODUCT(V$7:V218,OFFSET($J$366,ROW($I$7)-ROW(),0):$J$366)</f>
        <v>0</v>
      </c>
      <c r="L218" s="19">
        <f ca="1">SUMPRODUCT(W$7:W218,OFFSET($J$366,ROW($I$7)-ROW(),0):$J$366)</f>
        <v>0</v>
      </c>
      <c r="M218" s="19">
        <f ca="1">SUMPRODUCT(X$7:X218,OFFSET($J$366,ROW($I$7)-ROW(),0):$J$366)</f>
        <v>0</v>
      </c>
      <c r="N218" s="19"/>
      <c r="O218" s="43">
        <f t="shared" si="88"/>
        <v>49888</v>
      </c>
      <c r="P218" s="24">
        <f t="shared" si="89"/>
        <v>6422</v>
      </c>
      <c r="Q218" s="19">
        <f t="shared" si="90"/>
        <v>4.6014364176304277</v>
      </c>
      <c r="R218" s="19">
        <f t="shared" si="73"/>
        <v>28.481737652256641</v>
      </c>
      <c r="S218" s="19">
        <f t="shared" si="74"/>
        <v>2.9383990872009394E-2</v>
      </c>
      <c r="T218" s="19"/>
      <c r="U218" s="24">
        <f t="shared" si="96"/>
        <v>6420.7300000000123</v>
      </c>
      <c r="V218" s="19">
        <f t="shared" si="75"/>
        <v>19.25979443170494</v>
      </c>
      <c r="W218" s="19">
        <f t="shared" si="76"/>
        <v>59.550096239796417</v>
      </c>
      <c r="X218" s="19">
        <f t="shared" si="77"/>
        <v>9.6298972158524698</v>
      </c>
      <c r="Y218" s="27"/>
      <c r="Z218" s="42">
        <f t="shared" si="91"/>
        <v>50618</v>
      </c>
      <c r="AA218" s="19">
        <f t="shared" ca="1" si="78"/>
        <v>3.8946557838823943</v>
      </c>
      <c r="AB218" s="19">
        <f t="shared" ca="1" si="79"/>
        <v>25.166463389533966</v>
      </c>
      <c r="AC218" s="19">
        <f t="shared" ca="1" si="80"/>
        <v>1.2833523346860984E-2</v>
      </c>
      <c r="AD218" s="19">
        <f t="shared" ca="1" si="81"/>
        <v>3.7749695084300949</v>
      </c>
      <c r="AE218" s="115">
        <f t="shared" ca="1" si="82"/>
        <v>120.73432930035422</v>
      </c>
      <c r="AF218" s="19">
        <f t="shared" ca="1" si="83"/>
        <v>780.16036507555293</v>
      </c>
      <c r="AG218" s="19">
        <f t="shared" ca="1" si="84"/>
        <v>0.39783922375269049</v>
      </c>
      <c r="AH218" s="19">
        <f t="shared" ca="1" si="85"/>
        <v>117.02405476133295</v>
      </c>
      <c r="AI218" s="46">
        <f t="shared" ca="1" si="92"/>
        <v>6461.7940033834611</v>
      </c>
      <c r="AJ218" s="55">
        <f t="shared" ca="1" si="93"/>
        <v>3.2843399783891031E-3</v>
      </c>
      <c r="AK218" s="19">
        <f t="shared" ca="1" si="94"/>
        <v>154.7557844580607</v>
      </c>
      <c r="AL218" s="19">
        <f t="shared" ca="1" si="86"/>
        <v>150</v>
      </c>
    </row>
    <row r="219" spans="2:38" x14ac:dyDescent="0.25">
      <c r="B219" s="19"/>
      <c r="C219" s="19"/>
      <c r="D219" s="19"/>
      <c r="E219" s="19"/>
      <c r="F219" s="19"/>
      <c r="G219" s="19"/>
      <c r="H219" s="43">
        <f t="shared" si="95"/>
        <v>50649</v>
      </c>
      <c r="I219" s="264">
        <v>0</v>
      </c>
      <c r="J219" s="64">
        <f t="shared" ca="1" si="87"/>
        <v>0</v>
      </c>
      <c r="K219" s="19">
        <f ca="1">SUMPRODUCT(V$7:V219,OFFSET($J$366,ROW($I$7)-ROW(),0):$J$366)</f>
        <v>0</v>
      </c>
      <c r="L219" s="19">
        <f ca="1">SUMPRODUCT(W$7:W219,OFFSET($J$366,ROW($I$7)-ROW(),0):$J$366)</f>
        <v>0</v>
      </c>
      <c r="M219" s="19">
        <f ca="1">SUMPRODUCT(X$7:X219,OFFSET($J$366,ROW($I$7)-ROW(),0):$J$366)</f>
        <v>0</v>
      </c>
      <c r="N219" s="19"/>
      <c r="O219" s="43">
        <f t="shared" si="88"/>
        <v>49919</v>
      </c>
      <c r="P219" s="24">
        <f t="shared" si="89"/>
        <v>6453</v>
      </c>
      <c r="Q219" s="19">
        <f t="shared" si="90"/>
        <v>4.5689654181968287</v>
      </c>
      <c r="R219" s="19">
        <f t="shared" si="73"/>
        <v>28.33245384225031</v>
      </c>
      <c r="S219" s="19">
        <f t="shared" si="74"/>
        <v>2.8366304435000787E-2</v>
      </c>
      <c r="T219" s="19"/>
      <c r="U219" s="24">
        <f t="shared" si="96"/>
        <v>6451.1600000000126</v>
      </c>
      <c r="V219" s="19">
        <f t="shared" si="75"/>
        <v>19.12388366008437</v>
      </c>
      <c r="W219" s="19">
        <f t="shared" si="76"/>
        <v>59.237971138390733</v>
      </c>
      <c r="X219" s="19">
        <f t="shared" si="77"/>
        <v>9.5619418300421852</v>
      </c>
      <c r="Y219" s="27"/>
      <c r="Z219" s="42">
        <f t="shared" si="91"/>
        <v>50649</v>
      </c>
      <c r="AA219" s="19">
        <f t="shared" ca="1" si="78"/>
        <v>3.8671723299617957</v>
      </c>
      <c r="AB219" s="19">
        <f t="shared" ca="1" si="79"/>
        <v>25.034556215012373</v>
      </c>
      <c r="AC219" s="19">
        <f t="shared" ca="1" si="80"/>
        <v>1.239085150898871E-2</v>
      </c>
      <c r="AD219" s="19">
        <f t="shared" ca="1" si="81"/>
        <v>3.7551834322518558</v>
      </c>
      <c r="AE219" s="115">
        <f t="shared" ca="1" si="82"/>
        <v>116.01516989885387</v>
      </c>
      <c r="AF219" s="19">
        <f t="shared" ca="1" si="83"/>
        <v>751.03668645037123</v>
      </c>
      <c r="AG219" s="19">
        <f t="shared" ca="1" si="84"/>
        <v>0.37172554526966128</v>
      </c>
      <c r="AH219" s="19">
        <f t="shared" ca="1" si="85"/>
        <v>112.65550296755568</v>
      </c>
      <c r="AI219" s="46">
        <f t="shared" ca="1" si="92"/>
        <v>6473.6076075667652</v>
      </c>
      <c r="AJ219" s="55">
        <f t="shared" ca="1" si="93"/>
        <v>3.1938780036290591E-3</v>
      </c>
      <c r="AK219" s="19">
        <f t="shared" ca="1" si="94"/>
        <v>154.4733725953881</v>
      </c>
      <c r="AL219" s="19">
        <f t="shared" ca="1" si="86"/>
        <v>150</v>
      </c>
    </row>
    <row r="220" spans="2:38" x14ac:dyDescent="0.25">
      <c r="B220" s="19"/>
      <c r="C220" s="19"/>
      <c r="D220" s="19"/>
      <c r="E220" s="19"/>
      <c r="F220" s="19"/>
      <c r="G220" s="19"/>
      <c r="H220" s="43">
        <f t="shared" si="95"/>
        <v>50679</v>
      </c>
      <c r="I220" s="264">
        <v>0</v>
      </c>
      <c r="J220" s="64">
        <f t="shared" ca="1" si="87"/>
        <v>0</v>
      </c>
      <c r="K220" s="19">
        <f ca="1">SUMPRODUCT(V$7:V220,OFFSET($J$366,ROW($I$7)-ROW(),0):$J$366)</f>
        <v>0</v>
      </c>
      <c r="L220" s="19">
        <f ca="1">SUMPRODUCT(W$7:W220,OFFSET($J$366,ROW($I$7)-ROW(),0):$J$366)</f>
        <v>0</v>
      </c>
      <c r="M220" s="19">
        <f ca="1">SUMPRODUCT(X$7:X220,OFFSET($J$366,ROW($I$7)-ROW(),0):$J$366)</f>
        <v>0</v>
      </c>
      <c r="N220" s="19"/>
      <c r="O220" s="43">
        <f t="shared" si="88"/>
        <v>49949</v>
      </c>
      <c r="P220" s="24">
        <f t="shared" si="89"/>
        <v>6483</v>
      </c>
      <c r="Q220" s="19">
        <f t="shared" si="90"/>
        <v>4.5377600572246788</v>
      </c>
      <c r="R220" s="19">
        <f t="shared" si="73"/>
        <v>28.188730681702602</v>
      </c>
      <c r="S220" s="19">
        <f t="shared" si="74"/>
        <v>2.741518078466482E-2</v>
      </c>
      <c r="T220" s="19"/>
      <c r="U220" s="24">
        <f t="shared" si="96"/>
        <v>6481.5900000000129</v>
      </c>
      <c r="V220" s="19">
        <f t="shared" si="75"/>
        <v>18.993270350903792</v>
      </c>
      <c r="W220" s="19">
        <f t="shared" si="76"/>
        <v>58.93747233642155</v>
      </c>
      <c r="X220" s="19">
        <f t="shared" si="77"/>
        <v>9.4966351754518961</v>
      </c>
      <c r="Y220" s="27"/>
      <c r="Z220" s="42">
        <f t="shared" si="91"/>
        <v>50679</v>
      </c>
      <c r="AA220" s="19">
        <f t="shared" ca="1" si="78"/>
        <v>3.8407601124349688</v>
      </c>
      <c r="AB220" s="19">
        <f t="shared" ca="1" si="79"/>
        <v>24.907562430352414</v>
      </c>
      <c r="AC220" s="19">
        <f t="shared" ca="1" si="80"/>
        <v>1.1977073459317962E-2</v>
      </c>
      <c r="AD220" s="19">
        <f t="shared" ca="1" si="81"/>
        <v>3.7361343645528624</v>
      </c>
      <c r="AE220" s="115">
        <f t="shared" ca="1" si="82"/>
        <v>119.06356348548404</v>
      </c>
      <c r="AF220" s="19">
        <f t="shared" ca="1" si="83"/>
        <v>772.13443534092482</v>
      </c>
      <c r="AG220" s="19">
        <f t="shared" ca="1" si="84"/>
        <v>0.3712892772388568</v>
      </c>
      <c r="AH220" s="19">
        <f t="shared" ca="1" si="85"/>
        <v>115.82016530113873</v>
      </c>
      <c r="AI220" s="46">
        <f t="shared" ca="1" si="92"/>
        <v>6485.0606914269092</v>
      </c>
      <c r="AJ220" s="55">
        <f t="shared" ca="1" si="93"/>
        <v>3.1087180052583509E-3</v>
      </c>
      <c r="AK220" s="19">
        <f t="shared" ca="1" si="94"/>
        <v>154.20056150314451</v>
      </c>
      <c r="AL220" s="19">
        <f t="shared" ca="1" si="86"/>
        <v>150</v>
      </c>
    </row>
    <row r="221" spans="2:38" x14ac:dyDescent="0.25">
      <c r="B221" s="19"/>
      <c r="C221" s="19"/>
      <c r="D221" s="19"/>
      <c r="E221" s="19"/>
      <c r="F221" s="19"/>
      <c r="G221" s="19"/>
      <c r="H221" s="43">
        <f t="shared" si="95"/>
        <v>50710</v>
      </c>
      <c r="I221" s="264">
        <v>0</v>
      </c>
      <c r="J221" s="64">
        <f t="shared" ca="1" si="87"/>
        <v>0</v>
      </c>
      <c r="K221" s="19">
        <f ca="1">SUMPRODUCT(V$7:V221,OFFSET($J$366,ROW($I$7)-ROW(),0):$J$366)</f>
        <v>0</v>
      </c>
      <c r="L221" s="19">
        <f ca="1">SUMPRODUCT(W$7:W221,OFFSET($J$366,ROW($I$7)-ROW(),0):$J$366)</f>
        <v>0</v>
      </c>
      <c r="M221" s="19">
        <f ca="1">SUMPRODUCT(X$7:X221,OFFSET($J$366,ROW($I$7)-ROW(),0):$J$366)</f>
        <v>0</v>
      </c>
      <c r="N221" s="19"/>
      <c r="O221" s="43">
        <f t="shared" si="88"/>
        <v>49980</v>
      </c>
      <c r="P221" s="24">
        <f t="shared" si="89"/>
        <v>6514</v>
      </c>
      <c r="Q221" s="19">
        <f t="shared" si="90"/>
        <v>4.5057384033595076</v>
      </c>
      <c r="R221" s="19">
        <f t="shared" si="73"/>
        <v>28.040982634628179</v>
      </c>
      <c r="S221" s="19">
        <f t="shared" si="74"/>
        <v>2.6466005605190499E-2</v>
      </c>
      <c r="T221" s="19"/>
      <c r="U221" s="24">
        <f t="shared" si="96"/>
        <v>6512.0200000000132</v>
      </c>
      <c r="V221" s="19">
        <f t="shared" si="75"/>
        <v>18.859240362258635</v>
      </c>
      <c r="W221" s="19">
        <f t="shared" si="76"/>
        <v>58.628558233990489</v>
      </c>
      <c r="X221" s="19">
        <f t="shared" si="77"/>
        <v>9.4296201811293177</v>
      </c>
      <c r="Y221" s="27"/>
      <c r="Z221" s="42">
        <f t="shared" si="91"/>
        <v>50710</v>
      </c>
      <c r="AA221" s="19">
        <f t="shared" ca="1" si="78"/>
        <v>3.813656984603488</v>
      </c>
      <c r="AB221" s="19">
        <f t="shared" ca="1" si="79"/>
        <v>24.777012255957459</v>
      </c>
      <c r="AC221" s="19">
        <f t="shared" ca="1" si="80"/>
        <v>1.1564083631100322E-2</v>
      </c>
      <c r="AD221" s="19">
        <f t="shared" ca="1" si="81"/>
        <v>3.7165518383936185</v>
      </c>
      <c r="AE221" s="115">
        <f t="shared" ca="1" si="82"/>
        <v>114.40970953810464</v>
      </c>
      <c r="AF221" s="19">
        <f t="shared" ca="1" si="83"/>
        <v>743.31036767872376</v>
      </c>
      <c r="AG221" s="19">
        <f t="shared" ca="1" si="84"/>
        <v>0.34692250893300969</v>
      </c>
      <c r="AH221" s="19">
        <f t="shared" ca="1" si="85"/>
        <v>111.49655515180855</v>
      </c>
      <c r="AI221" s="46">
        <f t="shared" ca="1" si="92"/>
        <v>6496.9168323179865</v>
      </c>
      <c r="AJ221" s="55">
        <f t="shared" ca="1" si="93"/>
        <v>3.0231151153931519E-3</v>
      </c>
      <c r="AK221" s="19">
        <f t="shared" ca="1" si="94"/>
        <v>153.91916285978027</v>
      </c>
      <c r="AL221" s="19">
        <f t="shared" ca="1" si="86"/>
        <v>150</v>
      </c>
    </row>
    <row r="222" spans="2:38" x14ac:dyDescent="0.25">
      <c r="B222" s="19"/>
      <c r="C222" s="19"/>
      <c r="D222" s="19"/>
      <c r="E222" s="19"/>
      <c r="F222" s="19"/>
      <c r="G222" s="19"/>
      <c r="H222" s="44">
        <f t="shared" si="95"/>
        <v>50740</v>
      </c>
      <c r="I222" s="265">
        <v>0</v>
      </c>
      <c r="J222" s="65">
        <f t="shared" ca="1" si="87"/>
        <v>0</v>
      </c>
      <c r="K222" s="21">
        <f ca="1">SUMPRODUCT(V$7:V222,OFFSET($J$366,ROW($I$7)-ROW(),0):$J$366)</f>
        <v>0</v>
      </c>
      <c r="L222" s="21">
        <f ca="1">SUMPRODUCT(W$7:W222,OFFSET($J$366,ROW($I$7)-ROW(),0):$J$366)</f>
        <v>0</v>
      </c>
      <c r="M222" s="21">
        <f ca="1">SUMPRODUCT(X$7:X222,OFFSET($J$366,ROW($I$7)-ROW(),0):$J$366)</f>
        <v>0</v>
      </c>
      <c r="N222" s="19"/>
      <c r="O222" s="44">
        <f t="shared" si="88"/>
        <v>50010</v>
      </c>
      <c r="P222" s="25">
        <f t="shared" si="89"/>
        <v>6544</v>
      </c>
      <c r="Q222" s="21">
        <f t="shared" si="90"/>
        <v>4.4749648735877727</v>
      </c>
      <c r="R222" s="21">
        <f t="shared" si="73"/>
        <v>27.898738031617398</v>
      </c>
      <c r="S222" s="21">
        <f t="shared" si="74"/>
        <v>2.557890144722651E-2</v>
      </c>
      <c r="T222" s="19"/>
      <c r="U222" s="25">
        <f t="shared" si="96"/>
        <v>6542.4500000000135</v>
      </c>
      <c r="V222" s="21">
        <f t="shared" si="75"/>
        <v>18.730434527830354</v>
      </c>
      <c r="W222" s="21">
        <f t="shared" si="76"/>
        <v>58.331150824993721</v>
      </c>
      <c r="X222" s="21">
        <f t="shared" si="77"/>
        <v>9.3652172639151772</v>
      </c>
      <c r="Y222" s="27"/>
      <c r="Z222" s="48">
        <f t="shared" si="91"/>
        <v>50740</v>
      </c>
      <c r="AA222" s="21">
        <f t="shared" ca="1" si="78"/>
        <v>3.7876102690046913</v>
      </c>
      <c r="AB222" s="21">
        <f t="shared" ca="1" si="79"/>
        <v>24.651324924737136</v>
      </c>
      <c r="AC222" s="21">
        <f t="shared" ca="1" si="80"/>
        <v>1.1178045580315913E-2</v>
      </c>
      <c r="AD222" s="21">
        <f t="shared" ca="1" si="81"/>
        <v>3.6976987387105704</v>
      </c>
      <c r="AE222" s="116">
        <f t="shared" ca="1" si="82"/>
        <v>117.41591833914543</v>
      </c>
      <c r="AF222" s="21">
        <f t="shared" ca="1" si="83"/>
        <v>764.19107266685126</v>
      </c>
      <c r="AG222" s="21">
        <f t="shared" ca="1" si="84"/>
        <v>0.34651941298979327</v>
      </c>
      <c r="AH222" s="21">
        <f t="shared" ca="1" si="85"/>
        <v>114.62866090002768</v>
      </c>
      <c r="AI222" s="47">
        <f t="shared" ca="1" si="92"/>
        <v>6508.4111547767598</v>
      </c>
      <c r="AJ222" s="57">
        <f t="shared" ca="1" si="93"/>
        <v>2.9425292105377658E-3</v>
      </c>
      <c r="AK222" s="21">
        <f t="shared" ca="1" si="94"/>
        <v>153.64733054181181</v>
      </c>
      <c r="AL222" s="21">
        <f t="shared" ca="1" si="86"/>
        <v>150</v>
      </c>
    </row>
    <row r="223" spans="2:38" x14ac:dyDescent="0.25">
      <c r="B223" s="19"/>
      <c r="C223" s="19"/>
      <c r="D223" s="19"/>
      <c r="E223" s="19"/>
      <c r="F223" s="19"/>
      <c r="G223" s="19"/>
      <c r="H223" s="43">
        <f t="shared" si="95"/>
        <v>50771</v>
      </c>
      <c r="I223" s="264">
        <v>0</v>
      </c>
      <c r="J223" s="64">
        <f t="shared" ca="1" si="87"/>
        <v>0</v>
      </c>
      <c r="K223" s="19">
        <f ca="1">SUMPRODUCT(V$7:V223,OFFSET($J$366,ROW($I$7)-ROW(),0):$J$366)</f>
        <v>0</v>
      </c>
      <c r="L223" s="19">
        <f ca="1">SUMPRODUCT(W$7:W223,OFFSET($J$366,ROW($I$7)-ROW(),0):$J$366)</f>
        <v>0</v>
      </c>
      <c r="M223" s="19">
        <f ca="1">SUMPRODUCT(X$7:X223,OFFSET($J$366,ROW($I$7)-ROW(),0):$J$366)</f>
        <v>0</v>
      </c>
      <c r="N223" s="19"/>
      <c r="O223" s="43">
        <f t="shared" si="88"/>
        <v>50041</v>
      </c>
      <c r="P223" s="24">
        <f t="shared" si="89"/>
        <v>6575</v>
      </c>
      <c r="Q223" s="19">
        <f t="shared" si="90"/>
        <v>4.4433863470826793</v>
      </c>
      <c r="R223" s="19">
        <f t="shared" si="73"/>
        <v>27.752509948254716</v>
      </c>
      <c r="S223" s="19">
        <f t="shared" si="74"/>
        <v>2.4693603920798488E-2</v>
      </c>
      <c r="T223" s="19"/>
      <c r="U223" s="24">
        <f t="shared" si="96"/>
        <v>6572.8800000000138</v>
      </c>
      <c r="V223" s="19">
        <f t="shared" si="75"/>
        <v>18.598259295197792</v>
      </c>
      <c r="W223" s="19">
        <f t="shared" si="76"/>
        <v>58.025414688261939</v>
      </c>
      <c r="X223" s="19">
        <f t="shared" si="77"/>
        <v>9.299129647598896</v>
      </c>
      <c r="Y223" s="27"/>
      <c r="Z223" s="42">
        <f t="shared" si="91"/>
        <v>50771</v>
      </c>
      <c r="AA223" s="19">
        <f t="shared" ca="1" si="78"/>
        <v>3.7608822041707803</v>
      </c>
      <c r="AB223" s="19">
        <f t="shared" ca="1" si="79"/>
        <v>24.522117790277861</v>
      </c>
      <c r="AC223" s="19">
        <f t="shared" ca="1" si="80"/>
        <v>1.0792738294175885E-2</v>
      </c>
      <c r="AD223" s="19">
        <f t="shared" ca="1" si="81"/>
        <v>3.6783176685416792</v>
      </c>
      <c r="AE223" s="115">
        <f t="shared" ca="1" si="82"/>
        <v>116.58734832929419</v>
      </c>
      <c r="AF223" s="19">
        <f t="shared" ca="1" si="83"/>
        <v>760.18565149861365</v>
      </c>
      <c r="AG223" s="19">
        <f t="shared" ca="1" si="84"/>
        <v>0.33457488711945244</v>
      </c>
      <c r="AH223" s="19">
        <f t="shared" ca="1" si="85"/>
        <v>114.02784772479205</v>
      </c>
      <c r="AI223" s="46">
        <f t="shared" ca="1" si="92"/>
        <v>6520.3099855355958</v>
      </c>
      <c r="AJ223" s="55">
        <f t="shared" ca="1" si="93"/>
        <v>2.8615239804102399E-3</v>
      </c>
      <c r="AK223" s="19">
        <f t="shared" ca="1" si="94"/>
        <v>153.36694148259232</v>
      </c>
      <c r="AL223" s="19">
        <f t="shared" ca="1" si="86"/>
        <v>150.00000000000003</v>
      </c>
    </row>
    <row r="224" spans="2:38" x14ac:dyDescent="0.25">
      <c r="B224" s="19"/>
      <c r="C224" s="19"/>
      <c r="D224" s="19"/>
      <c r="E224" s="19"/>
      <c r="F224" s="19"/>
      <c r="G224" s="19"/>
      <c r="H224" s="43">
        <f t="shared" si="95"/>
        <v>50802</v>
      </c>
      <c r="I224" s="264">
        <v>0</v>
      </c>
      <c r="J224" s="64">
        <f t="shared" ca="1" si="87"/>
        <v>0</v>
      </c>
      <c r="K224" s="19">
        <f ca="1">SUMPRODUCT(V$7:V224,OFFSET($J$366,ROW($I$7)-ROW(),0):$J$366)</f>
        <v>0</v>
      </c>
      <c r="L224" s="19">
        <f ca="1">SUMPRODUCT(W$7:W224,OFFSET($J$366,ROW($I$7)-ROW(),0):$J$366)</f>
        <v>0</v>
      </c>
      <c r="M224" s="19">
        <f ca="1">SUMPRODUCT(X$7:X224,OFFSET($J$366,ROW($I$7)-ROW(),0):$J$366)</f>
        <v>0</v>
      </c>
      <c r="N224" s="19"/>
      <c r="O224" s="43">
        <f t="shared" si="88"/>
        <v>50072</v>
      </c>
      <c r="P224" s="24">
        <f t="shared" si="89"/>
        <v>6606</v>
      </c>
      <c r="Q224" s="19">
        <f t="shared" si="90"/>
        <v>4.4120306610611202</v>
      </c>
      <c r="R224" s="19">
        <f t="shared" si="73"/>
        <v>27.607048302869963</v>
      </c>
      <c r="S224" s="19">
        <f t="shared" si="74"/>
        <v>2.3839094807821232E-2</v>
      </c>
      <c r="T224" s="19"/>
      <c r="U224" s="24">
        <f t="shared" si="96"/>
        <v>6603.310000000014</v>
      </c>
      <c r="V224" s="19">
        <f t="shared" si="75"/>
        <v>18.46701678476639</v>
      </c>
      <c r="W224" s="19">
        <f t="shared" si="76"/>
        <v>57.721281032948426</v>
      </c>
      <c r="X224" s="19">
        <f t="shared" si="77"/>
        <v>9.2335083923831949</v>
      </c>
      <c r="Y224" s="27"/>
      <c r="Z224" s="42">
        <f t="shared" si="91"/>
        <v>50802</v>
      </c>
      <c r="AA224" s="19">
        <f t="shared" ca="1" si="78"/>
        <v>3.7343427515221328</v>
      </c>
      <c r="AB224" s="19">
        <f t="shared" ca="1" si="79"/>
        <v>24.393587880415897</v>
      </c>
      <c r="AC224" s="19">
        <f t="shared" ca="1" si="80"/>
        <v>1.0420776653111145E-2</v>
      </c>
      <c r="AD224" s="19">
        <f t="shared" ca="1" si="81"/>
        <v>3.6590381820623845</v>
      </c>
      <c r="AE224" s="115">
        <f t="shared" ca="1" si="82"/>
        <v>104.56159704261972</v>
      </c>
      <c r="AF224" s="19">
        <f t="shared" ca="1" si="83"/>
        <v>683.02046065164507</v>
      </c>
      <c r="AG224" s="19">
        <f t="shared" ca="1" si="84"/>
        <v>0.29178174628711206</v>
      </c>
      <c r="AH224" s="19">
        <f t="shared" ca="1" si="85"/>
        <v>102.45306909774676</v>
      </c>
      <c r="AI224" s="46">
        <f t="shared" ca="1" si="92"/>
        <v>6532.2305700174338</v>
      </c>
      <c r="AJ224" s="55">
        <f t="shared" ca="1" si="93"/>
        <v>2.7827595987586968E-3</v>
      </c>
      <c r="AK224" s="19">
        <f t="shared" ca="1" si="94"/>
        <v>153.08706410180056</v>
      </c>
      <c r="AL224" s="19">
        <f t="shared" ca="1" si="86"/>
        <v>150.00000000000003</v>
      </c>
    </row>
    <row r="225" spans="2:38" x14ac:dyDescent="0.25">
      <c r="B225" s="19"/>
      <c r="C225" s="19"/>
      <c r="D225" s="19"/>
      <c r="E225" s="19"/>
      <c r="F225" s="19"/>
      <c r="G225" s="19"/>
      <c r="H225" s="43">
        <f t="shared" si="95"/>
        <v>50830</v>
      </c>
      <c r="I225" s="264">
        <v>0</v>
      </c>
      <c r="J225" s="64">
        <f t="shared" ca="1" si="87"/>
        <v>0</v>
      </c>
      <c r="K225" s="19">
        <f ca="1">SUMPRODUCT(V$7:V225,OFFSET($J$366,ROW($I$7)-ROW(),0):$J$366)</f>
        <v>0</v>
      </c>
      <c r="L225" s="19">
        <f ca="1">SUMPRODUCT(W$7:W225,OFFSET($J$366,ROW($I$7)-ROW(),0):$J$366)</f>
        <v>0</v>
      </c>
      <c r="M225" s="19">
        <f ca="1">SUMPRODUCT(X$7:X225,OFFSET($J$366,ROW($I$7)-ROW(),0):$J$366)</f>
        <v>0</v>
      </c>
      <c r="N225" s="19"/>
      <c r="O225" s="43">
        <f t="shared" si="88"/>
        <v>50100</v>
      </c>
      <c r="P225" s="24">
        <f t="shared" si="89"/>
        <v>6634</v>
      </c>
      <c r="Q225" s="19">
        <f t="shared" si="90"/>
        <v>4.3838996241785599</v>
      </c>
      <c r="R225" s="19">
        <f t="shared" si="73"/>
        <v>27.47631901879236</v>
      </c>
      <c r="S225" s="19">
        <f t="shared" si="74"/>
        <v>2.3092847742598902E-2</v>
      </c>
      <c r="T225" s="19"/>
      <c r="U225" s="24">
        <f t="shared" si="96"/>
        <v>6633.7400000000143</v>
      </c>
      <c r="V225" s="19">
        <f t="shared" si="75"/>
        <v>18.349271381302174</v>
      </c>
      <c r="W225" s="19">
        <f t="shared" si="76"/>
        <v>57.447950046502669</v>
      </c>
      <c r="X225" s="19">
        <f t="shared" si="77"/>
        <v>9.1746356906510869</v>
      </c>
      <c r="Y225" s="27"/>
      <c r="Z225" s="42">
        <f t="shared" si="91"/>
        <v>50830</v>
      </c>
      <c r="AA225" s="19">
        <f t="shared" ca="1" si="78"/>
        <v>3.7105326419047335</v>
      </c>
      <c r="AB225" s="19">
        <f t="shared" ca="1" si="79"/>
        <v>24.27807548500493</v>
      </c>
      <c r="AC225" s="19">
        <f t="shared" ca="1" si="80"/>
        <v>1.009589549824768E-2</v>
      </c>
      <c r="AD225" s="19">
        <f t="shared" ca="1" si="81"/>
        <v>3.6417113227507394</v>
      </c>
      <c r="AE225" s="115">
        <f t="shared" ca="1" si="82"/>
        <v>115.02651189904674</v>
      </c>
      <c r="AF225" s="19">
        <f t="shared" ca="1" si="83"/>
        <v>752.62034003515282</v>
      </c>
      <c r="AG225" s="19">
        <f t="shared" ca="1" si="84"/>
        <v>0.31297276044567807</v>
      </c>
      <c r="AH225" s="19">
        <f t="shared" ca="1" si="85"/>
        <v>112.89305100527292</v>
      </c>
      <c r="AI225" s="46">
        <f t="shared" ca="1" si="92"/>
        <v>6543.016280417959</v>
      </c>
      <c r="AJ225" s="55">
        <f t="shared" ca="1" si="93"/>
        <v>2.7134919266341676E-3</v>
      </c>
      <c r="AK225" s="19">
        <f t="shared" ca="1" si="94"/>
        <v>152.83471065062389</v>
      </c>
      <c r="AL225" s="19">
        <f t="shared" ca="1" si="86"/>
        <v>150</v>
      </c>
    </row>
    <row r="226" spans="2:38" x14ac:dyDescent="0.25">
      <c r="B226" s="19"/>
      <c r="C226" s="19"/>
      <c r="D226" s="19"/>
      <c r="E226" s="19"/>
      <c r="F226" s="19"/>
      <c r="G226" s="19"/>
      <c r="H226" s="43">
        <f t="shared" si="95"/>
        <v>50861</v>
      </c>
      <c r="I226" s="264">
        <v>0</v>
      </c>
      <c r="J226" s="64">
        <f t="shared" ca="1" si="87"/>
        <v>0</v>
      </c>
      <c r="K226" s="19">
        <f ca="1">SUMPRODUCT(V$7:V226,OFFSET($J$366,ROW($I$7)-ROW(),0):$J$366)</f>
        <v>0</v>
      </c>
      <c r="L226" s="19">
        <f ca="1">SUMPRODUCT(W$7:W226,OFFSET($J$366,ROW($I$7)-ROW(),0):$J$366)</f>
        <v>0</v>
      </c>
      <c r="M226" s="19">
        <f ca="1">SUMPRODUCT(X$7:X226,OFFSET($J$366,ROW($I$7)-ROW(),0):$J$366)</f>
        <v>0</v>
      </c>
      <c r="N226" s="19"/>
      <c r="O226" s="43">
        <f t="shared" si="88"/>
        <v>50131</v>
      </c>
      <c r="P226" s="24">
        <f t="shared" si="89"/>
        <v>6665</v>
      </c>
      <c r="Q226" s="19">
        <f t="shared" si="90"/>
        <v>4.3529637186712611</v>
      </c>
      <c r="R226" s="19">
        <f t="shared" si="73"/>
        <v>27.332304996960033</v>
      </c>
      <c r="S226" s="19">
        <f t="shared" si="74"/>
        <v>2.2293994986687313E-2</v>
      </c>
      <c r="T226" s="19"/>
      <c r="U226" s="24">
        <f t="shared" si="96"/>
        <v>6664.1700000000146</v>
      </c>
      <c r="V226" s="19">
        <f t="shared" si="75"/>
        <v>18.219785906213062</v>
      </c>
      <c r="W226" s="19">
        <f t="shared" si="76"/>
        <v>57.146843106866356</v>
      </c>
      <c r="X226" s="19">
        <f t="shared" si="77"/>
        <v>9.1098929531065309</v>
      </c>
      <c r="Y226" s="27"/>
      <c r="Z226" s="42">
        <f t="shared" si="91"/>
        <v>50861</v>
      </c>
      <c r="AA226" s="19">
        <f t="shared" ca="1" si="78"/>
        <v>3.6843484914833557</v>
      </c>
      <c r="AB226" s="19">
        <f t="shared" ca="1" si="79"/>
        <v>24.150824695313883</v>
      </c>
      <c r="AC226" s="19">
        <f t="shared" ca="1" si="80"/>
        <v>9.7480639577535704E-3</v>
      </c>
      <c r="AD226" s="19">
        <f t="shared" ca="1" si="81"/>
        <v>3.6226237042970828</v>
      </c>
      <c r="AE226" s="115">
        <f t="shared" ca="1" si="82"/>
        <v>110.53045474450067</v>
      </c>
      <c r="AF226" s="19">
        <f t="shared" ca="1" si="83"/>
        <v>724.52474085941651</v>
      </c>
      <c r="AG226" s="19">
        <f t="shared" ca="1" si="84"/>
        <v>0.29244191873260711</v>
      </c>
      <c r="AH226" s="19">
        <f t="shared" ca="1" si="85"/>
        <v>108.67871112891248</v>
      </c>
      <c r="AI226" s="46">
        <f t="shared" ca="1" si="92"/>
        <v>6554.9783770835747</v>
      </c>
      <c r="AJ226" s="55">
        <f t="shared" ca="1" si="93"/>
        <v>2.6388221887149784E-3</v>
      </c>
      <c r="AK226" s="19">
        <f t="shared" ca="1" si="94"/>
        <v>152.55580453110778</v>
      </c>
      <c r="AL226" s="19">
        <f t="shared" ca="1" si="86"/>
        <v>150</v>
      </c>
    </row>
    <row r="227" spans="2:38" x14ac:dyDescent="0.25">
      <c r="B227" s="19"/>
      <c r="C227" s="19"/>
      <c r="D227" s="19"/>
      <c r="E227" s="19"/>
      <c r="F227" s="19"/>
      <c r="G227" s="19"/>
      <c r="H227" s="43">
        <f t="shared" si="95"/>
        <v>50891</v>
      </c>
      <c r="I227" s="264">
        <v>0</v>
      </c>
      <c r="J227" s="64">
        <f t="shared" ca="1" si="87"/>
        <v>0</v>
      </c>
      <c r="K227" s="19">
        <f ca="1">SUMPRODUCT(V$7:V227,OFFSET($J$366,ROW($I$7)-ROW(),0):$J$366)</f>
        <v>0</v>
      </c>
      <c r="L227" s="19">
        <f ca="1">SUMPRODUCT(W$7:W227,OFFSET($J$366,ROW($I$7)-ROW(),0):$J$366)</f>
        <v>0</v>
      </c>
      <c r="M227" s="19">
        <f ca="1">SUMPRODUCT(X$7:X227,OFFSET($J$366,ROW($I$7)-ROW(),0):$J$366)</f>
        <v>0</v>
      </c>
      <c r="N227" s="19"/>
      <c r="O227" s="43">
        <f t="shared" si="88"/>
        <v>50161</v>
      </c>
      <c r="P227" s="24">
        <f t="shared" si="89"/>
        <v>6695</v>
      </c>
      <c r="Q227" s="19">
        <f t="shared" si="90"/>
        <v>4.3232336174980697</v>
      </c>
      <c r="R227" s="19">
        <f t="shared" si="73"/>
        <v>27.19365533106491</v>
      </c>
      <c r="S227" s="19">
        <f t="shared" si="74"/>
        <v>2.1547360658584716E-2</v>
      </c>
      <c r="T227" s="19"/>
      <c r="U227" s="24">
        <f t="shared" si="96"/>
        <v>6694.6000000000149</v>
      </c>
      <c r="V227" s="19">
        <f t="shared" si="75"/>
        <v>18.095347451552342</v>
      </c>
      <c r="W227" s="19">
        <f t="shared" si="76"/>
        <v>56.856952052869651</v>
      </c>
      <c r="X227" s="19">
        <f t="shared" si="77"/>
        <v>9.0476737257761712</v>
      </c>
      <c r="Y227" s="27"/>
      <c r="Z227" s="42">
        <f t="shared" si="91"/>
        <v>50891</v>
      </c>
      <c r="AA227" s="19">
        <f t="shared" ca="1" si="78"/>
        <v>3.6591849338503661</v>
      </c>
      <c r="AB227" s="19">
        <f t="shared" ca="1" si="79"/>
        <v>24.028313850528953</v>
      </c>
      <c r="AC227" s="19">
        <f t="shared" ca="1" si="80"/>
        <v>9.4229223220910954E-3</v>
      </c>
      <c r="AD227" s="19">
        <f t="shared" ca="1" si="81"/>
        <v>3.6042470775793429</v>
      </c>
      <c r="AE227" s="115">
        <f t="shared" ca="1" si="82"/>
        <v>113.43473294936135</v>
      </c>
      <c r="AF227" s="19">
        <f t="shared" ca="1" si="83"/>
        <v>744.87772936639749</v>
      </c>
      <c r="AG227" s="19">
        <f t="shared" ca="1" si="84"/>
        <v>0.29211059198482398</v>
      </c>
      <c r="AH227" s="19">
        <f t="shared" ca="1" si="85"/>
        <v>111.73165940495963</v>
      </c>
      <c r="AI227" s="46">
        <f t="shared" ca="1" si="92"/>
        <v>6566.5754218235788</v>
      </c>
      <c r="AJ227" s="55">
        <f t="shared" ca="1" si="93"/>
        <v>2.5685280879058706E-3</v>
      </c>
      <c r="AK227" s="19">
        <f t="shared" ca="1" si="94"/>
        <v>152.28638000205802</v>
      </c>
      <c r="AL227" s="19">
        <f t="shared" ca="1" si="86"/>
        <v>150</v>
      </c>
    </row>
    <row r="228" spans="2:38" x14ac:dyDescent="0.25">
      <c r="B228" s="19"/>
      <c r="C228" s="19"/>
      <c r="D228" s="19"/>
      <c r="E228" s="19"/>
      <c r="F228" s="19"/>
      <c r="G228" s="19"/>
      <c r="H228" s="43">
        <f t="shared" si="95"/>
        <v>50922</v>
      </c>
      <c r="I228" s="264">
        <v>0</v>
      </c>
      <c r="J228" s="64">
        <f t="shared" ca="1" si="87"/>
        <v>0</v>
      </c>
      <c r="K228" s="19">
        <f ca="1">SUMPRODUCT(V$7:V228,OFFSET($J$366,ROW($I$7)-ROW(),0):$J$366)</f>
        <v>0</v>
      </c>
      <c r="L228" s="19">
        <f ca="1">SUMPRODUCT(W$7:W228,OFFSET($J$366,ROW($I$7)-ROW(),0):$J$366)</f>
        <v>0</v>
      </c>
      <c r="M228" s="19">
        <f ca="1">SUMPRODUCT(X$7:X228,OFFSET($J$366,ROW($I$7)-ROW(),0):$J$366)</f>
        <v>0</v>
      </c>
      <c r="N228" s="19"/>
      <c r="O228" s="43">
        <f t="shared" si="88"/>
        <v>50192</v>
      </c>
      <c r="P228" s="24">
        <f t="shared" si="89"/>
        <v>6726</v>
      </c>
      <c r="Q228" s="19">
        <f t="shared" si="90"/>
        <v>4.2927258143678921</v>
      </c>
      <c r="R228" s="19">
        <f t="shared" si="73"/>
        <v>27.05112285901615</v>
      </c>
      <c r="S228" s="19">
        <f t="shared" si="74"/>
        <v>2.0802224644599156E-2</v>
      </c>
      <c r="T228" s="19"/>
      <c r="U228" s="24">
        <f t="shared" si="96"/>
        <v>6725.0300000000152</v>
      </c>
      <c r="V228" s="19">
        <f t="shared" si="75"/>
        <v>17.9676538438348</v>
      </c>
      <c r="W228" s="19">
        <f t="shared" si="76"/>
        <v>56.558942762445362</v>
      </c>
      <c r="X228" s="19">
        <f t="shared" si="77"/>
        <v>8.9838269219173998</v>
      </c>
      <c r="Y228" s="27"/>
      <c r="Z228" s="42">
        <f t="shared" si="91"/>
        <v>50922</v>
      </c>
      <c r="AA228" s="19">
        <f t="shared" ca="1" si="78"/>
        <v>3.6333631292809843</v>
      </c>
      <c r="AB228" s="19">
        <f t="shared" ca="1" si="79"/>
        <v>23.902372158226669</v>
      </c>
      <c r="AC228" s="19">
        <f t="shared" ca="1" si="80"/>
        <v>9.0983865668545893E-3</v>
      </c>
      <c r="AD228" s="19">
        <f t="shared" ca="1" si="81"/>
        <v>3.5853558237340004</v>
      </c>
      <c r="AE228" s="115">
        <f t="shared" ca="1" si="82"/>
        <v>109.00089387842952</v>
      </c>
      <c r="AF228" s="19">
        <f t="shared" ca="1" si="83"/>
        <v>717.07116474680004</v>
      </c>
      <c r="AG228" s="19">
        <f t="shared" ca="1" si="84"/>
        <v>0.2729515970056377</v>
      </c>
      <c r="AH228" s="19">
        <f t="shared" ca="1" si="85"/>
        <v>107.56067471202002</v>
      </c>
      <c r="AI228" s="46">
        <f t="shared" ca="1" si="92"/>
        <v>6578.5805898670997</v>
      </c>
      <c r="AJ228" s="55">
        <f t="shared" ca="1" si="93"/>
        <v>2.4978675896145468E-3</v>
      </c>
      <c r="AK228" s="19">
        <f t="shared" ca="1" si="94"/>
        <v>152.00847452416815</v>
      </c>
      <c r="AL228" s="19">
        <f t="shared" ca="1" si="86"/>
        <v>150.00000000000003</v>
      </c>
    </row>
    <row r="229" spans="2:38" x14ac:dyDescent="0.25">
      <c r="B229" s="19"/>
      <c r="C229" s="19"/>
      <c r="D229" s="19"/>
      <c r="E229" s="19"/>
      <c r="F229" s="19"/>
      <c r="G229" s="19"/>
      <c r="H229" s="43">
        <f t="shared" si="95"/>
        <v>50952</v>
      </c>
      <c r="I229" s="264">
        <v>0</v>
      </c>
      <c r="J229" s="64">
        <f t="shared" ca="1" si="87"/>
        <v>0</v>
      </c>
      <c r="K229" s="19">
        <f ca="1">SUMPRODUCT(V$7:V229,OFFSET($J$366,ROW($I$7)-ROW(),0):$J$366)</f>
        <v>0</v>
      </c>
      <c r="L229" s="19">
        <f ca="1">SUMPRODUCT(W$7:W229,OFFSET($J$366,ROW($I$7)-ROW(),0):$J$366)</f>
        <v>0</v>
      </c>
      <c r="M229" s="19">
        <f ca="1">SUMPRODUCT(X$7:X229,OFFSET($J$366,ROW($I$7)-ROW(),0):$J$366)</f>
        <v>0</v>
      </c>
      <c r="N229" s="19"/>
      <c r="O229" s="43">
        <f t="shared" si="88"/>
        <v>50222</v>
      </c>
      <c r="P229" s="24">
        <f t="shared" si="89"/>
        <v>6756</v>
      </c>
      <c r="Q229" s="19">
        <f t="shared" si="90"/>
        <v>4.263407129210349</v>
      </c>
      <c r="R229" s="19">
        <f t="shared" si="73"/>
        <v>26.913899556886761</v>
      </c>
      <c r="S229" s="19">
        <f t="shared" si="74"/>
        <v>2.0105787373617897E-2</v>
      </c>
      <c r="T229" s="19"/>
      <c r="U229" s="24">
        <f t="shared" si="96"/>
        <v>6755.4600000000155</v>
      </c>
      <c r="V229" s="19">
        <f t="shared" si="75"/>
        <v>17.844937414030703</v>
      </c>
      <c r="W229" s="19">
        <f t="shared" si="76"/>
        <v>56.272033973806188</v>
      </c>
      <c r="X229" s="19">
        <f t="shared" si="77"/>
        <v>8.9224687070153514</v>
      </c>
      <c r="Y229" s="27"/>
      <c r="Z229" s="42">
        <f t="shared" si="91"/>
        <v>50952</v>
      </c>
      <c r="AA229" s="19">
        <f t="shared" ca="1" si="78"/>
        <v>3.6085477941636395</v>
      </c>
      <c r="AB229" s="19">
        <f t="shared" ca="1" si="79"/>
        <v>23.781121648465138</v>
      </c>
      <c r="AC229" s="19">
        <f t="shared" ca="1" si="80"/>
        <v>8.7950174486162765E-3</v>
      </c>
      <c r="AD229" s="19">
        <f t="shared" ca="1" si="81"/>
        <v>3.5671682472697706</v>
      </c>
      <c r="AE229" s="115">
        <f t="shared" ca="1" si="82"/>
        <v>111.86498161907282</v>
      </c>
      <c r="AF229" s="19">
        <f t="shared" ca="1" si="83"/>
        <v>737.21477110241926</v>
      </c>
      <c r="AG229" s="19">
        <f t="shared" ca="1" si="84"/>
        <v>0.27264554090710458</v>
      </c>
      <c r="AH229" s="19">
        <f t="shared" ca="1" si="85"/>
        <v>110.58221566536288</v>
      </c>
      <c r="AI229" s="46">
        <f t="shared" ca="1" si="92"/>
        <v>6590.2193915591297</v>
      </c>
      <c r="AJ229" s="55">
        <f t="shared" ca="1" si="93"/>
        <v>2.4313475129818627E-3</v>
      </c>
      <c r="AK229" s="19">
        <f t="shared" ca="1" si="94"/>
        <v>151.74001661929765</v>
      </c>
      <c r="AL229" s="19">
        <f t="shared" ca="1" si="86"/>
        <v>149.99999999999997</v>
      </c>
    </row>
    <row r="230" spans="2:38" x14ac:dyDescent="0.25">
      <c r="B230" s="19"/>
      <c r="C230" s="19"/>
      <c r="D230" s="19"/>
      <c r="E230" s="19"/>
      <c r="F230" s="19"/>
      <c r="G230" s="19"/>
      <c r="H230" s="43">
        <f t="shared" si="95"/>
        <v>50983</v>
      </c>
      <c r="I230" s="264">
        <v>0</v>
      </c>
      <c r="J230" s="64">
        <f t="shared" ca="1" si="87"/>
        <v>0</v>
      </c>
      <c r="K230" s="19">
        <f ca="1">SUMPRODUCT(V$7:V230,OFFSET($J$366,ROW($I$7)-ROW(),0):$J$366)</f>
        <v>0</v>
      </c>
      <c r="L230" s="19">
        <f ca="1">SUMPRODUCT(W$7:W230,OFFSET($J$366,ROW($I$7)-ROW(),0):$J$366)</f>
        <v>0</v>
      </c>
      <c r="M230" s="19">
        <f ca="1">SUMPRODUCT(X$7:X230,OFFSET($J$366,ROW($I$7)-ROW(),0):$J$366)</f>
        <v>0</v>
      </c>
      <c r="N230" s="19"/>
      <c r="O230" s="43">
        <f t="shared" si="88"/>
        <v>50253</v>
      </c>
      <c r="P230" s="24">
        <f t="shared" si="89"/>
        <v>6787</v>
      </c>
      <c r="Q230" s="19">
        <f t="shared" si="90"/>
        <v>4.2333215042199939</v>
      </c>
      <c r="R230" s="19">
        <f t="shared" si="73"/>
        <v>26.772833393121243</v>
      </c>
      <c r="S230" s="19">
        <f t="shared" si="74"/>
        <v>1.9410739311615535E-2</v>
      </c>
      <c r="T230" s="19"/>
      <c r="U230" s="24">
        <f t="shared" si="96"/>
        <v>6785.8900000000158</v>
      </c>
      <c r="V230" s="19">
        <f t="shared" si="75"/>
        <v>17.719010877168543</v>
      </c>
      <c r="W230" s="19">
        <f t="shared" si="76"/>
        <v>55.977090465408629</v>
      </c>
      <c r="X230" s="19">
        <f t="shared" si="77"/>
        <v>8.8595054385842715</v>
      </c>
      <c r="Y230" s="27"/>
      <c r="Z230" s="42">
        <f t="shared" si="91"/>
        <v>50983</v>
      </c>
      <c r="AA230" s="19">
        <f t="shared" ca="1" si="78"/>
        <v>3.5830833211718027</v>
      </c>
      <c r="AB230" s="19">
        <f t="shared" ca="1" si="79"/>
        <v>23.656475586161925</v>
      </c>
      <c r="AC230" s="19">
        <f t="shared" ca="1" si="80"/>
        <v>8.4922100218614571E-3</v>
      </c>
      <c r="AD230" s="19">
        <f t="shared" ca="1" si="81"/>
        <v>3.5484713379242887</v>
      </c>
      <c r="AE230" s="115">
        <f t="shared" ca="1" si="82"/>
        <v>111.07558295632589</v>
      </c>
      <c r="AF230" s="19">
        <f t="shared" ca="1" si="83"/>
        <v>733.35074317101964</v>
      </c>
      <c r="AG230" s="19">
        <f t="shared" ca="1" si="84"/>
        <v>0.26325851067770517</v>
      </c>
      <c r="AH230" s="19">
        <f t="shared" ca="1" si="85"/>
        <v>110.00261147565296</v>
      </c>
      <c r="AI230" s="46">
        <f t="shared" ca="1" si="92"/>
        <v>6602.2677860657077</v>
      </c>
      <c r="AJ230" s="55">
        <f t="shared" ca="1" si="93"/>
        <v>2.3644804203906194E-3</v>
      </c>
      <c r="AK230" s="19">
        <f t="shared" ca="1" si="94"/>
        <v>151.46310819299561</v>
      </c>
      <c r="AL230" s="19">
        <f t="shared" ca="1" si="86"/>
        <v>150</v>
      </c>
    </row>
    <row r="231" spans="2:38" x14ac:dyDescent="0.25">
      <c r="B231" s="19"/>
      <c r="C231" s="19"/>
      <c r="D231" s="19"/>
      <c r="E231" s="19"/>
      <c r="F231" s="19"/>
      <c r="G231" s="19"/>
      <c r="H231" s="43">
        <f t="shared" si="95"/>
        <v>51014</v>
      </c>
      <c r="I231" s="264">
        <v>0</v>
      </c>
      <c r="J231" s="64">
        <f t="shared" ca="1" si="87"/>
        <v>0</v>
      </c>
      <c r="K231" s="19">
        <f ca="1">SUMPRODUCT(V$7:V231,OFFSET($J$366,ROW($I$7)-ROW(),0):$J$366)</f>
        <v>0</v>
      </c>
      <c r="L231" s="19">
        <f ca="1">SUMPRODUCT(W$7:W231,OFFSET($J$366,ROW($I$7)-ROW(),0):$J$366)</f>
        <v>0</v>
      </c>
      <c r="M231" s="19">
        <f ca="1">SUMPRODUCT(X$7:X231,OFFSET($J$366,ROW($I$7)-ROW(),0):$J$366)</f>
        <v>0</v>
      </c>
      <c r="N231" s="19"/>
      <c r="O231" s="43">
        <f t="shared" si="88"/>
        <v>50284</v>
      </c>
      <c r="P231" s="24">
        <f t="shared" si="89"/>
        <v>6818</v>
      </c>
      <c r="Q231" s="19">
        <f t="shared" si="90"/>
        <v>4.2034481847410827</v>
      </c>
      <c r="R231" s="19">
        <f t="shared" si="73"/>
        <v>26.632506611715289</v>
      </c>
      <c r="S231" s="19">
        <f t="shared" si="74"/>
        <v>1.8739834702131409E-2</v>
      </c>
      <c r="T231" s="19"/>
      <c r="U231" s="24">
        <f t="shared" si="96"/>
        <v>6816.3200000000161</v>
      </c>
      <c r="V231" s="19">
        <f t="shared" si="75"/>
        <v>17.593972967277622</v>
      </c>
      <c r="W231" s="19">
        <f t="shared" si="76"/>
        <v>55.683692870087285</v>
      </c>
      <c r="X231" s="19">
        <f t="shared" si="77"/>
        <v>8.7969864836388112</v>
      </c>
      <c r="Y231" s="27"/>
      <c r="Z231" s="42">
        <f t="shared" si="91"/>
        <v>51014</v>
      </c>
      <c r="AA231" s="19">
        <f t="shared" ca="1" si="78"/>
        <v>3.5577985435648523</v>
      </c>
      <c r="AB231" s="19">
        <f t="shared" ca="1" si="79"/>
        <v>23.532482842111627</v>
      </c>
      <c r="AC231" s="19">
        <f t="shared" ca="1" si="80"/>
        <v>8.1998784007438676E-3</v>
      </c>
      <c r="AD231" s="19">
        <f t="shared" ca="1" si="81"/>
        <v>3.5298724263167442</v>
      </c>
      <c r="AE231" s="115">
        <f t="shared" ca="1" si="82"/>
        <v>106.73395630694557</v>
      </c>
      <c r="AF231" s="19">
        <f t="shared" ca="1" si="83"/>
        <v>705.97448526334881</v>
      </c>
      <c r="AG231" s="19">
        <f t="shared" ca="1" si="84"/>
        <v>0.24599635202231604</v>
      </c>
      <c r="AH231" s="19">
        <f t="shared" ca="1" si="85"/>
        <v>105.89617278950233</v>
      </c>
      <c r="AI231" s="46">
        <f t="shared" ca="1" si="92"/>
        <v>6614.3382077312581</v>
      </c>
      <c r="AJ231" s="55">
        <f t="shared" ca="1" si="93"/>
        <v>2.2994621506938449E-3</v>
      </c>
      <c r="AK231" s="19">
        <f t="shared" ca="1" si="94"/>
        <v>151.18670509335863</v>
      </c>
      <c r="AL231" s="19">
        <f t="shared" ca="1" si="86"/>
        <v>150</v>
      </c>
    </row>
    <row r="232" spans="2:38" x14ac:dyDescent="0.25">
      <c r="B232" s="19"/>
      <c r="C232" s="19"/>
      <c r="D232" s="19"/>
      <c r="E232" s="19"/>
      <c r="F232" s="19"/>
      <c r="G232" s="19"/>
      <c r="H232" s="43">
        <f t="shared" si="95"/>
        <v>51044</v>
      </c>
      <c r="I232" s="264">
        <v>0</v>
      </c>
      <c r="J232" s="64">
        <f t="shared" ca="1" si="87"/>
        <v>0</v>
      </c>
      <c r="K232" s="19">
        <f ca="1">SUMPRODUCT(V$7:V232,OFFSET($J$366,ROW($I$7)-ROW(),0):$J$366)</f>
        <v>0</v>
      </c>
      <c r="L232" s="19">
        <f ca="1">SUMPRODUCT(W$7:W232,OFFSET($J$366,ROW($I$7)-ROW(),0):$J$366)</f>
        <v>0</v>
      </c>
      <c r="M232" s="19">
        <f ca="1">SUMPRODUCT(X$7:X232,OFFSET($J$366,ROW($I$7)-ROW(),0):$J$366)</f>
        <v>0</v>
      </c>
      <c r="N232" s="19"/>
      <c r="O232" s="43">
        <f t="shared" si="88"/>
        <v>50314</v>
      </c>
      <c r="P232" s="24">
        <f t="shared" si="89"/>
        <v>6848</v>
      </c>
      <c r="Q232" s="19">
        <f t="shared" si="90"/>
        <v>4.1747392526467042</v>
      </c>
      <c r="R232" s="19">
        <f t="shared" si="73"/>
        <v>26.497406840800444</v>
      </c>
      <c r="S232" s="19">
        <f t="shared" si="74"/>
        <v>1.8112766014686452E-2</v>
      </c>
      <c r="T232" s="19"/>
      <c r="U232" s="24">
        <f t="shared" si="96"/>
        <v>6846.7500000000164</v>
      </c>
      <c r="V232" s="19">
        <f t="shared" si="75"/>
        <v>17.473808722831489</v>
      </c>
      <c r="W232" s="19">
        <f t="shared" si="76"/>
        <v>55.401223996236254</v>
      </c>
      <c r="X232" s="19">
        <f t="shared" si="77"/>
        <v>8.7369043614157444</v>
      </c>
      <c r="Y232" s="27"/>
      <c r="Z232" s="42">
        <f t="shared" si="91"/>
        <v>51044</v>
      </c>
      <c r="AA232" s="19">
        <f t="shared" ca="1" si="78"/>
        <v>3.5334993034401716</v>
      </c>
      <c r="AB232" s="19">
        <f t="shared" ca="1" si="79"/>
        <v>23.41310868453127</v>
      </c>
      <c r="AC232" s="19">
        <f t="shared" ca="1" si="80"/>
        <v>7.9266080991253728E-3</v>
      </c>
      <c r="AD232" s="19">
        <f t="shared" ca="1" si="81"/>
        <v>3.5119663026796903</v>
      </c>
      <c r="AE232" s="115">
        <f t="shared" ca="1" si="82"/>
        <v>109.53847840664532</v>
      </c>
      <c r="AF232" s="19">
        <f t="shared" ca="1" si="83"/>
        <v>725.80636922046938</v>
      </c>
      <c r="AG232" s="19">
        <f t="shared" ca="1" si="84"/>
        <v>0.24572485107288655</v>
      </c>
      <c r="AH232" s="19">
        <f t="shared" ca="1" si="85"/>
        <v>108.8709553830704</v>
      </c>
      <c r="AI232" s="46">
        <f t="shared" ca="1" si="92"/>
        <v>6626.0402716753206</v>
      </c>
      <c r="AJ232" s="55">
        <f t="shared" ca="1" si="93"/>
        <v>2.2382532621387061E-3</v>
      </c>
      <c r="AK232" s="19">
        <f t="shared" ca="1" si="94"/>
        <v>150.91969849243932</v>
      </c>
      <c r="AL232" s="19">
        <f t="shared" ca="1" si="86"/>
        <v>149.99999999999997</v>
      </c>
    </row>
    <row r="233" spans="2:38" x14ac:dyDescent="0.25">
      <c r="B233" s="19"/>
      <c r="C233" s="19"/>
      <c r="D233" s="19"/>
      <c r="E233" s="19"/>
      <c r="F233" s="19"/>
      <c r="G233" s="19"/>
      <c r="H233" s="43">
        <f t="shared" si="95"/>
        <v>51075</v>
      </c>
      <c r="I233" s="264">
        <v>0</v>
      </c>
      <c r="J233" s="64">
        <f t="shared" ca="1" si="87"/>
        <v>0</v>
      </c>
      <c r="K233" s="19">
        <f ca="1">SUMPRODUCT(V$7:V233,OFFSET($J$366,ROW($I$7)-ROW(),0):$J$366)</f>
        <v>0</v>
      </c>
      <c r="L233" s="19">
        <f ca="1">SUMPRODUCT(W$7:W233,OFFSET($J$366,ROW($I$7)-ROW(),0):$J$366)</f>
        <v>0</v>
      </c>
      <c r="M233" s="19">
        <f ca="1">SUMPRODUCT(X$7:X233,OFFSET($J$366,ROW($I$7)-ROW(),0):$J$366)</f>
        <v>0</v>
      </c>
      <c r="N233" s="19"/>
      <c r="O233" s="43">
        <f t="shared" si="88"/>
        <v>50345</v>
      </c>
      <c r="P233" s="24">
        <f t="shared" si="89"/>
        <v>6879</v>
      </c>
      <c r="Q233" s="19">
        <f t="shared" si="90"/>
        <v>4.1452793310907481</v>
      </c>
      <c r="R233" s="19">
        <f t="shared" si="73"/>
        <v>26.358523676550487</v>
      </c>
      <c r="S233" s="19">
        <f t="shared" si="74"/>
        <v>1.7486936805158941E-2</v>
      </c>
      <c r="T233" s="19"/>
      <c r="U233" s="24">
        <f t="shared" si="96"/>
        <v>6877.1800000000167</v>
      </c>
      <c r="V233" s="19">
        <f t="shared" si="75"/>
        <v>17.350501133277948</v>
      </c>
      <c r="W233" s="19">
        <f t="shared" si="76"/>
        <v>55.110844739951055</v>
      </c>
      <c r="X233" s="19">
        <f t="shared" si="77"/>
        <v>8.6752505666389741</v>
      </c>
      <c r="Y233" s="27"/>
      <c r="Z233" s="42">
        <f t="shared" si="91"/>
        <v>51075</v>
      </c>
      <c r="AA233" s="19">
        <f t="shared" ca="1" si="78"/>
        <v>3.5085644258352091</v>
      </c>
      <c r="AB233" s="19">
        <f t="shared" ca="1" si="79"/>
        <v>23.290391520600011</v>
      </c>
      <c r="AC233" s="19">
        <f t="shared" ca="1" si="80"/>
        <v>7.6538388505808892E-3</v>
      </c>
      <c r="AD233" s="19">
        <f t="shared" ca="1" si="81"/>
        <v>3.4935587280900018</v>
      </c>
      <c r="AE233" s="115">
        <f t="shared" ca="1" si="82"/>
        <v>105.25693277505627</v>
      </c>
      <c r="AF233" s="19">
        <f t="shared" ca="1" si="83"/>
        <v>698.71174561800035</v>
      </c>
      <c r="AG233" s="19">
        <f t="shared" ca="1" si="84"/>
        <v>0.22961516551742667</v>
      </c>
      <c r="AH233" s="19">
        <f t="shared" ca="1" si="85"/>
        <v>104.80676184270006</v>
      </c>
      <c r="AI233" s="46">
        <f t="shared" ca="1" si="92"/>
        <v>6638.1541547596826</v>
      </c>
      <c r="AJ233" s="55">
        <f t="shared" ca="1" si="93"/>
        <v>2.1767246156048385E-3</v>
      </c>
      <c r="AK233" s="19">
        <f t="shared" ca="1" si="94"/>
        <v>150.64428705425306</v>
      </c>
      <c r="AL233" s="19">
        <f t="shared" ca="1" si="86"/>
        <v>150</v>
      </c>
    </row>
    <row r="234" spans="2:38" x14ac:dyDescent="0.25">
      <c r="B234" s="19"/>
      <c r="C234" s="19"/>
      <c r="D234" s="19"/>
      <c r="E234" s="19"/>
      <c r="F234" s="19"/>
      <c r="G234" s="19"/>
      <c r="H234" s="44">
        <f t="shared" si="95"/>
        <v>51105</v>
      </c>
      <c r="I234" s="265">
        <v>0</v>
      </c>
      <c r="J234" s="65">
        <f t="shared" ca="1" si="87"/>
        <v>0</v>
      </c>
      <c r="K234" s="21">
        <f ca="1">SUMPRODUCT(V$7:V234,OFFSET($J$366,ROW($I$7)-ROW(),0):$J$366)</f>
        <v>0</v>
      </c>
      <c r="L234" s="21">
        <f ca="1">SUMPRODUCT(W$7:W234,OFFSET($J$366,ROW($I$7)-ROW(),0):$J$366)</f>
        <v>0</v>
      </c>
      <c r="M234" s="21">
        <f ca="1">SUMPRODUCT(X$7:X234,OFFSET($J$366,ROW($I$7)-ROW(),0):$J$366)</f>
        <v>0</v>
      </c>
      <c r="N234" s="19"/>
      <c r="O234" s="44">
        <f t="shared" si="88"/>
        <v>50375</v>
      </c>
      <c r="P234" s="25">
        <f t="shared" si="89"/>
        <v>6909</v>
      </c>
      <c r="Q234" s="21">
        <f t="shared" si="90"/>
        <v>4.1169676837007509</v>
      </c>
      <c r="R234" s="21">
        <f t="shared" si="73"/>
        <v>26.224813749720354</v>
      </c>
      <c r="S234" s="21">
        <f t="shared" si="74"/>
        <v>1.69019913186906E-2</v>
      </c>
      <c r="T234" s="19"/>
      <c r="U234" s="25">
        <f t="shared" si="96"/>
        <v>6907.610000000017</v>
      </c>
      <c r="V234" s="21">
        <f t="shared" si="75"/>
        <v>17.231999765603931</v>
      </c>
      <c r="W234" s="21">
        <f t="shared" si="76"/>
        <v>54.831281775494091</v>
      </c>
      <c r="X234" s="21">
        <f t="shared" si="77"/>
        <v>8.6159998828019653</v>
      </c>
      <c r="Y234" s="27"/>
      <c r="Z234" s="48">
        <f t="shared" si="91"/>
        <v>51105</v>
      </c>
      <c r="AA234" s="21">
        <f t="shared" ca="1" si="78"/>
        <v>3.4846014474843159</v>
      </c>
      <c r="AB234" s="21">
        <f t="shared" ca="1" si="79"/>
        <v>23.172245429252904</v>
      </c>
      <c r="AC234" s="21">
        <f t="shared" ca="1" si="80"/>
        <v>7.3988523250469469E-3</v>
      </c>
      <c r="AD234" s="21">
        <f t="shared" ca="1" si="81"/>
        <v>3.4758368143879359</v>
      </c>
      <c r="AE234" s="116">
        <f t="shared" ca="1" si="82"/>
        <v>108.02264487201379</v>
      </c>
      <c r="AF234" s="21">
        <f t="shared" ca="1" si="83"/>
        <v>718.33960830683998</v>
      </c>
      <c r="AG234" s="21">
        <f t="shared" ca="1" si="84"/>
        <v>0.22936442207645535</v>
      </c>
      <c r="AH234" s="21">
        <f t="shared" ca="1" si="85"/>
        <v>107.75094124602602</v>
      </c>
      <c r="AI234" s="47">
        <f t="shared" ca="1" si="92"/>
        <v>6649.8983537936447</v>
      </c>
      <c r="AJ234" s="57">
        <f t="shared" ca="1" si="93"/>
        <v>2.1188005984566693E-3</v>
      </c>
      <c r="AK234" s="21">
        <f t="shared" ca="1" si="94"/>
        <v>150.37823840262436</v>
      </c>
      <c r="AL234" s="21">
        <f t="shared" ca="1" si="86"/>
        <v>150.00000000000003</v>
      </c>
    </row>
    <row r="235" spans="2:38" x14ac:dyDescent="0.25">
      <c r="B235" s="19"/>
      <c r="C235" s="19"/>
      <c r="D235" s="19"/>
      <c r="E235" s="19"/>
      <c r="F235" s="19"/>
      <c r="G235" s="19"/>
      <c r="H235" s="43">
        <f t="shared" si="95"/>
        <v>51136</v>
      </c>
      <c r="I235" s="264">
        <v>0</v>
      </c>
      <c r="J235" s="64">
        <f t="shared" ca="1" si="87"/>
        <v>0</v>
      </c>
      <c r="K235" s="19">
        <f ca="1">SUMPRODUCT(V$7:V235,OFFSET($J$366,ROW($I$7)-ROW(),0):$J$366)</f>
        <v>0</v>
      </c>
      <c r="L235" s="19">
        <f ca="1">SUMPRODUCT(W$7:W235,OFFSET($J$366,ROW($I$7)-ROW(),0):$J$366)</f>
        <v>0</v>
      </c>
      <c r="M235" s="19">
        <f ca="1">SUMPRODUCT(X$7:X235,OFFSET($J$366,ROW($I$7)-ROW(),0):$J$366)</f>
        <v>0</v>
      </c>
      <c r="N235" s="19"/>
      <c r="O235" s="43">
        <f t="shared" si="88"/>
        <v>50406</v>
      </c>
      <c r="P235" s="24">
        <f t="shared" si="89"/>
        <v>6940</v>
      </c>
      <c r="Q235" s="19">
        <f t="shared" si="90"/>
        <v>4.087915439316065</v>
      </c>
      <c r="R235" s="19">
        <f t="shared" si="73"/>
        <v>26.087359351359432</v>
      </c>
      <c r="S235" s="19">
        <f t="shared" si="74"/>
        <v>1.6318195028887504E-2</v>
      </c>
      <c r="T235" s="19"/>
      <c r="U235" s="24">
        <f t="shared" si="96"/>
        <v>6938.0400000000172</v>
      </c>
      <c r="V235" s="19">
        <f t="shared" si="75"/>
        <v>17.110398551581969</v>
      </c>
      <c r="W235" s="19">
        <f t="shared" si="76"/>
        <v>54.54388980696622</v>
      </c>
      <c r="X235" s="19">
        <f t="shared" si="77"/>
        <v>8.5551992757909847</v>
      </c>
      <c r="Y235" s="27"/>
      <c r="Z235" s="42">
        <f t="shared" si="91"/>
        <v>51136</v>
      </c>
      <c r="AA235" s="19">
        <f t="shared" ca="1" si="78"/>
        <v>3.4600116278371176</v>
      </c>
      <c r="AB235" s="19">
        <f t="shared" ca="1" si="79"/>
        <v>23.050790722861187</v>
      </c>
      <c r="AC235" s="19">
        <f t="shared" ca="1" si="80"/>
        <v>7.1443302932762132E-3</v>
      </c>
      <c r="AD235" s="19">
        <f t="shared" ca="1" si="81"/>
        <v>3.4576186084291778</v>
      </c>
      <c r="AE235" s="115">
        <f t="shared" ca="1" si="82"/>
        <v>107.26036046295064</v>
      </c>
      <c r="AF235" s="19">
        <f t="shared" ca="1" si="83"/>
        <v>714.57451240869682</v>
      </c>
      <c r="AG235" s="19">
        <f t="shared" ca="1" si="84"/>
        <v>0.22147423909156261</v>
      </c>
      <c r="AH235" s="19">
        <f t="shared" ca="1" si="85"/>
        <v>107.18617686130452</v>
      </c>
      <c r="AI235" s="46">
        <f t="shared" ca="1" si="92"/>
        <v>6662.0558547863702</v>
      </c>
      <c r="AJ235" s="55">
        <f t="shared" ca="1" si="93"/>
        <v>2.0605736746635056E-3</v>
      </c>
      <c r="AK235" s="19">
        <f t="shared" ca="1" si="94"/>
        <v>150.10381506806905</v>
      </c>
      <c r="AL235" s="19">
        <f t="shared" ca="1" si="86"/>
        <v>149.99999999999997</v>
      </c>
    </row>
    <row r="236" spans="2:38" x14ac:dyDescent="0.25">
      <c r="B236" s="19"/>
      <c r="C236" s="19"/>
      <c r="D236" s="19"/>
      <c r="E236" s="19"/>
      <c r="F236" s="19"/>
      <c r="G236" s="19"/>
      <c r="H236" s="43">
        <f t="shared" si="95"/>
        <v>51167</v>
      </c>
      <c r="I236" s="264">
        <v>0</v>
      </c>
      <c r="J236" s="64">
        <f t="shared" ca="1" si="87"/>
        <v>0</v>
      </c>
      <c r="K236" s="19">
        <f ca="1">SUMPRODUCT(V$7:V236,OFFSET($J$366,ROW($I$7)-ROW(),0):$J$366)</f>
        <v>0</v>
      </c>
      <c r="L236" s="19">
        <f ca="1">SUMPRODUCT(W$7:W236,OFFSET($J$366,ROW($I$7)-ROW(),0):$J$366)</f>
        <v>0</v>
      </c>
      <c r="M236" s="19">
        <f ca="1">SUMPRODUCT(X$7:X236,OFFSET($J$366,ROW($I$7)-ROW(),0):$J$366)</f>
        <v>0</v>
      </c>
      <c r="N236" s="19"/>
      <c r="O236" s="43">
        <f t="shared" si="88"/>
        <v>50437</v>
      </c>
      <c r="P236" s="24">
        <f t="shared" si="89"/>
        <v>6971</v>
      </c>
      <c r="Q236" s="19">
        <f t="shared" si="90"/>
        <v>4.0590682081762308</v>
      </c>
      <c r="R236" s="19">
        <f t="shared" si="73"/>
        <v>25.950625404697764</v>
      </c>
      <c r="S236" s="19">
        <f t="shared" si="74"/>
        <v>1.5754660427738015E-2</v>
      </c>
      <c r="T236" s="19"/>
      <c r="U236" s="24">
        <f t="shared" si="96"/>
        <v>6968.4700000000175</v>
      </c>
      <c r="V236" s="19">
        <f t="shared" si="75"/>
        <v>16.989655441985075</v>
      </c>
      <c r="W236" s="19">
        <f t="shared" si="76"/>
        <v>54.258004170971525</v>
      </c>
      <c r="X236" s="19">
        <f t="shared" si="77"/>
        <v>8.4948277209925376</v>
      </c>
      <c r="Y236" s="27"/>
      <c r="Z236" s="42">
        <f t="shared" si="91"/>
        <v>51167</v>
      </c>
      <c r="AA236" s="19">
        <f t="shared" ca="1" si="78"/>
        <v>3.4355953314003624</v>
      </c>
      <c r="AB236" s="19">
        <f t="shared" ca="1" si="79"/>
        <v>22.92997260759094</v>
      </c>
      <c r="AC236" s="19">
        <f t="shared" ca="1" si="80"/>
        <v>6.8986061318958829E-3</v>
      </c>
      <c r="AD236" s="19">
        <f t="shared" ca="1" si="81"/>
        <v>3.4394958911386411</v>
      </c>
      <c r="AE236" s="115">
        <f t="shared" ca="1" si="82"/>
        <v>99.632264610610505</v>
      </c>
      <c r="AF236" s="19">
        <f t="shared" ca="1" si="83"/>
        <v>664.96920562013725</v>
      </c>
      <c r="AG236" s="19">
        <f t="shared" ca="1" si="84"/>
        <v>0.2000595778249806</v>
      </c>
      <c r="AH236" s="19">
        <f t="shared" ca="1" si="85"/>
        <v>99.745380843020598</v>
      </c>
      <c r="AI236" s="46">
        <f t="shared" ca="1" si="92"/>
        <v>6674.2355824091164</v>
      </c>
      <c r="AJ236" s="55">
        <f t="shared" ca="1" si="93"/>
        <v>2.0039559276148291E-3</v>
      </c>
      <c r="AK236" s="19">
        <f t="shared" ca="1" si="94"/>
        <v>149.82989252516649</v>
      </c>
      <c r="AL236" s="19">
        <f t="shared" ca="1" si="86"/>
        <v>150</v>
      </c>
    </row>
    <row r="237" spans="2:38" x14ac:dyDescent="0.25">
      <c r="B237" s="19"/>
      <c r="C237" s="19"/>
      <c r="D237" s="19"/>
      <c r="E237" s="19"/>
      <c r="F237" s="19"/>
      <c r="G237" s="19"/>
      <c r="H237" s="43">
        <f t="shared" si="95"/>
        <v>51196</v>
      </c>
      <c r="I237" s="264">
        <v>0</v>
      </c>
      <c r="J237" s="64">
        <f t="shared" ca="1" si="87"/>
        <v>0</v>
      </c>
      <c r="K237" s="19">
        <f ca="1">SUMPRODUCT(V$7:V237,OFFSET($J$366,ROW($I$7)-ROW(),0):$J$366)</f>
        <v>0</v>
      </c>
      <c r="L237" s="19">
        <f ca="1">SUMPRODUCT(W$7:W237,OFFSET($J$366,ROW($I$7)-ROW(),0):$J$366)</f>
        <v>0</v>
      </c>
      <c r="M237" s="19">
        <f ca="1">SUMPRODUCT(X$7:X237,OFFSET($J$366,ROW($I$7)-ROW(),0):$J$366)</f>
        <v>0</v>
      </c>
      <c r="N237" s="19"/>
      <c r="O237" s="43">
        <f t="shared" si="88"/>
        <v>50465</v>
      </c>
      <c r="P237" s="24">
        <f t="shared" si="89"/>
        <v>6999</v>
      </c>
      <c r="Q237" s="19">
        <f t="shared" si="90"/>
        <v>4.0331876542442755</v>
      </c>
      <c r="R237" s="19">
        <f t="shared" si="73"/>
        <v>25.827739877664822</v>
      </c>
      <c r="S237" s="19">
        <f t="shared" si="74"/>
        <v>1.5262488543225174E-2</v>
      </c>
      <c r="T237" s="19"/>
      <c r="U237" s="24">
        <f t="shared" si="96"/>
        <v>6998.9000000000178</v>
      </c>
      <c r="V237" s="19">
        <f t="shared" si="75"/>
        <v>16.881329670798003</v>
      </c>
      <c r="W237" s="19">
        <f t="shared" si="76"/>
        <v>54.001073043712502</v>
      </c>
      <c r="X237" s="19">
        <f t="shared" si="77"/>
        <v>8.4406648353990015</v>
      </c>
      <c r="Y237" s="27"/>
      <c r="Z237" s="42">
        <f t="shared" si="91"/>
        <v>51196</v>
      </c>
      <c r="AA237" s="19">
        <f t="shared" ca="1" si="78"/>
        <v>3.4129102868323931</v>
      </c>
      <c r="AB237" s="19">
        <f t="shared" ca="1" si="79"/>
        <v>22.817522563860074</v>
      </c>
      <c r="AC237" s="19">
        <f t="shared" ca="1" si="80"/>
        <v>6.6764290769356091E-3</v>
      </c>
      <c r="AD237" s="19">
        <f t="shared" ca="1" si="81"/>
        <v>3.4226283845790109</v>
      </c>
      <c r="AE237" s="115">
        <f t="shared" ca="1" si="82"/>
        <v>105.80021889180418</v>
      </c>
      <c r="AF237" s="19">
        <f t="shared" ca="1" si="83"/>
        <v>707.3431994796623</v>
      </c>
      <c r="AG237" s="19">
        <f t="shared" ca="1" si="84"/>
        <v>0.20696930138500388</v>
      </c>
      <c r="AH237" s="19">
        <f t="shared" ca="1" si="85"/>
        <v>106.10147992194933</v>
      </c>
      <c r="AI237" s="46">
        <f t="shared" ca="1" si="92"/>
        <v>6685.6496790712854</v>
      </c>
      <c r="AJ237" s="55">
        <f t="shared" ca="1" si="93"/>
        <v>1.9524081801681199E-3</v>
      </c>
      <c r="AK237" s="19">
        <f t="shared" ca="1" si="94"/>
        <v>149.57409496498053</v>
      </c>
      <c r="AL237" s="19">
        <f t="shared" ca="1" si="86"/>
        <v>150</v>
      </c>
    </row>
    <row r="238" spans="2:38" x14ac:dyDescent="0.25">
      <c r="B238" s="19"/>
      <c r="C238" s="19"/>
      <c r="D238" s="19"/>
      <c r="E238" s="19"/>
      <c r="F238" s="19"/>
      <c r="G238" s="19"/>
      <c r="H238" s="43">
        <f t="shared" si="95"/>
        <v>51227</v>
      </c>
      <c r="I238" s="264">
        <v>0</v>
      </c>
      <c r="J238" s="64">
        <f t="shared" ca="1" si="87"/>
        <v>0</v>
      </c>
      <c r="K238" s="19">
        <f ca="1">SUMPRODUCT(V$7:V238,OFFSET($J$366,ROW($I$7)-ROW(),0):$J$366)</f>
        <v>0</v>
      </c>
      <c r="L238" s="19">
        <f ca="1">SUMPRODUCT(W$7:W238,OFFSET($J$366,ROW($I$7)-ROW(),0):$J$366)</f>
        <v>0</v>
      </c>
      <c r="M238" s="19">
        <f ca="1">SUMPRODUCT(X$7:X238,OFFSET($J$366,ROW($I$7)-ROW(),0):$J$366)</f>
        <v>0</v>
      </c>
      <c r="N238" s="19"/>
      <c r="O238" s="43">
        <f t="shared" si="88"/>
        <v>50496</v>
      </c>
      <c r="P238" s="24">
        <f t="shared" si="89"/>
        <v>7030</v>
      </c>
      <c r="Q238" s="19">
        <f t="shared" si="90"/>
        <v>4.0047266211775607</v>
      </c>
      <c r="R238" s="19">
        <f t="shared" si="73"/>
        <v>25.692366697142429</v>
      </c>
      <c r="S238" s="19">
        <f t="shared" si="74"/>
        <v>1.4735584981869476E-2</v>
      </c>
      <c r="T238" s="19"/>
      <c r="U238" s="24">
        <f t="shared" si="96"/>
        <v>7029.3300000000181</v>
      </c>
      <c r="V238" s="19">
        <f t="shared" si="75"/>
        <v>16.762203033716013</v>
      </c>
      <c r="W238" s="19">
        <f t="shared" si="76"/>
        <v>53.718032520454379</v>
      </c>
      <c r="X238" s="19">
        <f t="shared" si="77"/>
        <v>8.3811015168580063</v>
      </c>
      <c r="Y238" s="27"/>
      <c r="Z238" s="42">
        <f t="shared" si="91"/>
        <v>51227</v>
      </c>
      <c r="AA238" s="19">
        <f t="shared" ca="1" si="78"/>
        <v>3.3888263708695323</v>
      </c>
      <c r="AB238" s="19">
        <f t="shared" ca="1" si="79"/>
        <v>22.697927097290339</v>
      </c>
      <c r="AC238" s="19">
        <f t="shared" ca="1" si="80"/>
        <v>6.4468744442449256E-3</v>
      </c>
      <c r="AD238" s="19">
        <f t="shared" ca="1" si="81"/>
        <v>3.4046890645935508</v>
      </c>
      <c r="AE238" s="115">
        <f t="shared" ca="1" si="82"/>
        <v>101.66479112608597</v>
      </c>
      <c r="AF238" s="19">
        <f t="shared" ca="1" si="83"/>
        <v>680.93781291871016</v>
      </c>
      <c r="AG238" s="19">
        <f t="shared" ca="1" si="84"/>
        <v>0.19340623332734777</v>
      </c>
      <c r="AH238" s="19">
        <f t="shared" ca="1" si="85"/>
        <v>102.14067193780653</v>
      </c>
      <c r="AI238" s="46">
        <f t="shared" ca="1" si="92"/>
        <v>6697.8725414799937</v>
      </c>
      <c r="AJ238" s="55">
        <f t="shared" ca="1" si="93"/>
        <v>1.8987792670716644E-3</v>
      </c>
      <c r="AK238" s="19">
        <f t="shared" ca="1" si="94"/>
        <v>149.30113910155646</v>
      </c>
      <c r="AL238" s="19">
        <f t="shared" ca="1" si="86"/>
        <v>150</v>
      </c>
    </row>
    <row r="239" spans="2:38" x14ac:dyDescent="0.25">
      <c r="B239" s="19"/>
      <c r="C239" s="19"/>
      <c r="D239" s="19"/>
      <c r="E239" s="19"/>
      <c r="F239" s="19"/>
      <c r="G239" s="19"/>
      <c r="H239" s="43">
        <f t="shared" si="95"/>
        <v>51257</v>
      </c>
      <c r="I239" s="264">
        <v>0</v>
      </c>
      <c r="J239" s="64">
        <f t="shared" ca="1" si="87"/>
        <v>0</v>
      </c>
      <c r="K239" s="19">
        <f ca="1">SUMPRODUCT(V$7:V239,OFFSET($J$366,ROW($I$7)-ROW(),0):$J$366)</f>
        <v>0</v>
      </c>
      <c r="L239" s="19">
        <f ca="1">SUMPRODUCT(W$7:W239,OFFSET($J$366,ROW($I$7)-ROW(),0):$J$366)</f>
        <v>0</v>
      </c>
      <c r="M239" s="19">
        <f ca="1">SUMPRODUCT(X$7:X239,OFFSET($J$366,ROW($I$7)-ROW(),0):$J$366)</f>
        <v>0</v>
      </c>
      <c r="N239" s="19"/>
      <c r="O239" s="43">
        <f t="shared" si="88"/>
        <v>50526</v>
      </c>
      <c r="P239" s="24">
        <f t="shared" si="89"/>
        <v>7060</v>
      </c>
      <c r="Q239" s="19">
        <f t="shared" si="90"/>
        <v>3.9773749280982238</v>
      </c>
      <c r="R239" s="19">
        <f t="shared" si="73"/>
        <v>25.562036011201013</v>
      </c>
      <c r="S239" s="19">
        <f t="shared" si="74"/>
        <v>1.4243087947748079E-2</v>
      </c>
      <c r="T239" s="19"/>
      <c r="U239" s="24">
        <f t="shared" si="96"/>
        <v>7059.7600000000184</v>
      </c>
      <c r="V239" s="19">
        <f t="shared" si="75"/>
        <v>16.647719655428158</v>
      </c>
      <c r="W239" s="19">
        <f t="shared" si="76"/>
        <v>53.445534929697466</v>
      </c>
      <c r="X239" s="19">
        <f t="shared" si="77"/>
        <v>8.3238598277140792</v>
      </c>
      <c r="Y239" s="27"/>
      <c r="Z239" s="42">
        <f t="shared" si="91"/>
        <v>51257</v>
      </c>
      <c r="AA239" s="19">
        <f t="shared" ca="1" si="78"/>
        <v>3.3656811858012117</v>
      </c>
      <c r="AB239" s="19">
        <f t="shared" ca="1" si="79"/>
        <v>22.582786423684464</v>
      </c>
      <c r="AC239" s="19">
        <f t="shared" ca="1" si="80"/>
        <v>6.2322788582372095E-3</v>
      </c>
      <c r="AD239" s="19">
        <f t="shared" ca="1" si="81"/>
        <v>3.3874179635526693</v>
      </c>
      <c r="AE239" s="115">
        <f t="shared" ca="1" si="82"/>
        <v>104.33611675983757</v>
      </c>
      <c r="AF239" s="19">
        <f t="shared" ca="1" si="83"/>
        <v>700.06637913421844</v>
      </c>
      <c r="AG239" s="19">
        <f t="shared" ca="1" si="84"/>
        <v>0.19320064460535349</v>
      </c>
      <c r="AH239" s="19">
        <f t="shared" ca="1" si="85"/>
        <v>105.00995687013275</v>
      </c>
      <c r="AI239" s="46">
        <f t="shared" ca="1" si="92"/>
        <v>6709.7223940741605</v>
      </c>
      <c r="AJ239" s="55">
        <f t="shared" ca="1" si="93"/>
        <v>1.8482914593025142E-3</v>
      </c>
      <c r="AK239" s="19">
        <f t="shared" ca="1" si="94"/>
        <v>149.0374625458681</v>
      </c>
      <c r="AL239" s="19">
        <f t="shared" ca="1" si="86"/>
        <v>149.99999999999997</v>
      </c>
    </row>
    <row r="240" spans="2:38" x14ac:dyDescent="0.25">
      <c r="B240" s="19"/>
      <c r="C240" s="19"/>
      <c r="D240" s="19"/>
      <c r="E240" s="19"/>
      <c r="F240" s="19"/>
      <c r="G240" s="19"/>
      <c r="H240" s="43">
        <f t="shared" si="95"/>
        <v>51288</v>
      </c>
      <c r="I240" s="264">
        <v>0</v>
      </c>
      <c r="J240" s="64">
        <f t="shared" ca="1" si="87"/>
        <v>0</v>
      </c>
      <c r="K240" s="19">
        <f ca="1">SUMPRODUCT(V$7:V240,OFFSET($J$366,ROW($I$7)-ROW(),0):$J$366)</f>
        <v>0</v>
      </c>
      <c r="L240" s="19">
        <f ca="1">SUMPRODUCT(W$7:W240,OFFSET($J$366,ROW($I$7)-ROW(),0):$J$366)</f>
        <v>0</v>
      </c>
      <c r="M240" s="19">
        <f ca="1">SUMPRODUCT(X$7:X240,OFFSET($J$366,ROW($I$7)-ROW(),0):$J$366)</f>
        <v>0</v>
      </c>
      <c r="N240" s="19"/>
      <c r="O240" s="43">
        <f t="shared" si="88"/>
        <v>50557</v>
      </c>
      <c r="P240" s="24">
        <f t="shared" si="89"/>
        <v>7091</v>
      </c>
      <c r="Q240" s="19">
        <f t="shared" si="90"/>
        <v>3.9493077492184607</v>
      </c>
      <c r="R240" s="19">
        <f t="shared" si="73"/>
        <v>25.428055487475181</v>
      </c>
      <c r="S240" s="19">
        <f t="shared" si="74"/>
        <v>1.375154387120605E-2</v>
      </c>
      <c r="T240" s="19"/>
      <c r="U240" s="24">
        <f t="shared" si="96"/>
        <v>7090.1900000000187</v>
      </c>
      <c r="V240" s="19">
        <f t="shared" si="75"/>
        <v>16.530241536328013</v>
      </c>
      <c r="W240" s="19">
        <f t="shared" si="76"/>
        <v>53.165406196698648</v>
      </c>
      <c r="X240" s="19">
        <f t="shared" si="77"/>
        <v>8.2651207681640066</v>
      </c>
      <c r="Y240" s="27"/>
      <c r="Z240" s="42">
        <f t="shared" si="91"/>
        <v>51288</v>
      </c>
      <c r="AA240" s="19">
        <f t="shared" ca="1" si="78"/>
        <v>3.3419305518776192</v>
      </c>
      <c r="AB240" s="19">
        <f t="shared" ca="1" si="79"/>
        <v>22.464421300072711</v>
      </c>
      <c r="AC240" s="19">
        <f t="shared" ca="1" si="80"/>
        <v>6.0180678306364288E-3</v>
      </c>
      <c r="AD240" s="19">
        <f t="shared" ca="1" si="81"/>
        <v>3.3696631950109066</v>
      </c>
      <c r="AE240" s="115">
        <f t="shared" ca="1" si="82"/>
        <v>100.25791655632858</v>
      </c>
      <c r="AF240" s="19">
        <f t="shared" ca="1" si="83"/>
        <v>673.9326390021813</v>
      </c>
      <c r="AG240" s="19">
        <f t="shared" ca="1" si="84"/>
        <v>0.18054203491909288</v>
      </c>
      <c r="AH240" s="19">
        <f t="shared" ca="1" si="85"/>
        <v>101.0898958503272</v>
      </c>
      <c r="AI240" s="46">
        <f t="shared" ca="1" si="92"/>
        <v>6721.9892667881359</v>
      </c>
      <c r="AJ240" s="55">
        <f t="shared" ca="1" si="93"/>
        <v>1.7975388855163644E-3</v>
      </c>
      <c r="AK240" s="19">
        <f t="shared" ca="1" si="94"/>
        <v>148.76548597612006</v>
      </c>
      <c r="AL240" s="19">
        <f t="shared" ca="1" si="86"/>
        <v>150</v>
      </c>
    </row>
    <row r="241" spans="2:38" x14ac:dyDescent="0.25">
      <c r="B241" s="19"/>
      <c r="C241" s="19"/>
      <c r="D241" s="19"/>
      <c r="E241" s="19"/>
      <c r="F241" s="19"/>
      <c r="G241" s="19"/>
      <c r="H241" s="43">
        <f t="shared" si="95"/>
        <v>51318</v>
      </c>
      <c r="I241" s="264">
        <v>0</v>
      </c>
      <c r="J241" s="64">
        <f t="shared" ca="1" si="87"/>
        <v>0</v>
      </c>
      <c r="K241" s="19">
        <f ca="1">SUMPRODUCT(V$7:V241,OFFSET($J$366,ROW($I$7)-ROW(),0):$J$366)</f>
        <v>0</v>
      </c>
      <c r="L241" s="19">
        <f ca="1">SUMPRODUCT(W$7:W241,OFFSET($J$366,ROW($I$7)-ROW(),0):$J$366)</f>
        <v>0</v>
      </c>
      <c r="M241" s="19">
        <f ca="1">SUMPRODUCT(X$7:X241,OFFSET($J$366,ROW($I$7)-ROW(),0):$J$366)</f>
        <v>0</v>
      </c>
      <c r="N241" s="19"/>
      <c r="O241" s="43">
        <f t="shared" si="88"/>
        <v>50587</v>
      </c>
      <c r="P241" s="24">
        <f t="shared" si="89"/>
        <v>7121</v>
      </c>
      <c r="Q241" s="19">
        <f t="shared" si="90"/>
        <v>3.922334558873521</v>
      </c>
      <c r="R241" s="19">
        <f t="shared" si="73"/>
        <v>25.299065583473553</v>
      </c>
      <c r="S241" s="19">
        <f t="shared" si="74"/>
        <v>1.3292091850792184E-2</v>
      </c>
      <c r="T241" s="19"/>
      <c r="U241" s="24">
        <f t="shared" si="96"/>
        <v>7120.620000000019</v>
      </c>
      <c r="V241" s="19">
        <f t="shared" si="75"/>
        <v>16.417342420908245</v>
      </c>
      <c r="W241" s="19">
        <f t="shared" si="76"/>
        <v>52.895711935377811</v>
      </c>
      <c r="X241" s="19">
        <f t="shared" si="77"/>
        <v>8.2086712104541224</v>
      </c>
      <c r="Y241" s="27"/>
      <c r="Z241" s="42">
        <f t="shared" si="91"/>
        <v>51318</v>
      </c>
      <c r="AA241" s="19">
        <f t="shared" ca="1" si="78"/>
        <v>3.3191056583470497</v>
      </c>
      <c r="AB241" s="19">
        <f t="shared" ca="1" si="79"/>
        <v>22.350465140571021</v>
      </c>
      <c r="AC241" s="19">
        <f t="shared" ca="1" si="80"/>
        <v>5.8178135916892495E-3</v>
      </c>
      <c r="AD241" s="19">
        <f t="shared" ca="1" si="81"/>
        <v>3.352569771085653</v>
      </c>
      <c r="AE241" s="115">
        <f t="shared" ca="1" si="82"/>
        <v>102.89227540875854</v>
      </c>
      <c r="AF241" s="19">
        <f t="shared" ca="1" si="83"/>
        <v>692.86441935770165</v>
      </c>
      <c r="AG241" s="19">
        <f t="shared" ca="1" si="84"/>
        <v>0.18035222134236673</v>
      </c>
      <c r="AH241" s="19">
        <f t="shared" ca="1" si="85"/>
        <v>103.92966290365524</v>
      </c>
      <c r="AI241" s="46">
        <f t="shared" ca="1" si="92"/>
        <v>6733.8817866080808</v>
      </c>
      <c r="AJ241" s="55">
        <f t="shared" ca="1" si="93"/>
        <v>1.7497586458123575E-3</v>
      </c>
      <c r="AK241" s="19">
        <f t="shared" ca="1" si="94"/>
        <v>148.50275542239797</v>
      </c>
      <c r="AL241" s="19">
        <f t="shared" ca="1" si="86"/>
        <v>150</v>
      </c>
    </row>
    <row r="242" spans="2:38" x14ac:dyDescent="0.25">
      <c r="B242" s="19"/>
      <c r="C242" s="19"/>
      <c r="D242" s="19"/>
      <c r="E242" s="19"/>
      <c r="F242" s="19"/>
      <c r="G242" s="19"/>
      <c r="H242" s="43">
        <f t="shared" si="95"/>
        <v>51349</v>
      </c>
      <c r="I242" s="264">
        <v>0</v>
      </c>
      <c r="J242" s="64">
        <f t="shared" ca="1" si="87"/>
        <v>0</v>
      </c>
      <c r="K242" s="19">
        <f ca="1">SUMPRODUCT(V$7:V242,OFFSET($J$366,ROW($I$7)-ROW(),0):$J$366)</f>
        <v>0</v>
      </c>
      <c r="L242" s="19">
        <f ca="1">SUMPRODUCT(W$7:W242,OFFSET($J$366,ROW($I$7)-ROW(),0):$J$366)</f>
        <v>0</v>
      </c>
      <c r="M242" s="19">
        <f ca="1">SUMPRODUCT(X$7:X242,OFFSET($J$366,ROW($I$7)-ROW(),0):$J$366)</f>
        <v>0</v>
      </c>
      <c r="N242" s="19"/>
      <c r="O242" s="43">
        <f t="shared" si="88"/>
        <v>50618</v>
      </c>
      <c r="P242" s="24">
        <f t="shared" si="89"/>
        <v>7152</v>
      </c>
      <c r="Q242" s="19">
        <f t="shared" si="90"/>
        <v>3.8946557838823943</v>
      </c>
      <c r="R242" s="19">
        <f t="shared" si="73"/>
        <v>25.166463389533966</v>
      </c>
      <c r="S242" s="19">
        <f t="shared" si="74"/>
        <v>1.2833523346860984E-2</v>
      </c>
      <c r="T242" s="19"/>
      <c r="U242" s="24">
        <f t="shared" si="96"/>
        <v>7151.0500000000193</v>
      </c>
      <c r="V242" s="19">
        <f t="shared" si="75"/>
        <v>16.301490006995063</v>
      </c>
      <c r="W242" s="19">
        <f t="shared" si="76"/>
        <v>52.618465037484107</v>
      </c>
      <c r="X242" s="19">
        <f t="shared" si="77"/>
        <v>8.1507450034975317</v>
      </c>
      <c r="Y242" s="27"/>
      <c r="Z242" s="42">
        <f t="shared" si="91"/>
        <v>51349</v>
      </c>
      <c r="AA242" s="19">
        <f t="shared" ca="1" si="78"/>
        <v>3.295683694383948</v>
      </c>
      <c r="AB242" s="19">
        <f t="shared" ca="1" si="79"/>
        <v>22.233317702716796</v>
      </c>
      <c r="AC242" s="19">
        <f t="shared" ca="1" si="80"/>
        <v>5.6179158331660433E-3</v>
      </c>
      <c r="AD242" s="19">
        <f t="shared" ca="1" si="81"/>
        <v>3.3349976554075194</v>
      </c>
      <c r="AE242" s="115">
        <f t="shared" ca="1" si="82"/>
        <v>102.16619452590238</v>
      </c>
      <c r="AF242" s="19">
        <f t="shared" ca="1" si="83"/>
        <v>689.23284878422066</v>
      </c>
      <c r="AG242" s="19">
        <f t="shared" ca="1" si="84"/>
        <v>0.17415539082814735</v>
      </c>
      <c r="AH242" s="19">
        <f t="shared" ca="1" si="85"/>
        <v>103.3849273176331</v>
      </c>
      <c r="AI242" s="46">
        <f t="shared" ca="1" si="92"/>
        <v>6746.1928280932316</v>
      </c>
      <c r="AJ242" s="55">
        <f t="shared" ca="1" si="93"/>
        <v>1.7017275294627123E-3</v>
      </c>
      <c r="AK242" s="19">
        <f t="shared" ca="1" si="94"/>
        <v>148.23175463287842</v>
      </c>
      <c r="AL242" s="19">
        <f t="shared" ca="1" si="86"/>
        <v>150</v>
      </c>
    </row>
    <row r="243" spans="2:38" x14ac:dyDescent="0.25">
      <c r="B243" s="19"/>
      <c r="C243" s="19"/>
      <c r="D243" s="19"/>
      <c r="E243" s="19"/>
      <c r="F243" s="19"/>
      <c r="G243" s="19"/>
      <c r="H243" s="43">
        <f t="shared" si="95"/>
        <v>51380</v>
      </c>
      <c r="I243" s="264">
        <v>0</v>
      </c>
      <c r="J243" s="64">
        <f t="shared" ca="1" si="87"/>
        <v>0</v>
      </c>
      <c r="K243" s="19">
        <f ca="1">SUMPRODUCT(V$7:V243,OFFSET($J$366,ROW($I$7)-ROW(),0):$J$366)</f>
        <v>0</v>
      </c>
      <c r="L243" s="19">
        <f ca="1">SUMPRODUCT(W$7:W243,OFFSET($J$366,ROW($I$7)-ROW(),0):$J$366)</f>
        <v>0</v>
      </c>
      <c r="M243" s="19">
        <f ca="1">SUMPRODUCT(X$7:X243,OFFSET($J$366,ROW($I$7)-ROW(),0):$J$366)</f>
        <v>0</v>
      </c>
      <c r="N243" s="19"/>
      <c r="O243" s="43">
        <f t="shared" si="88"/>
        <v>50649</v>
      </c>
      <c r="P243" s="24">
        <f t="shared" si="89"/>
        <v>7183</v>
      </c>
      <c r="Q243" s="19">
        <f t="shared" si="90"/>
        <v>3.8671723299617957</v>
      </c>
      <c r="R243" s="19">
        <f t="shared" si="73"/>
        <v>25.034556215012373</v>
      </c>
      <c r="S243" s="19">
        <f t="shared" si="74"/>
        <v>1.239085150898871E-2</v>
      </c>
      <c r="T243" s="19"/>
      <c r="U243" s="24">
        <f t="shared" si="96"/>
        <v>7181.4800000000196</v>
      </c>
      <c r="V243" s="19">
        <f t="shared" si="75"/>
        <v>16.186455129895414</v>
      </c>
      <c r="W243" s="19">
        <f t="shared" si="76"/>
        <v>52.342671297882042</v>
      </c>
      <c r="X243" s="19">
        <f t="shared" si="77"/>
        <v>8.093227564947707</v>
      </c>
      <c r="Y243" s="27"/>
      <c r="Z243" s="42">
        <f t="shared" si="91"/>
        <v>51380</v>
      </c>
      <c r="AA243" s="19">
        <f t="shared" ca="1" si="78"/>
        <v>3.2724270124131531</v>
      </c>
      <c r="AB243" s="19">
        <f t="shared" ca="1" si="79"/>
        <v>22.116784279922637</v>
      </c>
      <c r="AC243" s="19">
        <f t="shared" ca="1" si="80"/>
        <v>5.4249196350181954E-3</v>
      </c>
      <c r="AD243" s="19">
        <f t="shared" ca="1" si="81"/>
        <v>3.3175176419883958</v>
      </c>
      <c r="AE243" s="115">
        <f t="shared" ca="1" si="82"/>
        <v>98.172810372394594</v>
      </c>
      <c r="AF243" s="19">
        <f t="shared" ca="1" si="83"/>
        <v>663.50352839767913</v>
      </c>
      <c r="AG243" s="19">
        <f t="shared" ca="1" si="84"/>
        <v>0.16274758905054587</v>
      </c>
      <c r="AH243" s="19">
        <f t="shared" ca="1" si="85"/>
        <v>99.525529259651876</v>
      </c>
      <c r="AI243" s="46">
        <f t="shared" ca="1" si="92"/>
        <v>6758.5263769147532</v>
      </c>
      <c r="AJ243" s="55">
        <f t="shared" ca="1" si="93"/>
        <v>1.6550227854948976E-3</v>
      </c>
      <c r="AK243" s="19">
        <f t="shared" ca="1" si="94"/>
        <v>147.96124838925272</v>
      </c>
      <c r="AL243" s="19">
        <f t="shared" ca="1" si="86"/>
        <v>150</v>
      </c>
    </row>
    <row r="244" spans="2:38" x14ac:dyDescent="0.25">
      <c r="B244" s="19"/>
      <c r="C244" s="19"/>
      <c r="D244" s="19"/>
      <c r="E244" s="19"/>
      <c r="F244" s="19"/>
      <c r="G244" s="19"/>
      <c r="H244" s="43">
        <f t="shared" si="95"/>
        <v>51410</v>
      </c>
      <c r="I244" s="264">
        <v>0</v>
      </c>
      <c r="J244" s="64">
        <f t="shared" ca="1" si="87"/>
        <v>0</v>
      </c>
      <c r="K244" s="19">
        <f ca="1">SUMPRODUCT(V$7:V244,OFFSET($J$366,ROW($I$7)-ROW(),0):$J$366)</f>
        <v>0</v>
      </c>
      <c r="L244" s="19">
        <f ca="1">SUMPRODUCT(W$7:W244,OFFSET($J$366,ROW($I$7)-ROW(),0):$J$366)</f>
        <v>0</v>
      </c>
      <c r="M244" s="19">
        <f ca="1">SUMPRODUCT(X$7:X244,OFFSET($J$366,ROW($I$7)-ROW(),0):$J$366)</f>
        <v>0</v>
      </c>
      <c r="N244" s="19"/>
      <c r="O244" s="43">
        <f t="shared" si="88"/>
        <v>50679</v>
      </c>
      <c r="P244" s="24">
        <f t="shared" si="89"/>
        <v>7213</v>
      </c>
      <c r="Q244" s="19">
        <f t="shared" si="90"/>
        <v>3.8407601124349688</v>
      </c>
      <c r="R244" s="19">
        <f t="shared" si="73"/>
        <v>24.907562430352414</v>
      </c>
      <c r="S244" s="19">
        <f t="shared" si="74"/>
        <v>1.1977073459317962E-2</v>
      </c>
      <c r="T244" s="19"/>
      <c r="U244" s="24">
        <f t="shared" si="96"/>
        <v>7211.9100000000199</v>
      </c>
      <c r="V244" s="19">
        <f t="shared" si="75"/>
        <v>16.075904025004974</v>
      </c>
      <c r="W244" s="19">
        <f t="shared" si="76"/>
        <v>52.07715055646208</v>
      </c>
      <c r="X244" s="19">
        <f t="shared" si="77"/>
        <v>8.0379520125024868</v>
      </c>
      <c r="Y244" s="27"/>
      <c r="Z244" s="42">
        <f t="shared" si="91"/>
        <v>51410</v>
      </c>
      <c r="AA244" s="19">
        <f t="shared" ca="1" si="78"/>
        <v>3.2500768178219088</v>
      </c>
      <c r="AB244" s="19">
        <f t="shared" ca="1" si="79"/>
        <v>22.004591592499207</v>
      </c>
      <c r="AC244" s="19">
        <f t="shared" ca="1" si="80"/>
        <v>5.2444947495029074E-3</v>
      </c>
      <c r="AD244" s="19">
        <f t="shared" ca="1" si="81"/>
        <v>3.3006887388748809</v>
      </c>
      <c r="AE244" s="115">
        <f t="shared" ca="1" si="82"/>
        <v>100.75238135247918</v>
      </c>
      <c r="AF244" s="19">
        <f t="shared" ca="1" si="83"/>
        <v>682.14233936747542</v>
      </c>
      <c r="AG244" s="19">
        <f t="shared" ca="1" si="84"/>
        <v>0.16257933723459012</v>
      </c>
      <c r="AH244" s="19">
        <f t="shared" ca="1" si="85"/>
        <v>102.32135090512131</v>
      </c>
      <c r="AI244" s="46">
        <f t="shared" ca="1" si="92"/>
        <v>6770.483538061706</v>
      </c>
      <c r="AJ244" s="55">
        <f t="shared" ca="1" si="93"/>
        <v>1.6110528718777154E-3</v>
      </c>
      <c r="AK244" s="19">
        <f t="shared" ca="1" si="94"/>
        <v>147.69993817698375</v>
      </c>
      <c r="AL244" s="19">
        <f t="shared" ca="1" si="86"/>
        <v>150</v>
      </c>
    </row>
    <row r="245" spans="2:38" x14ac:dyDescent="0.25">
      <c r="B245" s="19"/>
      <c r="C245" s="19"/>
      <c r="D245" s="19"/>
      <c r="E245" s="19"/>
      <c r="F245" s="19"/>
      <c r="G245" s="19"/>
      <c r="H245" s="43">
        <f t="shared" si="95"/>
        <v>51441</v>
      </c>
      <c r="I245" s="264">
        <v>0</v>
      </c>
      <c r="J245" s="64">
        <f t="shared" ca="1" si="87"/>
        <v>0</v>
      </c>
      <c r="K245" s="19">
        <f ca="1">SUMPRODUCT(V$7:V245,OFFSET($J$366,ROW($I$7)-ROW(),0):$J$366)</f>
        <v>0</v>
      </c>
      <c r="L245" s="19">
        <f ca="1">SUMPRODUCT(W$7:W245,OFFSET($J$366,ROW($I$7)-ROW(),0):$J$366)</f>
        <v>0</v>
      </c>
      <c r="M245" s="19">
        <f ca="1">SUMPRODUCT(X$7:X245,OFFSET($J$366,ROW($I$7)-ROW(),0):$J$366)</f>
        <v>0</v>
      </c>
      <c r="N245" s="19"/>
      <c r="O245" s="43">
        <f t="shared" si="88"/>
        <v>50710</v>
      </c>
      <c r="P245" s="24">
        <f t="shared" si="89"/>
        <v>7244</v>
      </c>
      <c r="Q245" s="19">
        <f t="shared" si="90"/>
        <v>3.813656984603488</v>
      </c>
      <c r="R245" s="19">
        <f t="shared" si="73"/>
        <v>24.777012255957459</v>
      </c>
      <c r="S245" s="19">
        <f t="shared" si="74"/>
        <v>1.1564083631100322E-2</v>
      </c>
      <c r="T245" s="19"/>
      <c r="U245" s="24">
        <f t="shared" si="96"/>
        <v>7242.3400000000202</v>
      </c>
      <c r="V245" s="19">
        <f t="shared" si="75"/>
        <v>15.962461042615713</v>
      </c>
      <c r="W245" s="19">
        <f t="shared" si="76"/>
        <v>51.804194055553999</v>
      </c>
      <c r="X245" s="19">
        <f t="shared" si="77"/>
        <v>7.9812305213078565</v>
      </c>
      <c r="Y245" s="27"/>
      <c r="Z245" s="42">
        <f t="shared" si="91"/>
        <v>51441</v>
      </c>
      <c r="AA245" s="19">
        <f t="shared" ca="1" si="78"/>
        <v>3.2271419703237889</v>
      </c>
      <c r="AB245" s="19">
        <f t="shared" ca="1" si="79"/>
        <v>21.88925701177002</v>
      </c>
      <c r="AC245" s="19">
        <f t="shared" ca="1" si="80"/>
        <v>5.0643878166773031E-3</v>
      </c>
      <c r="AD245" s="19">
        <f t="shared" ca="1" si="81"/>
        <v>3.283388551765503</v>
      </c>
      <c r="AE245" s="115">
        <f t="shared" ca="1" si="82"/>
        <v>96.814259109713674</v>
      </c>
      <c r="AF245" s="19">
        <f t="shared" ca="1" si="83"/>
        <v>656.67771035310057</v>
      </c>
      <c r="AG245" s="19">
        <f t="shared" ca="1" si="84"/>
        <v>0.1519316345003191</v>
      </c>
      <c r="AH245" s="19">
        <f t="shared" ca="1" si="85"/>
        <v>98.501656552965088</v>
      </c>
      <c r="AI245" s="46">
        <f t="shared" ca="1" si="92"/>
        <v>6782.8614957320278</v>
      </c>
      <c r="AJ245" s="55">
        <f t="shared" ca="1" si="93"/>
        <v>1.5668516349280734E-3</v>
      </c>
      <c r="AK245" s="19">
        <f t="shared" ca="1" si="94"/>
        <v>147.43040243844416</v>
      </c>
      <c r="AL245" s="19">
        <f t="shared" ca="1" si="86"/>
        <v>150.00000000000003</v>
      </c>
    </row>
    <row r="246" spans="2:38" x14ac:dyDescent="0.25">
      <c r="B246" s="19"/>
      <c r="C246" s="19"/>
      <c r="D246" s="19"/>
      <c r="E246" s="19"/>
      <c r="F246" s="19"/>
      <c r="G246" s="19"/>
      <c r="H246" s="44">
        <f t="shared" si="95"/>
        <v>51471</v>
      </c>
      <c r="I246" s="265">
        <v>0</v>
      </c>
      <c r="J246" s="65">
        <f t="shared" ca="1" si="87"/>
        <v>0</v>
      </c>
      <c r="K246" s="21">
        <f ca="1">SUMPRODUCT(V$7:V246,OFFSET($J$366,ROW($I$7)-ROW(),0):$J$366)</f>
        <v>0</v>
      </c>
      <c r="L246" s="21">
        <f ca="1">SUMPRODUCT(W$7:W246,OFFSET($J$366,ROW($I$7)-ROW(),0):$J$366)</f>
        <v>0</v>
      </c>
      <c r="M246" s="21">
        <f ca="1">SUMPRODUCT(X$7:X246,OFFSET($J$366,ROW($I$7)-ROW(),0):$J$366)</f>
        <v>0</v>
      </c>
      <c r="N246" s="19"/>
      <c r="O246" s="44">
        <f t="shared" si="88"/>
        <v>50740</v>
      </c>
      <c r="P246" s="25">
        <f t="shared" si="89"/>
        <v>7274</v>
      </c>
      <c r="Q246" s="21">
        <f t="shared" si="90"/>
        <v>3.7876102690046913</v>
      </c>
      <c r="R246" s="21">
        <f t="shared" si="73"/>
        <v>24.651324924737136</v>
      </c>
      <c r="S246" s="21">
        <f t="shared" si="74"/>
        <v>1.1178045580315913E-2</v>
      </c>
      <c r="T246" s="19"/>
      <c r="U246" s="25">
        <f t="shared" si="96"/>
        <v>7272.7700000000204</v>
      </c>
      <c r="V246" s="21">
        <f t="shared" si="75"/>
        <v>15.853439784355613</v>
      </c>
      <c r="W246" s="21">
        <f t="shared" si="76"/>
        <v>51.541404868964435</v>
      </c>
      <c r="X246" s="21">
        <f t="shared" si="77"/>
        <v>7.9267198921778066</v>
      </c>
      <c r="Y246" s="27"/>
      <c r="Z246" s="48">
        <f t="shared" si="91"/>
        <v>51471</v>
      </c>
      <c r="AA246" s="21">
        <f t="shared" ca="1" si="78"/>
        <v>3.2051010659012573</v>
      </c>
      <c r="AB246" s="21">
        <f t="shared" ca="1" si="79"/>
        <v>21.778218510929644</v>
      </c>
      <c r="AC246" s="21">
        <f t="shared" ca="1" si="80"/>
        <v>4.8960106193523256E-3</v>
      </c>
      <c r="AD246" s="21">
        <f t="shared" ca="1" si="81"/>
        <v>3.2667327766394467</v>
      </c>
      <c r="AE246" s="116">
        <f t="shared" ca="1" si="82"/>
        <v>99.358133042938974</v>
      </c>
      <c r="AF246" s="21">
        <f t="shared" ca="1" si="83"/>
        <v>675.12477383881901</v>
      </c>
      <c r="AG246" s="21">
        <f t="shared" ca="1" si="84"/>
        <v>0.15177632919992209</v>
      </c>
      <c r="AH246" s="21">
        <f t="shared" ca="1" si="85"/>
        <v>101.26871607582285</v>
      </c>
      <c r="AI246" s="47">
        <f t="shared" ca="1" si="92"/>
        <v>6794.8617104857904</v>
      </c>
      <c r="AJ246" s="57">
        <f t="shared" ca="1" si="93"/>
        <v>1.5252383421667241E-3</v>
      </c>
      <c r="AK246" s="21">
        <f t="shared" ca="1" si="94"/>
        <v>147.17002973832507</v>
      </c>
      <c r="AL246" s="21">
        <f t="shared" ca="1" si="86"/>
        <v>150</v>
      </c>
    </row>
    <row r="247" spans="2:38" x14ac:dyDescent="0.25">
      <c r="B247" s="19"/>
      <c r="C247" s="19"/>
      <c r="D247" s="19"/>
      <c r="E247" s="19"/>
      <c r="F247" s="19"/>
      <c r="G247" s="19"/>
      <c r="H247" s="43">
        <f t="shared" si="95"/>
        <v>51502</v>
      </c>
      <c r="I247" s="264">
        <v>0</v>
      </c>
      <c r="J247" s="64">
        <f t="shared" ca="1" si="87"/>
        <v>0</v>
      </c>
      <c r="K247" s="19">
        <f ca="1">SUMPRODUCT(V$7:V247,OFFSET($J$366,ROW($I$7)-ROW(),0):$J$366)</f>
        <v>0</v>
      </c>
      <c r="L247" s="19">
        <f ca="1">SUMPRODUCT(W$7:W247,OFFSET($J$366,ROW($I$7)-ROW(),0):$J$366)</f>
        <v>0</v>
      </c>
      <c r="M247" s="19">
        <f ca="1">SUMPRODUCT(X$7:X247,OFFSET($J$366,ROW($I$7)-ROW(),0):$J$366)</f>
        <v>0</v>
      </c>
      <c r="N247" s="19"/>
      <c r="O247" s="43">
        <f t="shared" si="88"/>
        <v>50771</v>
      </c>
      <c r="P247" s="24">
        <f t="shared" si="89"/>
        <v>7305</v>
      </c>
      <c r="Q247" s="19">
        <f t="shared" si="90"/>
        <v>3.7608822041707803</v>
      </c>
      <c r="R247" s="19">
        <f t="shared" si="73"/>
        <v>24.522117790277861</v>
      </c>
      <c r="S247" s="19">
        <f t="shared" si="74"/>
        <v>1.0792738294175885E-2</v>
      </c>
      <c r="T247" s="19"/>
      <c r="U247" s="24">
        <f t="shared" si="96"/>
        <v>7303.2000000000207</v>
      </c>
      <c r="V247" s="19">
        <f t="shared" si="75"/>
        <v>15.741566667455412</v>
      </c>
      <c r="W247" s="19">
        <f t="shared" si="76"/>
        <v>51.271256418548241</v>
      </c>
      <c r="X247" s="19">
        <f t="shared" si="77"/>
        <v>7.8707833337277062</v>
      </c>
      <c r="Y247" s="27"/>
      <c r="Z247" s="42">
        <f t="shared" si="91"/>
        <v>51502</v>
      </c>
      <c r="AA247" s="19">
        <f t="shared" ca="1" si="78"/>
        <v>3.1824835992126483</v>
      </c>
      <c r="AB247" s="19">
        <f t="shared" ca="1" si="79"/>
        <v>21.664070439131635</v>
      </c>
      <c r="AC247" s="19">
        <f t="shared" ca="1" si="80"/>
        <v>4.7279281476056059E-3</v>
      </c>
      <c r="AD247" s="19">
        <f t="shared" ca="1" si="81"/>
        <v>3.2496105658697449</v>
      </c>
      <c r="AE247" s="115">
        <f t="shared" ca="1" si="82"/>
        <v>98.656991575592102</v>
      </c>
      <c r="AF247" s="19">
        <f t="shared" ca="1" si="83"/>
        <v>671.58618361308072</v>
      </c>
      <c r="AG247" s="19">
        <f t="shared" ca="1" si="84"/>
        <v>0.14656577257577377</v>
      </c>
      <c r="AH247" s="19">
        <f t="shared" ca="1" si="85"/>
        <v>100.73792754196209</v>
      </c>
      <c r="AI247" s="46">
        <f t="shared" ca="1" si="92"/>
        <v>6807.2842369058435</v>
      </c>
      <c r="AJ247" s="55">
        <f t="shared" ca="1" si="93"/>
        <v>1.4834058257568554E-3</v>
      </c>
      <c r="AK247" s="19">
        <f t="shared" ca="1" si="94"/>
        <v>146.90146102295503</v>
      </c>
      <c r="AL247" s="19">
        <f t="shared" ca="1" si="86"/>
        <v>149.99999999999997</v>
      </c>
    </row>
    <row r="248" spans="2:38" x14ac:dyDescent="0.25">
      <c r="B248" s="19"/>
      <c r="C248" s="19"/>
      <c r="D248" s="19"/>
      <c r="E248" s="19"/>
      <c r="F248" s="19"/>
      <c r="G248" s="19"/>
      <c r="H248" s="43">
        <f t="shared" si="95"/>
        <v>51533</v>
      </c>
      <c r="I248" s="264">
        <v>0</v>
      </c>
      <c r="J248" s="64">
        <f t="shared" ca="1" si="87"/>
        <v>0</v>
      </c>
      <c r="K248" s="19">
        <f ca="1">SUMPRODUCT(V$7:V248,OFFSET($J$366,ROW($I$7)-ROW(),0):$J$366)</f>
        <v>0</v>
      </c>
      <c r="L248" s="19">
        <f ca="1">SUMPRODUCT(W$7:W248,OFFSET($J$366,ROW($I$7)-ROW(),0):$J$366)</f>
        <v>0</v>
      </c>
      <c r="M248" s="19">
        <f ca="1">SUMPRODUCT(X$7:X248,OFFSET($J$366,ROW($I$7)-ROW(),0):$J$366)</f>
        <v>0</v>
      </c>
      <c r="N248" s="19"/>
      <c r="O248" s="43">
        <f t="shared" si="88"/>
        <v>50802</v>
      </c>
      <c r="P248" s="24">
        <f t="shared" si="89"/>
        <v>7336</v>
      </c>
      <c r="Q248" s="19">
        <f t="shared" si="90"/>
        <v>3.7343427515221328</v>
      </c>
      <c r="R248" s="19">
        <f t="shared" si="73"/>
        <v>24.393587880415897</v>
      </c>
      <c r="S248" s="19">
        <f t="shared" si="74"/>
        <v>1.0420776653111145E-2</v>
      </c>
      <c r="T248" s="19"/>
      <c r="U248" s="24">
        <f t="shared" si="96"/>
        <v>7333.630000000021</v>
      </c>
      <c r="V248" s="19">
        <f t="shared" si="75"/>
        <v>15.630483006626275</v>
      </c>
      <c r="W248" s="19">
        <f t="shared" si="76"/>
        <v>51.002523920713223</v>
      </c>
      <c r="X248" s="19">
        <f t="shared" si="77"/>
        <v>7.8152415033131373</v>
      </c>
      <c r="Y248" s="27"/>
      <c r="Z248" s="42">
        <f t="shared" si="91"/>
        <v>51533</v>
      </c>
      <c r="AA248" s="19">
        <f t="shared" ca="1" si="78"/>
        <v>3.1600257374129002</v>
      </c>
      <c r="AB248" s="19">
        <f t="shared" ca="1" si="79"/>
        <v>21.550520661555371</v>
      </c>
      <c r="AC248" s="19">
        <f t="shared" ca="1" si="80"/>
        <v>4.5656438841041921E-3</v>
      </c>
      <c r="AD248" s="19">
        <f t="shared" ca="1" si="81"/>
        <v>3.2325780992333053</v>
      </c>
      <c r="AE248" s="115">
        <f t="shared" ca="1" si="82"/>
        <v>88.480720647561199</v>
      </c>
      <c r="AF248" s="19">
        <f t="shared" ca="1" si="83"/>
        <v>603.4145785235504</v>
      </c>
      <c r="AG248" s="19">
        <f t="shared" ca="1" si="84"/>
        <v>0.12783802875491737</v>
      </c>
      <c r="AH248" s="19">
        <f t="shared" ca="1" si="85"/>
        <v>90.512186778532552</v>
      </c>
      <c r="AI248" s="46">
        <f t="shared" ca="1" si="92"/>
        <v>6819.7294744816518</v>
      </c>
      <c r="AJ248" s="55">
        <f t="shared" ca="1" si="93"/>
        <v>1.4427277755629125E-3</v>
      </c>
      <c r="AK248" s="19">
        <f t="shared" ca="1" si="94"/>
        <v>146.63338241521774</v>
      </c>
      <c r="AL248" s="19">
        <f t="shared" ca="1" si="86"/>
        <v>149.99999999999997</v>
      </c>
    </row>
    <row r="249" spans="2:38" x14ac:dyDescent="0.25">
      <c r="B249" s="19"/>
      <c r="C249" s="19"/>
      <c r="D249" s="19"/>
      <c r="E249" s="19"/>
      <c r="F249" s="19"/>
      <c r="G249" s="19"/>
      <c r="H249" s="43">
        <f t="shared" si="95"/>
        <v>51561</v>
      </c>
      <c r="I249" s="264">
        <v>0</v>
      </c>
      <c r="J249" s="64">
        <f t="shared" ca="1" si="87"/>
        <v>0</v>
      </c>
      <c r="K249" s="19">
        <f ca="1">SUMPRODUCT(V$7:V249,OFFSET($J$366,ROW($I$7)-ROW(),0):$J$366)</f>
        <v>0</v>
      </c>
      <c r="L249" s="19">
        <f ca="1">SUMPRODUCT(W$7:W249,OFFSET($J$366,ROW($I$7)-ROW(),0):$J$366)</f>
        <v>0</v>
      </c>
      <c r="M249" s="19">
        <f ca="1">SUMPRODUCT(X$7:X249,OFFSET($J$366,ROW($I$7)-ROW(),0):$J$366)</f>
        <v>0</v>
      </c>
      <c r="N249" s="19"/>
      <c r="O249" s="43">
        <f t="shared" si="88"/>
        <v>50830</v>
      </c>
      <c r="P249" s="24">
        <f t="shared" si="89"/>
        <v>7364</v>
      </c>
      <c r="Q249" s="19">
        <f t="shared" si="90"/>
        <v>3.7105326419047335</v>
      </c>
      <c r="R249" s="19">
        <f t="shared" si="73"/>
        <v>24.27807548500493</v>
      </c>
      <c r="S249" s="19">
        <f t="shared" si="74"/>
        <v>1.009589549824768E-2</v>
      </c>
      <c r="T249" s="19"/>
      <c r="U249" s="24">
        <f t="shared" si="96"/>
        <v>7364.0600000000213</v>
      </c>
      <c r="V249" s="19">
        <f t="shared" si="75"/>
        <v>15.530823297134161</v>
      </c>
      <c r="W249" s="19">
        <f t="shared" si="76"/>
        <v>50.761008661089754</v>
      </c>
      <c r="X249" s="19">
        <f t="shared" si="77"/>
        <v>7.7654116485670803</v>
      </c>
      <c r="Y249" s="27"/>
      <c r="Z249" s="42">
        <f t="shared" si="91"/>
        <v>51561</v>
      </c>
      <c r="AA249" s="19">
        <f t="shared" ca="1" si="78"/>
        <v>3.139877463885802</v>
      </c>
      <c r="AB249" s="19">
        <f t="shared" ca="1" si="79"/>
        <v>21.448471210028469</v>
      </c>
      <c r="AC249" s="19">
        <f t="shared" ca="1" si="80"/>
        <v>4.4238809196475463E-3</v>
      </c>
      <c r="AD249" s="19">
        <f t="shared" ca="1" si="81"/>
        <v>3.2172706815042704</v>
      </c>
      <c r="AE249" s="115">
        <f t="shared" ca="1" si="82"/>
        <v>97.336201380459869</v>
      </c>
      <c r="AF249" s="19">
        <f t="shared" ca="1" si="83"/>
        <v>664.90260751088249</v>
      </c>
      <c r="AG249" s="19">
        <f t="shared" ca="1" si="84"/>
        <v>0.13714030850907394</v>
      </c>
      <c r="AH249" s="19">
        <f t="shared" ca="1" si="85"/>
        <v>99.735391126632379</v>
      </c>
      <c r="AI249" s="46">
        <f t="shared" ca="1" si="92"/>
        <v>6830.9898894858761</v>
      </c>
      <c r="AJ249" s="55">
        <f t="shared" ca="1" si="93"/>
        <v>1.406951953557514E-3</v>
      </c>
      <c r="AK249" s="19">
        <f t="shared" ca="1" si="94"/>
        <v>146.39166741253419</v>
      </c>
      <c r="AL249" s="19">
        <f t="shared" ca="1" si="86"/>
        <v>150</v>
      </c>
    </row>
    <row r="250" spans="2:38" x14ac:dyDescent="0.25">
      <c r="B250" s="19"/>
      <c r="C250" s="19"/>
      <c r="D250" s="19"/>
      <c r="E250" s="19"/>
      <c r="F250" s="19"/>
      <c r="G250" s="19"/>
      <c r="H250" s="43">
        <f t="shared" si="95"/>
        <v>51592</v>
      </c>
      <c r="I250" s="264">
        <v>0</v>
      </c>
      <c r="J250" s="64">
        <f t="shared" ca="1" si="87"/>
        <v>0</v>
      </c>
      <c r="K250" s="19">
        <f ca="1">SUMPRODUCT(V$7:V250,OFFSET($J$366,ROW($I$7)-ROW(),0):$J$366)</f>
        <v>0</v>
      </c>
      <c r="L250" s="19">
        <f ca="1">SUMPRODUCT(W$7:W250,OFFSET($J$366,ROW($I$7)-ROW(),0):$J$366)</f>
        <v>0</v>
      </c>
      <c r="M250" s="19">
        <f ca="1">SUMPRODUCT(X$7:X250,OFFSET($J$366,ROW($I$7)-ROW(),0):$J$366)</f>
        <v>0</v>
      </c>
      <c r="N250" s="19"/>
      <c r="O250" s="43">
        <f t="shared" si="88"/>
        <v>50861</v>
      </c>
      <c r="P250" s="24">
        <f t="shared" si="89"/>
        <v>7395</v>
      </c>
      <c r="Q250" s="19">
        <f t="shared" si="90"/>
        <v>3.6843484914833557</v>
      </c>
      <c r="R250" s="19">
        <f t="shared" si="73"/>
        <v>24.150824695313883</v>
      </c>
      <c r="S250" s="19">
        <f t="shared" si="74"/>
        <v>9.7480639577535704E-3</v>
      </c>
      <c r="T250" s="19"/>
      <c r="U250" s="24">
        <f t="shared" si="96"/>
        <v>7394.4900000000216</v>
      </c>
      <c r="V250" s="19">
        <f t="shared" si="75"/>
        <v>15.421226791018736</v>
      </c>
      <c r="W250" s="19">
        <f t="shared" si="76"/>
        <v>50.494950569227107</v>
      </c>
      <c r="X250" s="19">
        <f t="shared" si="77"/>
        <v>7.7106133955093679</v>
      </c>
      <c r="Y250" s="27"/>
      <c r="Z250" s="42">
        <f t="shared" si="91"/>
        <v>51592</v>
      </c>
      <c r="AA250" s="19">
        <f t="shared" ca="1" si="78"/>
        <v>3.1177202611999699</v>
      </c>
      <c r="AB250" s="19">
        <f t="shared" ca="1" si="79"/>
        <v>21.336051471452915</v>
      </c>
      <c r="AC250" s="19">
        <f t="shared" ca="1" si="80"/>
        <v>4.2720825349637477E-3</v>
      </c>
      <c r="AD250" s="19">
        <f t="shared" ca="1" si="81"/>
        <v>3.2004077207179376</v>
      </c>
      <c r="AE250" s="115">
        <f t="shared" ca="1" si="82"/>
        <v>93.531607835999097</v>
      </c>
      <c r="AF250" s="19">
        <f t="shared" ca="1" si="83"/>
        <v>640.08154414358751</v>
      </c>
      <c r="AG250" s="19">
        <f t="shared" ca="1" si="84"/>
        <v>0.12816247604891243</v>
      </c>
      <c r="AH250" s="19">
        <f t="shared" ca="1" si="85"/>
        <v>96.01223162153812</v>
      </c>
      <c r="AI250" s="46">
        <f t="shared" ca="1" si="92"/>
        <v>6843.478466294775</v>
      </c>
      <c r="AJ250" s="55">
        <f t="shared" ca="1" si="93"/>
        <v>1.3683834118096928E-3</v>
      </c>
      <c r="AK250" s="19">
        <f t="shared" ca="1" si="94"/>
        <v>146.12451912067229</v>
      </c>
      <c r="AL250" s="19">
        <f t="shared" ca="1" si="86"/>
        <v>149.99999999999997</v>
      </c>
    </row>
    <row r="251" spans="2:38" x14ac:dyDescent="0.25">
      <c r="B251" s="19"/>
      <c r="C251" s="19"/>
      <c r="D251" s="19"/>
      <c r="E251" s="19"/>
      <c r="F251" s="19"/>
      <c r="G251" s="19"/>
      <c r="H251" s="43">
        <f t="shared" si="95"/>
        <v>51622</v>
      </c>
      <c r="I251" s="264">
        <v>0</v>
      </c>
      <c r="J251" s="64">
        <f t="shared" ca="1" si="87"/>
        <v>0</v>
      </c>
      <c r="K251" s="19">
        <f ca="1">SUMPRODUCT(V$7:V251,OFFSET($J$366,ROW($I$7)-ROW(),0):$J$366)</f>
        <v>0</v>
      </c>
      <c r="L251" s="19">
        <f ca="1">SUMPRODUCT(W$7:W251,OFFSET($J$366,ROW($I$7)-ROW(),0):$J$366)</f>
        <v>0</v>
      </c>
      <c r="M251" s="19">
        <f ca="1">SUMPRODUCT(X$7:X251,OFFSET($J$366,ROW($I$7)-ROW(),0):$J$366)</f>
        <v>0</v>
      </c>
      <c r="N251" s="19"/>
      <c r="O251" s="43">
        <f t="shared" si="88"/>
        <v>50891</v>
      </c>
      <c r="P251" s="24">
        <f t="shared" si="89"/>
        <v>7425</v>
      </c>
      <c r="Q251" s="19">
        <f t="shared" si="90"/>
        <v>3.6591849338503661</v>
      </c>
      <c r="R251" s="19">
        <f t="shared" si="73"/>
        <v>24.028313850528953</v>
      </c>
      <c r="S251" s="19">
        <f t="shared" si="74"/>
        <v>9.4229223220910954E-3</v>
      </c>
      <c r="T251" s="19"/>
      <c r="U251" s="24">
        <f t="shared" si="96"/>
        <v>7424.9200000000219</v>
      </c>
      <c r="V251" s="19">
        <f t="shared" si="75"/>
        <v>15.315902082993906</v>
      </c>
      <c r="W251" s="19">
        <f t="shared" si="76"/>
        <v>50.238802833915621</v>
      </c>
      <c r="X251" s="19">
        <f t="shared" si="77"/>
        <v>7.6579510414969532</v>
      </c>
      <c r="Y251" s="27"/>
      <c r="Z251" s="42">
        <f t="shared" si="91"/>
        <v>51622</v>
      </c>
      <c r="AA251" s="19">
        <f t="shared" ca="1" si="78"/>
        <v>3.0964266909371148</v>
      </c>
      <c r="AB251" s="19">
        <f t="shared" ca="1" si="79"/>
        <v>21.227819238263393</v>
      </c>
      <c r="AC251" s="19">
        <f t="shared" ca="1" si="80"/>
        <v>4.1301660788637057E-3</v>
      </c>
      <c r="AD251" s="19">
        <f t="shared" ca="1" si="81"/>
        <v>3.1841728857395091</v>
      </c>
      <c r="AE251" s="115">
        <f t="shared" ca="1" si="82"/>
        <v>95.989227419050565</v>
      </c>
      <c r="AF251" s="19">
        <f t="shared" ca="1" si="83"/>
        <v>658.06239638616523</v>
      </c>
      <c r="AG251" s="19">
        <f t="shared" ca="1" si="84"/>
        <v>0.12803514844477487</v>
      </c>
      <c r="AH251" s="19">
        <f t="shared" ca="1" si="85"/>
        <v>98.709359457924776</v>
      </c>
      <c r="AI251" s="46">
        <f t="shared" ca="1" si="92"/>
        <v>6855.5859243801187</v>
      </c>
      <c r="AJ251" s="55">
        <f t="shared" ca="1" si="93"/>
        <v>1.3320723564600708E-3</v>
      </c>
      <c r="AK251" s="19">
        <f t="shared" ca="1" si="94"/>
        <v>145.86645270446667</v>
      </c>
      <c r="AL251" s="19">
        <f t="shared" ca="1" si="86"/>
        <v>149.99999999999997</v>
      </c>
    </row>
    <row r="252" spans="2:38" x14ac:dyDescent="0.25">
      <c r="B252" s="19"/>
      <c r="C252" s="19"/>
      <c r="D252" s="19"/>
      <c r="E252" s="19"/>
      <c r="F252" s="19"/>
      <c r="G252" s="19"/>
      <c r="H252" s="43">
        <f t="shared" si="95"/>
        <v>51653</v>
      </c>
      <c r="I252" s="264">
        <v>0</v>
      </c>
      <c r="J252" s="64">
        <f t="shared" ca="1" si="87"/>
        <v>0</v>
      </c>
      <c r="K252" s="19">
        <f ca="1">SUMPRODUCT(V$7:V252,OFFSET($J$366,ROW($I$7)-ROW(),0):$J$366)</f>
        <v>0</v>
      </c>
      <c r="L252" s="19">
        <f ca="1">SUMPRODUCT(W$7:W252,OFFSET($J$366,ROW($I$7)-ROW(),0):$J$366)</f>
        <v>0</v>
      </c>
      <c r="M252" s="19">
        <f ca="1">SUMPRODUCT(X$7:X252,OFFSET($J$366,ROW($I$7)-ROW(),0):$J$366)</f>
        <v>0</v>
      </c>
      <c r="N252" s="19"/>
      <c r="O252" s="43">
        <f t="shared" si="88"/>
        <v>50922</v>
      </c>
      <c r="P252" s="24">
        <f t="shared" si="89"/>
        <v>7456</v>
      </c>
      <c r="Q252" s="19">
        <f t="shared" si="90"/>
        <v>3.6333631292809843</v>
      </c>
      <c r="R252" s="19">
        <f t="shared" si="73"/>
        <v>23.902372158226669</v>
      </c>
      <c r="S252" s="19">
        <f t="shared" si="74"/>
        <v>9.0983865668545893E-3</v>
      </c>
      <c r="T252" s="19"/>
      <c r="U252" s="24">
        <f t="shared" si="96"/>
        <v>7455.3500000000222</v>
      </c>
      <c r="V252" s="19">
        <f t="shared" si="75"/>
        <v>15.207822213421775</v>
      </c>
      <c r="W252" s="19">
        <f t="shared" si="76"/>
        <v>49.975481824896725</v>
      </c>
      <c r="X252" s="19">
        <f t="shared" si="77"/>
        <v>7.6039111067108873</v>
      </c>
      <c r="Y252" s="27"/>
      <c r="Z252" s="42">
        <f t="shared" si="91"/>
        <v>51653</v>
      </c>
      <c r="AA252" s="19">
        <f t="shared" ca="1" si="78"/>
        <v>3.0745761077274101</v>
      </c>
      <c r="AB252" s="19">
        <f t="shared" ca="1" si="79"/>
        <v>21.116556022068345</v>
      </c>
      <c r="AC252" s="19">
        <f t="shared" ca="1" si="80"/>
        <v>3.9884938718936103E-3</v>
      </c>
      <c r="AD252" s="19">
        <f t="shared" ca="1" si="81"/>
        <v>3.1674834033102517</v>
      </c>
      <c r="AE252" s="115">
        <f t="shared" ca="1" si="82"/>
        <v>92.237283231822303</v>
      </c>
      <c r="AF252" s="19">
        <f t="shared" ca="1" si="83"/>
        <v>633.49668066205038</v>
      </c>
      <c r="AG252" s="19">
        <f t="shared" ca="1" si="84"/>
        <v>0.11965481615680831</v>
      </c>
      <c r="AH252" s="19">
        <f t="shared" ca="1" si="85"/>
        <v>95.024502099307554</v>
      </c>
      <c r="AI252" s="46">
        <f t="shared" ca="1" si="92"/>
        <v>6868.119468240051</v>
      </c>
      <c r="AJ252" s="55">
        <f t="shared" ca="1" si="93"/>
        <v>1.2955693279334147E-3</v>
      </c>
      <c r="AK252" s="19">
        <f t="shared" ca="1" si="94"/>
        <v>145.60026287024519</v>
      </c>
      <c r="AL252" s="19">
        <f t="shared" ca="1" si="86"/>
        <v>150</v>
      </c>
    </row>
    <row r="253" spans="2:38" x14ac:dyDescent="0.25">
      <c r="B253" s="19"/>
      <c r="C253" s="19"/>
      <c r="D253" s="19"/>
      <c r="E253" s="19"/>
      <c r="F253" s="19"/>
      <c r="G253" s="19"/>
      <c r="H253" s="43">
        <f t="shared" si="95"/>
        <v>51683</v>
      </c>
      <c r="I253" s="264">
        <v>0</v>
      </c>
      <c r="J253" s="64">
        <f t="shared" ca="1" si="87"/>
        <v>0</v>
      </c>
      <c r="K253" s="19">
        <f ca="1">SUMPRODUCT(V$7:V253,OFFSET($J$366,ROW($I$7)-ROW(),0):$J$366)</f>
        <v>0</v>
      </c>
      <c r="L253" s="19">
        <f ca="1">SUMPRODUCT(W$7:W253,OFFSET($J$366,ROW($I$7)-ROW(),0):$J$366)</f>
        <v>0</v>
      </c>
      <c r="M253" s="19">
        <f ca="1">SUMPRODUCT(X$7:X253,OFFSET($J$366,ROW($I$7)-ROW(),0):$J$366)</f>
        <v>0</v>
      </c>
      <c r="N253" s="19"/>
      <c r="O253" s="43">
        <f t="shared" si="88"/>
        <v>50952</v>
      </c>
      <c r="P253" s="24">
        <f t="shared" si="89"/>
        <v>7486</v>
      </c>
      <c r="Q253" s="19">
        <f t="shared" si="90"/>
        <v>3.6085477941636395</v>
      </c>
      <c r="R253" s="19">
        <f t="shared" si="73"/>
        <v>23.781121648465138</v>
      </c>
      <c r="S253" s="19">
        <f t="shared" si="74"/>
        <v>8.7950174486162765E-3</v>
      </c>
      <c r="T253" s="19"/>
      <c r="U253" s="24">
        <f t="shared" si="96"/>
        <v>7485.7800000000225</v>
      </c>
      <c r="V253" s="19">
        <f t="shared" si="75"/>
        <v>15.103955027235589</v>
      </c>
      <c r="W253" s="19">
        <f t="shared" si="76"/>
        <v>49.721969219255136</v>
      </c>
      <c r="X253" s="19">
        <f t="shared" si="77"/>
        <v>7.5519775136177945</v>
      </c>
      <c r="Y253" s="27"/>
      <c r="Z253" s="42">
        <f t="shared" si="91"/>
        <v>51683</v>
      </c>
      <c r="AA253" s="19">
        <f t="shared" ca="1" si="78"/>
        <v>3.0535772056792858</v>
      </c>
      <c r="AB253" s="19">
        <f t="shared" ca="1" si="79"/>
        <v>21.009437232136762</v>
      </c>
      <c r="AC253" s="19">
        <f t="shared" ca="1" si="80"/>
        <v>3.8560428187264851E-3</v>
      </c>
      <c r="AD253" s="19">
        <f t="shared" ca="1" si="81"/>
        <v>3.1514155848205139</v>
      </c>
      <c r="AE253" s="115">
        <f t="shared" ca="1" si="82"/>
        <v>94.660893376057857</v>
      </c>
      <c r="AF253" s="19">
        <f t="shared" ca="1" si="83"/>
        <v>651.29255419623962</v>
      </c>
      <c r="AG253" s="19">
        <f t="shared" ca="1" si="84"/>
        <v>0.11953732738052104</v>
      </c>
      <c r="AH253" s="19">
        <f t="shared" ca="1" si="85"/>
        <v>97.693883129435932</v>
      </c>
      <c r="AI253" s="46">
        <f t="shared" ca="1" si="92"/>
        <v>6880.2705210995609</v>
      </c>
      <c r="AJ253" s="55">
        <f t="shared" ca="1" si="93"/>
        <v>1.2612026184449967E-3</v>
      </c>
      <c r="AK253" s="19">
        <f t="shared" ca="1" si="94"/>
        <v>145.34312232830436</v>
      </c>
      <c r="AL253" s="19">
        <f t="shared" ca="1" si="86"/>
        <v>149.99999999999997</v>
      </c>
    </row>
    <row r="254" spans="2:38" x14ac:dyDescent="0.25">
      <c r="B254" s="19"/>
      <c r="C254" s="19"/>
      <c r="D254" s="19"/>
      <c r="E254" s="19"/>
      <c r="F254" s="19"/>
      <c r="G254" s="19"/>
      <c r="H254" s="43">
        <f t="shared" si="95"/>
        <v>51714</v>
      </c>
      <c r="I254" s="264">
        <v>0</v>
      </c>
      <c r="J254" s="64">
        <f t="shared" ca="1" si="87"/>
        <v>0</v>
      </c>
      <c r="K254" s="19">
        <f ca="1">SUMPRODUCT(V$7:V254,OFFSET($J$366,ROW($I$7)-ROW(),0):$J$366)</f>
        <v>0</v>
      </c>
      <c r="L254" s="19">
        <f ca="1">SUMPRODUCT(W$7:W254,OFFSET($J$366,ROW($I$7)-ROW(),0):$J$366)</f>
        <v>0</v>
      </c>
      <c r="M254" s="19">
        <f ca="1">SUMPRODUCT(X$7:X254,OFFSET($J$366,ROW($I$7)-ROW(),0):$J$366)</f>
        <v>0</v>
      </c>
      <c r="N254" s="19"/>
      <c r="O254" s="43">
        <f t="shared" si="88"/>
        <v>50983</v>
      </c>
      <c r="P254" s="24">
        <f t="shared" si="89"/>
        <v>7517</v>
      </c>
      <c r="Q254" s="19">
        <f t="shared" si="90"/>
        <v>3.5830833211718027</v>
      </c>
      <c r="R254" s="19">
        <f t="shared" si="73"/>
        <v>23.656475586161925</v>
      </c>
      <c r="S254" s="19">
        <f t="shared" si="74"/>
        <v>8.4922100218614571E-3</v>
      </c>
      <c r="T254" s="19"/>
      <c r="U254" s="24">
        <f t="shared" si="96"/>
        <v>7516.2100000000228</v>
      </c>
      <c r="V254" s="19">
        <f t="shared" si="75"/>
        <v>14.997370806435457</v>
      </c>
      <c r="W254" s="19">
        <f t="shared" si="76"/>
        <v>49.461357135235055</v>
      </c>
      <c r="X254" s="19">
        <f t="shared" si="77"/>
        <v>7.4986854032177286</v>
      </c>
      <c r="Y254" s="27"/>
      <c r="Z254" s="42">
        <f t="shared" si="91"/>
        <v>51714</v>
      </c>
      <c r="AA254" s="19">
        <f t="shared" ca="1" si="78"/>
        <v>3.0320289988332325</v>
      </c>
      <c r="AB254" s="19">
        <f t="shared" ca="1" si="79"/>
        <v>20.899318640553783</v>
      </c>
      <c r="AC254" s="19">
        <f t="shared" ca="1" si="80"/>
        <v>3.7238181574511904E-3</v>
      </c>
      <c r="AD254" s="19">
        <f t="shared" ca="1" si="81"/>
        <v>3.1348977960830675</v>
      </c>
      <c r="AE254" s="115">
        <f t="shared" ca="1" si="82"/>
        <v>93.992898963830214</v>
      </c>
      <c r="AF254" s="19">
        <f t="shared" ca="1" si="83"/>
        <v>647.87887785716725</v>
      </c>
      <c r="AG254" s="19">
        <f t="shared" ca="1" si="84"/>
        <v>0.1154383628809869</v>
      </c>
      <c r="AH254" s="19">
        <f t="shared" ca="1" si="85"/>
        <v>97.181831678575094</v>
      </c>
      <c r="AI254" s="46">
        <f t="shared" ca="1" si="92"/>
        <v>6892.8491939213418</v>
      </c>
      <c r="AJ254" s="55">
        <f t="shared" ca="1" si="93"/>
        <v>1.226653941193598E-3</v>
      </c>
      <c r="AK254" s="19">
        <f t="shared" ca="1" si="94"/>
        <v>145.07788751302999</v>
      </c>
      <c r="AL254" s="19">
        <f t="shared" ca="1" si="86"/>
        <v>150</v>
      </c>
    </row>
    <row r="255" spans="2:38" x14ac:dyDescent="0.25">
      <c r="B255" s="19"/>
      <c r="C255" s="19"/>
      <c r="D255" s="19"/>
      <c r="E255" s="19"/>
      <c r="F255" s="19"/>
      <c r="G255" s="19"/>
      <c r="H255" s="43">
        <f t="shared" si="95"/>
        <v>51745</v>
      </c>
      <c r="I255" s="264">
        <v>0</v>
      </c>
      <c r="J255" s="64">
        <f t="shared" ca="1" si="87"/>
        <v>0</v>
      </c>
      <c r="K255" s="19">
        <f ca="1">SUMPRODUCT(V$7:V255,OFFSET($J$366,ROW($I$7)-ROW(),0):$J$366)</f>
        <v>0</v>
      </c>
      <c r="L255" s="19">
        <f ca="1">SUMPRODUCT(W$7:W255,OFFSET($J$366,ROW($I$7)-ROW(),0):$J$366)</f>
        <v>0</v>
      </c>
      <c r="M255" s="19">
        <f ca="1">SUMPRODUCT(X$7:X255,OFFSET($J$366,ROW($I$7)-ROW(),0):$J$366)</f>
        <v>0</v>
      </c>
      <c r="N255" s="19"/>
      <c r="O255" s="43">
        <f t="shared" si="88"/>
        <v>51014</v>
      </c>
      <c r="P255" s="24">
        <f t="shared" si="89"/>
        <v>7548</v>
      </c>
      <c r="Q255" s="19">
        <f t="shared" si="90"/>
        <v>3.5577985435648523</v>
      </c>
      <c r="R255" s="19">
        <f t="shared" si="73"/>
        <v>23.532482842111627</v>
      </c>
      <c r="S255" s="19">
        <f t="shared" si="74"/>
        <v>8.1998784007438676E-3</v>
      </c>
      <c r="T255" s="19"/>
      <c r="U255" s="24">
        <f t="shared" si="96"/>
        <v>7546.6400000000231</v>
      </c>
      <c r="V255" s="19">
        <f t="shared" si="75"/>
        <v>14.89153871950378</v>
      </c>
      <c r="W255" s="19">
        <f t="shared" si="76"/>
        <v>49.20211102000912</v>
      </c>
      <c r="X255" s="19">
        <f t="shared" si="77"/>
        <v>7.4457693597518899</v>
      </c>
      <c r="Y255" s="27"/>
      <c r="Z255" s="42">
        <f t="shared" si="91"/>
        <v>51745</v>
      </c>
      <c r="AA255" s="19">
        <f t="shared" ca="1" si="78"/>
        <v>3.0106328514201017</v>
      </c>
      <c r="AB255" s="19">
        <f t="shared" ca="1" si="79"/>
        <v>20.789777223127274</v>
      </c>
      <c r="AC255" s="19">
        <f t="shared" ca="1" si="80"/>
        <v>3.5961493992364892E-3</v>
      </c>
      <c r="AD255" s="19">
        <f t="shared" ca="1" si="81"/>
        <v>3.118466583469091</v>
      </c>
      <c r="AE255" s="115">
        <f t="shared" ca="1" si="82"/>
        <v>90.318985542603059</v>
      </c>
      <c r="AF255" s="19">
        <f t="shared" ca="1" si="83"/>
        <v>623.69331669381825</v>
      </c>
      <c r="AG255" s="19">
        <f t="shared" ca="1" si="84"/>
        <v>0.10788448197709467</v>
      </c>
      <c r="AH255" s="19">
        <f t="shared" ca="1" si="85"/>
        <v>93.553997504072726</v>
      </c>
      <c r="AI255" s="46">
        <f t="shared" ca="1" si="92"/>
        <v>6905.4508633694177</v>
      </c>
      <c r="AJ255" s="55">
        <f t="shared" ca="1" si="93"/>
        <v>1.1930577929742468E-3</v>
      </c>
      <c r="AK255" s="19">
        <f t="shared" ca="1" si="94"/>
        <v>144.81313672139638</v>
      </c>
      <c r="AL255" s="19">
        <f t="shared" ca="1" si="86"/>
        <v>150</v>
      </c>
    </row>
    <row r="256" spans="2:38" x14ac:dyDescent="0.25">
      <c r="B256" s="19"/>
      <c r="C256" s="19"/>
      <c r="D256" s="19"/>
      <c r="E256" s="19"/>
      <c r="F256" s="19"/>
      <c r="G256" s="19"/>
      <c r="H256" s="43">
        <f t="shared" si="95"/>
        <v>51775</v>
      </c>
      <c r="I256" s="264">
        <v>0</v>
      </c>
      <c r="J256" s="64">
        <f t="shared" ca="1" si="87"/>
        <v>0</v>
      </c>
      <c r="K256" s="19">
        <f ca="1">SUMPRODUCT(V$7:V256,OFFSET($J$366,ROW($I$7)-ROW(),0):$J$366)</f>
        <v>0</v>
      </c>
      <c r="L256" s="19">
        <f ca="1">SUMPRODUCT(W$7:W256,OFFSET($J$366,ROW($I$7)-ROW(),0):$J$366)</f>
        <v>0</v>
      </c>
      <c r="M256" s="19">
        <f ca="1">SUMPRODUCT(X$7:X256,OFFSET($J$366,ROW($I$7)-ROW(),0):$J$366)</f>
        <v>0</v>
      </c>
      <c r="N256" s="19"/>
      <c r="O256" s="43">
        <f t="shared" si="88"/>
        <v>51044</v>
      </c>
      <c r="P256" s="24">
        <f t="shared" si="89"/>
        <v>7578</v>
      </c>
      <c r="Q256" s="19">
        <f t="shared" si="90"/>
        <v>3.5334993034401716</v>
      </c>
      <c r="R256" s="19">
        <f t="shared" si="73"/>
        <v>23.41310868453127</v>
      </c>
      <c r="S256" s="19">
        <f t="shared" si="74"/>
        <v>7.9266080991253728E-3</v>
      </c>
      <c r="T256" s="19"/>
      <c r="U256" s="24">
        <f t="shared" si="96"/>
        <v>7577.0700000000234</v>
      </c>
      <c r="V256" s="19">
        <f t="shared" si="75"/>
        <v>14.789831703004573</v>
      </c>
      <c r="W256" s="19">
        <f t="shared" si="76"/>
        <v>48.952521523074353</v>
      </c>
      <c r="X256" s="19">
        <f t="shared" si="77"/>
        <v>7.3949158515022866</v>
      </c>
      <c r="Y256" s="27"/>
      <c r="Z256" s="42">
        <f t="shared" si="91"/>
        <v>51775</v>
      </c>
      <c r="AA256" s="19">
        <f t="shared" ca="1" si="78"/>
        <v>2.9900706723961568</v>
      </c>
      <c r="AB256" s="19">
        <f t="shared" ca="1" si="79"/>
        <v>20.684316096949249</v>
      </c>
      <c r="AC256" s="19">
        <f t="shared" ca="1" si="80"/>
        <v>3.4767882065110428E-3</v>
      </c>
      <c r="AD256" s="19">
        <f t="shared" ca="1" si="81"/>
        <v>3.1026474145423872</v>
      </c>
      <c r="AE256" s="115">
        <f t="shared" ca="1" si="82"/>
        <v>92.692190844280859</v>
      </c>
      <c r="AF256" s="19">
        <f t="shared" ca="1" si="83"/>
        <v>641.21379900542672</v>
      </c>
      <c r="AG256" s="19">
        <f t="shared" ca="1" si="84"/>
        <v>0.10778043440184233</v>
      </c>
      <c r="AH256" s="19">
        <f t="shared" ca="1" si="85"/>
        <v>96.182069850814003</v>
      </c>
      <c r="AI256" s="46">
        <f t="shared" ca="1" si="92"/>
        <v>6917.6679628021748</v>
      </c>
      <c r="AJ256" s="55">
        <f t="shared" ca="1" si="93"/>
        <v>1.1614274543056979E-3</v>
      </c>
      <c r="AK256" s="19">
        <f t="shared" ca="1" si="94"/>
        <v>144.55738630087777</v>
      </c>
      <c r="AL256" s="19">
        <f t="shared" ca="1" si="86"/>
        <v>150</v>
      </c>
    </row>
    <row r="257" spans="2:38" x14ac:dyDescent="0.25">
      <c r="B257" s="19"/>
      <c r="C257" s="19"/>
      <c r="D257" s="19"/>
      <c r="E257" s="19"/>
      <c r="F257" s="19"/>
      <c r="G257" s="19"/>
      <c r="H257" s="43">
        <f t="shared" si="95"/>
        <v>51806</v>
      </c>
      <c r="I257" s="264">
        <v>0</v>
      </c>
      <c r="J257" s="64">
        <f t="shared" ca="1" si="87"/>
        <v>0</v>
      </c>
      <c r="K257" s="19">
        <f ca="1">SUMPRODUCT(V$7:V257,OFFSET($J$366,ROW($I$7)-ROW(),0):$J$366)</f>
        <v>0</v>
      </c>
      <c r="L257" s="19">
        <f ca="1">SUMPRODUCT(W$7:W257,OFFSET($J$366,ROW($I$7)-ROW(),0):$J$366)</f>
        <v>0</v>
      </c>
      <c r="M257" s="19">
        <f ca="1">SUMPRODUCT(X$7:X257,OFFSET($J$366,ROW($I$7)-ROW(),0):$J$366)</f>
        <v>0</v>
      </c>
      <c r="N257" s="19"/>
      <c r="O257" s="43">
        <f t="shared" si="88"/>
        <v>51075</v>
      </c>
      <c r="P257" s="24">
        <f t="shared" si="89"/>
        <v>7609</v>
      </c>
      <c r="Q257" s="19">
        <f t="shared" si="90"/>
        <v>3.5085644258352091</v>
      </c>
      <c r="R257" s="19">
        <f t="shared" si="73"/>
        <v>23.290391520600011</v>
      </c>
      <c r="S257" s="19">
        <f t="shared" si="74"/>
        <v>7.6538388505808892E-3</v>
      </c>
      <c r="T257" s="19"/>
      <c r="U257" s="24">
        <f t="shared" si="96"/>
        <v>7607.5000000000236</v>
      </c>
      <c r="V257" s="19">
        <f t="shared" si="75"/>
        <v>14.685464159206457</v>
      </c>
      <c r="W257" s="19">
        <f t="shared" si="76"/>
        <v>48.695942412220752</v>
      </c>
      <c r="X257" s="19">
        <f t="shared" si="77"/>
        <v>7.3427320796032287</v>
      </c>
      <c r="Y257" s="27"/>
      <c r="Z257" s="42">
        <f t="shared" si="91"/>
        <v>51806</v>
      </c>
      <c r="AA257" s="19">
        <f t="shared" ca="1" si="78"/>
        <v>2.9689706126978863</v>
      </c>
      <c r="AB257" s="19">
        <f t="shared" ca="1" si="79"/>
        <v>20.575901591063822</v>
      </c>
      <c r="AC257" s="19">
        <f t="shared" ca="1" si="80"/>
        <v>3.3576289044698806E-3</v>
      </c>
      <c r="AD257" s="19">
        <f t="shared" ca="1" si="81"/>
        <v>3.0863852386595734</v>
      </c>
      <c r="AE257" s="115">
        <f t="shared" ca="1" si="82"/>
        <v>89.069118380936587</v>
      </c>
      <c r="AF257" s="19">
        <f t="shared" ca="1" si="83"/>
        <v>617.27704773191465</v>
      </c>
      <c r="AG257" s="19">
        <f t="shared" ca="1" si="84"/>
        <v>0.10072886713409641</v>
      </c>
      <c r="AH257" s="19">
        <f t="shared" ca="1" si="85"/>
        <v>92.5915571597872</v>
      </c>
      <c r="AI257" s="46">
        <f t="shared" ca="1" si="92"/>
        <v>6930.3150065088112</v>
      </c>
      <c r="AJ257" s="55">
        <f t="shared" ca="1" si="93"/>
        <v>1.1296292439962191E-3</v>
      </c>
      <c r="AK257" s="19">
        <f t="shared" ca="1" si="94"/>
        <v>144.29358536528574</v>
      </c>
      <c r="AL257" s="19">
        <f t="shared" ca="1" si="86"/>
        <v>150.00000000000003</v>
      </c>
    </row>
    <row r="258" spans="2:38" x14ac:dyDescent="0.25">
      <c r="B258" s="19"/>
      <c r="C258" s="19"/>
      <c r="D258" s="19"/>
      <c r="E258" s="19"/>
      <c r="F258" s="19"/>
      <c r="G258" s="19"/>
      <c r="H258" s="44">
        <f t="shared" si="95"/>
        <v>51836</v>
      </c>
      <c r="I258" s="265">
        <v>0</v>
      </c>
      <c r="J258" s="65">
        <f t="shared" ca="1" si="87"/>
        <v>0</v>
      </c>
      <c r="K258" s="21">
        <f ca="1">SUMPRODUCT(V$7:V258,OFFSET($J$366,ROW($I$7)-ROW(),0):$J$366)</f>
        <v>0</v>
      </c>
      <c r="L258" s="21">
        <f ca="1">SUMPRODUCT(W$7:W258,OFFSET($J$366,ROW($I$7)-ROW(),0):$J$366)</f>
        <v>0</v>
      </c>
      <c r="M258" s="21">
        <f ca="1">SUMPRODUCT(X$7:X258,OFFSET($J$366,ROW($I$7)-ROW(),0):$J$366)</f>
        <v>0</v>
      </c>
      <c r="N258" s="19"/>
      <c r="O258" s="44">
        <f t="shared" si="88"/>
        <v>51105</v>
      </c>
      <c r="P258" s="25">
        <f t="shared" si="89"/>
        <v>7639</v>
      </c>
      <c r="Q258" s="21">
        <f t="shared" si="90"/>
        <v>3.4846014474843159</v>
      </c>
      <c r="R258" s="21">
        <f t="shared" si="73"/>
        <v>23.172245429252904</v>
      </c>
      <c r="S258" s="21">
        <f t="shared" si="74"/>
        <v>7.3988523250469469E-3</v>
      </c>
      <c r="T258" s="19"/>
      <c r="U258" s="25">
        <f t="shared" si="96"/>
        <v>7637.9300000000239</v>
      </c>
      <c r="V258" s="21">
        <f t="shared" si="75"/>
        <v>14.585164601607167</v>
      </c>
      <c r="W258" s="21">
        <f t="shared" si="76"/>
        <v>48.448920576826566</v>
      </c>
      <c r="X258" s="21">
        <f t="shared" si="77"/>
        <v>7.2925823008035833</v>
      </c>
      <c r="Y258" s="27"/>
      <c r="Z258" s="48">
        <f t="shared" si="91"/>
        <v>51836</v>
      </c>
      <c r="AA258" s="21">
        <f t="shared" ca="1" si="78"/>
        <v>2.9486929806291573</v>
      </c>
      <c r="AB258" s="21">
        <f t="shared" ca="1" si="79"/>
        <v>20.471525400273869</v>
      </c>
      <c r="AC258" s="21">
        <f t="shared" ca="1" si="80"/>
        <v>3.2462221283910456E-3</v>
      </c>
      <c r="AD258" s="21">
        <f t="shared" ca="1" si="81"/>
        <v>3.0707288100410808</v>
      </c>
      <c r="AE258" s="116">
        <f t="shared" ca="1" si="82"/>
        <v>91.409482399503872</v>
      </c>
      <c r="AF258" s="21">
        <f t="shared" ca="1" si="83"/>
        <v>634.61728740848991</v>
      </c>
      <c r="AG258" s="21">
        <f t="shared" ca="1" si="84"/>
        <v>0.10063288598012242</v>
      </c>
      <c r="AH258" s="21">
        <f t="shared" ca="1" si="85"/>
        <v>95.19259311127351</v>
      </c>
      <c r="AI258" s="47">
        <f t="shared" ca="1" si="92"/>
        <v>6942.5760954963498</v>
      </c>
      <c r="AJ258" s="57">
        <f t="shared" ca="1" si="93"/>
        <v>1.0996913911230264E-3</v>
      </c>
      <c r="AK258" s="21">
        <f t="shared" ca="1" si="94"/>
        <v>144.03875250985007</v>
      </c>
      <c r="AL258" s="21">
        <f t="shared" ca="1" si="86"/>
        <v>150.00000000000006</v>
      </c>
    </row>
    <row r="259" spans="2:38" x14ac:dyDescent="0.25">
      <c r="B259" s="19"/>
      <c r="C259" s="19"/>
      <c r="D259" s="19"/>
      <c r="E259" s="19"/>
      <c r="F259" s="19"/>
      <c r="G259" s="19"/>
      <c r="H259" s="43">
        <f t="shared" si="95"/>
        <v>51867</v>
      </c>
      <c r="I259" s="264">
        <v>0</v>
      </c>
      <c r="J259" s="64">
        <f t="shared" ca="1" si="87"/>
        <v>0</v>
      </c>
      <c r="K259" s="19">
        <f ca="1">SUMPRODUCT(V$7:V259,OFFSET($J$366,ROW($I$7)-ROW(),0):$J$366)</f>
        <v>0</v>
      </c>
      <c r="L259" s="19">
        <f ca="1">SUMPRODUCT(W$7:W259,OFFSET($J$366,ROW($I$7)-ROW(),0):$J$366)</f>
        <v>0</v>
      </c>
      <c r="M259" s="19">
        <f ca="1">SUMPRODUCT(X$7:X259,OFFSET($J$366,ROW($I$7)-ROW(),0):$J$366)</f>
        <v>0</v>
      </c>
      <c r="N259" s="19"/>
      <c r="O259" s="43">
        <f t="shared" si="88"/>
        <v>51136</v>
      </c>
      <c r="P259" s="24">
        <f t="shared" si="89"/>
        <v>7670</v>
      </c>
      <c r="Q259" s="19">
        <f t="shared" si="90"/>
        <v>3.4600116278371176</v>
      </c>
      <c r="R259" s="19">
        <f t="shared" si="73"/>
        <v>23.050790722861187</v>
      </c>
      <c r="S259" s="19">
        <f t="shared" si="74"/>
        <v>7.1443302932762132E-3</v>
      </c>
      <c r="T259" s="19"/>
      <c r="U259" s="24">
        <f t="shared" si="96"/>
        <v>7668.3600000000242</v>
      </c>
      <c r="V259" s="19">
        <f t="shared" si="75"/>
        <v>14.48224133405898</v>
      </c>
      <c r="W259" s="19">
        <f t="shared" si="76"/>
        <v>48.19498103343534</v>
      </c>
      <c r="X259" s="19">
        <f t="shared" si="77"/>
        <v>7.2411206670294899</v>
      </c>
      <c r="Y259" s="27"/>
      <c r="Z259" s="42">
        <f t="shared" si="91"/>
        <v>51867</v>
      </c>
      <c r="AA259" s="19">
        <f t="shared" ca="1" si="78"/>
        <v>2.9278849112756373</v>
      </c>
      <c r="AB259" s="19">
        <f t="shared" ca="1" si="79"/>
        <v>20.364226212783734</v>
      </c>
      <c r="AC259" s="19">
        <f t="shared" ca="1" si="80"/>
        <v>3.1350024732600458E-3</v>
      </c>
      <c r="AD259" s="19">
        <f t="shared" ca="1" si="81"/>
        <v>3.0546339319175599</v>
      </c>
      <c r="AE259" s="115">
        <f t="shared" ca="1" si="82"/>
        <v>90.764432249544754</v>
      </c>
      <c r="AF259" s="19">
        <f t="shared" ca="1" si="83"/>
        <v>631.29101259629579</v>
      </c>
      <c r="AG259" s="19">
        <f t="shared" ca="1" si="84"/>
        <v>9.7185076671061424E-2</v>
      </c>
      <c r="AH259" s="19">
        <f t="shared" ca="1" si="85"/>
        <v>94.693651889444354</v>
      </c>
      <c r="AI259" s="46">
        <f t="shared" ca="1" si="92"/>
        <v>6955.2686768385765</v>
      </c>
      <c r="AJ259" s="55">
        <f t="shared" ca="1" si="93"/>
        <v>1.0695943956417022E-3</v>
      </c>
      <c r="AK259" s="19">
        <f t="shared" ca="1" si="94"/>
        <v>143.77589802246666</v>
      </c>
      <c r="AL259" s="19">
        <f t="shared" ca="1" si="86"/>
        <v>149.99999999999997</v>
      </c>
    </row>
    <row r="260" spans="2:38" x14ac:dyDescent="0.25">
      <c r="B260" s="19"/>
      <c r="C260" s="19"/>
      <c r="D260" s="19"/>
      <c r="E260" s="19"/>
      <c r="F260" s="19"/>
      <c r="G260" s="19"/>
      <c r="H260" s="43">
        <f t="shared" si="95"/>
        <v>51898</v>
      </c>
      <c r="I260" s="264">
        <v>0</v>
      </c>
      <c r="J260" s="64">
        <f t="shared" ca="1" si="87"/>
        <v>0</v>
      </c>
      <c r="K260" s="19">
        <f ca="1">SUMPRODUCT(V$7:V260,OFFSET($J$366,ROW($I$7)-ROW(),0):$J$366)</f>
        <v>0</v>
      </c>
      <c r="L260" s="19">
        <f ca="1">SUMPRODUCT(W$7:W260,OFFSET($J$366,ROW($I$7)-ROW(),0):$J$366)</f>
        <v>0</v>
      </c>
      <c r="M260" s="19">
        <f ca="1">SUMPRODUCT(X$7:X260,OFFSET($J$366,ROW($I$7)-ROW(),0):$J$366)</f>
        <v>0</v>
      </c>
      <c r="N260" s="19"/>
      <c r="O260" s="43">
        <f t="shared" si="88"/>
        <v>51167</v>
      </c>
      <c r="P260" s="24">
        <f t="shared" si="89"/>
        <v>7701</v>
      </c>
      <c r="Q260" s="19">
        <f t="shared" si="90"/>
        <v>3.4355953314003624</v>
      </c>
      <c r="R260" s="19">
        <f t="shared" si="73"/>
        <v>22.92997260759094</v>
      </c>
      <c r="S260" s="19">
        <f t="shared" si="74"/>
        <v>6.8986061318958829E-3</v>
      </c>
      <c r="T260" s="19"/>
      <c r="U260" s="24">
        <f t="shared" si="96"/>
        <v>7698.7900000000245</v>
      </c>
      <c r="V260" s="19">
        <f t="shared" si="75"/>
        <v>14.38004436609617</v>
      </c>
      <c r="W260" s="19">
        <f t="shared" si="76"/>
        <v>47.942372485470436</v>
      </c>
      <c r="X260" s="19">
        <f t="shared" si="77"/>
        <v>7.190022183048085</v>
      </c>
      <c r="Y260" s="27"/>
      <c r="Z260" s="42">
        <f t="shared" si="91"/>
        <v>51898</v>
      </c>
      <c r="AA260" s="19">
        <f t="shared" ca="1" si="78"/>
        <v>2.9072236784198684</v>
      </c>
      <c r="AB260" s="19">
        <f t="shared" ca="1" si="79"/>
        <v>20.257489421862047</v>
      </c>
      <c r="AC260" s="19">
        <f t="shared" ca="1" si="80"/>
        <v>3.027611738317565E-3</v>
      </c>
      <c r="AD260" s="19">
        <f t="shared" ca="1" si="81"/>
        <v>3.0386234132793075</v>
      </c>
      <c r="AE260" s="115">
        <f t="shared" ca="1" si="82"/>
        <v>81.402262995756317</v>
      </c>
      <c r="AF260" s="19">
        <f t="shared" ca="1" si="83"/>
        <v>567.20970381213738</v>
      </c>
      <c r="AG260" s="19">
        <f t="shared" ca="1" si="84"/>
        <v>8.4773128672891815E-2</v>
      </c>
      <c r="AH260" s="19">
        <f t="shared" ca="1" si="85"/>
        <v>85.081455571820612</v>
      </c>
      <c r="AI260" s="46">
        <f t="shared" ca="1" si="92"/>
        <v>6967.9844630573389</v>
      </c>
      <c r="AJ260" s="55">
        <f t="shared" ca="1" si="93"/>
        <v>1.040326568553123E-3</v>
      </c>
      <c r="AK260" s="19">
        <f t="shared" ca="1" si="94"/>
        <v>143.51352321489398</v>
      </c>
      <c r="AL260" s="19">
        <f t="shared" ca="1" si="86"/>
        <v>150</v>
      </c>
    </row>
    <row r="261" spans="2:38" x14ac:dyDescent="0.25">
      <c r="B261" s="19"/>
      <c r="C261" s="19"/>
      <c r="D261" s="19"/>
      <c r="E261" s="19"/>
      <c r="F261" s="19"/>
      <c r="G261" s="19"/>
      <c r="H261" s="43">
        <f t="shared" si="95"/>
        <v>51926</v>
      </c>
      <c r="I261" s="264">
        <v>0</v>
      </c>
      <c r="J261" s="64">
        <f t="shared" ca="1" si="87"/>
        <v>0</v>
      </c>
      <c r="K261" s="19">
        <f ca="1">SUMPRODUCT(V$7:V261,OFFSET($J$366,ROW($I$7)-ROW(),0):$J$366)</f>
        <v>0</v>
      </c>
      <c r="L261" s="19">
        <f ca="1">SUMPRODUCT(W$7:W261,OFFSET($J$366,ROW($I$7)-ROW(),0):$J$366)</f>
        <v>0</v>
      </c>
      <c r="M261" s="19">
        <f ca="1">SUMPRODUCT(X$7:X261,OFFSET($J$366,ROW($I$7)-ROW(),0):$J$366)</f>
        <v>0</v>
      </c>
      <c r="N261" s="19"/>
      <c r="O261" s="43">
        <f t="shared" si="88"/>
        <v>51196</v>
      </c>
      <c r="P261" s="24">
        <f t="shared" si="89"/>
        <v>7730</v>
      </c>
      <c r="Q261" s="19">
        <f t="shared" si="90"/>
        <v>3.4129102868323931</v>
      </c>
      <c r="R261" s="19">
        <f t="shared" si="73"/>
        <v>22.817522563860074</v>
      </c>
      <c r="S261" s="19">
        <f t="shared" si="74"/>
        <v>6.6764290769356091E-3</v>
      </c>
      <c r="T261" s="19"/>
      <c r="U261" s="24">
        <f t="shared" si="96"/>
        <v>7729.2200000000248</v>
      </c>
      <c r="V261" s="19">
        <f t="shared" si="75"/>
        <v>14.285093734293646</v>
      </c>
      <c r="W261" s="19">
        <f t="shared" si="76"/>
        <v>47.707260042258532</v>
      </c>
      <c r="X261" s="19">
        <f t="shared" si="77"/>
        <v>7.1425468671468231</v>
      </c>
      <c r="Y261" s="27"/>
      <c r="Z261" s="42">
        <f t="shared" si="91"/>
        <v>51926</v>
      </c>
      <c r="AA261" s="19">
        <f t="shared" ca="1" si="78"/>
        <v>2.8886872667749381</v>
      </c>
      <c r="AB261" s="19">
        <f t="shared" ca="1" si="79"/>
        <v>20.161562937426762</v>
      </c>
      <c r="AC261" s="19">
        <f t="shared" ca="1" si="80"/>
        <v>2.9337944291755414E-3</v>
      </c>
      <c r="AD261" s="19">
        <f t="shared" ca="1" si="81"/>
        <v>3.0242344406140145</v>
      </c>
      <c r="AE261" s="115">
        <f t="shared" ca="1" si="82"/>
        <v>89.549305270023083</v>
      </c>
      <c r="AF261" s="19">
        <f t="shared" ca="1" si="83"/>
        <v>625.00845106022962</v>
      </c>
      <c r="AG261" s="19">
        <f t="shared" ca="1" si="84"/>
        <v>9.094762730444178E-2</v>
      </c>
      <c r="AH261" s="19">
        <f t="shared" ca="1" si="85"/>
        <v>93.751267659034454</v>
      </c>
      <c r="AI261" s="46">
        <f t="shared" ca="1" si="92"/>
        <v>6979.4896696920914</v>
      </c>
      <c r="AJ261" s="55">
        <f t="shared" ca="1" si="93"/>
        <v>1.0145846800389074E-3</v>
      </c>
      <c r="AK261" s="19">
        <f t="shared" ca="1" si="94"/>
        <v>143.27695108460793</v>
      </c>
      <c r="AL261" s="19">
        <f t="shared" ca="1" si="86"/>
        <v>150.00000000000003</v>
      </c>
    </row>
    <row r="262" spans="2:38" x14ac:dyDescent="0.25">
      <c r="B262" s="19"/>
      <c r="C262" s="19"/>
      <c r="D262" s="19"/>
      <c r="E262" s="19"/>
      <c r="F262" s="19"/>
      <c r="G262" s="19"/>
      <c r="H262" s="43">
        <f t="shared" si="95"/>
        <v>51957</v>
      </c>
      <c r="I262" s="264">
        <v>0</v>
      </c>
      <c r="J262" s="64">
        <f t="shared" ca="1" si="87"/>
        <v>0</v>
      </c>
      <c r="K262" s="19">
        <f ca="1">SUMPRODUCT(V$7:V262,OFFSET($J$366,ROW($I$7)-ROW(),0):$J$366)</f>
        <v>0</v>
      </c>
      <c r="L262" s="19">
        <f ca="1">SUMPRODUCT(W$7:W262,OFFSET($J$366,ROW($I$7)-ROW(),0):$J$366)</f>
        <v>0</v>
      </c>
      <c r="M262" s="19">
        <f ca="1">SUMPRODUCT(X$7:X262,OFFSET($J$366,ROW($I$7)-ROW(),0):$J$366)</f>
        <v>0</v>
      </c>
      <c r="N262" s="19"/>
      <c r="O262" s="43">
        <f t="shared" si="88"/>
        <v>51227</v>
      </c>
      <c r="P262" s="24">
        <f t="shared" si="89"/>
        <v>7761</v>
      </c>
      <c r="Q262" s="19">
        <f t="shared" si="90"/>
        <v>3.3888263708695323</v>
      </c>
      <c r="R262" s="19">
        <f t="shared" si="73"/>
        <v>22.697927097290339</v>
      </c>
      <c r="S262" s="19">
        <f t="shared" si="74"/>
        <v>6.4468744442449256E-3</v>
      </c>
      <c r="T262" s="19"/>
      <c r="U262" s="24">
        <f t="shared" si="96"/>
        <v>7759.6500000000251</v>
      </c>
      <c r="V262" s="19">
        <f t="shared" si="75"/>
        <v>14.184287979643228</v>
      </c>
      <c r="W262" s="19">
        <f t="shared" si="76"/>
        <v>47.457207828765618</v>
      </c>
      <c r="X262" s="19">
        <f t="shared" si="77"/>
        <v>7.0921439898216141</v>
      </c>
      <c r="Y262" s="27"/>
      <c r="Z262" s="42">
        <f t="shared" si="91"/>
        <v>51957</v>
      </c>
      <c r="AA262" s="19">
        <f t="shared" ca="1" si="78"/>
        <v>2.8683026403039724</v>
      </c>
      <c r="AB262" s="19">
        <f t="shared" ca="1" si="79"/>
        <v>20.05588838316574</v>
      </c>
      <c r="AC262" s="19">
        <f t="shared" ca="1" si="80"/>
        <v>2.8333289007291948E-3</v>
      </c>
      <c r="AD262" s="19">
        <f t="shared" ca="1" si="81"/>
        <v>3.0083832574748608</v>
      </c>
      <c r="AE262" s="115">
        <f t="shared" ca="1" si="82"/>
        <v>86.049079209119171</v>
      </c>
      <c r="AF262" s="19">
        <f t="shared" ca="1" si="83"/>
        <v>601.67665149497225</v>
      </c>
      <c r="AG262" s="19">
        <f t="shared" ca="1" si="84"/>
        <v>8.4999867021875841E-2</v>
      </c>
      <c r="AH262" s="19">
        <f t="shared" ca="1" si="85"/>
        <v>90.251497724245823</v>
      </c>
      <c r="AI262" s="46">
        <f t="shared" ca="1" si="92"/>
        <v>6992.2497373011838</v>
      </c>
      <c r="AJ262" s="55">
        <f t="shared" ca="1" si="93"/>
        <v>9.868320174032095E-4</v>
      </c>
      <c r="AK262" s="19">
        <f t="shared" ca="1" si="94"/>
        <v>143.01548679895586</v>
      </c>
      <c r="AL262" s="19">
        <f t="shared" ca="1" si="86"/>
        <v>149.99999999999997</v>
      </c>
    </row>
    <row r="263" spans="2:38" x14ac:dyDescent="0.25">
      <c r="B263" s="19"/>
      <c r="C263" s="19"/>
      <c r="D263" s="19"/>
      <c r="E263" s="19"/>
      <c r="F263" s="19"/>
      <c r="G263" s="19"/>
      <c r="H263" s="43">
        <f t="shared" si="95"/>
        <v>51987</v>
      </c>
      <c r="I263" s="264">
        <v>0</v>
      </c>
      <c r="J263" s="64">
        <f t="shared" ca="1" si="87"/>
        <v>0</v>
      </c>
      <c r="K263" s="19">
        <f ca="1">SUMPRODUCT(V$7:V263,OFFSET($J$366,ROW($I$7)-ROW(),0):$J$366)</f>
        <v>0</v>
      </c>
      <c r="L263" s="19">
        <f ca="1">SUMPRODUCT(W$7:W263,OFFSET($J$366,ROW($I$7)-ROW(),0):$J$366)</f>
        <v>0</v>
      </c>
      <c r="M263" s="19">
        <f ca="1">SUMPRODUCT(X$7:X263,OFFSET($J$366,ROW($I$7)-ROW(),0):$J$366)</f>
        <v>0</v>
      </c>
      <c r="N263" s="19"/>
      <c r="O263" s="43">
        <f t="shared" si="88"/>
        <v>51257</v>
      </c>
      <c r="P263" s="24">
        <f t="shared" si="89"/>
        <v>7791</v>
      </c>
      <c r="Q263" s="19">
        <f t="shared" si="90"/>
        <v>3.3656811858012117</v>
      </c>
      <c r="R263" s="19">
        <f t="shared" ref="R263:R326" si="97">IF(days&lt;tlim_gas,
qi_gas/(1+b_gas*(d_gas/365)*days)^(1/b_gas),
qlim_gas * EXP((-dmin_gas/365)* ( days-tlim_gas)))</f>
        <v>22.582786423684464</v>
      </c>
      <c r="S263" s="19">
        <f t="shared" ref="S263:S326" si="98">IF(days&lt;tlim_water,
qi_water/(1+b_water*(d_water/365)*days)^(1/b_water),
qlim_water * EXP((-dmin_water/365)* ( days-tlim_water)))</f>
        <v>6.2322788582372095E-3</v>
      </c>
      <c r="T263" s="19"/>
      <c r="U263" s="24">
        <f t="shared" si="96"/>
        <v>7790.0800000000254</v>
      </c>
      <c r="V263" s="19">
        <f t="shared" ref="V263:V326" si="99">IF(days&lt;tlim_oil_new,
qi_oil_new/(1+b_oil_new*(d_oil_new/365)*days)^(1/b_oil_new),
qlim_oil_new * EXP((-dmin_oil_new/365)* ( days-tlim_oil_new)))</f>
        <v>14.087411381546241</v>
      </c>
      <c r="W263" s="19">
        <f t="shared" ref="W263:W326" si="100">IF(days&lt;tlim_gas_new,
qi_gas_new/(1+b_gas_new*(d_gas_new/365)*days)^(1/b_gas_new),
qlim_gas_new * EXP((-dmin_gas_new/365)* ( days-tlim_gas_new)))</f>
        <v>47.216469771345814</v>
      </c>
      <c r="X263" s="19">
        <f t="shared" ref="X263:X326" si="101">IF(days&lt;tlim_water_new,
qi_water_new/(1+b_water_new*(d_water_new/365)*days)^(1/b_water_new),
qlim_water_new * EXP((-dmin_water_new/365)* ( days-tlim_water_new)))</f>
        <v>7.0437056907731206</v>
      </c>
      <c r="Y263" s="27"/>
      <c r="Z263" s="42">
        <f t="shared" si="91"/>
        <v>51987</v>
      </c>
      <c r="AA263" s="19">
        <f t="shared" ref="AA263:AA326" ca="1" si="102">mult_vol * OFFSET(Q$6,MATCH($Z263,$O$7:$O$534,0),0)  +K263</f>
        <v>2.8487125556621455</v>
      </c>
      <c r="AB263" s="19">
        <f t="shared" ref="AB263:AB326" ca="1" si="103">mult_vol * (  VLOOKUP($Z263-qi_start, daily_base, 3, TRUE)  +  L263  )</f>
        <v>19.954150083967587</v>
      </c>
      <c r="AC263" s="19">
        <f t="shared" ref="AC263:AC326" ca="1" si="104">mult_vol * (  VLOOKUP($Z263-qi_start, daily_base, 4, TRUE)  +  M263  )</f>
        <v>2.7393969291570988E-3</v>
      </c>
      <c r="AD263" s="19">
        <f t="shared" ref="AD263:AD326" ca="1" si="105">NGL_yield*(AB263/1000)</f>
        <v>2.993122512595138</v>
      </c>
      <c r="AE263" s="115">
        <f t="shared" ref="AE263:AE326" ca="1" si="106">AA263*($Z264-$Z263)</f>
        <v>88.310089225526511</v>
      </c>
      <c r="AF263" s="19">
        <f t="shared" ref="AF263:AF326" ca="1" si="107">AB263*($Z264-$Z263)</f>
        <v>618.57865260299525</v>
      </c>
      <c r="AG263" s="19">
        <f t="shared" ref="AG263:AG326" ca="1" si="108">AC263*($Z264-$Z263)</f>
        <v>8.4921304803870057E-2</v>
      </c>
      <c r="AH263" s="19">
        <f t="shared" ref="AH263:AH326" ca="1" si="109">AD263*($Z264-$Z263)</f>
        <v>92.786797890449279</v>
      </c>
      <c r="AI263" s="46">
        <f t="shared" ca="1" si="92"/>
        <v>7004.6204009970779</v>
      </c>
      <c r="AJ263" s="55">
        <f t="shared" ca="1" si="93"/>
        <v>9.6070246832236745E-4</v>
      </c>
      <c r="AK263" s="19">
        <f t="shared" ca="1" si="94"/>
        <v>142.76291115756311</v>
      </c>
      <c r="AL263" s="19">
        <f t="shared" ref="AL263:AL326" ca="1" si="110">AH263/(AF263/1000)</f>
        <v>149.99999999999997</v>
      </c>
    </row>
    <row r="264" spans="2:38" x14ac:dyDescent="0.25">
      <c r="B264" s="19"/>
      <c r="C264" s="19"/>
      <c r="D264" s="19"/>
      <c r="E264" s="19"/>
      <c r="F264" s="19"/>
      <c r="G264" s="19"/>
      <c r="H264" s="43">
        <f t="shared" si="95"/>
        <v>52018</v>
      </c>
      <c r="I264" s="264">
        <v>0</v>
      </c>
      <c r="J264" s="64">
        <f t="shared" ref="J264:J327" ca="1" si="111">OFFSET($I$7,ROW($I$366)-ROW(),0)</f>
        <v>0</v>
      </c>
      <c r="K264" s="19">
        <f ca="1">SUMPRODUCT(V$7:V264,OFFSET($J$366,ROW($I$7)-ROW(),0):$J$366)</f>
        <v>0</v>
      </c>
      <c r="L264" s="19">
        <f ca="1">SUMPRODUCT(W$7:W264,OFFSET($J$366,ROW($I$7)-ROW(),0):$J$366)</f>
        <v>0</v>
      </c>
      <c r="M264" s="19">
        <f ca="1">SUMPRODUCT(X$7:X264,OFFSET($J$366,ROW($I$7)-ROW(),0):$J$366)</f>
        <v>0</v>
      </c>
      <c r="N264" s="19"/>
      <c r="O264" s="43">
        <f t="shared" ref="O264:O327" si="112">EOMONTH(O263,0)+1</f>
        <v>51288</v>
      </c>
      <c r="P264" s="24">
        <f t="shared" ref="P264:P327" si="113">O264-$O$7</f>
        <v>7822</v>
      </c>
      <c r="Q264" s="19">
        <f t="shared" ref="Q264:Q327" si="114">IF(days&lt;tlim_oil,
qi_oil/(1+b_oil*(d_oil)*(days/365.25))^(1/b_oil),
qlim_oil * EXP((-dmin_oil/365)* ( days-tlim_oil)))</f>
        <v>3.3419305518776192</v>
      </c>
      <c r="R264" s="19">
        <f t="shared" si="97"/>
        <v>22.464421300072711</v>
      </c>
      <c r="S264" s="19">
        <f t="shared" si="98"/>
        <v>6.0180678306364288E-3</v>
      </c>
      <c r="T264" s="19"/>
      <c r="U264" s="24">
        <f t="shared" si="96"/>
        <v>7820.5100000000257</v>
      </c>
      <c r="V264" s="19">
        <f t="shared" si="99"/>
        <v>13.988000613804582</v>
      </c>
      <c r="W264" s="19">
        <f t="shared" si="100"/>
        <v>46.968989979607869</v>
      </c>
      <c r="X264" s="19">
        <f t="shared" si="101"/>
        <v>6.9940003069022909</v>
      </c>
      <c r="Y264" s="27"/>
      <c r="Z264" s="42">
        <f t="shared" ref="Z264:Z327" si="115">H264</f>
        <v>52018</v>
      </c>
      <c r="AA264" s="19">
        <f t="shared" ca="1" si="102"/>
        <v>2.8286100191092176</v>
      </c>
      <c r="AB264" s="19">
        <f t="shared" ca="1" si="103"/>
        <v>19.84956266074424</v>
      </c>
      <c r="AC264" s="19">
        <f t="shared" ca="1" si="104"/>
        <v>2.6456199852714236E-3</v>
      </c>
      <c r="AD264" s="19">
        <f t="shared" ca="1" si="105"/>
        <v>2.9774343991116363</v>
      </c>
      <c r="AE264" s="115">
        <f t="shared" ca="1" si="106"/>
        <v>84.858300573276523</v>
      </c>
      <c r="AF264" s="19">
        <f t="shared" ca="1" si="107"/>
        <v>595.48687982232718</v>
      </c>
      <c r="AG264" s="19">
        <f t="shared" ca="1" si="108"/>
        <v>7.9368599558142711E-2</v>
      </c>
      <c r="AH264" s="19">
        <f t="shared" ca="1" si="109"/>
        <v>89.323031973349089</v>
      </c>
      <c r="AI264" s="46">
        <f t="shared" ref="AI264:AI327" ca="1" si="116">AF264/AE264*1000</f>
        <v>7017.4264132017888</v>
      </c>
      <c r="AJ264" s="55">
        <f t="shared" ref="AJ264:AJ327" ca="1" si="117">AG264/(AG264+AE264)</f>
        <v>9.3443345374406525E-4</v>
      </c>
      <c r="AK264" s="19">
        <f t="shared" ref="AK264:AK327" ca="1" si="118">AE264/(AF264/1000)</f>
        <v>142.50238493683577</v>
      </c>
      <c r="AL264" s="19">
        <f t="shared" ca="1" si="110"/>
        <v>150.00000000000003</v>
      </c>
    </row>
    <row r="265" spans="2:38" x14ac:dyDescent="0.25">
      <c r="B265" s="19"/>
      <c r="C265" s="19"/>
      <c r="D265" s="19"/>
      <c r="E265" s="19"/>
      <c r="F265" s="19"/>
      <c r="G265" s="19"/>
      <c r="H265" s="43">
        <f t="shared" ref="H265:H328" si="119">EOMONTH(H264,0)+1</f>
        <v>52048</v>
      </c>
      <c r="I265" s="264">
        <v>0</v>
      </c>
      <c r="J265" s="64">
        <f t="shared" ca="1" si="111"/>
        <v>0</v>
      </c>
      <c r="K265" s="19">
        <f ca="1">SUMPRODUCT(V$7:V265,OFFSET($J$366,ROW($I$7)-ROW(),0):$J$366)</f>
        <v>0</v>
      </c>
      <c r="L265" s="19">
        <f ca="1">SUMPRODUCT(W$7:W265,OFFSET($J$366,ROW($I$7)-ROW(),0):$J$366)</f>
        <v>0</v>
      </c>
      <c r="M265" s="19">
        <f ca="1">SUMPRODUCT(X$7:X265,OFFSET($J$366,ROW($I$7)-ROW(),0):$J$366)</f>
        <v>0</v>
      </c>
      <c r="N265" s="19"/>
      <c r="O265" s="43">
        <f t="shared" si="112"/>
        <v>51318</v>
      </c>
      <c r="P265" s="24">
        <f t="shared" si="113"/>
        <v>7852</v>
      </c>
      <c r="Q265" s="19">
        <f t="shared" si="114"/>
        <v>3.3191056583470497</v>
      </c>
      <c r="R265" s="19">
        <f t="shared" si="97"/>
        <v>22.350465140571021</v>
      </c>
      <c r="S265" s="19">
        <f t="shared" si="98"/>
        <v>5.8178135916892495E-3</v>
      </c>
      <c r="T265" s="19"/>
      <c r="U265" s="24">
        <f t="shared" ref="U265:U328" si="120">U264+30.43</f>
        <v>7850.940000000026</v>
      </c>
      <c r="V265" s="19">
        <f t="shared" si="99"/>
        <v>13.892464629510641</v>
      </c>
      <c r="W265" s="19">
        <f t="shared" si="100"/>
        <v>46.730728524204515</v>
      </c>
      <c r="X265" s="19">
        <f t="shared" si="101"/>
        <v>6.9462323147553207</v>
      </c>
      <c r="Y265" s="27"/>
      <c r="Z265" s="42">
        <f t="shared" si="115"/>
        <v>52048</v>
      </c>
      <c r="AA265" s="19">
        <f t="shared" ca="1" si="102"/>
        <v>2.8092910292249438</v>
      </c>
      <c r="AB265" s="19">
        <f t="shared" ca="1" si="103"/>
        <v>19.748870998208549</v>
      </c>
      <c r="AC265" s="19">
        <f t="shared" ca="1" si="104"/>
        <v>2.5579405854416455E-3</v>
      </c>
      <c r="AD265" s="19">
        <f t="shared" ca="1" si="105"/>
        <v>2.9623306497312822</v>
      </c>
      <c r="AE265" s="115">
        <f t="shared" ca="1" si="106"/>
        <v>87.088021905973264</v>
      </c>
      <c r="AF265" s="19">
        <f t="shared" ca="1" si="107"/>
        <v>612.21500094446503</v>
      </c>
      <c r="AG265" s="19">
        <f t="shared" ca="1" si="108"/>
        <v>7.9296158148691009E-2</v>
      </c>
      <c r="AH265" s="19">
        <f t="shared" ca="1" si="109"/>
        <v>91.832250141669746</v>
      </c>
      <c r="AI265" s="46">
        <f t="shared" ca="1" si="116"/>
        <v>7029.8416193843286</v>
      </c>
      <c r="AJ265" s="55">
        <f t="shared" ca="1" si="117"/>
        <v>9.09700561056143E-4</v>
      </c>
      <c r="AK265" s="19">
        <f t="shared" ca="1" si="118"/>
        <v>142.25071547025544</v>
      </c>
      <c r="AL265" s="19">
        <f t="shared" ca="1" si="110"/>
        <v>150</v>
      </c>
    </row>
    <row r="266" spans="2:38" x14ac:dyDescent="0.25">
      <c r="B266" s="19"/>
      <c r="C266" s="19"/>
      <c r="D266" s="19"/>
      <c r="E266" s="19"/>
      <c r="F266" s="19"/>
      <c r="G266" s="19"/>
      <c r="H266" s="43">
        <f t="shared" si="119"/>
        <v>52079</v>
      </c>
      <c r="I266" s="264">
        <v>0</v>
      </c>
      <c r="J266" s="64">
        <f t="shared" ca="1" si="111"/>
        <v>0</v>
      </c>
      <c r="K266" s="19">
        <f ca="1">SUMPRODUCT(V$7:V266,OFFSET($J$366,ROW($I$7)-ROW(),0):$J$366)</f>
        <v>0</v>
      </c>
      <c r="L266" s="19">
        <f ca="1">SUMPRODUCT(W$7:W266,OFFSET($J$366,ROW($I$7)-ROW(),0):$J$366)</f>
        <v>0</v>
      </c>
      <c r="M266" s="19">
        <f ca="1">SUMPRODUCT(X$7:X266,OFFSET($J$366,ROW($I$7)-ROW(),0):$J$366)</f>
        <v>0</v>
      </c>
      <c r="N266" s="19"/>
      <c r="O266" s="43">
        <f t="shared" si="112"/>
        <v>51349</v>
      </c>
      <c r="P266" s="24">
        <f t="shared" si="113"/>
        <v>7883</v>
      </c>
      <c r="Q266" s="19">
        <f t="shared" si="114"/>
        <v>3.295683694383948</v>
      </c>
      <c r="R266" s="19">
        <f t="shared" si="97"/>
        <v>22.233317702716796</v>
      </c>
      <c r="S266" s="19">
        <f t="shared" si="98"/>
        <v>5.6179158331660433E-3</v>
      </c>
      <c r="T266" s="19"/>
      <c r="U266" s="24">
        <f t="shared" si="120"/>
        <v>7881.3700000000263</v>
      </c>
      <c r="V266" s="19">
        <f t="shared" si="99"/>
        <v>13.794429544338593</v>
      </c>
      <c r="W266" s="19">
        <f t="shared" si="100"/>
        <v>46.485794690333883</v>
      </c>
      <c r="X266" s="19">
        <f t="shared" si="101"/>
        <v>6.8972147721692965</v>
      </c>
      <c r="Y266" s="27"/>
      <c r="Z266" s="42">
        <f t="shared" si="115"/>
        <v>52079</v>
      </c>
      <c r="AA266" s="19">
        <f t="shared" ca="1" si="102"/>
        <v>2.7894666789265745</v>
      </c>
      <c r="AB266" s="19">
        <f t="shared" ca="1" si="103"/>
        <v>19.645359522120557</v>
      </c>
      <c r="AC266" s="19">
        <f t="shared" ca="1" si="104"/>
        <v>2.4704048610520472E-3</v>
      </c>
      <c r="AD266" s="19">
        <f t="shared" ca="1" si="105"/>
        <v>2.9468039283180834</v>
      </c>
      <c r="AE266" s="115">
        <f t="shared" ca="1" si="106"/>
        <v>86.473467046723812</v>
      </c>
      <c r="AF266" s="19">
        <f t="shared" ca="1" si="107"/>
        <v>609.0061451857373</v>
      </c>
      <c r="AG266" s="19">
        <f t="shared" ca="1" si="108"/>
        <v>7.6582550692613466E-2</v>
      </c>
      <c r="AH266" s="19">
        <f t="shared" ca="1" si="109"/>
        <v>91.350921777860577</v>
      </c>
      <c r="AI266" s="46">
        <f t="shared" ca="1" si="116"/>
        <v>7042.6937416152841</v>
      </c>
      <c r="AJ266" s="55">
        <f t="shared" ca="1" si="117"/>
        <v>8.8483543393485815E-4</v>
      </c>
      <c r="AK266" s="19">
        <f t="shared" ca="1" si="118"/>
        <v>141.99112394892299</v>
      </c>
      <c r="AL266" s="19">
        <f t="shared" ca="1" si="110"/>
        <v>149.99999999999997</v>
      </c>
    </row>
    <row r="267" spans="2:38" x14ac:dyDescent="0.25">
      <c r="B267" s="19"/>
      <c r="C267" s="19"/>
      <c r="D267" s="19"/>
      <c r="E267" s="19"/>
      <c r="F267" s="19"/>
      <c r="G267" s="19"/>
      <c r="H267" s="43">
        <f t="shared" si="119"/>
        <v>52110</v>
      </c>
      <c r="I267" s="264">
        <v>0</v>
      </c>
      <c r="J267" s="64">
        <f t="shared" ca="1" si="111"/>
        <v>0</v>
      </c>
      <c r="K267" s="19">
        <f ca="1">SUMPRODUCT(V$7:V267,OFFSET($J$366,ROW($I$7)-ROW(),0):$J$366)</f>
        <v>0</v>
      </c>
      <c r="L267" s="19">
        <f ca="1">SUMPRODUCT(W$7:W267,OFFSET($J$366,ROW($I$7)-ROW(),0):$J$366)</f>
        <v>0</v>
      </c>
      <c r="M267" s="19">
        <f ca="1">SUMPRODUCT(X$7:X267,OFFSET($J$366,ROW($I$7)-ROW(),0):$J$366)</f>
        <v>0</v>
      </c>
      <c r="N267" s="19"/>
      <c r="O267" s="43">
        <f t="shared" si="112"/>
        <v>51380</v>
      </c>
      <c r="P267" s="24">
        <f t="shared" si="113"/>
        <v>7914</v>
      </c>
      <c r="Q267" s="19">
        <f t="shared" si="114"/>
        <v>3.2724270124131531</v>
      </c>
      <c r="R267" s="19">
        <f t="shared" si="97"/>
        <v>22.116784279922637</v>
      </c>
      <c r="S267" s="19">
        <f t="shared" si="98"/>
        <v>5.4249196350181954E-3</v>
      </c>
      <c r="T267" s="19"/>
      <c r="U267" s="24">
        <f t="shared" si="120"/>
        <v>7911.8000000000266</v>
      </c>
      <c r="V267" s="19">
        <f t="shared" si="99"/>
        <v>13.697086264269608</v>
      </c>
      <c r="W267" s="19">
        <f t="shared" si="100"/>
        <v>46.242144649480586</v>
      </c>
      <c r="X267" s="19">
        <f t="shared" si="101"/>
        <v>6.8485431321348038</v>
      </c>
      <c r="Y267" s="27"/>
      <c r="Z267" s="42">
        <f t="shared" si="115"/>
        <v>52110</v>
      </c>
      <c r="AA267" s="19">
        <f t="shared" ca="1" si="102"/>
        <v>2.769782223306493</v>
      </c>
      <c r="AB267" s="19">
        <f t="shared" ca="1" si="103"/>
        <v>19.542390589739636</v>
      </c>
      <c r="AC267" s="19">
        <f t="shared" ca="1" si="104"/>
        <v>2.3858791731103603E-3</v>
      </c>
      <c r="AD267" s="19">
        <f t="shared" ca="1" si="105"/>
        <v>2.9313585884609452</v>
      </c>
      <c r="AE267" s="115">
        <f t="shared" ca="1" si="106"/>
        <v>83.093466699194792</v>
      </c>
      <c r="AF267" s="19">
        <f t="shared" ca="1" si="107"/>
        <v>586.2717176921891</v>
      </c>
      <c r="AG267" s="19">
        <f t="shared" ca="1" si="108"/>
        <v>7.1576375193310809E-2</v>
      </c>
      <c r="AH267" s="19">
        <f t="shared" ca="1" si="109"/>
        <v>87.940757653828356</v>
      </c>
      <c r="AI267" s="46">
        <f t="shared" ca="1" si="116"/>
        <v>7055.5693603991886</v>
      </c>
      <c r="AJ267" s="55">
        <f t="shared" ca="1" si="117"/>
        <v>8.6065457970470045E-4</v>
      </c>
      <c r="AK267" s="19">
        <f t="shared" ca="1" si="118"/>
        <v>141.73200615285597</v>
      </c>
      <c r="AL267" s="19">
        <f t="shared" ca="1" si="110"/>
        <v>149.99999999999997</v>
      </c>
    </row>
    <row r="268" spans="2:38" x14ac:dyDescent="0.25">
      <c r="B268" s="19"/>
      <c r="C268" s="19"/>
      <c r="D268" s="19"/>
      <c r="E268" s="19"/>
      <c r="F268" s="19"/>
      <c r="G268" s="19"/>
      <c r="H268" s="43">
        <f t="shared" si="119"/>
        <v>52140</v>
      </c>
      <c r="I268" s="264">
        <v>0</v>
      </c>
      <c r="J268" s="64">
        <f t="shared" ca="1" si="111"/>
        <v>0</v>
      </c>
      <c r="K268" s="19">
        <f ca="1">SUMPRODUCT(V$7:V268,OFFSET($J$366,ROW($I$7)-ROW(),0):$J$366)</f>
        <v>0</v>
      </c>
      <c r="L268" s="19">
        <f ca="1">SUMPRODUCT(W$7:W268,OFFSET($J$366,ROW($I$7)-ROW(),0):$J$366)</f>
        <v>0</v>
      </c>
      <c r="M268" s="19">
        <f ca="1">SUMPRODUCT(X$7:X268,OFFSET($J$366,ROW($I$7)-ROW(),0):$J$366)</f>
        <v>0</v>
      </c>
      <c r="N268" s="19"/>
      <c r="O268" s="43">
        <f t="shared" si="112"/>
        <v>51410</v>
      </c>
      <c r="P268" s="24">
        <f t="shared" si="113"/>
        <v>7944</v>
      </c>
      <c r="Q268" s="19">
        <f t="shared" si="114"/>
        <v>3.2500768178219088</v>
      </c>
      <c r="R268" s="19">
        <f t="shared" si="97"/>
        <v>22.004591592499207</v>
      </c>
      <c r="S268" s="19">
        <f t="shared" si="98"/>
        <v>5.2444947495029074E-3</v>
      </c>
      <c r="T268" s="19"/>
      <c r="U268" s="24">
        <f t="shared" si="120"/>
        <v>7942.2300000000268</v>
      </c>
      <c r="V268" s="19">
        <f t="shared" si="99"/>
        <v>13.603537182142412</v>
      </c>
      <c r="W268" s="19">
        <f t="shared" si="100"/>
        <v>46.007570291165855</v>
      </c>
      <c r="X268" s="19">
        <f t="shared" si="101"/>
        <v>6.8017685910712062</v>
      </c>
      <c r="Y268" s="27"/>
      <c r="Z268" s="42">
        <f t="shared" si="115"/>
        <v>52140</v>
      </c>
      <c r="AA268" s="19">
        <f t="shared" ca="1" si="102"/>
        <v>2.7508650186044639</v>
      </c>
      <c r="AB268" s="19">
        <f t="shared" ca="1" si="103"/>
        <v>19.443257131132295</v>
      </c>
      <c r="AC268" s="19">
        <f t="shared" ca="1" si="104"/>
        <v>2.3068480898817251E-3</v>
      </c>
      <c r="AD268" s="19">
        <f t="shared" ca="1" si="105"/>
        <v>2.9164885696698444</v>
      </c>
      <c r="AE268" s="115">
        <f t="shared" ca="1" si="106"/>
        <v>85.276815576738386</v>
      </c>
      <c r="AF268" s="19">
        <f t="shared" ca="1" si="107"/>
        <v>602.74097106510112</v>
      </c>
      <c r="AG268" s="19">
        <f t="shared" ca="1" si="108"/>
        <v>7.1512290786333477E-2</v>
      </c>
      <c r="AH268" s="19">
        <f t="shared" ca="1" si="109"/>
        <v>90.411145659765182</v>
      </c>
      <c r="AI268" s="46">
        <f t="shared" ca="1" si="116"/>
        <v>7068.0520489500486</v>
      </c>
      <c r="AJ268" s="55">
        <f t="shared" ca="1" si="117"/>
        <v>8.3788742642190782E-4</v>
      </c>
      <c r="AK268" s="19">
        <f t="shared" ca="1" si="118"/>
        <v>141.48169723064629</v>
      </c>
      <c r="AL268" s="19">
        <f t="shared" ca="1" si="110"/>
        <v>150</v>
      </c>
    </row>
    <row r="269" spans="2:38" x14ac:dyDescent="0.25">
      <c r="B269" s="19"/>
      <c r="C269" s="19"/>
      <c r="D269" s="19"/>
      <c r="E269" s="19"/>
      <c r="F269" s="19"/>
      <c r="G269" s="19"/>
      <c r="H269" s="43">
        <f t="shared" si="119"/>
        <v>52171</v>
      </c>
      <c r="I269" s="264">
        <v>0</v>
      </c>
      <c r="J269" s="64">
        <f t="shared" ca="1" si="111"/>
        <v>0</v>
      </c>
      <c r="K269" s="19">
        <f ca="1">SUMPRODUCT(V$7:V269,OFFSET($J$366,ROW($I$7)-ROW(),0):$J$366)</f>
        <v>0</v>
      </c>
      <c r="L269" s="19">
        <f ca="1">SUMPRODUCT(W$7:W269,OFFSET($J$366,ROW($I$7)-ROW(),0):$J$366)</f>
        <v>0</v>
      </c>
      <c r="M269" s="19">
        <f ca="1">SUMPRODUCT(X$7:X269,OFFSET($J$366,ROW($I$7)-ROW(),0):$J$366)</f>
        <v>0</v>
      </c>
      <c r="N269" s="19"/>
      <c r="O269" s="43">
        <f t="shared" si="112"/>
        <v>51441</v>
      </c>
      <c r="P269" s="24">
        <f t="shared" si="113"/>
        <v>7975</v>
      </c>
      <c r="Q269" s="19">
        <f t="shared" si="114"/>
        <v>3.2271419703237889</v>
      </c>
      <c r="R269" s="19">
        <f t="shared" si="97"/>
        <v>21.88925701177002</v>
      </c>
      <c r="S269" s="19">
        <f t="shared" si="98"/>
        <v>5.0643878166773031E-3</v>
      </c>
      <c r="T269" s="19"/>
      <c r="U269" s="24">
        <f t="shared" si="120"/>
        <v>7972.6600000000271</v>
      </c>
      <c r="V269" s="19">
        <f t="shared" si="99"/>
        <v>13.507540973992317</v>
      </c>
      <c r="W269" s="19">
        <f t="shared" si="100"/>
        <v>45.766426809470481</v>
      </c>
      <c r="X269" s="19">
        <f t="shared" si="101"/>
        <v>6.7537704869961583</v>
      </c>
      <c r="Y269" s="27"/>
      <c r="Z269" s="42">
        <f t="shared" si="115"/>
        <v>52171</v>
      </c>
      <c r="AA269" s="19">
        <f t="shared" ca="1" si="102"/>
        <v>2.7314529636820555</v>
      </c>
      <c r="AB269" s="19">
        <f t="shared" ca="1" si="103"/>
        <v>19.34134749559999</v>
      </c>
      <c r="AC269" s="19">
        <f t="shared" ca="1" si="104"/>
        <v>2.2279451076694856E-3</v>
      </c>
      <c r="AD269" s="19">
        <f t="shared" ca="1" si="105"/>
        <v>2.9012021243399984</v>
      </c>
      <c r="AE269" s="115">
        <f t="shared" ca="1" si="106"/>
        <v>81.943588910461671</v>
      </c>
      <c r="AF269" s="19">
        <f t="shared" ca="1" si="107"/>
        <v>580.24042486799976</v>
      </c>
      <c r="AG269" s="19">
        <f t="shared" ca="1" si="108"/>
        <v>6.6838353230084566E-2</v>
      </c>
      <c r="AH269" s="19">
        <f t="shared" ca="1" si="109"/>
        <v>87.036063730199956</v>
      </c>
      <c r="AI269" s="46">
        <f t="shared" ca="1" si="116"/>
        <v>7080.9740283894371</v>
      </c>
      <c r="AJ269" s="55">
        <f t="shared" ca="1" si="117"/>
        <v>8.1499823205622682E-4</v>
      </c>
      <c r="AK269" s="19">
        <f t="shared" ca="1" si="118"/>
        <v>141.22350908091798</v>
      </c>
      <c r="AL269" s="19">
        <f t="shared" ca="1" si="110"/>
        <v>150</v>
      </c>
    </row>
    <row r="270" spans="2:38" x14ac:dyDescent="0.25">
      <c r="B270" s="19"/>
      <c r="C270" s="19"/>
      <c r="D270" s="19"/>
      <c r="E270" s="19"/>
      <c r="F270" s="19"/>
      <c r="G270" s="19"/>
      <c r="H270" s="44">
        <f t="shared" si="119"/>
        <v>52201</v>
      </c>
      <c r="I270" s="265">
        <v>0</v>
      </c>
      <c r="J270" s="65">
        <f t="shared" ca="1" si="111"/>
        <v>0</v>
      </c>
      <c r="K270" s="21">
        <f ca="1">SUMPRODUCT(V$7:V270,OFFSET($J$366,ROW($I$7)-ROW(),0):$J$366)</f>
        <v>0</v>
      </c>
      <c r="L270" s="21">
        <f ca="1">SUMPRODUCT(W$7:W270,OFFSET($J$366,ROW($I$7)-ROW(),0):$J$366)</f>
        <v>0</v>
      </c>
      <c r="M270" s="21">
        <f ca="1">SUMPRODUCT(X$7:X270,OFFSET($J$366,ROW($I$7)-ROW(),0):$J$366)</f>
        <v>0</v>
      </c>
      <c r="N270" s="19"/>
      <c r="O270" s="44">
        <f t="shared" si="112"/>
        <v>51471</v>
      </c>
      <c r="P270" s="25">
        <f t="shared" si="113"/>
        <v>8005</v>
      </c>
      <c r="Q270" s="21">
        <f t="shared" si="114"/>
        <v>3.2051010659012573</v>
      </c>
      <c r="R270" s="21">
        <f t="shared" si="97"/>
        <v>21.778218510929644</v>
      </c>
      <c r="S270" s="21">
        <f t="shared" si="98"/>
        <v>4.8960106193523256E-3</v>
      </c>
      <c r="T270" s="19"/>
      <c r="U270" s="25">
        <f t="shared" si="120"/>
        <v>8003.0900000000274</v>
      </c>
      <c r="V270" s="21">
        <f t="shared" si="99"/>
        <v>13.415286458284934</v>
      </c>
      <c r="W270" s="21">
        <f t="shared" si="100"/>
        <v>45.534265643880808</v>
      </c>
      <c r="X270" s="21">
        <f t="shared" si="101"/>
        <v>6.7076432291424668</v>
      </c>
      <c r="Y270" s="27"/>
      <c r="Z270" s="48">
        <f t="shared" si="115"/>
        <v>52201</v>
      </c>
      <c r="AA270" s="21">
        <f t="shared" ca="1" si="102"/>
        <v>2.7127975421788246</v>
      </c>
      <c r="AB270" s="21">
        <f t="shared" ca="1" si="103"/>
        <v>19.243233876257431</v>
      </c>
      <c r="AC270" s="21">
        <f t="shared" ca="1" si="104"/>
        <v>2.1541703557523399E-3</v>
      </c>
      <c r="AD270" s="21">
        <f t="shared" ca="1" si="105"/>
        <v>2.8864850814386145</v>
      </c>
      <c r="AE270" s="116">
        <f t="shared" ca="1" si="106"/>
        <v>84.096723807543569</v>
      </c>
      <c r="AF270" s="21">
        <f t="shared" ca="1" si="107"/>
        <v>596.54025016398032</v>
      </c>
      <c r="AG270" s="21">
        <f t="shared" ca="1" si="108"/>
        <v>6.6779281028322535E-2</v>
      </c>
      <c r="AH270" s="21">
        <f t="shared" ca="1" si="109"/>
        <v>89.481037524597042</v>
      </c>
      <c r="AI270" s="47">
        <f t="shared" ca="1" si="116"/>
        <v>7093.5016627897458</v>
      </c>
      <c r="AJ270" s="57">
        <f t="shared" ca="1" si="117"/>
        <v>7.9344702368252704E-4</v>
      </c>
      <c r="AK270" s="21">
        <f t="shared" ca="1" si="118"/>
        <v>140.97409820112992</v>
      </c>
      <c r="AL270" s="21">
        <f t="shared" ca="1" si="110"/>
        <v>150</v>
      </c>
    </row>
    <row r="271" spans="2:38" x14ac:dyDescent="0.25">
      <c r="B271" s="19"/>
      <c r="C271" s="19"/>
      <c r="D271" s="19"/>
      <c r="E271" s="19"/>
      <c r="F271" s="19"/>
      <c r="G271" s="19"/>
      <c r="H271" s="43">
        <f t="shared" si="119"/>
        <v>52232</v>
      </c>
      <c r="I271" s="264">
        <v>0</v>
      </c>
      <c r="J271" s="64">
        <f t="shared" ca="1" si="111"/>
        <v>0</v>
      </c>
      <c r="K271" s="19">
        <f ca="1">SUMPRODUCT(V$7:V271,OFFSET($J$366,ROW($I$7)-ROW(),0):$J$366)</f>
        <v>0</v>
      </c>
      <c r="L271" s="19">
        <f ca="1">SUMPRODUCT(W$7:W271,OFFSET($J$366,ROW($I$7)-ROW(),0):$J$366)</f>
        <v>0</v>
      </c>
      <c r="M271" s="19">
        <f ca="1">SUMPRODUCT(X$7:X271,OFFSET($J$366,ROW($I$7)-ROW(),0):$J$366)</f>
        <v>0</v>
      </c>
      <c r="N271" s="19"/>
      <c r="O271" s="43">
        <f t="shared" si="112"/>
        <v>51502</v>
      </c>
      <c r="P271" s="24">
        <f t="shared" si="113"/>
        <v>8036</v>
      </c>
      <c r="Q271" s="19">
        <f t="shared" si="114"/>
        <v>3.1824835992126483</v>
      </c>
      <c r="R271" s="19">
        <f t="shared" si="97"/>
        <v>21.664070439131635</v>
      </c>
      <c r="S271" s="19">
        <f t="shared" si="98"/>
        <v>4.7279281476056059E-3</v>
      </c>
      <c r="T271" s="19"/>
      <c r="U271" s="24">
        <f t="shared" si="120"/>
        <v>8033.5200000000277</v>
      </c>
      <c r="V271" s="19">
        <f t="shared" si="99"/>
        <v>13.320618680779738</v>
      </c>
      <c r="W271" s="19">
        <f t="shared" si="100"/>
        <v>45.295602935019708</v>
      </c>
      <c r="X271" s="19">
        <f t="shared" si="101"/>
        <v>6.660309340389869</v>
      </c>
      <c r="Y271" s="27"/>
      <c r="Z271" s="42">
        <f t="shared" si="115"/>
        <v>52232</v>
      </c>
      <c r="AA271" s="19">
        <f t="shared" ca="1" si="102"/>
        <v>2.6936541183735865</v>
      </c>
      <c r="AB271" s="19">
        <f t="shared" ca="1" si="103"/>
        <v>19.14237264001671</v>
      </c>
      <c r="AC271" s="19">
        <f t="shared" ca="1" si="104"/>
        <v>2.0805143173104387E-3</v>
      </c>
      <c r="AD271" s="19">
        <f t="shared" ca="1" si="105"/>
        <v>2.8713558960025067</v>
      </c>
      <c r="AE271" s="115">
        <f t="shared" ca="1" si="106"/>
        <v>83.50327766958118</v>
      </c>
      <c r="AF271" s="19">
        <f t="shared" ca="1" si="107"/>
        <v>593.41355184051804</v>
      </c>
      <c r="AG271" s="19">
        <f t="shared" ca="1" si="108"/>
        <v>6.4495943836623604E-2</v>
      </c>
      <c r="AH271" s="19">
        <f t="shared" ca="1" si="109"/>
        <v>89.012032776077703</v>
      </c>
      <c r="AI271" s="46">
        <f t="shared" ca="1" si="116"/>
        <v>7106.4701698133276</v>
      </c>
      <c r="AJ271" s="55">
        <f t="shared" ca="1" si="117"/>
        <v>7.7178008995405398E-4</v>
      </c>
      <c r="AK271" s="19">
        <f t="shared" ca="1" si="118"/>
        <v>140.71683636241423</v>
      </c>
      <c r="AL271" s="19">
        <f t="shared" ca="1" si="110"/>
        <v>150</v>
      </c>
    </row>
    <row r="272" spans="2:38" x14ac:dyDescent="0.25">
      <c r="B272" s="19"/>
      <c r="C272" s="19"/>
      <c r="D272" s="19"/>
      <c r="E272" s="19"/>
      <c r="F272" s="19"/>
      <c r="G272" s="19"/>
      <c r="H272" s="43">
        <f t="shared" si="119"/>
        <v>52263</v>
      </c>
      <c r="I272" s="264">
        <v>0</v>
      </c>
      <c r="J272" s="64">
        <f t="shared" ca="1" si="111"/>
        <v>0</v>
      </c>
      <c r="K272" s="19">
        <f ca="1">SUMPRODUCT(V$7:V272,OFFSET($J$366,ROW($I$7)-ROW(),0):$J$366)</f>
        <v>0</v>
      </c>
      <c r="L272" s="19">
        <f ca="1">SUMPRODUCT(W$7:W272,OFFSET($J$366,ROW($I$7)-ROW(),0):$J$366)</f>
        <v>0</v>
      </c>
      <c r="M272" s="19">
        <f ca="1">SUMPRODUCT(X$7:X272,OFFSET($J$366,ROW($I$7)-ROW(),0):$J$366)</f>
        <v>0</v>
      </c>
      <c r="N272" s="19"/>
      <c r="O272" s="43">
        <f t="shared" si="112"/>
        <v>51533</v>
      </c>
      <c r="P272" s="24">
        <f t="shared" si="113"/>
        <v>8067</v>
      </c>
      <c r="Q272" s="19">
        <f t="shared" si="114"/>
        <v>3.1600257374129002</v>
      </c>
      <c r="R272" s="19">
        <f t="shared" si="97"/>
        <v>21.550520661555371</v>
      </c>
      <c r="S272" s="19">
        <f t="shared" si="98"/>
        <v>4.5656438841041921E-3</v>
      </c>
      <c r="T272" s="19"/>
      <c r="U272" s="24">
        <f t="shared" si="120"/>
        <v>8063.950000000028</v>
      </c>
      <c r="V272" s="19">
        <f t="shared" si="99"/>
        <v>13.226618946266067</v>
      </c>
      <c r="W272" s="19">
        <f t="shared" si="100"/>
        <v>45.058191149782722</v>
      </c>
      <c r="X272" s="19">
        <f t="shared" si="101"/>
        <v>6.6133094731330333</v>
      </c>
      <c r="Y272" s="27"/>
      <c r="Z272" s="42">
        <f t="shared" si="115"/>
        <v>52263</v>
      </c>
      <c r="AA272" s="19">
        <f t="shared" ca="1" si="102"/>
        <v>2.674645784146279</v>
      </c>
      <c r="AB272" s="19">
        <f t="shared" ca="1" si="103"/>
        <v>19.042040056550324</v>
      </c>
      <c r="AC272" s="19">
        <f t="shared" ca="1" si="104"/>
        <v>2.0093889066914688E-3</v>
      </c>
      <c r="AD272" s="19">
        <f t="shared" ca="1" si="105"/>
        <v>2.8563060084825485</v>
      </c>
      <c r="AE272" s="115">
        <f t="shared" ca="1" si="106"/>
        <v>74.890081956095813</v>
      </c>
      <c r="AF272" s="19">
        <f t="shared" ca="1" si="107"/>
        <v>533.17712158340908</v>
      </c>
      <c r="AG272" s="19">
        <f t="shared" ca="1" si="108"/>
        <v>5.6262889387361126E-2</v>
      </c>
      <c r="AH272" s="19">
        <f t="shared" ca="1" si="109"/>
        <v>79.976568237511358</v>
      </c>
      <c r="AI272" s="46">
        <f t="shared" ca="1" si="116"/>
        <v>7119.4623861672799</v>
      </c>
      <c r="AJ272" s="55">
        <f t="shared" ca="1" si="117"/>
        <v>7.5070891720414499E-4</v>
      </c>
      <c r="AK272" s="19">
        <f t="shared" ca="1" si="118"/>
        <v>140.46004399755583</v>
      </c>
      <c r="AL272" s="19">
        <f t="shared" ca="1" si="110"/>
        <v>149.99999999999997</v>
      </c>
    </row>
    <row r="273" spans="2:38" x14ac:dyDescent="0.25">
      <c r="B273" s="19"/>
      <c r="C273" s="19"/>
      <c r="D273" s="19"/>
      <c r="E273" s="19"/>
      <c r="F273" s="19"/>
      <c r="G273" s="19"/>
      <c r="H273" s="43">
        <f t="shared" si="119"/>
        <v>52291</v>
      </c>
      <c r="I273" s="264">
        <v>0</v>
      </c>
      <c r="J273" s="64">
        <f t="shared" ca="1" si="111"/>
        <v>0</v>
      </c>
      <c r="K273" s="19">
        <f ca="1">SUMPRODUCT(V$7:V273,OFFSET($J$366,ROW($I$7)-ROW(),0):$J$366)</f>
        <v>0</v>
      </c>
      <c r="L273" s="19">
        <f ca="1">SUMPRODUCT(W$7:W273,OFFSET($J$366,ROW($I$7)-ROW(),0):$J$366)</f>
        <v>0</v>
      </c>
      <c r="M273" s="19">
        <f ca="1">SUMPRODUCT(X$7:X273,OFFSET($J$366,ROW($I$7)-ROW(),0):$J$366)</f>
        <v>0</v>
      </c>
      <c r="N273" s="19"/>
      <c r="O273" s="43">
        <f t="shared" si="112"/>
        <v>51561</v>
      </c>
      <c r="P273" s="24">
        <f t="shared" si="113"/>
        <v>8095</v>
      </c>
      <c r="Q273" s="19">
        <f t="shared" si="114"/>
        <v>3.139877463885802</v>
      </c>
      <c r="R273" s="19">
        <f t="shared" si="97"/>
        <v>21.448471210028469</v>
      </c>
      <c r="S273" s="19">
        <f t="shared" si="98"/>
        <v>4.4238809196475463E-3</v>
      </c>
      <c r="T273" s="19"/>
      <c r="U273" s="24">
        <f t="shared" si="120"/>
        <v>8094.3800000000283</v>
      </c>
      <c r="V273" s="19">
        <f t="shared" si="99"/>
        <v>13.142286235550158</v>
      </c>
      <c r="W273" s="19">
        <f t="shared" si="100"/>
        <v>44.84482443972302</v>
      </c>
      <c r="X273" s="19">
        <f t="shared" si="101"/>
        <v>6.5711431177750788</v>
      </c>
      <c r="Y273" s="27"/>
      <c r="Z273" s="42">
        <f t="shared" si="115"/>
        <v>52291</v>
      </c>
      <c r="AA273" s="19">
        <f t="shared" ca="1" si="102"/>
        <v>2.6575922854329432</v>
      </c>
      <c r="AB273" s="19">
        <f t="shared" ca="1" si="103"/>
        <v>18.951869161181151</v>
      </c>
      <c r="AC273" s="19">
        <f t="shared" ca="1" si="104"/>
        <v>1.9472489991177752E-3</v>
      </c>
      <c r="AD273" s="19">
        <f t="shared" ca="1" si="105"/>
        <v>2.8427803741771727</v>
      </c>
      <c r="AE273" s="115">
        <f t="shared" ca="1" si="106"/>
        <v>82.385360848421243</v>
      </c>
      <c r="AF273" s="19">
        <f t="shared" ca="1" si="107"/>
        <v>587.50794399661572</v>
      </c>
      <c r="AG273" s="19">
        <f t="shared" ca="1" si="108"/>
        <v>6.0364718972651034E-2</v>
      </c>
      <c r="AH273" s="19">
        <f t="shared" ca="1" si="109"/>
        <v>88.126191599492358</v>
      </c>
      <c r="AI273" s="46">
        <f t="shared" ca="1" si="116"/>
        <v>7131.2177059897422</v>
      </c>
      <c r="AJ273" s="55">
        <f t="shared" ca="1" si="117"/>
        <v>7.3217524082927617E-4</v>
      </c>
      <c r="AK273" s="19">
        <f t="shared" ca="1" si="118"/>
        <v>140.22850531685035</v>
      </c>
      <c r="AL273" s="19">
        <f t="shared" ca="1" si="110"/>
        <v>150</v>
      </c>
    </row>
    <row r="274" spans="2:38" x14ac:dyDescent="0.25">
      <c r="B274" s="19"/>
      <c r="C274" s="19"/>
      <c r="D274" s="19"/>
      <c r="E274" s="19"/>
      <c r="F274" s="19"/>
      <c r="G274" s="19"/>
      <c r="H274" s="43">
        <f t="shared" si="119"/>
        <v>52322</v>
      </c>
      <c r="I274" s="264">
        <v>0</v>
      </c>
      <c r="J274" s="64">
        <f t="shared" ca="1" si="111"/>
        <v>0</v>
      </c>
      <c r="K274" s="19">
        <f ca="1">SUMPRODUCT(V$7:V274,OFFSET($J$366,ROW($I$7)-ROW(),0):$J$366)</f>
        <v>0</v>
      </c>
      <c r="L274" s="19">
        <f ca="1">SUMPRODUCT(W$7:W274,OFFSET($J$366,ROW($I$7)-ROW(),0):$J$366)</f>
        <v>0</v>
      </c>
      <c r="M274" s="19">
        <f ca="1">SUMPRODUCT(X$7:X274,OFFSET($J$366,ROW($I$7)-ROW(),0):$J$366)</f>
        <v>0</v>
      </c>
      <c r="N274" s="19"/>
      <c r="O274" s="43">
        <f t="shared" si="112"/>
        <v>51592</v>
      </c>
      <c r="P274" s="24">
        <f t="shared" si="113"/>
        <v>8126</v>
      </c>
      <c r="Q274" s="19">
        <f t="shared" si="114"/>
        <v>3.1177202611999699</v>
      </c>
      <c r="R274" s="19">
        <f t="shared" si="97"/>
        <v>21.336051471452915</v>
      </c>
      <c r="S274" s="19">
        <f t="shared" si="98"/>
        <v>4.2720825349637477E-3</v>
      </c>
      <c r="T274" s="19"/>
      <c r="U274" s="24">
        <f t="shared" si="120"/>
        <v>8124.8100000000286</v>
      </c>
      <c r="V274" s="19">
        <f t="shared" si="99"/>
        <v>13.049544941271769</v>
      </c>
      <c r="W274" s="19">
        <f t="shared" si="100"/>
        <v>44.609775359039681</v>
      </c>
      <c r="X274" s="19">
        <f t="shared" si="101"/>
        <v>6.5247724706358845</v>
      </c>
      <c r="Y274" s="27"/>
      <c r="Z274" s="42">
        <f t="shared" si="115"/>
        <v>52322</v>
      </c>
      <c r="AA274" s="19">
        <f t="shared" ca="1" si="102"/>
        <v>2.6388384290796552</v>
      </c>
      <c r="AB274" s="19">
        <f t="shared" ca="1" si="103"/>
        <v>18.852535080175794</v>
      </c>
      <c r="AC274" s="19">
        <f t="shared" ca="1" si="104"/>
        <v>1.8807011047606475E-3</v>
      </c>
      <c r="AD274" s="19">
        <f t="shared" ca="1" si="105"/>
        <v>2.827880262026369</v>
      </c>
      <c r="AE274" s="115">
        <f t="shared" ca="1" si="106"/>
        <v>79.165152872389655</v>
      </c>
      <c r="AF274" s="19">
        <f t="shared" ca="1" si="107"/>
        <v>565.5760524052738</v>
      </c>
      <c r="AG274" s="19">
        <f t="shared" ca="1" si="108"/>
        <v>5.6421033142819425E-2</v>
      </c>
      <c r="AH274" s="19">
        <f t="shared" ca="1" si="109"/>
        <v>84.83640786079107</v>
      </c>
      <c r="AI274" s="46">
        <f t="shared" ca="1" si="116"/>
        <v>7144.2551663729446</v>
      </c>
      <c r="AJ274" s="55">
        <f t="shared" ca="1" si="117"/>
        <v>7.1219278236126068E-4</v>
      </c>
      <c r="AK274" s="19">
        <f t="shared" ca="1" si="118"/>
        <v>139.97260410110582</v>
      </c>
      <c r="AL274" s="19">
        <f t="shared" ca="1" si="110"/>
        <v>150</v>
      </c>
    </row>
    <row r="275" spans="2:38" x14ac:dyDescent="0.25">
      <c r="B275" s="19"/>
      <c r="C275" s="19"/>
      <c r="D275" s="19"/>
      <c r="E275" s="19"/>
      <c r="F275" s="19"/>
      <c r="G275" s="19"/>
      <c r="H275" s="43">
        <f t="shared" si="119"/>
        <v>52352</v>
      </c>
      <c r="I275" s="264">
        <v>0</v>
      </c>
      <c r="J275" s="64">
        <f t="shared" ca="1" si="111"/>
        <v>0</v>
      </c>
      <c r="K275" s="19">
        <f ca="1">SUMPRODUCT(V$7:V275,OFFSET($J$366,ROW($I$7)-ROW(),0):$J$366)</f>
        <v>0</v>
      </c>
      <c r="L275" s="19">
        <f ca="1">SUMPRODUCT(W$7:W275,OFFSET($J$366,ROW($I$7)-ROW(),0):$J$366)</f>
        <v>0</v>
      </c>
      <c r="M275" s="19">
        <f ca="1">SUMPRODUCT(X$7:X275,OFFSET($J$366,ROW($I$7)-ROW(),0):$J$366)</f>
        <v>0</v>
      </c>
      <c r="N275" s="19"/>
      <c r="O275" s="43">
        <f t="shared" si="112"/>
        <v>51622</v>
      </c>
      <c r="P275" s="24">
        <f t="shared" si="113"/>
        <v>8156</v>
      </c>
      <c r="Q275" s="19">
        <f t="shared" si="114"/>
        <v>3.0964266909371148</v>
      </c>
      <c r="R275" s="19">
        <f t="shared" si="97"/>
        <v>21.227819238263393</v>
      </c>
      <c r="S275" s="19">
        <f t="shared" si="98"/>
        <v>4.1301660788637057E-3</v>
      </c>
      <c r="T275" s="19"/>
      <c r="U275" s="24">
        <f t="shared" si="120"/>
        <v>8155.2400000000289</v>
      </c>
      <c r="V275" s="19">
        <f t="shared" si="99"/>
        <v>12.960418471022541</v>
      </c>
      <c r="W275" s="19">
        <f t="shared" si="100"/>
        <v>44.383481585065063</v>
      </c>
      <c r="X275" s="19">
        <f t="shared" si="101"/>
        <v>6.4802092355112704</v>
      </c>
      <c r="Y275" s="27"/>
      <c r="Z275" s="42">
        <f t="shared" si="115"/>
        <v>52352</v>
      </c>
      <c r="AA275" s="19">
        <f t="shared" ca="1" si="102"/>
        <v>2.6208155512091746</v>
      </c>
      <c r="AB275" s="19">
        <f t="shared" ca="1" si="103"/>
        <v>18.756901078929531</v>
      </c>
      <c r="AC275" s="19">
        <f t="shared" ca="1" si="104"/>
        <v>1.8184766191283446E-3</v>
      </c>
      <c r="AD275" s="19">
        <f t="shared" ca="1" si="105"/>
        <v>2.8135351618394293</v>
      </c>
      <c r="AE275" s="115">
        <f t="shared" ca="1" si="106"/>
        <v>81.245282087484412</v>
      </c>
      <c r="AF275" s="19">
        <f t="shared" ca="1" si="107"/>
        <v>581.46393344681542</v>
      </c>
      <c r="AG275" s="19">
        <f t="shared" ca="1" si="108"/>
        <v>5.6372775192978682E-2</v>
      </c>
      <c r="AH275" s="19">
        <f t="shared" ca="1" si="109"/>
        <v>87.219590017022313</v>
      </c>
      <c r="AI275" s="46">
        <f t="shared" ca="1" si="116"/>
        <v>7156.8947575404891</v>
      </c>
      <c r="AJ275" s="55">
        <f t="shared" ca="1" si="117"/>
        <v>6.9337795507600853E-4</v>
      </c>
      <c r="AK275" s="19">
        <f t="shared" ca="1" si="118"/>
        <v>139.72540240952992</v>
      </c>
      <c r="AL275" s="19">
        <f t="shared" ca="1" si="110"/>
        <v>150</v>
      </c>
    </row>
    <row r="276" spans="2:38" x14ac:dyDescent="0.25">
      <c r="B276" s="19"/>
      <c r="C276" s="19"/>
      <c r="D276" s="19"/>
      <c r="E276" s="19"/>
      <c r="F276" s="19"/>
      <c r="G276" s="19"/>
      <c r="H276" s="43">
        <f t="shared" si="119"/>
        <v>52383</v>
      </c>
      <c r="I276" s="264">
        <v>0</v>
      </c>
      <c r="J276" s="64">
        <f t="shared" ca="1" si="111"/>
        <v>0</v>
      </c>
      <c r="K276" s="19">
        <f ca="1">SUMPRODUCT(V$7:V276,OFFSET($J$366,ROW($I$7)-ROW(),0):$J$366)</f>
        <v>0</v>
      </c>
      <c r="L276" s="19">
        <f ca="1">SUMPRODUCT(W$7:W276,OFFSET($J$366,ROW($I$7)-ROW(),0):$J$366)</f>
        <v>0</v>
      </c>
      <c r="M276" s="19">
        <f ca="1">SUMPRODUCT(X$7:X276,OFFSET($J$366,ROW($I$7)-ROW(),0):$J$366)</f>
        <v>0</v>
      </c>
      <c r="N276" s="19"/>
      <c r="O276" s="43">
        <f t="shared" si="112"/>
        <v>51653</v>
      </c>
      <c r="P276" s="24">
        <f t="shared" si="113"/>
        <v>8187</v>
      </c>
      <c r="Q276" s="19">
        <f t="shared" si="114"/>
        <v>3.0745761077274101</v>
      </c>
      <c r="R276" s="19">
        <f t="shared" si="97"/>
        <v>21.116556022068345</v>
      </c>
      <c r="S276" s="19">
        <f t="shared" si="98"/>
        <v>3.9884938718936103E-3</v>
      </c>
      <c r="T276" s="19"/>
      <c r="U276" s="24">
        <f t="shared" si="120"/>
        <v>8185.6700000000292</v>
      </c>
      <c r="V276" s="19">
        <f t="shared" si="99"/>
        <v>12.868960564700215</v>
      </c>
      <c r="W276" s="19">
        <f t="shared" si="100"/>
        <v>44.150850580831396</v>
      </c>
      <c r="X276" s="19">
        <f t="shared" si="101"/>
        <v>6.4344802823501075</v>
      </c>
      <c r="Y276" s="27"/>
      <c r="Z276" s="42">
        <f t="shared" si="115"/>
        <v>52383</v>
      </c>
      <c r="AA276" s="19">
        <f t="shared" ca="1" si="102"/>
        <v>2.6023212175804797</v>
      </c>
      <c r="AB276" s="19">
        <f t="shared" ca="1" si="103"/>
        <v>18.658588901099588</v>
      </c>
      <c r="AC276" s="19">
        <f t="shared" ca="1" si="104"/>
        <v>1.7563504517664049E-3</v>
      </c>
      <c r="AD276" s="19">
        <f t="shared" ca="1" si="105"/>
        <v>2.7987883351649381</v>
      </c>
      <c r="AE276" s="115">
        <f t="shared" ca="1" si="106"/>
        <v>78.069636527414389</v>
      </c>
      <c r="AF276" s="19">
        <f t="shared" ca="1" si="107"/>
        <v>559.75766703298768</v>
      </c>
      <c r="AG276" s="19">
        <f t="shared" ca="1" si="108"/>
        <v>5.2690513552992146E-2</v>
      </c>
      <c r="AH276" s="19">
        <f t="shared" ca="1" si="109"/>
        <v>83.963650054948147</v>
      </c>
      <c r="AI276" s="46">
        <f t="shared" ca="1" si="116"/>
        <v>7169.9791613148736</v>
      </c>
      <c r="AJ276" s="55">
        <f t="shared" ca="1" si="117"/>
        <v>6.7446164942528179E-4</v>
      </c>
      <c r="AK276" s="19">
        <f t="shared" ca="1" si="118"/>
        <v>139.47041929988174</v>
      </c>
      <c r="AL276" s="19">
        <f t="shared" ca="1" si="110"/>
        <v>150</v>
      </c>
    </row>
    <row r="277" spans="2:38" x14ac:dyDescent="0.25">
      <c r="B277" s="19"/>
      <c r="C277" s="19"/>
      <c r="D277" s="19"/>
      <c r="E277" s="19"/>
      <c r="F277" s="19"/>
      <c r="G277" s="19"/>
      <c r="H277" s="43">
        <f t="shared" si="119"/>
        <v>52413</v>
      </c>
      <c r="I277" s="264">
        <v>0</v>
      </c>
      <c r="J277" s="64">
        <f t="shared" ca="1" si="111"/>
        <v>0</v>
      </c>
      <c r="K277" s="19">
        <f ca="1">SUMPRODUCT(V$7:V277,OFFSET($J$366,ROW($I$7)-ROW(),0):$J$366)</f>
        <v>0</v>
      </c>
      <c r="L277" s="19">
        <f ca="1">SUMPRODUCT(W$7:W277,OFFSET($J$366,ROW($I$7)-ROW(),0):$J$366)</f>
        <v>0</v>
      </c>
      <c r="M277" s="19">
        <f ca="1">SUMPRODUCT(X$7:X277,OFFSET($J$366,ROW($I$7)-ROW(),0):$J$366)</f>
        <v>0</v>
      </c>
      <c r="N277" s="19"/>
      <c r="O277" s="43">
        <f t="shared" si="112"/>
        <v>51683</v>
      </c>
      <c r="P277" s="24">
        <f t="shared" si="113"/>
        <v>8217</v>
      </c>
      <c r="Q277" s="19">
        <f t="shared" si="114"/>
        <v>3.0535772056792858</v>
      </c>
      <c r="R277" s="19">
        <f t="shared" si="97"/>
        <v>21.009437232136762</v>
      </c>
      <c r="S277" s="19">
        <f t="shared" si="98"/>
        <v>3.8560428187264851E-3</v>
      </c>
      <c r="T277" s="19"/>
      <c r="U277" s="24">
        <f t="shared" si="120"/>
        <v>8216.1000000000295</v>
      </c>
      <c r="V277" s="19">
        <f t="shared" si="99"/>
        <v>12.781067459149789</v>
      </c>
      <c r="W277" s="19">
        <f t="shared" si="100"/>
        <v>43.926884812752242</v>
      </c>
      <c r="X277" s="19">
        <f t="shared" si="101"/>
        <v>6.3905337295748943</v>
      </c>
      <c r="Y277" s="27"/>
      <c r="Z277" s="42">
        <f t="shared" si="115"/>
        <v>52413</v>
      </c>
      <c r="AA277" s="19">
        <f t="shared" ca="1" si="102"/>
        <v>2.584547746886948</v>
      </c>
      <c r="AB277" s="19">
        <f t="shared" ca="1" si="103"/>
        <v>18.563938738316036</v>
      </c>
      <c r="AC277" s="19">
        <f t="shared" ca="1" si="104"/>
        <v>1.698259744236178E-3</v>
      </c>
      <c r="AD277" s="19">
        <f t="shared" ca="1" si="105"/>
        <v>2.7845908107474053</v>
      </c>
      <c r="AE277" s="115">
        <f t="shared" ca="1" si="106"/>
        <v>80.120980153495381</v>
      </c>
      <c r="AF277" s="19">
        <f t="shared" ca="1" si="107"/>
        <v>575.48210088779717</v>
      </c>
      <c r="AG277" s="19">
        <f t="shared" ca="1" si="108"/>
        <v>5.2646052071321517E-2</v>
      </c>
      <c r="AH277" s="19">
        <f t="shared" ca="1" si="109"/>
        <v>86.322315133169568</v>
      </c>
      <c r="AI277" s="46">
        <f t="shared" ca="1" si="116"/>
        <v>7182.6642632839912</v>
      </c>
      <c r="AJ277" s="55">
        <f t="shared" ca="1" si="117"/>
        <v>6.5665050419867548E-4</v>
      </c>
      <c r="AK277" s="19">
        <f t="shared" ca="1" si="118"/>
        <v>139.22410450280316</v>
      </c>
      <c r="AL277" s="19">
        <f t="shared" ca="1" si="110"/>
        <v>150</v>
      </c>
    </row>
    <row r="278" spans="2:38" x14ac:dyDescent="0.25">
      <c r="B278" s="19"/>
      <c r="C278" s="19"/>
      <c r="D278" s="19"/>
      <c r="E278" s="19"/>
      <c r="F278" s="19"/>
      <c r="G278" s="19"/>
      <c r="H278" s="43">
        <f t="shared" si="119"/>
        <v>52444</v>
      </c>
      <c r="I278" s="264">
        <v>0</v>
      </c>
      <c r="J278" s="64">
        <f t="shared" ca="1" si="111"/>
        <v>0</v>
      </c>
      <c r="K278" s="19">
        <f ca="1">SUMPRODUCT(V$7:V278,OFFSET($J$366,ROW($I$7)-ROW(),0):$J$366)</f>
        <v>0</v>
      </c>
      <c r="L278" s="19">
        <f ca="1">SUMPRODUCT(W$7:W278,OFFSET($J$366,ROW($I$7)-ROW(),0):$J$366)</f>
        <v>0</v>
      </c>
      <c r="M278" s="19">
        <f ca="1">SUMPRODUCT(X$7:X278,OFFSET($J$366,ROW($I$7)-ROW(),0):$J$366)</f>
        <v>0</v>
      </c>
      <c r="N278" s="19"/>
      <c r="O278" s="43">
        <f t="shared" si="112"/>
        <v>51714</v>
      </c>
      <c r="P278" s="24">
        <f t="shared" si="113"/>
        <v>8248</v>
      </c>
      <c r="Q278" s="19">
        <f t="shared" si="114"/>
        <v>3.0320289988332325</v>
      </c>
      <c r="R278" s="19">
        <f t="shared" si="97"/>
        <v>20.899318640553783</v>
      </c>
      <c r="S278" s="19">
        <f t="shared" si="98"/>
        <v>3.7238181574511904E-3</v>
      </c>
      <c r="T278" s="19"/>
      <c r="U278" s="24">
        <f t="shared" si="120"/>
        <v>8246.5300000000298</v>
      </c>
      <c r="V278" s="19">
        <f t="shared" si="99"/>
        <v>12.69087518079151</v>
      </c>
      <c r="W278" s="19">
        <f t="shared" si="100"/>
        <v>43.69664700891385</v>
      </c>
      <c r="X278" s="19">
        <f t="shared" si="101"/>
        <v>6.3454375903957549</v>
      </c>
      <c r="Y278" s="27"/>
      <c r="Z278" s="42">
        <f t="shared" si="115"/>
        <v>52444</v>
      </c>
      <c r="AA278" s="19">
        <f t="shared" ca="1" si="102"/>
        <v>2.5663093446124483</v>
      </c>
      <c r="AB278" s="19">
        <f t="shared" ca="1" si="103"/>
        <v>18.46663795079332</v>
      </c>
      <c r="AC278" s="19">
        <f t="shared" ca="1" si="104"/>
        <v>1.6402601418219695E-3</v>
      </c>
      <c r="AD278" s="19">
        <f t="shared" ca="1" si="105"/>
        <v>2.7699956926189979</v>
      </c>
      <c r="AE278" s="115">
        <f t="shared" ca="1" si="106"/>
        <v>79.555589682985897</v>
      </c>
      <c r="AF278" s="19">
        <f t="shared" ca="1" si="107"/>
        <v>572.46577647459287</v>
      </c>
      <c r="AG278" s="19">
        <f t="shared" ca="1" si="108"/>
        <v>5.0848064396481055E-2</v>
      </c>
      <c r="AH278" s="19">
        <f t="shared" ca="1" si="109"/>
        <v>85.869866471188942</v>
      </c>
      <c r="AI278" s="46">
        <f t="shared" ca="1" si="116"/>
        <v>7195.7957794764843</v>
      </c>
      <c r="AJ278" s="55">
        <f t="shared" ca="1" si="117"/>
        <v>6.3874311971902104E-4</v>
      </c>
      <c r="AK278" s="19">
        <f t="shared" ca="1" si="118"/>
        <v>138.97003620532891</v>
      </c>
      <c r="AL278" s="19">
        <f t="shared" ca="1" si="110"/>
        <v>150.00000000000003</v>
      </c>
    </row>
    <row r="279" spans="2:38" x14ac:dyDescent="0.25">
      <c r="B279" s="19"/>
      <c r="C279" s="19"/>
      <c r="D279" s="19"/>
      <c r="E279" s="19"/>
      <c r="F279" s="19"/>
      <c r="G279" s="19"/>
      <c r="H279" s="43">
        <f t="shared" si="119"/>
        <v>52475</v>
      </c>
      <c r="I279" s="264">
        <v>0</v>
      </c>
      <c r="J279" s="64">
        <f t="shared" ca="1" si="111"/>
        <v>0</v>
      </c>
      <c r="K279" s="19">
        <f ca="1">SUMPRODUCT(V$7:V279,OFFSET($J$366,ROW($I$7)-ROW(),0):$J$366)</f>
        <v>0</v>
      </c>
      <c r="L279" s="19">
        <f ca="1">SUMPRODUCT(W$7:W279,OFFSET($J$366,ROW($I$7)-ROW(),0):$J$366)</f>
        <v>0</v>
      </c>
      <c r="M279" s="19">
        <f ca="1">SUMPRODUCT(X$7:X279,OFFSET($J$366,ROW($I$7)-ROW(),0):$J$366)</f>
        <v>0</v>
      </c>
      <c r="N279" s="19"/>
      <c r="O279" s="43">
        <f t="shared" si="112"/>
        <v>51745</v>
      </c>
      <c r="P279" s="24">
        <f t="shared" si="113"/>
        <v>8279</v>
      </c>
      <c r="Q279" s="19">
        <f t="shared" si="114"/>
        <v>3.0106328514201017</v>
      </c>
      <c r="R279" s="19">
        <f t="shared" si="97"/>
        <v>20.789777223127274</v>
      </c>
      <c r="S279" s="19">
        <f t="shared" si="98"/>
        <v>3.5961493992364892E-3</v>
      </c>
      <c r="T279" s="19"/>
      <c r="U279" s="24">
        <f t="shared" si="120"/>
        <v>8276.96000000003</v>
      </c>
      <c r="V279" s="19">
        <f t="shared" si="99"/>
        <v>12.60131936312804</v>
      </c>
      <c r="W279" s="19">
        <f t="shared" si="100"/>
        <v>43.467615970511744</v>
      </c>
      <c r="X279" s="19">
        <f t="shared" si="101"/>
        <v>6.3006596815640199</v>
      </c>
      <c r="Y279" s="27"/>
      <c r="Z279" s="42">
        <f t="shared" si="115"/>
        <v>52475</v>
      </c>
      <c r="AA279" s="19">
        <f t="shared" ca="1" si="102"/>
        <v>2.5481996454419744</v>
      </c>
      <c r="AB279" s="19">
        <f t="shared" ca="1" si="103"/>
        <v>18.369847154355259</v>
      </c>
      <c r="AC279" s="19">
        <f t="shared" ca="1" si="104"/>
        <v>1.5842509268139324E-3</v>
      </c>
      <c r="AD279" s="19">
        <f t="shared" ca="1" si="105"/>
        <v>2.7554770731532887</v>
      </c>
      <c r="AE279" s="115">
        <f t="shared" ca="1" si="106"/>
        <v>76.44598936325923</v>
      </c>
      <c r="AF279" s="19">
        <f t="shared" ca="1" si="107"/>
        <v>551.09541463065773</v>
      </c>
      <c r="AG279" s="19">
        <f t="shared" ca="1" si="108"/>
        <v>4.752752780441797E-2</v>
      </c>
      <c r="AH279" s="19">
        <f t="shared" ca="1" si="109"/>
        <v>82.664312194598665</v>
      </c>
      <c r="AI279" s="46">
        <f t="shared" ca="1" si="116"/>
        <v>7208.9513030165599</v>
      </c>
      <c r="AJ279" s="55">
        <f t="shared" ca="1" si="117"/>
        <v>6.2132752860746517E-4</v>
      </c>
      <c r="AK279" s="19">
        <f t="shared" ca="1" si="118"/>
        <v>138.71643155385911</v>
      </c>
      <c r="AL279" s="19">
        <f t="shared" ca="1" si="110"/>
        <v>150.00000000000003</v>
      </c>
    </row>
    <row r="280" spans="2:38" x14ac:dyDescent="0.25">
      <c r="B280" s="19"/>
      <c r="C280" s="19"/>
      <c r="D280" s="19"/>
      <c r="E280" s="19"/>
      <c r="F280" s="19"/>
      <c r="G280" s="19"/>
      <c r="H280" s="43">
        <f t="shared" si="119"/>
        <v>52505</v>
      </c>
      <c r="I280" s="264">
        <v>0</v>
      </c>
      <c r="J280" s="64">
        <f t="shared" ca="1" si="111"/>
        <v>0</v>
      </c>
      <c r="K280" s="19">
        <f ca="1">SUMPRODUCT(V$7:V280,OFFSET($J$366,ROW($I$7)-ROW(),0):$J$366)</f>
        <v>0</v>
      </c>
      <c r="L280" s="19">
        <f ca="1">SUMPRODUCT(W$7:W280,OFFSET($J$366,ROW($I$7)-ROW(),0):$J$366)</f>
        <v>0</v>
      </c>
      <c r="M280" s="19">
        <f ca="1">SUMPRODUCT(X$7:X280,OFFSET($J$366,ROW($I$7)-ROW(),0):$J$366)</f>
        <v>0</v>
      </c>
      <c r="N280" s="19"/>
      <c r="O280" s="43">
        <f t="shared" si="112"/>
        <v>51775</v>
      </c>
      <c r="P280" s="24">
        <f t="shared" si="113"/>
        <v>8309</v>
      </c>
      <c r="Q280" s="19">
        <f t="shared" si="114"/>
        <v>2.9900706723961568</v>
      </c>
      <c r="R280" s="19">
        <f t="shared" si="97"/>
        <v>20.684316096949249</v>
      </c>
      <c r="S280" s="19">
        <f t="shared" si="98"/>
        <v>3.4767882065110428E-3</v>
      </c>
      <c r="T280" s="19"/>
      <c r="U280" s="24">
        <f t="shared" si="120"/>
        <v>8307.3900000000303</v>
      </c>
      <c r="V280" s="19">
        <f t="shared" si="99"/>
        <v>12.515254207571022</v>
      </c>
      <c r="W280" s="19">
        <f t="shared" si="100"/>
        <v>43.247116073695899</v>
      </c>
      <c r="X280" s="19">
        <f t="shared" si="101"/>
        <v>6.2576271037855111</v>
      </c>
      <c r="Y280" s="27"/>
      <c r="Z280" s="42">
        <f t="shared" si="115"/>
        <v>52505</v>
      </c>
      <c r="AA280" s="19">
        <f t="shared" ca="1" si="102"/>
        <v>2.5307958171161076</v>
      </c>
      <c r="AB280" s="19">
        <f t="shared" ca="1" si="103"/>
        <v>18.276661703264356</v>
      </c>
      <c r="AC280" s="19">
        <f t="shared" ca="1" si="104"/>
        <v>1.5318789115784694E-3</v>
      </c>
      <c r="AD280" s="19">
        <f t="shared" ca="1" si="105"/>
        <v>2.7414992554896536</v>
      </c>
      <c r="AE280" s="115">
        <f t="shared" ca="1" si="106"/>
        <v>78.454670330599328</v>
      </c>
      <c r="AF280" s="19">
        <f t="shared" ca="1" si="107"/>
        <v>566.57651280119501</v>
      </c>
      <c r="AG280" s="19">
        <f t="shared" ca="1" si="108"/>
        <v>4.7488246258932554E-2</v>
      </c>
      <c r="AH280" s="19">
        <f t="shared" ca="1" si="109"/>
        <v>84.986476920179257</v>
      </c>
      <c r="AI280" s="46">
        <f t="shared" ca="1" si="116"/>
        <v>7221.7053543620041</v>
      </c>
      <c r="AJ280" s="55">
        <f t="shared" ca="1" si="117"/>
        <v>6.0492917799755466E-4</v>
      </c>
      <c r="AK280" s="19">
        <f t="shared" ca="1" si="118"/>
        <v>138.47144835339856</v>
      </c>
      <c r="AL280" s="19">
        <f t="shared" ca="1" si="110"/>
        <v>150</v>
      </c>
    </row>
    <row r="281" spans="2:38" x14ac:dyDescent="0.25">
      <c r="B281" s="19"/>
      <c r="C281" s="19"/>
      <c r="D281" s="19"/>
      <c r="E281" s="19"/>
      <c r="F281" s="19"/>
      <c r="G281" s="19"/>
      <c r="H281" s="43">
        <f t="shared" si="119"/>
        <v>52536</v>
      </c>
      <c r="I281" s="264">
        <v>0</v>
      </c>
      <c r="J281" s="64">
        <f t="shared" ca="1" si="111"/>
        <v>0</v>
      </c>
      <c r="K281" s="19">
        <f ca="1">SUMPRODUCT(V$7:V281,OFFSET($J$366,ROW($I$7)-ROW(),0):$J$366)</f>
        <v>0</v>
      </c>
      <c r="L281" s="19">
        <f ca="1">SUMPRODUCT(W$7:W281,OFFSET($J$366,ROW($I$7)-ROW(),0):$J$366)</f>
        <v>0</v>
      </c>
      <c r="M281" s="19">
        <f ca="1">SUMPRODUCT(X$7:X281,OFFSET($J$366,ROW($I$7)-ROW(),0):$J$366)</f>
        <v>0</v>
      </c>
      <c r="N281" s="19"/>
      <c r="O281" s="43">
        <f t="shared" si="112"/>
        <v>51806</v>
      </c>
      <c r="P281" s="24">
        <f t="shared" si="113"/>
        <v>8340</v>
      </c>
      <c r="Q281" s="19">
        <f t="shared" si="114"/>
        <v>2.9689706126978863</v>
      </c>
      <c r="R281" s="19">
        <f t="shared" si="97"/>
        <v>20.575901591063822</v>
      </c>
      <c r="S281" s="19">
        <f t="shared" si="98"/>
        <v>3.3576289044698806E-3</v>
      </c>
      <c r="T281" s="19"/>
      <c r="U281" s="24">
        <f t="shared" si="120"/>
        <v>8337.8200000000306</v>
      </c>
      <c r="V281" s="19">
        <f t="shared" si="99"/>
        <v>12.42693769607293</v>
      </c>
      <c r="W281" s="19">
        <f t="shared" si="100"/>
        <v>43.020441200902255</v>
      </c>
      <c r="X281" s="19">
        <f t="shared" si="101"/>
        <v>6.2134688480364648</v>
      </c>
      <c r="Y281" s="27"/>
      <c r="Z281" s="42">
        <f t="shared" si="115"/>
        <v>52536</v>
      </c>
      <c r="AA281" s="19">
        <f t="shared" ca="1" si="102"/>
        <v>2.5129367265874909</v>
      </c>
      <c r="AB281" s="19">
        <f t="shared" ca="1" si="103"/>
        <v>18.18086664586399</v>
      </c>
      <c r="AC281" s="19">
        <f t="shared" ca="1" si="104"/>
        <v>1.4795881067556553E-3</v>
      </c>
      <c r="AD281" s="19">
        <f t="shared" ca="1" si="105"/>
        <v>2.7271299968795986</v>
      </c>
      <c r="AE281" s="115">
        <f t="shared" ca="1" si="106"/>
        <v>75.388101797624728</v>
      </c>
      <c r="AF281" s="19">
        <f t="shared" ca="1" si="107"/>
        <v>545.42599937591967</v>
      </c>
      <c r="AG281" s="19">
        <f t="shared" ca="1" si="108"/>
        <v>4.4387643202669656E-2</v>
      </c>
      <c r="AH281" s="19">
        <f t="shared" ca="1" si="109"/>
        <v>81.81389990638796</v>
      </c>
      <c r="AI281" s="46">
        <f t="shared" ca="1" si="116"/>
        <v>7234.9082463979021</v>
      </c>
      <c r="AJ281" s="55">
        <f t="shared" ca="1" si="117"/>
        <v>5.884419768154318E-4</v>
      </c>
      <c r="AK281" s="19">
        <f t="shared" ca="1" si="118"/>
        <v>138.21875356855804</v>
      </c>
      <c r="AL281" s="19">
        <f t="shared" ca="1" si="110"/>
        <v>150.00000000000003</v>
      </c>
    </row>
    <row r="282" spans="2:38" x14ac:dyDescent="0.25">
      <c r="B282" s="19"/>
      <c r="C282" s="19"/>
      <c r="D282" s="19"/>
      <c r="E282" s="19"/>
      <c r="F282" s="19"/>
      <c r="G282" s="19"/>
      <c r="H282" s="44">
        <f t="shared" si="119"/>
        <v>52566</v>
      </c>
      <c r="I282" s="265">
        <v>0</v>
      </c>
      <c r="J282" s="65">
        <f t="shared" ca="1" si="111"/>
        <v>0</v>
      </c>
      <c r="K282" s="21">
        <f ca="1">SUMPRODUCT(V$7:V282,OFFSET($J$366,ROW($I$7)-ROW(),0):$J$366)</f>
        <v>0</v>
      </c>
      <c r="L282" s="21">
        <f ca="1">SUMPRODUCT(W$7:W282,OFFSET($J$366,ROW($I$7)-ROW(),0):$J$366)</f>
        <v>0</v>
      </c>
      <c r="M282" s="21">
        <f ca="1">SUMPRODUCT(X$7:X282,OFFSET($J$366,ROW($I$7)-ROW(),0):$J$366)</f>
        <v>0</v>
      </c>
      <c r="N282" s="19"/>
      <c r="O282" s="44">
        <f t="shared" si="112"/>
        <v>51836</v>
      </c>
      <c r="P282" s="25">
        <f t="shared" si="113"/>
        <v>8370</v>
      </c>
      <c r="Q282" s="21">
        <f t="shared" si="114"/>
        <v>2.9486929806291573</v>
      </c>
      <c r="R282" s="21">
        <f t="shared" si="97"/>
        <v>20.471525400273869</v>
      </c>
      <c r="S282" s="21">
        <f t="shared" si="98"/>
        <v>3.2462221283910456E-3</v>
      </c>
      <c r="T282" s="19"/>
      <c r="U282" s="25">
        <f t="shared" si="120"/>
        <v>8368.2500000000309</v>
      </c>
      <c r="V282" s="21">
        <f t="shared" si="99"/>
        <v>12.342063541622137</v>
      </c>
      <c r="W282" s="21">
        <f t="shared" si="100"/>
        <v>42.802209705247961</v>
      </c>
      <c r="X282" s="21">
        <f t="shared" si="101"/>
        <v>6.1710317708110685</v>
      </c>
      <c r="Y282" s="27"/>
      <c r="Z282" s="48">
        <f t="shared" si="115"/>
        <v>52566</v>
      </c>
      <c r="AA282" s="21">
        <f t="shared" ca="1" si="102"/>
        <v>2.4957737388045187</v>
      </c>
      <c r="AB282" s="21">
        <f t="shared" ca="1" si="103"/>
        <v>18.088639843681985</v>
      </c>
      <c r="AC282" s="21">
        <f t="shared" ca="1" si="104"/>
        <v>1.4306924567183989E-3</v>
      </c>
      <c r="AD282" s="21">
        <f t="shared" ca="1" si="105"/>
        <v>2.7132959765522977</v>
      </c>
      <c r="AE282" s="116">
        <f t="shared" ca="1" si="106"/>
        <v>77.368985902940082</v>
      </c>
      <c r="AF282" s="21">
        <f t="shared" ca="1" si="107"/>
        <v>560.74783515414151</v>
      </c>
      <c r="AG282" s="21">
        <f t="shared" ca="1" si="108"/>
        <v>4.4351466158270368E-2</v>
      </c>
      <c r="AH282" s="21">
        <f t="shared" ca="1" si="109"/>
        <v>84.112175273121224</v>
      </c>
      <c r="AI282" s="47">
        <f t="shared" ca="1" si="116"/>
        <v>7247.7082206764799</v>
      </c>
      <c r="AJ282" s="57">
        <f t="shared" ca="1" si="117"/>
        <v>5.729176349394086E-4</v>
      </c>
      <c r="AK282" s="21">
        <f t="shared" ca="1" si="118"/>
        <v>137.97464930323352</v>
      </c>
      <c r="AL282" s="21">
        <f t="shared" ca="1" si="110"/>
        <v>150</v>
      </c>
    </row>
    <row r="283" spans="2:38" x14ac:dyDescent="0.25">
      <c r="B283" s="19"/>
      <c r="C283" s="19"/>
      <c r="D283" s="19"/>
      <c r="E283" s="19"/>
      <c r="F283" s="19"/>
      <c r="G283" s="19"/>
      <c r="H283" s="43">
        <f t="shared" si="119"/>
        <v>52597</v>
      </c>
      <c r="I283" s="264">
        <v>0</v>
      </c>
      <c r="J283" s="64">
        <f t="shared" ca="1" si="111"/>
        <v>0</v>
      </c>
      <c r="K283" s="19">
        <f ca="1">SUMPRODUCT(V$7:V283,OFFSET($J$366,ROW($I$7)-ROW(),0):$J$366)</f>
        <v>0</v>
      </c>
      <c r="L283" s="19">
        <f ca="1">SUMPRODUCT(W$7:W283,OFFSET($J$366,ROW($I$7)-ROW(),0):$J$366)</f>
        <v>0</v>
      </c>
      <c r="M283" s="19">
        <f ca="1">SUMPRODUCT(X$7:X283,OFFSET($J$366,ROW($I$7)-ROW(),0):$J$366)</f>
        <v>0</v>
      </c>
      <c r="N283" s="19"/>
      <c r="O283" s="43">
        <f t="shared" si="112"/>
        <v>51867</v>
      </c>
      <c r="P283" s="24">
        <f t="shared" si="113"/>
        <v>8401</v>
      </c>
      <c r="Q283" s="19">
        <f t="shared" si="114"/>
        <v>2.9278849112756373</v>
      </c>
      <c r="R283" s="19">
        <f t="shared" si="97"/>
        <v>20.364226212783734</v>
      </c>
      <c r="S283" s="19">
        <f t="shared" si="98"/>
        <v>3.1350024732600458E-3</v>
      </c>
      <c r="T283" s="19"/>
      <c r="U283" s="24">
        <f t="shared" si="120"/>
        <v>8398.6800000000312</v>
      </c>
      <c r="V283" s="19">
        <f t="shared" si="99"/>
        <v>12.254969186317357</v>
      </c>
      <c r="W283" s="19">
        <f t="shared" si="100"/>
        <v>42.577866758918518</v>
      </c>
      <c r="X283" s="19">
        <f t="shared" si="101"/>
        <v>6.1274845931586785</v>
      </c>
      <c r="Y283" s="27"/>
      <c r="Z283" s="42">
        <f t="shared" si="115"/>
        <v>52597</v>
      </c>
      <c r="AA283" s="19">
        <f t="shared" ca="1" si="102"/>
        <v>2.4781617889036998</v>
      </c>
      <c r="AB283" s="19">
        <f t="shared" ca="1" si="103"/>
        <v>17.993830281615704</v>
      </c>
      <c r="AC283" s="19">
        <f t="shared" ca="1" si="104"/>
        <v>1.3818720537845442E-3</v>
      </c>
      <c r="AD283" s="19">
        <f t="shared" ca="1" si="105"/>
        <v>2.6990745422423559</v>
      </c>
      <c r="AE283" s="115">
        <f t="shared" ca="1" si="106"/>
        <v>76.823015456014687</v>
      </c>
      <c r="AF283" s="19">
        <f t="shared" ca="1" si="107"/>
        <v>557.80873873008682</v>
      </c>
      <c r="AG283" s="19">
        <f t="shared" ca="1" si="108"/>
        <v>4.283803366732087E-2</v>
      </c>
      <c r="AH283" s="19">
        <f t="shared" ca="1" si="109"/>
        <v>83.671310809513031</v>
      </c>
      <c r="AI283" s="46">
        <f t="shared" ca="1" si="116"/>
        <v>7260.958651765789</v>
      </c>
      <c r="AJ283" s="55">
        <f t="shared" ca="1" si="117"/>
        <v>5.5730902243960874E-4</v>
      </c>
      <c r="AK283" s="19">
        <f t="shared" ca="1" si="118"/>
        <v>137.72286112066075</v>
      </c>
      <c r="AL283" s="19">
        <f t="shared" ca="1" si="110"/>
        <v>150</v>
      </c>
    </row>
    <row r="284" spans="2:38" x14ac:dyDescent="0.25">
      <c r="B284" s="19"/>
      <c r="C284" s="19"/>
      <c r="D284" s="19"/>
      <c r="E284" s="19"/>
      <c r="F284" s="19"/>
      <c r="G284" s="19"/>
      <c r="H284" s="43">
        <f t="shared" si="119"/>
        <v>52628</v>
      </c>
      <c r="I284" s="264">
        <v>0</v>
      </c>
      <c r="J284" s="64">
        <f t="shared" ca="1" si="111"/>
        <v>0</v>
      </c>
      <c r="K284" s="19">
        <f ca="1">SUMPRODUCT(V$7:V284,OFFSET($J$366,ROW($I$7)-ROW(),0):$J$366)</f>
        <v>0</v>
      </c>
      <c r="L284" s="19">
        <f ca="1">SUMPRODUCT(W$7:W284,OFFSET($J$366,ROW($I$7)-ROW(),0):$J$366)</f>
        <v>0</v>
      </c>
      <c r="M284" s="19">
        <f ca="1">SUMPRODUCT(X$7:X284,OFFSET($J$366,ROW($I$7)-ROW(),0):$J$366)</f>
        <v>0</v>
      </c>
      <c r="N284" s="19"/>
      <c r="O284" s="43">
        <f t="shared" si="112"/>
        <v>51898</v>
      </c>
      <c r="P284" s="24">
        <f t="shared" si="113"/>
        <v>8432</v>
      </c>
      <c r="Q284" s="19">
        <f t="shared" si="114"/>
        <v>2.9072236784198684</v>
      </c>
      <c r="R284" s="19">
        <f t="shared" si="97"/>
        <v>20.257489421862047</v>
      </c>
      <c r="S284" s="19">
        <f t="shared" si="98"/>
        <v>3.027611738317565E-3</v>
      </c>
      <c r="T284" s="19"/>
      <c r="U284" s="24">
        <f t="shared" si="120"/>
        <v>8429.1100000000315</v>
      </c>
      <c r="V284" s="19">
        <f t="shared" si="99"/>
        <v>12.168489430564783</v>
      </c>
      <c r="W284" s="19">
        <f t="shared" si="100"/>
        <v>42.354699680795754</v>
      </c>
      <c r="X284" s="19">
        <f t="shared" si="101"/>
        <v>6.0842447152823915</v>
      </c>
      <c r="Y284" s="27"/>
      <c r="Z284" s="42">
        <f t="shared" si="115"/>
        <v>52628</v>
      </c>
      <c r="AA284" s="19">
        <f t="shared" ca="1" si="102"/>
        <v>2.4606741214145775</v>
      </c>
      <c r="AB284" s="19">
        <f t="shared" ca="1" si="103"/>
        <v>17.899517653157304</v>
      </c>
      <c r="AC284" s="19">
        <f t="shared" ca="1" si="104"/>
        <v>1.3347256228593331E-3</v>
      </c>
      <c r="AD284" s="19">
        <f t="shared" ca="1" si="105"/>
        <v>2.6849276479735953</v>
      </c>
      <c r="AE284" s="115">
        <f t="shared" ca="1" si="106"/>
        <v>71.359549521022743</v>
      </c>
      <c r="AF284" s="19">
        <f t="shared" ca="1" si="107"/>
        <v>519.08601194156176</v>
      </c>
      <c r="AG284" s="19">
        <f t="shared" ca="1" si="108"/>
        <v>3.8707043062920658E-2</v>
      </c>
      <c r="AH284" s="19">
        <f t="shared" ca="1" si="109"/>
        <v>77.862901791234265</v>
      </c>
      <c r="AI284" s="46">
        <f t="shared" ca="1" si="116"/>
        <v>7274.2333076056966</v>
      </c>
      <c r="AJ284" s="55">
        <f t="shared" ca="1" si="117"/>
        <v>5.4212868668828047E-4</v>
      </c>
      <c r="AK284" s="19">
        <f t="shared" ca="1" si="118"/>
        <v>137.47153242313979</v>
      </c>
      <c r="AL284" s="19">
        <f t="shared" ca="1" si="110"/>
        <v>150</v>
      </c>
    </row>
    <row r="285" spans="2:38" x14ac:dyDescent="0.25">
      <c r="B285" s="19"/>
      <c r="C285" s="19"/>
      <c r="D285" s="19"/>
      <c r="E285" s="19"/>
      <c r="F285" s="19"/>
      <c r="G285" s="19"/>
      <c r="H285" s="43">
        <f t="shared" si="119"/>
        <v>52657</v>
      </c>
      <c r="I285" s="264">
        <v>0</v>
      </c>
      <c r="J285" s="64">
        <f t="shared" ca="1" si="111"/>
        <v>0</v>
      </c>
      <c r="K285" s="19">
        <f ca="1">SUMPRODUCT(V$7:V285,OFFSET($J$366,ROW($I$7)-ROW(),0):$J$366)</f>
        <v>0</v>
      </c>
      <c r="L285" s="19">
        <f ca="1">SUMPRODUCT(W$7:W285,OFFSET($J$366,ROW($I$7)-ROW(),0):$J$366)</f>
        <v>0</v>
      </c>
      <c r="M285" s="19">
        <f ca="1">SUMPRODUCT(X$7:X285,OFFSET($J$366,ROW($I$7)-ROW(),0):$J$366)</f>
        <v>0</v>
      </c>
      <c r="N285" s="19"/>
      <c r="O285" s="43">
        <f t="shared" si="112"/>
        <v>51926</v>
      </c>
      <c r="P285" s="24">
        <f t="shared" si="113"/>
        <v>8460</v>
      </c>
      <c r="Q285" s="19">
        <f t="shared" si="114"/>
        <v>2.8886872667749381</v>
      </c>
      <c r="R285" s="19">
        <f t="shared" si="97"/>
        <v>20.161562937426762</v>
      </c>
      <c r="S285" s="19">
        <f t="shared" si="98"/>
        <v>2.9337944291755414E-3</v>
      </c>
      <c r="T285" s="19"/>
      <c r="U285" s="24">
        <f t="shared" si="120"/>
        <v>8459.5400000000318</v>
      </c>
      <c r="V285" s="19">
        <f t="shared" si="99"/>
        <v>12.090903336706143</v>
      </c>
      <c r="W285" s="19">
        <f t="shared" si="100"/>
        <v>42.15413497333963</v>
      </c>
      <c r="X285" s="19">
        <f t="shared" si="101"/>
        <v>6.0454516683530715</v>
      </c>
      <c r="Y285" s="27"/>
      <c r="Z285" s="42">
        <f t="shared" si="115"/>
        <v>52657</v>
      </c>
      <c r="AA285" s="19">
        <f t="shared" ca="1" si="102"/>
        <v>2.4444264272809417</v>
      </c>
      <c r="AB285" s="19">
        <f t="shared" ca="1" si="103"/>
        <v>17.811737280397825</v>
      </c>
      <c r="AC285" s="19">
        <f t="shared" ca="1" si="104"/>
        <v>1.2920852375984222E-3</v>
      </c>
      <c r="AD285" s="19">
        <f t="shared" ca="1" si="105"/>
        <v>2.6717605920596736</v>
      </c>
      <c r="AE285" s="115">
        <f t="shared" ca="1" si="106"/>
        <v>75.77721924570919</v>
      </c>
      <c r="AF285" s="19">
        <f t="shared" ca="1" si="107"/>
        <v>552.16385569233262</v>
      </c>
      <c r="AG285" s="19">
        <f t="shared" ca="1" si="108"/>
        <v>4.0054642365551084E-2</v>
      </c>
      <c r="AH285" s="19">
        <f t="shared" ca="1" si="109"/>
        <v>82.824578353849887</v>
      </c>
      <c r="AI285" s="46">
        <f t="shared" ca="1" si="116"/>
        <v>7286.673504103258</v>
      </c>
      <c r="AJ285" s="55">
        <f t="shared" ca="1" si="117"/>
        <v>5.2830496681642439E-4</v>
      </c>
      <c r="AK285" s="19">
        <f t="shared" ca="1" si="118"/>
        <v>137.23683371251394</v>
      </c>
      <c r="AL285" s="19">
        <f t="shared" ca="1" si="110"/>
        <v>150</v>
      </c>
    </row>
    <row r="286" spans="2:38" x14ac:dyDescent="0.25">
      <c r="B286" s="19"/>
      <c r="C286" s="19"/>
      <c r="D286" s="19"/>
      <c r="E286" s="19"/>
      <c r="F286" s="19"/>
      <c r="G286" s="19"/>
      <c r="H286" s="43">
        <f t="shared" si="119"/>
        <v>52688</v>
      </c>
      <c r="I286" s="264">
        <v>0</v>
      </c>
      <c r="J286" s="64">
        <f t="shared" ca="1" si="111"/>
        <v>0</v>
      </c>
      <c r="K286" s="19">
        <f ca="1">SUMPRODUCT(V$7:V286,OFFSET($J$366,ROW($I$7)-ROW(),0):$J$366)</f>
        <v>0</v>
      </c>
      <c r="L286" s="19">
        <f ca="1">SUMPRODUCT(W$7:W286,OFFSET($J$366,ROW($I$7)-ROW(),0):$J$366)</f>
        <v>0</v>
      </c>
      <c r="M286" s="19">
        <f ca="1">SUMPRODUCT(X$7:X286,OFFSET($J$366,ROW($I$7)-ROW(),0):$J$366)</f>
        <v>0</v>
      </c>
      <c r="N286" s="19"/>
      <c r="O286" s="43">
        <f t="shared" si="112"/>
        <v>51957</v>
      </c>
      <c r="P286" s="24">
        <f t="shared" si="113"/>
        <v>8491</v>
      </c>
      <c r="Q286" s="19">
        <f t="shared" si="114"/>
        <v>2.8683026403039724</v>
      </c>
      <c r="R286" s="19">
        <f t="shared" si="97"/>
        <v>20.05588838316574</v>
      </c>
      <c r="S286" s="19">
        <f t="shared" si="98"/>
        <v>2.8333289007291948E-3</v>
      </c>
      <c r="T286" s="19"/>
      <c r="U286" s="24">
        <f t="shared" si="120"/>
        <v>8489.9700000000321</v>
      </c>
      <c r="V286" s="19">
        <f t="shared" si="99"/>
        <v>12.005581345970031</v>
      </c>
      <c r="W286" s="19">
        <f t="shared" si="100"/>
        <v>41.933188837497298</v>
      </c>
      <c r="X286" s="19">
        <f t="shared" si="101"/>
        <v>6.0027906729850153</v>
      </c>
      <c r="Y286" s="27"/>
      <c r="Z286" s="42">
        <f t="shared" si="115"/>
        <v>52688</v>
      </c>
      <c r="AA286" s="19">
        <f t="shared" ca="1" si="102"/>
        <v>2.4271768204339157</v>
      </c>
      <c r="AB286" s="19">
        <f t="shared" ca="1" si="103"/>
        <v>17.718379071832242</v>
      </c>
      <c r="AC286" s="19">
        <f t="shared" ca="1" si="104"/>
        <v>1.2480166838398999E-3</v>
      </c>
      <c r="AD286" s="19">
        <f t="shared" ca="1" si="105"/>
        <v>2.6577568607748363</v>
      </c>
      <c r="AE286" s="115">
        <f t="shared" ca="1" si="106"/>
        <v>72.815304613017474</v>
      </c>
      <c r="AF286" s="19">
        <f t="shared" ca="1" si="107"/>
        <v>531.55137215496723</v>
      </c>
      <c r="AG286" s="19">
        <f t="shared" ca="1" si="108"/>
        <v>3.7440500515196998E-2</v>
      </c>
      <c r="AH286" s="19">
        <f t="shared" ca="1" si="109"/>
        <v>79.732705823245084</v>
      </c>
      <c r="AI286" s="46">
        <f t="shared" ca="1" si="116"/>
        <v>7299.9951724426319</v>
      </c>
      <c r="AJ286" s="55">
        <f t="shared" ca="1" si="117"/>
        <v>5.1392024359343304E-4</v>
      </c>
      <c r="AK286" s="19">
        <f t="shared" ca="1" si="118"/>
        <v>136.98639196022822</v>
      </c>
      <c r="AL286" s="19">
        <f t="shared" ca="1" si="110"/>
        <v>150.00000000000003</v>
      </c>
    </row>
    <row r="287" spans="2:38" x14ac:dyDescent="0.25">
      <c r="B287" s="19"/>
      <c r="C287" s="19"/>
      <c r="D287" s="19"/>
      <c r="E287" s="19"/>
      <c r="F287" s="19"/>
      <c r="G287" s="19"/>
      <c r="H287" s="43">
        <f t="shared" si="119"/>
        <v>52718</v>
      </c>
      <c r="I287" s="264">
        <v>0</v>
      </c>
      <c r="J287" s="64">
        <f t="shared" ca="1" si="111"/>
        <v>0</v>
      </c>
      <c r="K287" s="19">
        <f ca="1">SUMPRODUCT(V$7:V287,OFFSET($J$366,ROW($I$7)-ROW(),0):$J$366)</f>
        <v>0</v>
      </c>
      <c r="L287" s="19">
        <f ca="1">SUMPRODUCT(W$7:W287,OFFSET($J$366,ROW($I$7)-ROW(),0):$J$366)</f>
        <v>0</v>
      </c>
      <c r="M287" s="19">
        <f ca="1">SUMPRODUCT(X$7:X287,OFFSET($J$366,ROW($I$7)-ROW(),0):$J$366)</f>
        <v>0</v>
      </c>
      <c r="N287" s="19"/>
      <c r="O287" s="43">
        <f t="shared" si="112"/>
        <v>51987</v>
      </c>
      <c r="P287" s="24">
        <f t="shared" si="113"/>
        <v>8521</v>
      </c>
      <c r="Q287" s="19">
        <f t="shared" si="114"/>
        <v>2.8487125556621455</v>
      </c>
      <c r="R287" s="19">
        <f t="shared" si="97"/>
        <v>19.954150083967587</v>
      </c>
      <c r="S287" s="19">
        <f t="shared" si="98"/>
        <v>2.7393969291570988E-3</v>
      </c>
      <c r="T287" s="19"/>
      <c r="U287" s="24">
        <f t="shared" si="120"/>
        <v>8520.4000000000324</v>
      </c>
      <c r="V287" s="19">
        <f t="shared" si="99"/>
        <v>11.923584993340739</v>
      </c>
      <c r="W287" s="19">
        <f t="shared" si="100"/>
        <v>41.720472689961156</v>
      </c>
      <c r="X287" s="19">
        <f t="shared" si="101"/>
        <v>5.9617924966703697</v>
      </c>
      <c r="Y287" s="27"/>
      <c r="Z287" s="42">
        <f t="shared" si="115"/>
        <v>52718</v>
      </c>
      <c r="AA287" s="19">
        <f t="shared" ca="1" si="102"/>
        <v>2.4105995601808132</v>
      </c>
      <c r="AB287" s="19">
        <f t="shared" ca="1" si="103"/>
        <v>17.628498348681163</v>
      </c>
      <c r="AC287" s="19">
        <f t="shared" ca="1" si="104"/>
        <v>1.2068082238398494E-3</v>
      </c>
      <c r="AD287" s="19">
        <f t="shared" ca="1" si="105"/>
        <v>2.6442747523021746</v>
      </c>
      <c r="AE287" s="115">
        <f t="shared" ca="1" si="106"/>
        <v>74.72858636560521</v>
      </c>
      <c r="AF287" s="19">
        <f t="shared" ca="1" si="107"/>
        <v>546.483448809116</v>
      </c>
      <c r="AG287" s="19">
        <f t="shared" ca="1" si="108"/>
        <v>3.7411054939035335E-2</v>
      </c>
      <c r="AH287" s="19">
        <f t="shared" ca="1" si="109"/>
        <v>81.972517321367405</v>
      </c>
      <c r="AI287" s="46">
        <f t="shared" ca="1" si="116"/>
        <v>7312.9102982823451</v>
      </c>
      <c r="AJ287" s="55">
        <f t="shared" ca="1" si="117"/>
        <v>5.0037525385511006E-4</v>
      </c>
      <c r="AK287" s="19">
        <f t="shared" ca="1" si="118"/>
        <v>136.74446413418741</v>
      </c>
      <c r="AL287" s="19">
        <f t="shared" ca="1" si="110"/>
        <v>150</v>
      </c>
    </row>
    <row r="288" spans="2:38" x14ac:dyDescent="0.25">
      <c r="B288" s="19"/>
      <c r="C288" s="19"/>
      <c r="D288" s="19"/>
      <c r="E288" s="19"/>
      <c r="F288" s="19"/>
      <c r="G288" s="19"/>
      <c r="H288" s="43">
        <f t="shared" si="119"/>
        <v>52749</v>
      </c>
      <c r="I288" s="264">
        <v>0</v>
      </c>
      <c r="J288" s="64">
        <f t="shared" ca="1" si="111"/>
        <v>0</v>
      </c>
      <c r="K288" s="19">
        <f ca="1">SUMPRODUCT(V$7:V288,OFFSET($J$366,ROW($I$7)-ROW(),0):$J$366)</f>
        <v>0</v>
      </c>
      <c r="L288" s="19">
        <f ca="1">SUMPRODUCT(W$7:W288,OFFSET($J$366,ROW($I$7)-ROW(),0):$J$366)</f>
        <v>0</v>
      </c>
      <c r="M288" s="19">
        <f ca="1">SUMPRODUCT(X$7:X288,OFFSET($J$366,ROW($I$7)-ROW(),0):$J$366)</f>
        <v>0</v>
      </c>
      <c r="N288" s="19"/>
      <c r="O288" s="43">
        <f t="shared" si="112"/>
        <v>52018</v>
      </c>
      <c r="P288" s="24">
        <f t="shared" si="113"/>
        <v>8552</v>
      </c>
      <c r="Q288" s="19">
        <f t="shared" si="114"/>
        <v>2.8286100191092176</v>
      </c>
      <c r="R288" s="19">
        <f t="shared" si="97"/>
        <v>19.84956266074424</v>
      </c>
      <c r="S288" s="19">
        <f t="shared" si="98"/>
        <v>2.6456199852714236E-3</v>
      </c>
      <c r="T288" s="19"/>
      <c r="U288" s="24">
        <f t="shared" si="120"/>
        <v>8550.8300000000327</v>
      </c>
      <c r="V288" s="19">
        <f t="shared" si="99"/>
        <v>11.839443719524199</v>
      </c>
      <c r="W288" s="19">
        <f t="shared" si="100"/>
        <v>41.501799545981505</v>
      </c>
      <c r="X288" s="19">
        <f t="shared" si="101"/>
        <v>5.9197218597620997</v>
      </c>
      <c r="Y288" s="27"/>
      <c r="Z288" s="42">
        <f t="shared" si="115"/>
        <v>52749</v>
      </c>
      <c r="AA288" s="19">
        <f t="shared" ca="1" si="102"/>
        <v>2.393588659703441</v>
      </c>
      <c r="AB288" s="19">
        <f t="shared" ca="1" si="103"/>
        <v>17.536100566273635</v>
      </c>
      <c r="AC288" s="19">
        <f t="shared" ca="1" si="104"/>
        <v>1.1656619795853947E-3</v>
      </c>
      <c r="AD288" s="19">
        <f t="shared" ca="1" si="105"/>
        <v>2.630415084941045</v>
      </c>
      <c r="AE288" s="115">
        <f t="shared" ca="1" si="106"/>
        <v>71.807659791103234</v>
      </c>
      <c r="AF288" s="19">
        <f t="shared" ca="1" si="107"/>
        <v>526.08301698820901</v>
      </c>
      <c r="AG288" s="19">
        <f t="shared" ca="1" si="108"/>
        <v>3.4969859387561843E-2</v>
      </c>
      <c r="AH288" s="19">
        <f t="shared" ca="1" si="109"/>
        <v>78.912452548231357</v>
      </c>
      <c r="AI288" s="46">
        <f t="shared" ca="1" si="116"/>
        <v>7326.2799333475732</v>
      </c>
      <c r="AJ288" s="55">
        <f t="shared" ca="1" si="117"/>
        <v>4.8675639460425772E-4</v>
      </c>
      <c r="AK288" s="19">
        <f t="shared" ca="1" si="118"/>
        <v>136.49492090088253</v>
      </c>
      <c r="AL288" s="19">
        <f t="shared" ca="1" si="110"/>
        <v>150</v>
      </c>
    </row>
    <row r="289" spans="2:38" x14ac:dyDescent="0.25">
      <c r="B289" s="19"/>
      <c r="C289" s="19"/>
      <c r="D289" s="19"/>
      <c r="E289" s="19"/>
      <c r="F289" s="19"/>
      <c r="G289" s="19"/>
      <c r="H289" s="43">
        <f t="shared" si="119"/>
        <v>52779</v>
      </c>
      <c r="I289" s="264">
        <v>0</v>
      </c>
      <c r="J289" s="64">
        <f t="shared" ca="1" si="111"/>
        <v>0</v>
      </c>
      <c r="K289" s="19">
        <f ca="1">SUMPRODUCT(V$7:V289,OFFSET($J$366,ROW($I$7)-ROW(),0):$J$366)</f>
        <v>0</v>
      </c>
      <c r="L289" s="19">
        <f ca="1">SUMPRODUCT(W$7:W289,OFFSET($J$366,ROW($I$7)-ROW(),0):$J$366)</f>
        <v>0</v>
      </c>
      <c r="M289" s="19">
        <f ca="1">SUMPRODUCT(X$7:X289,OFFSET($J$366,ROW($I$7)-ROW(),0):$J$366)</f>
        <v>0</v>
      </c>
      <c r="N289" s="19"/>
      <c r="O289" s="43">
        <f t="shared" si="112"/>
        <v>52048</v>
      </c>
      <c r="P289" s="24">
        <f t="shared" si="113"/>
        <v>8582</v>
      </c>
      <c r="Q289" s="19">
        <f t="shared" si="114"/>
        <v>2.8092910292249438</v>
      </c>
      <c r="R289" s="19">
        <f t="shared" si="97"/>
        <v>19.748870998208549</v>
      </c>
      <c r="S289" s="19">
        <f t="shared" si="98"/>
        <v>2.5579405854416455E-3</v>
      </c>
      <c r="T289" s="19"/>
      <c r="U289" s="24">
        <f t="shared" si="120"/>
        <v>8581.260000000033</v>
      </c>
      <c r="V289" s="19">
        <f t="shared" si="99"/>
        <v>11.758582062417807</v>
      </c>
      <c r="W289" s="19">
        <f t="shared" si="100"/>
        <v>41.291271723987101</v>
      </c>
      <c r="X289" s="19">
        <f t="shared" si="101"/>
        <v>5.8792910312089033</v>
      </c>
      <c r="Y289" s="27"/>
      <c r="Z289" s="42">
        <f t="shared" si="115"/>
        <v>52779</v>
      </c>
      <c r="AA289" s="19">
        <f t="shared" ca="1" si="102"/>
        <v>2.3772408016418738</v>
      </c>
      <c r="AB289" s="19">
        <f t="shared" ca="1" si="103"/>
        <v>17.447144494515783</v>
      </c>
      <c r="AC289" s="19">
        <f t="shared" ca="1" si="104"/>
        <v>1.127185717639569E-3</v>
      </c>
      <c r="AD289" s="19">
        <f t="shared" ca="1" si="105"/>
        <v>2.6170716741773674</v>
      </c>
      <c r="AE289" s="115">
        <f t="shared" ca="1" si="106"/>
        <v>73.694464850898086</v>
      </c>
      <c r="AF289" s="19">
        <f t="shared" ca="1" si="107"/>
        <v>540.86147932998927</v>
      </c>
      <c r="AG289" s="19">
        <f t="shared" ca="1" si="108"/>
        <v>3.494275724682664E-2</v>
      </c>
      <c r="AH289" s="19">
        <f t="shared" ca="1" si="109"/>
        <v>81.12922189949839</v>
      </c>
      <c r="AI289" s="46">
        <f t="shared" ca="1" si="116"/>
        <v>7339.2415620940355</v>
      </c>
      <c r="AJ289" s="55">
        <f t="shared" ca="1" si="117"/>
        <v>4.7393242914061474E-4</v>
      </c>
      <c r="AK289" s="19">
        <f t="shared" ca="1" si="118"/>
        <v>136.25386104809985</v>
      </c>
      <c r="AL289" s="19">
        <f t="shared" ca="1" si="110"/>
        <v>150</v>
      </c>
    </row>
    <row r="290" spans="2:38" x14ac:dyDescent="0.25">
      <c r="B290" s="19"/>
      <c r="C290" s="19"/>
      <c r="D290" s="19"/>
      <c r="E290" s="19"/>
      <c r="F290" s="19"/>
      <c r="G290" s="19"/>
      <c r="H290" s="43">
        <f t="shared" si="119"/>
        <v>52810</v>
      </c>
      <c r="I290" s="264">
        <v>0</v>
      </c>
      <c r="J290" s="64">
        <f t="shared" ca="1" si="111"/>
        <v>0</v>
      </c>
      <c r="K290" s="19">
        <f ca="1">SUMPRODUCT(V$7:V290,OFFSET($J$366,ROW($I$7)-ROW(),0):$J$366)</f>
        <v>0</v>
      </c>
      <c r="L290" s="19">
        <f ca="1">SUMPRODUCT(W$7:W290,OFFSET($J$366,ROW($I$7)-ROW(),0):$J$366)</f>
        <v>0</v>
      </c>
      <c r="M290" s="19">
        <f ca="1">SUMPRODUCT(X$7:X290,OFFSET($J$366,ROW($I$7)-ROW(),0):$J$366)</f>
        <v>0</v>
      </c>
      <c r="N290" s="19"/>
      <c r="O290" s="43">
        <f t="shared" si="112"/>
        <v>52079</v>
      </c>
      <c r="P290" s="24">
        <f t="shared" si="113"/>
        <v>8613</v>
      </c>
      <c r="Q290" s="19">
        <f t="shared" si="114"/>
        <v>2.7894666789265745</v>
      </c>
      <c r="R290" s="19">
        <f t="shared" si="97"/>
        <v>19.645359522120557</v>
      </c>
      <c r="S290" s="19">
        <f t="shared" si="98"/>
        <v>2.4704048610520472E-3</v>
      </c>
      <c r="T290" s="19"/>
      <c r="U290" s="24">
        <f t="shared" si="120"/>
        <v>8611.6900000000333</v>
      </c>
      <c r="V290" s="19">
        <f t="shared" si="99"/>
        <v>11.675605166328189</v>
      </c>
      <c r="W290" s="19">
        <f t="shared" si="100"/>
        <v>41.074848188379015</v>
      </c>
      <c r="X290" s="19">
        <f t="shared" si="101"/>
        <v>5.8378025831640947</v>
      </c>
      <c r="Y290" s="27"/>
      <c r="Z290" s="42">
        <f t="shared" si="115"/>
        <v>52810</v>
      </c>
      <c r="AA290" s="19">
        <f t="shared" ca="1" si="102"/>
        <v>2.3604653042280916</v>
      </c>
      <c r="AB290" s="19">
        <f t="shared" ca="1" si="103"/>
        <v>17.355697257845307</v>
      </c>
      <c r="AC290" s="19">
        <f t="shared" ca="1" si="104"/>
        <v>1.0887670968127302E-3</v>
      </c>
      <c r="AD290" s="19">
        <f t="shared" ca="1" si="105"/>
        <v>2.6033545886767961</v>
      </c>
      <c r="AE290" s="115">
        <f t="shared" ca="1" si="106"/>
        <v>73.174424431070847</v>
      </c>
      <c r="AF290" s="19">
        <f t="shared" ca="1" si="107"/>
        <v>538.02661499320448</v>
      </c>
      <c r="AG290" s="19">
        <f t="shared" ca="1" si="108"/>
        <v>3.3751780001194637E-2</v>
      </c>
      <c r="AH290" s="19">
        <f t="shared" ca="1" si="109"/>
        <v>80.703992248980683</v>
      </c>
      <c r="AI290" s="46">
        <f t="shared" ca="1" si="116"/>
        <v>7352.6593365967237</v>
      </c>
      <c r="AJ290" s="55">
        <f t="shared" ca="1" si="117"/>
        <v>4.6103839417993862E-4</v>
      </c>
      <c r="AK290" s="19">
        <f t="shared" ca="1" si="118"/>
        <v>136.00521311012668</v>
      </c>
      <c r="AL290" s="19">
        <f t="shared" ca="1" si="110"/>
        <v>150.00000000000003</v>
      </c>
    </row>
    <row r="291" spans="2:38" x14ac:dyDescent="0.25">
      <c r="B291" s="19"/>
      <c r="C291" s="19"/>
      <c r="D291" s="19"/>
      <c r="E291" s="19"/>
      <c r="F291" s="19"/>
      <c r="G291" s="19"/>
      <c r="H291" s="43">
        <f t="shared" si="119"/>
        <v>52841</v>
      </c>
      <c r="I291" s="264">
        <v>0</v>
      </c>
      <c r="J291" s="64">
        <f t="shared" ca="1" si="111"/>
        <v>0</v>
      </c>
      <c r="K291" s="19">
        <f ca="1">SUMPRODUCT(V$7:V291,OFFSET($J$366,ROW($I$7)-ROW(),0):$J$366)</f>
        <v>0</v>
      </c>
      <c r="L291" s="19">
        <f ca="1">SUMPRODUCT(W$7:W291,OFFSET($J$366,ROW($I$7)-ROW(),0):$J$366)</f>
        <v>0</v>
      </c>
      <c r="M291" s="19">
        <f ca="1">SUMPRODUCT(X$7:X291,OFFSET($J$366,ROW($I$7)-ROW(),0):$J$366)</f>
        <v>0</v>
      </c>
      <c r="N291" s="19"/>
      <c r="O291" s="43">
        <f t="shared" si="112"/>
        <v>52110</v>
      </c>
      <c r="P291" s="24">
        <f t="shared" si="113"/>
        <v>8644</v>
      </c>
      <c r="Q291" s="19">
        <f t="shared" si="114"/>
        <v>2.769782223306493</v>
      </c>
      <c r="R291" s="19">
        <f t="shared" si="97"/>
        <v>19.542390589739636</v>
      </c>
      <c r="S291" s="19">
        <f t="shared" si="98"/>
        <v>2.3858791731103603E-3</v>
      </c>
      <c r="T291" s="19"/>
      <c r="U291" s="24">
        <f t="shared" si="120"/>
        <v>8642.1200000000335</v>
      </c>
      <c r="V291" s="19">
        <f t="shared" si="99"/>
        <v>11.593213814077796</v>
      </c>
      <c r="W291" s="19">
        <f t="shared" si="100"/>
        <v>40.859559012281046</v>
      </c>
      <c r="X291" s="19">
        <f t="shared" si="101"/>
        <v>5.7966069070388979</v>
      </c>
      <c r="Y291" s="27"/>
      <c r="Z291" s="42">
        <f t="shared" si="115"/>
        <v>52841</v>
      </c>
      <c r="AA291" s="19">
        <f t="shared" ca="1" si="102"/>
        <v>2.3438081866239133</v>
      </c>
      <c r="AB291" s="19">
        <f t="shared" ca="1" si="103"/>
        <v>17.264729331534031</v>
      </c>
      <c r="AC291" s="19">
        <f t="shared" ca="1" si="104"/>
        <v>1.0516642457750554E-3</v>
      </c>
      <c r="AD291" s="19">
        <f t="shared" ca="1" si="105"/>
        <v>2.5897093997301051</v>
      </c>
      <c r="AE291" s="115">
        <f t="shared" ca="1" si="106"/>
        <v>70.314245598717406</v>
      </c>
      <c r="AF291" s="19">
        <f t="shared" ca="1" si="107"/>
        <v>517.94187994602089</v>
      </c>
      <c r="AG291" s="19">
        <f t="shared" ca="1" si="108"/>
        <v>3.1549927373251664E-2</v>
      </c>
      <c r="AH291" s="19">
        <f t="shared" ca="1" si="109"/>
        <v>77.691281991903153</v>
      </c>
      <c r="AI291" s="46">
        <f t="shared" ca="1" si="116"/>
        <v>7366.1016417911851</v>
      </c>
      <c r="AJ291" s="55">
        <f t="shared" ca="1" si="117"/>
        <v>4.4849769822490765E-4</v>
      </c>
      <c r="AK291" s="19">
        <f t="shared" ca="1" si="118"/>
        <v>135.75701892661286</v>
      </c>
      <c r="AL291" s="19">
        <f t="shared" ca="1" si="110"/>
        <v>150.00000000000003</v>
      </c>
    </row>
    <row r="292" spans="2:38" x14ac:dyDescent="0.25">
      <c r="B292" s="19"/>
      <c r="C292" s="19"/>
      <c r="D292" s="19"/>
      <c r="E292" s="19"/>
      <c r="F292" s="19"/>
      <c r="G292" s="19"/>
      <c r="H292" s="43">
        <f t="shared" si="119"/>
        <v>52871</v>
      </c>
      <c r="I292" s="264">
        <v>0</v>
      </c>
      <c r="J292" s="64">
        <f t="shared" ca="1" si="111"/>
        <v>0</v>
      </c>
      <c r="K292" s="19">
        <f ca="1">SUMPRODUCT(V$7:V292,OFFSET($J$366,ROW($I$7)-ROW(),0):$J$366)</f>
        <v>0</v>
      </c>
      <c r="L292" s="19">
        <f ca="1">SUMPRODUCT(W$7:W292,OFFSET($J$366,ROW($I$7)-ROW(),0):$J$366)</f>
        <v>0</v>
      </c>
      <c r="M292" s="19">
        <f ca="1">SUMPRODUCT(X$7:X292,OFFSET($J$366,ROW($I$7)-ROW(),0):$J$366)</f>
        <v>0</v>
      </c>
      <c r="N292" s="19"/>
      <c r="O292" s="43">
        <f t="shared" si="112"/>
        <v>52140</v>
      </c>
      <c r="P292" s="24">
        <f t="shared" si="113"/>
        <v>8674</v>
      </c>
      <c r="Q292" s="19">
        <f t="shared" si="114"/>
        <v>2.7508650186044639</v>
      </c>
      <c r="R292" s="19">
        <f t="shared" si="97"/>
        <v>19.443257131132295</v>
      </c>
      <c r="S292" s="19">
        <f t="shared" si="98"/>
        <v>2.3068480898817251E-3</v>
      </c>
      <c r="T292" s="19"/>
      <c r="U292" s="24">
        <f t="shared" si="120"/>
        <v>8672.5500000000338</v>
      </c>
      <c r="V292" s="19">
        <f t="shared" si="99"/>
        <v>11.51403387096534</v>
      </c>
      <c r="W292" s="19">
        <f t="shared" si="100"/>
        <v>40.652289109274143</v>
      </c>
      <c r="X292" s="19">
        <f t="shared" si="101"/>
        <v>5.7570169354826701</v>
      </c>
      <c r="Y292" s="27"/>
      <c r="Z292" s="42">
        <f t="shared" si="115"/>
        <v>52871</v>
      </c>
      <c r="AA292" s="19">
        <f t="shared" ca="1" si="102"/>
        <v>2.3278003218627168</v>
      </c>
      <c r="AB292" s="19">
        <f t="shared" ca="1" si="103"/>
        <v>17.17714985538472</v>
      </c>
      <c r="AC292" s="19">
        <f t="shared" ca="1" si="104"/>
        <v>1.0169683887116417E-3</v>
      </c>
      <c r="AD292" s="19">
        <f t="shared" ca="1" si="105"/>
        <v>2.5765724783077082</v>
      </c>
      <c r="AE292" s="115">
        <f t="shared" ca="1" si="106"/>
        <v>72.161809977744227</v>
      </c>
      <c r="AF292" s="19">
        <f t="shared" ca="1" si="107"/>
        <v>532.49164551692627</v>
      </c>
      <c r="AG292" s="19">
        <f t="shared" ca="1" si="108"/>
        <v>3.1526020050060895E-2</v>
      </c>
      <c r="AH292" s="19">
        <f t="shared" ca="1" si="109"/>
        <v>79.873746827538952</v>
      </c>
      <c r="AI292" s="46">
        <f t="shared" ca="1" si="116"/>
        <v>7379.1337229644687</v>
      </c>
      <c r="AJ292" s="55">
        <f t="shared" ca="1" si="117"/>
        <v>4.3668878317278624E-4</v>
      </c>
      <c r="AK292" s="19">
        <f t="shared" ca="1" si="118"/>
        <v>135.51726226181782</v>
      </c>
      <c r="AL292" s="19">
        <f t="shared" ca="1" si="110"/>
        <v>150.00000000000003</v>
      </c>
    </row>
    <row r="293" spans="2:38" x14ac:dyDescent="0.25">
      <c r="B293" s="19"/>
      <c r="C293" s="19"/>
      <c r="D293" s="19"/>
      <c r="E293" s="19"/>
      <c r="F293" s="19"/>
      <c r="G293" s="19"/>
      <c r="H293" s="43">
        <f t="shared" si="119"/>
        <v>52902</v>
      </c>
      <c r="I293" s="264">
        <v>0</v>
      </c>
      <c r="J293" s="64">
        <f t="shared" ca="1" si="111"/>
        <v>0</v>
      </c>
      <c r="K293" s="19">
        <f ca="1">SUMPRODUCT(V$7:V293,OFFSET($J$366,ROW($I$7)-ROW(),0):$J$366)</f>
        <v>0</v>
      </c>
      <c r="L293" s="19">
        <f ca="1">SUMPRODUCT(W$7:W293,OFFSET($J$366,ROW($I$7)-ROW(),0):$J$366)</f>
        <v>0</v>
      </c>
      <c r="M293" s="19">
        <f ca="1">SUMPRODUCT(X$7:X293,OFFSET($J$366,ROW($I$7)-ROW(),0):$J$366)</f>
        <v>0</v>
      </c>
      <c r="N293" s="19"/>
      <c r="O293" s="43">
        <f t="shared" si="112"/>
        <v>52171</v>
      </c>
      <c r="P293" s="24">
        <f t="shared" si="113"/>
        <v>8705</v>
      </c>
      <c r="Q293" s="19">
        <f t="shared" si="114"/>
        <v>2.7314529636820555</v>
      </c>
      <c r="R293" s="19">
        <f t="shared" si="97"/>
        <v>19.34134749559999</v>
      </c>
      <c r="S293" s="19">
        <f t="shared" si="98"/>
        <v>2.2279451076694856E-3</v>
      </c>
      <c r="T293" s="19"/>
      <c r="U293" s="24">
        <f t="shared" si="120"/>
        <v>8702.9800000000341</v>
      </c>
      <c r="V293" s="19">
        <f t="shared" si="99"/>
        <v>11.432782680387097</v>
      </c>
      <c r="W293" s="19">
        <f t="shared" si="100"/>
        <v>40.439214728848114</v>
      </c>
      <c r="X293" s="19">
        <f t="shared" si="101"/>
        <v>5.7163913401935487</v>
      </c>
      <c r="Y293" s="27"/>
      <c r="Z293" s="42">
        <f t="shared" si="115"/>
        <v>52902</v>
      </c>
      <c r="AA293" s="19">
        <f t="shared" ca="1" si="102"/>
        <v>2.3113737115453108</v>
      </c>
      <c r="AB293" s="19">
        <f t="shared" ca="1" si="103"/>
        <v>17.08711776511096</v>
      </c>
      <c r="AC293" s="19">
        <f t="shared" ca="1" si="104"/>
        <v>9.8232389840358721E-4</v>
      </c>
      <c r="AD293" s="19">
        <f t="shared" ca="1" si="105"/>
        <v>2.5630676647666437</v>
      </c>
      <c r="AE293" s="115">
        <f t="shared" ca="1" si="106"/>
        <v>69.34121134635933</v>
      </c>
      <c r="AF293" s="19">
        <f t="shared" ca="1" si="107"/>
        <v>512.61353295332879</v>
      </c>
      <c r="AG293" s="19">
        <f t="shared" ca="1" si="108"/>
        <v>2.9469716952107615E-2</v>
      </c>
      <c r="AH293" s="19">
        <f t="shared" ca="1" si="109"/>
        <v>76.892029942999315</v>
      </c>
      <c r="AI293" s="46">
        <f t="shared" ca="1" si="116"/>
        <v>7392.6244292564243</v>
      </c>
      <c r="AJ293" s="55">
        <f t="shared" ca="1" si="117"/>
        <v>4.2481515966683324E-4</v>
      </c>
      <c r="AK293" s="19">
        <f t="shared" ca="1" si="118"/>
        <v>135.26995853360069</v>
      </c>
      <c r="AL293" s="19">
        <f t="shared" ca="1" si="110"/>
        <v>150</v>
      </c>
    </row>
    <row r="294" spans="2:38" x14ac:dyDescent="0.25">
      <c r="B294" s="19"/>
      <c r="C294" s="19"/>
      <c r="D294" s="19"/>
      <c r="E294" s="19"/>
      <c r="F294" s="19"/>
      <c r="G294" s="19"/>
      <c r="H294" s="44">
        <f t="shared" si="119"/>
        <v>52932</v>
      </c>
      <c r="I294" s="265">
        <v>0</v>
      </c>
      <c r="J294" s="65">
        <f t="shared" ca="1" si="111"/>
        <v>0</v>
      </c>
      <c r="K294" s="21">
        <f ca="1">SUMPRODUCT(V$7:V294,OFFSET($J$366,ROW($I$7)-ROW(),0):$J$366)</f>
        <v>0</v>
      </c>
      <c r="L294" s="21">
        <f ca="1">SUMPRODUCT(W$7:W294,OFFSET($J$366,ROW($I$7)-ROW(),0):$J$366)</f>
        <v>0</v>
      </c>
      <c r="M294" s="21">
        <f ca="1">SUMPRODUCT(X$7:X294,OFFSET($J$366,ROW($I$7)-ROW(),0):$J$366)</f>
        <v>0</v>
      </c>
      <c r="N294" s="19"/>
      <c r="O294" s="44">
        <f t="shared" si="112"/>
        <v>52201</v>
      </c>
      <c r="P294" s="25">
        <f t="shared" si="113"/>
        <v>8735</v>
      </c>
      <c r="Q294" s="21">
        <f t="shared" si="114"/>
        <v>2.7127975421788246</v>
      </c>
      <c r="R294" s="21">
        <f t="shared" si="97"/>
        <v>19.243233876257431</v>
      </c>
      <c r="S294" s="21">
        <f t="shared" si="98"/>
        <v>2.1541703557523399E-3</v>
      </c>
      <c r="T294" s="19"/>
      <c r="U294" s="25">
        <f t="shared" si="120"/>
        <v>8733.4100000000344</v>
      </c>
      <c r="V294" s="21">
        <f t="shared" si="99"/>
        <v>11.354698458292368</v>
      </c>
      <c r="W294" s="21">
        <f t="shared" si="100"/>
        <v>40.23407712293308</v>
      </c>
      <c r="X294" s="21">
        <f t="shared" si="101"/>
        <v>5.6773492291461842</v>
      </c>
      <c r="Y294" s="27"/>
      <c r="Z294" s="48">
        <f t="shared" si="115"/>
        <v>52932</v>
      </c>
      <c r="AA294" s="21">
        <f t="shared" ca="1" si="102"/>
        <v>2.2955873694725413</v>
      </c>
      <c r="AB294" s="21">
        <f t="shared" ca="1" si="103"/>
        <v>17.000439266187918</v>
      </c>
      <c r="AC294" s="21">
        <f t="shared" ca="1" si="104"/>
        <v>9.4992654069752118E-4</v>
      </c>
      <c r="AD294" s="21">
        <f t="shared" ca="1" si="105"/>
        <v>2.5500658899281876</v>
      </c>
      <c r="AE294" s="116">
        <f t="shared" ca="1" si="106"/>
        <v>71.163208453648778</v>
      </c>
      <c r="AF294" s="21">
        <f t="shared" ca="1" si="107"/>
        <v>527.01361725182551</v>
      </c>
      <c r="AG294" s="21">
        <f t="shared" ca="1" si="108"/>
        <v>2.9447722761623156E-2</v>
      </c>
      <c r="AH294" s="21">
        <f t="shared" ca="1" si="109"/>
        <v>79.052042587773812</v>
      </c>
      <c r="AI294" s="47">
        <f t="shared" ca="1" si="116"/>
        <v>7405.7034344522126</v>
      </c>
      <c r="AJ294" s="57">
        <f t="shared" ca="1" si="117"/>
        <v>4.1363427554456982E-4</v>
      </c>
      <c r="AK294" s="21">
        <f t="shared" ca="1" si="118"/>
        <v>135.03106205250958</v>
      </c>
      <c r="AL294" s="21">
        <f t="shared" ca="1" si="110"/>
        <v>149.99999999999997</v>
      </c>
    </row>
    <row r="295" spans="2:38" x14ac:dyDescent="0.25">
      <c r="B295" s="19"/>
      <c r="C295" s="19"/>
      <c r="D295" s="19"/>
      <c r="E295" s="19"/>
      <c r="F295" s="19"/>
      <c r="G295" s="19"/>
      <c r="H295" s="43">
        <f t="shared" si="119"/>
        <v>52963</v>
      </c>
      <c r="I295" s="264">
        <v>0</v>
      </c>
      <c r="J295" s="64">
        <f t="shared" ca="1" si="111"/>
        <v>0</v>
      </c>
      <c r="K295" s="19">
        <f ca="1">SUMPRODUCT(V$7:V295,OFFSET($J$366,ROW($I$7)-ROW(),0):$J$366)</f>
        <v>0</v>
      </c>
      <c r="L295" s="19">
        <f ca="1">SUMPRODUCT(W$7:W295,OFFSET($J$366,ROW($I$7)-ROW(),0):$J$366)</f>
        <v>0</v>
      </c>
      <c r="M295" s="19">
        <f ca="1">SUMPRODUCT(X$7:X295,OFFSET($J$366,ROW($I$7)-ROW(),0):$J$366)</f>
        <v>0</v>
      </c>
      <c r="N295" s="19"/>
      <c r="O295" s="43">
        <f t="shared" si="112"/>
        <v>52232</v>
      </c>
      <c r="P295" s="24">
        <f t="shared" si="113"/>
        <v>8766</v>
      </c>
      <c r="Q295" s="19">
        <f t="shared" si="114"/>
        <v>2.6936541183735865</v>
      </c>
      <c r="R295" s="19">
        <f t="shared" si="97"/>
        <v>19.14237264001671</v>
      </c>
      <c r="S295" s="19">
        <f t="shared" si="98"/>
        <v>2.0805143173104387E-3</v>
      </c>
      <c r="T295" s="19"/>
      <c r="U295" s="24">
        <f t="shared" si="120"/>
        <v>8763.8400000000347</v>
      </c>
      <c r="V295" s="19">
        <f t="shared" si="99"/>
        <v>11.274571651411968</v>
      </c>
      <c r="W295" s="19">
        <f t="shared" si="100"/>
        <v>40.023194753383407</v>
      </c>
      <c r="X295" s="19">
        <f t="shared" si="101"/>
        <v>5.6372858257059839</v>
      </c>
      <c r="Y295" s="27"/>
      <c r="Z295" s="42">
        <f t="shared" si="115"/>
        <v>52963</v>
      </c>
      <c r="AA295" s="19">
        <f t="shared" ca="1" si="102"/>
        <v>2.2793880765977508</v>
      </c>
      <c r="AB295" s="19">
        <f t="shared" ca="1" si="103"/>
        <v>16.911333384502473</v>
      </c>
      <c r="AC295" s="19">
        <f t="shared" ca="1" si="104"/>
        <v>9.1757676891273895E-4</v>
      </c>
      <c r="AD295" s="19">
        <f t="shared" ca="1" si="105"/>
        <v>2.5367000076753707</v>
      </c>
      <c r="AE295" s="115">
        <f t="shared" ca="1" si="106"/>
        <v>70.66103037453027</v>
      </c>
      <c r="AF295" s="19">
        <f t="shared" ca="1" si="107"/>
        <v>524.25133491957672</v>
      </c>
      <c r="AG295" s="19">
        <f t="shared" ca="1" si="108"/>
        <v>2.8444879836294908E-2</v>
      </c>
      <c r="AH295" s="19">
        <f t="shared" ca="1" si="109"/>
        <v>78.6377002379365</v>
      </c>
      <c r="AI295" s="46">
        <f t="shared" ca="1" si="116"/>
        <v>7419.2427161172955</v>
      </c>
      <c r="AJ295" s="55">
        <f t="shared" ca="1" si="117"/>
        <v>4.0239200721097211E-4</v>
      </c>
      <c r="AK295" s="19">
        <f t="shared" ca="1" si="118"/>
        <v>134.78464558487025</v>
      </c>
      <c r="AL295" s="19">
        <f t="shared" ca="1" si="110"/>
        <v>149.99999999999997</v>
      </c>
    </row>
    <row r="296" spans="2:38" x14ac:dyDescent="0.25">
      <c r="B296" s="19"/>
      <c r="C296" s="19"/>
      <c r="D296" s="19"/>
      <c r="E296" s="19"/>
      <c r="F296" s="19"/>
      <c r="G296" s="19"/>
      <c r="H296" s="43">
        <f t="shared" si="119"/>
        <v>52994</v>
      </c>
      <c r="I296" s="264">
        <v>0</v>
      </c>
      <c r="J296" s="64">
        <f t="shared" ca="1" si="111"/>
        <v>0</v>
      </c>
      <c r="K296" s="19">
        <f ca="1">SUMPRODUCT(V$7:V296,OFFSET($J$366,ROW($I$7)-ROW(),0):$J$366)</f>
        <v>0</v>
      </c>
      <c r="L296" s="19">
        <f ca="1">SUMPRODUCT(W$7:W296,OFFSET($J$366,ROW($I$7)-ROW(),0):$J$366)</f>
        <v>0</v>
      </c>
      <c r="M296" s="19">
        <f ca="1">SUMPRODUCT(X$7:X296,OFFSET($J$366,ROW($I$7)-ROW(),0):$J$366)</f>
        <v>0</v>
      </c>
      <c r="N296" s="19"/>
      <c r="O296" s="43">
        <f t="shared" si="112"/>
        <v>52263</v>
      </c>
      <c r="P296" s="24">
        <f t="shared" si="113"/>
        <v>8797</v>
      </c>
      <c r="Q296" s="19">
        <f t="shared" si="114"/>
        <v>2.674645784146279</v>
      </c>
      <c r="R296" s="19">
        <f t="shared" si="97"/>
        <v>19.042040056550324</v>
      </c>
      <c r="S296" s="19">
        <f t="shared" si="98"/>
        <v>2.0093889066914688E-3</v>
      </c>
      <c r="T296" s="19"/>
      <c r="U296" s="24">
        <f t="shared" si="120"/>
        <v>8794.270000000035</v>
      </c>
      <c r="V296" s="19">
        <f t="shared" si="99"/>
        <v>11.195010276119598</v>
      </c>
      <c r="W296" s="19">
        <f t="shared" si="100"/>
        <v>39.813417699948005</v>
      </c>
      <c r="X296" s="19">
        <f t="shared" si="101"/>
        <v>5.5975051380597991</v>
      </c>
      <c r="Y296" s="27"/>
      <c r="Z296" s="42">
        <f t="shared" si="115"/>
        <v>52994</v>
      </c>
      <c r="AA296" s="19">
        <f t="shared" ca="1" si="102"/>
        <v>2.2633030974246013</v>
      </c>
      <c r="AB296" s="19">
        <f t="shared" ca="1" si="103"/>
        <v>16.822694541228607</v>
      </c>
      <c r="AC296" s="19">
        <f t="shared" ca="1" si="104"/>
        <v>8.863339887405083E-4</v>
      </c>
      <c r="AD296" s="19">
        <f t="shared" ca="1" si="105"/>
        <v>2.5234041811842909</v>
      </c>
      <c r="AE296" s="115">
        <f t="shared" ca="1" si="106"/>
        <v>63.372486727888841</v>
      </c>
      <c r="AF296" s="19">
        <f t="shared" ca="1" si="107"/>
        <v>471.03544715440103</v>
      </c>
      <c r="AG296" s="19">
        <f t="shared" ca="1" si="108"/>
        <v>2.4817351684734233E-2</v>
      </c>
      <c r="AH296" s="19">
        <f t="shared" ca="1" si="109"/>
        <v>70.655317073160148</v>
      </c>
      <c r="AI296" s="46">
        <f t="shared" ca="1" si="116"/>
        <v>7432.8067506164098</v>
      </c>
      <c r="AJ296" s="55">
        <f t="shared" ca="1" si="117"/>
        <v>3.914575240231755E-4</v>
      </c>
      <c r="AK296" s="19">
        <f t="shared" ca="1" si="118"/>
        <v>134.53867879950855</v>
      </c>
      <c r="AL296" s="19">
        <f t="shared" ca="1" si="110"/>
        <v>149.99999999999997</v>
      </c>
    </row>
    <row r="297" spans="2:38" x14ac:dyDescent="0.25">
      <c r="B297" s="19"/>
      <c r="C297" s="19"/>
      <c r="D297" s="19"/>
      <c r="E297" s="19"/>
      <c r="F297" s="19"/>
      <c r="G297" s="19"/>
      <c r="H297" s="43">
        <f t="shared" si="119"/>
        <v>53022</v>
      </c>
      <c r="I297" s="264">
        <v>0</v>
      </c>
      <c r="J297" s="64">
        <f t="shared" ca="1" si="111"/>
        <v>0</v>
      </c>
      <c r="K297" s="19">
        <f ca="1">SUMPRODUCT(V$7:V297,OFFSET($J$366,ROW($I$7)-ROW(),0):$J$366)</f>
        <v>0</v>
      </c>
      <c r="L297" s="19">
        <f ca="1">SUMPRODUCT(W$7:W297,OFFSET($J$366,ROW($I$7)-ROW(),0):$J$366)</f>
        <v>0</v>
      </c>
      <c r="M297" s="19">
        <f ca="1">SUMPRODUCT(X$7:X297,OFFSET($J$366,ROW($I$7)-ROW(),0):$J$366)</f>
        <v>0</v>
      </c>
      <c r="N297" s="19"/>
      <c r="O297" s="43">
        <f t="shared" si="112"/>
        <v>52291</v>
      </c>
      <c r="P297" s="24">
        <f t="shared" si="113"/>
        <v>8825</v>
      </c>
      <c r="Q297" s="19">
        <f t="shared" si="114"/>
        <v>2.6575922854329432</v>
      </c>
      <c r="R297" s="19">
        <f t="shared" si="97"/>
        <v>18.951869161181151</v>
      </c>
      <c r="S297" s="19">
        <f t="shared" si="98"/>
        <v>1.9472489991177752E-3</v>
      </c>
      <c r="T297" s="19"/>
      <c r="U297" s="24">
        <f t="shared" si="120"/>
        <v>8824.7000000000353</v>
      </c>
      <c r="V297" s="19">
        <f t="shared" si="99"/>
        <v>11.123631069769655</v>
      </c>
      <c r="W297" s="19">
        <f t="shared" si="100"/>
        <v>39.624886874939257</v>
      </c>
      <c r="X297" s="19">
        <f t="shared" si="101"/>
        <v>5.5618155348848273</v>
      </c>
      <c r="Y297" s="27"/>
      <c r="Z297" s="42">
        <f t="shared" si="115"/>
        <v>53022</v>
      </c>
      <c r="AA297" s="19">
        <f t="shared" ca="1" si="102"/>
        <v>2.2488723130984667</v>
      </c>
      <c r="AB297" s="19">
        <f t="shared" ca="1" si="103"/>
        <v>16.743033043573956</v>
      </c>
      <c r="AC297" s="19">
        <f t="shared" ca="1" si="104"/>
        <v>8.590344993760808E-4</v>
      </c>
      <c r="AD297" s="19">
        <f t="shared" ca="1" si="105"/>
        <v>2.5114549565360931</v>
      </c>
      <c r="AE297" s="115">
        <f t="shared" ca="1" si="106"/>
        <v>69.71504170605246</v>
      </c>
      <c r="AF297" s="19">
        <f t="shared" ca="1" si="107"/>
        <v>519.03402435079261</v>
      </c>
      <c r="AG297" s="19">
        <f t="shared" ca="1" si="108"/>
        <v>2.6630069480658505E-2</v>
      </c>
      <c r="AH297" s="19">
        <f t="shared" ca="1" si="109"/>
        <v>77.85510365261888</v>
      </c>
      <c r="AI297" s="46">
        <f t="shared" ca="1" si="116"/>
        <v>7445.0794498446312</v>
      </c>
      <c r="AJ297" s="55">
        <f t="shared" ca="1" si="117"/>
        <v>3.818387027825867E-4</v>
      </c>
      <c r="AK297" s="19">
        <f t="shared" ca="1" si="118"/>
        <v>134.3169010803328</v>
      </c>
      <c r="AL297" s="19">
        <f t="shared" ca="1" si="110"/>
        <v>149.99999999999997</v>
      </c>
    </row>
    <row r="298" spans="2:38" x14ac:dyDescent="0.25">
      <c r="B298" s="19"/>
      <c r="C298" s="19"/>
      <c r="D298" s="19"/>
      <c r="E298" s="19"/>
      <c r="F298" s="19"/>
      <c r="G298" s="19"/>
      <c r="H298" s="43">
        <f t="shared" si="119"/>
        <v>53053</v>
      </c>
      <c r="I298" s="264">
        <v>0</v>
      </c>
      <c r="J298" s="64">
        <f t="shared" ca="1" si="111"/>
        <v>0</v>
      </c>
      <c r="K298" s="19">
        <f ca="1">SUMPRODUCT(V$7:V298,OFFSET($J$366,ROW($I$7)-ROW(),0):$J$366)</f>
        <v>0</v>
      </c>
      <c r="L298" s="19">
        <f ca="1">SUMPRODUCT(W$7:W298,OFFSET($J$366,ROW($I$7)-ROW(),0):$J$366)</f>
        <v>0</v>
      </c>
      <c r="M298" s="19">
        <f ca="1">SUMPRODUCT(X$7:X298,OFFSET($J$366,ROW($I$7)-ROW(),0):$J$366)</f>
        <v>0</v>
      </c>
      <c r="N298" s="19"/>
      <c r="O298" s="43">
        <f t="shared" si="112"/>
        <v>52322</v>
      </c>
      <c r="P298" s="24">
        <f t="shared" si="113"/>
        <v>8856</v>
      </c>
      <c r="Q298" s="19">
        <f t="shared" si="114"/>
        <v>2.6388384290796552</v>
      </c>
      <c r="R298" s="19">
        <f t="shared" si="97"/>
        <v>18.852535080175794</v>
      </c>
      <c r="S298" s="19">
        <f t="shared" si="98"/>
        <v>1.8807011047606475E-3</v>
      </c>
      <c r="T298" s="19"/>
      <c r="U298" s="24">
        <f t="shared" si="120"/>
        <v>8855.1300000000356</v>
      </c>
      <c r="V298" s="19">
        <f t="shared" si="99"/>
        <v>11.045134838292425</v>
      </c>
      <c r="W298" s="19">
        <f t="shared" si="100"/>
        <v>39.417197507247451</v>
      </c>
      <c r="X298" s="19">
        <f t="shared" si="101"/>
        <v>5.5225674191462124</v>
      </c>
      <c r="Y298" s="27"/>
      <c r="Z298" s="42">
        <f t="shared" si="115"/>
        <v>53053</v>
      </c>
      <c r="AA298" s="19">
        <f t="shared" ca="1" si="102"/>
        <v>2.2330026747992022</v>
      </c>
      <c r="AB298" s="19">
        <f t="shared" ca="1" si="103"/>
        <v>16.655276327522305</v>
      </c>
      <c r="AC298" s="19">
        <f t="shared" ca="1" si="104"/>
        <v>8.2979451156030791E-4</v>
      </c>
      <c r="AD298" s="19">
        <f t="shared" ca="1" si="105"/>
        <v>2.4982914491283457</v>
      </c>
      <c r="AE298" s="115">
        <f t="shared" ca="1" si="106"/>
        <v>66.990080243976067</v>
      </c>
      <c r="AF298" s="19">
        <f t="shared" ca="1" si="107"/>
        <v>499.65828982566916</v>
      </c>
      <c r="AG298" s="19">
        <f t="shared" ca="1" si="108"/>
        <v>2.4893835346809237E-2</v>
      </c>
      <c r="AH298" s="19">
        <f t="shared" ca="1" si="109"/>
        <v>74.948743473850371</v>
      </c>
      <c r="AI298" s="46">
        <f t="shared" ca="1" si="116"/>
        <v>7458.6907196696457</v>
      </c>
      <c r="AJ298" s="55">
        <f t="shared" ca="1" si="117"/>
        <v>3.7146676080697161E-4</v>
      </c>
      <c r="AK298" s="19">
        <f t="shared" ca="1" si="118"/>
        <v>134.07178787596803</v>
      </c>
      <c r="AL298" s="19">
        <f t="shared" ca="1" si="110"/>
        <v>150</v>
      </c>
    </row>
    <row r="299" spans="2:38" x14ac:dyDescent="0.25">
      <c r="B299" s="19"/>
      <c r="C299" s="19"/>
      <c r="D299" s="19"/>
      <c r="E299" s="19"/>
      <c r="F299" s="19"/>
      <c r="G299" s="19"/>
      <c r="H299" s="43">
        <f t="shared" si="119"/>
        <v>53083</v>
      </c>
      <c r="I299" s="264">
        <v>0</v>
      </c>
      <c r="J299" s="64">
        <f t="shared" ca="1" si="111"/>
        <v>0</v>
      </c>
      <c r="K299" s="19">
        <f ca="1">SUMPRODUCT(V$7:V299,OFFSET($J$366,ROW($I$7)-ROW(),0):$J$366)</f>
        <v>0</v>
      </c>
      <c r="L299" s="19">
        <f ca="1">SUMPRODUCT(W$7:W299,OFFSET($J$366,ROW($I$7)-ROW(),0):$J$366)</f>
        <v>0</v>
      </c>
      <c r="M299" s="19">
        <f ca="1">SUMPRODUCT(X$7:X299,OFFSET($J$366,ROW($I$7)-ROW(),0):$J$366)</f>
        <v>0</v>
      </c>
      <c r="N299" s="19"/>
      <c r="O299" s="43">
        <f t="shared" si="112"/>
        <v>52352</v>
      </c>
      <c r="P299" s="24">
        <f t="shared" si="113"/>
        <v>8886</v>
      </c>
      <c r="Q299" s="19">
        <f t="shared" si="114"/>
        <v>2.6208155512091746</v>
      </c>
      <c r="R299" s="19">
        <f t="shared" si="97"/>
        <v>18.756901078929531</v>
      </c>
      <c r="S299" s="19">
        <f t="shared" si="98"/>
        <v>1.8184766191283446E-3</v>
      </c>
      <c r="T299" s="19"/>
      <c r="U299" s="24">
        <f t="shared" si="120"/>
        <v>8885.5600000000359</v>
      </c>
      <c r="V299" s="19">
        <f t="shared" si="99"/>
        <v>10.969698193873478</v>
      </c>
      <c r="W299" s="19">
        <f t="shared" si="100"/>
        <v>39.217244328563488</v>
      </c>
      <c r="X299" s="19">
        <f t="shared" si="101"/>
        <v>5.4848490969367392</v>
      </c>
      <c r="Y299" s="27"/>
      <c r="Z299" s="42">
        <f t="shared" si="115"/>
        <v>53083</v>
      </c>
      <c r="AA299" s="19">
        <f t="shared" ca="1" si="102"/>
        <v>2.2177515953663476</v>
      </c>
      <c r="AB299" s="19">
        <f t="shared" ca="1" si="103"/>
        <v>16.57078844776029</v>
      </c>
      <c r="AC299" s="19">
        <f t="shared" ca="1" si="104"/>
        <v>8.0245031571428297E-4</v>
      </c>
      <c r="AD299" s="19">
        <f t="shared" ca="1" si="105"/>
        <v>2.4856182671640434</v>
      </c>
      <c r="AE299" s="115">
        <f t="shared" ca="1" si="106"/>
        <v>68.750299456356771</v>
      </c>
      <c r="AF299" s="19">
        <f t="shared" ca="1" si="107"/>
        <v>513.694441880569</v>
      </c>
      <c r="AG299" s="19">
        <f t="shared" ca="1" si="108"/>
        <v>2.4875959787142771E-2</v>
      </c>
      <c r="AH299" s="19">
        <f t="shared" ca="1" si="109"/>
        <v>77.054166282085347</v>
      </c>
      <c r="AI299" s="46">
        <f t="shared" ca="1" si="116"/>
        <v>7471.8866091145719</v>
      </c>
      <c r="AJ299" s="55">
        <f t="shared" ca="1" si="117"/>
        <v>3.6169969231810236E-4</v>
      </c>
      <c r="AK299" s="19">
        <f t="shared" ca="1" si="118"/>
        <v>133.83500745048127</v>
      </c>
      <c r="AL299" s="19">
        <f t="shared" ca="1" si="110"/>
        <v>150</v>
      </c>
    </row>
    <row r="300" spans="2:38" x14ac:dyDescent="0.25">
      <c r="B300" s="19"/>
      <c r="C300" s="19"/>
      <c r="D300" s="19"/>
      <c r="E300" s="19"/>
      <c r="F300" s="19"/>
      <c r="G300" s="19"/>
      <c r="H300" s="43">
        <f t="shared" si="119"/>
        <v>53114</v>
      </c>
      <c r="I300" s="264">
        <v>0</v>
      </c>
      <c r="J300" s="64">
        <f t="shared" ca="1" si="111"/>
        <v>0</v>
      </c>
      <c r="K300" s="19">
        <f ca="1">SUMPRODUCT(V$7:V300,OFFSET($J$366,ROW($I$7)-ROW(),0):$J$366)</f>
        <v>0</v>
      </c>
      <c r="L300" s="19">
        <f ca="1">SUMPRODUCT(W$7:W300,OFFSET($J$366,ROW($I$7)-ROW(),0):$J$366)</f>
        <v>0</v>
      </c>
      <c r="M300" s="19">
        <f ca="1">SUMPRODUCT(X$7:X300,OFFSET($J$366,ROW($I$7)-ROW(),0):$J$366)</f>
        <v>0</v>
      </c>
      <c r="N300" s="19"/>
      <c r="O300" s="43">
        <f t="shared" si="112"/>
        <v>52383</v>
      </c>
      <c r="P300" s="24">
        <f t="shared" si="113"/>
        <v>8917</v>
      </c>
      <c r="Q300" s="19">
        <f t="shared" si="114"/>
        <v>2.6023212175804797</v>
      </c>
      <c r="R300" s="19">
        <f t="shared" si="97"/>
        <v>18.658588901099588</v>
      </c>
      <c r="S300" s="19">
        <f t="shared" si="98"/>
        <v>1.7563504517664049E-3</v>
      </c>
      <c r="T300" s="19"/>
      <c r="U300" s="24">
        <f t="shared" si="120"/>
        <v>8915.9900000000362</v>
      </c>
      <c r="V300" s="19">
        <f t="shared" si="99"/>
        <v>10.892288221962264</v>
      </c>
      <c r="W300" s="19">
        <f t="shared" si="100"/>
        <v>39.01169157322262</v>
      </c>
      <c r="X300" s="19">
        <f t="shared" si="101"/>
        <v>5.4461441109811322</v>
      </c>
      <c r="Y300" s="27"/>
      <c r="Z300" s="42">
        <f t="shared" si="115"/>
        <v>53114</v>
      </c>
      <c r="AA300" s="19">
        <f t="shared" ca="1" si="102"/>
        <v>2.202101566927166</v>
      </c>
      <c r="AB300" s="19">
        <f t="shared" ca="1" si="103"/>
        <v>16.483934532297216</v>
      </c>
      <c r="AC300" s="19">
        <f t="shared" ca="1" si="104"/>
        <v>7.7514549489189925E-4</v>
      </c>
      <c r="AD300" s="19">
        <f t="shared" ca="1" si="105"/>
        <v>2.4725901798445822</v>
      </c>
      <c r="AE300" s="115">
        <f t="shared" ca="1" si="106"/>
        <v>66.063047007814973</v>
      </c>
      <c r="AF300" s="19">
        <f t="shared" ca="1" si="107"/>
        <v>494.51803596891648</v>
      </c>
      <c r="AG300" s="19">
        <f t="shared" ca="1" si="108"/>
        <v>2.3254364846756977E-2</v>
      </c>
      <c r="AH300" s="19">
        <f t="shared" ca="1" si="109"/>
        <v>74.177705395337469</v>
      </c>
      <c r="AI300" s="46">
        <f t="shared" ca="1" si="116"/>
        <v>7485.5468884203474</v>
      </c>
      <c r="AJ300" s="55">
        <f t="shared" ca="1" si="117"/>
        <v>3.5187874587844209E-4</v>
      </c>
      <c r="AK300" s="19">
        <f t="shared" ca="1" si="118"/>
        <v>133.59077364767228</v>
      </c>
      <c r="AL300" s="19">
        <f t="shared" ca="1" si="110"/>
        <v>150</v>
      </c>
    </row>
    <row r="301" spans="2:38" x14ac:dyDescent="0.25">
      <c r="B301" s="19"/>
      <c r="C301" s="19"/>
      <c r="D301" s="19"/>
      <c r="E301" s="19"/>
      <c r="F301" s="19"/>
      <c r="G301" s="19"/>
      <c r="H301" s="43">
        <f t="shared" si="119"/>
        <v>53144</v>
      </c>
      <c r="I301" s="264">
        <v>0</v>
      </c>
      <c r="J301" s="64">
        <f t="shared" ca="1" si="111"/>
        <v>0</v>
      </c>
      <c r="K301" s="19">
        <f ca="1">SUMPRODUCT(V$7:V301,OFFSET($J$366,ROW($I$7)-ROW(),0):$J$366)</f>
        <v>0</v>
      </c>
      <c r="L301" s="19">
        <f ca="1">SUMPRODUCT(W$7:W301,OFFSET($J$366,ROW($I$7)-ROW(),0):$J$366)</f>
        <v>0</v>
      </c>
      <c r="M301" s="19">
        <f ca="1">SUMPRODUCT(X$7:X301,OFFSET($J$366,ROW($I$7)-ROW(),0):$J$366)</f>
        <v>0</v>
      </c>
      <c r="N301" s="19"/>
      <c r="O301" s="43">
        <f t="shared" si="112"/>
        <v>52413</v>
      </c>
      <c r="P301" s="24">
        <f t="shared" si="113"/>
        <v>8947</v>
      </c>
      <c r="Q301" s="19">
        <f t="shared" si="114"/>
        <v>2.584547746886948</v>
      </c>
      <c r="R301" s="19">
        <f t="shared" si="97"/>
        <v>18.563938738316036</v>
      </c>
      <c r="S301" s="19">
        <f t="shared" si="98"/>
        <v>1.698259744236178E-3</v>
      </c>
      <c r="T301" s="19"/>
      <c r="U301" s="24">
        <f t="shared" si="120"/>
        <v>8946.4200000000365</v>
      </c>
      <c r="V301" s="19">
        <f t="shared" si="99"/>
        <v>10.817895497424381</v>
      </c>
      <c r="W301" s="19">
        <f t="shared" si="100"/>
        <v>38.813795420547876</v>
      </c>
      <c r="X301" s="19">
        <f t="shared" si="101"/>
        <v>5.4089477487121904</v>
      </c>
      <c r="Y301" s="27"/>
      <c r="Z301" s="42">
        <f t="shared" si="115"/>
        <v>53144</v>
      </c>
      <c r="AA301" s="19">
        <f t="shared" ca="1" si="102"/>
        <v>2.1870615375105245</v>
      </c>
      <c r="AB301" s="19">
        <f t="shared" ca="1" si="103"/>
        <v>16.400315824844832</v>
      </c>
      <c r="AC301" s="19">
        <f t="shared" ca="1" si="104"/>
        <v>7.4961070051255232E-4</v>
      </c>
      <c r="AD301" s="19">
        <f t="shared" ca="1" si="105"/>
        <v>2.4600473737267246</v>
      </c>
      <c r="AE301" s="115">
        <f t="shared" ca="1" si="106"/>
        <v>67.798907662826252</v>
      </c>
      <c r="AF301" s="19">
        <f t="shared" ca="1" si="107"/>
        <v>508.40979057018978</v>
      </c>
      <c r="AG301" s="19">
        <f t="shared" ca="1" si="108"/>
        <v>2.3237931715889122E-2</v>
      </c>
      <c r="AH301" s="19">
        <f t="shared" ca="1" si="109"/>
        <v>76.261468585528462</v>
      </c>
      <c r="AI301" s="46">
        <f t="shared" ca="1" si="116"/>
        <v>7498.7902917047722</v>
      </c>
      <c r="AJ301" s="55">
        <f t="shared" ca="1" si="117"/>
        <v>3.4263044190331767E-4</v>
      </c>
      <c r="AK301" s="19">
        <f t="shared" ca="1" si="118"/>
        <v>133.35484272792758</v>
      </c>
      <c r="AL301" s="19">
        <f t="shared" ca="1" si="110"/>
        <v>150</v>
      </c>
    </row>
    <row r="302" spans="2:38" x14ac:dyDescent="0.25">
      <c r="B302" s="19"/>
      <c r="C302" s="19"/>
      <c r="D302" s="19"/>
      <c r="E302" s="19"/>
      <c r="F302" s="19"/>
      <c r="G302" s="19"/>
      <c r="H302" s="43">
        <f t="shared" si="119"/>
        <v>53175</v>
      </c>
      <c r="I302" s="264">
        <v>0</v>
      </c>
      <c r="J302" s="64">
        <f t="shared" ca="1" si="111"/>
        <v>0</v>
      </c>
      <c r="K302" s="19">
        <f ca="1">SUMPRODUCT(V$7:V302,OFFSET($J$366,ROW($I$7)-ROW(),0):$J$366)</f>
        <v>0</v>
      </c>
      <c r="L302" s="19">
        <f ca="1">SUMPRODUCT(W$7:W302,OFFSET($J$366,ROW($I$7)-ROW(),0):$J$366)</f>
        <v>0</v>
      </c>
      <c r="M302" s="19">
        <f ca="1">SUMPRODUCT(X$7:X302,OFFSET($J$366,ROW($I$7)-ROW(),0):$J$366)</f>
        <v>0</v>
      </c>
      <c r="N302" s="19"/>
      <c r="O302" s="43">
        <f t="shared" si="112"/>
        <v>52444</v>
      </c>
      <c r="P302" s="24">
        <f t="shared" si="113"/>
        <v>8978</v>
      </c>
      <c r="Q302" s="19">
        <f t="shared" si="114"/>
        <v>2.5663093446124483</v>
      </c>
      <c r="R302" s="19">
        <f t="shared" si="97"/>
        <v>18.46663795079332</v>
      </c>
      <c r="S302" s="19">
        <f t="shared" si="98"/>
        <v>1.6402601418219695E-3</v>
      </c>
      <c r="T302" s="19"/>
      <c r="U302" s="24">
        <f t="shared" si="120"/>
        <v>8976.8500000000367</v>
      </c>
      <c r="V302" s="19">
        <f t="shared" si="99"/>
        <v>10.741556753021936</v>
      </c>
      <c r="W302" s="19">
        <f t="shared" si="100"/>
        <v>38.61035729707627</v>
      </c>
      <c r="X302" s="19">
        <f t="shared" si="101"/>
        <v>5.3707783765109678</v>
      </c>
      <c r="Y302" s="27"/>
      <c r="Z302" s="42">
        <f t="shared" si="115"/>
        <v>53175</v>
      </c>
      <c r="AA302" s="19">
        <f t="shared" ca="1" si="102"/>
        <v>2.1716280798898451</v>
      </c>
      <c r="AB302" s="19">
        <f t="shared" ca="1" si="103"/>
        <v>16.314355422374586</v>
      </c>
      <c r="AC302" s="19">
        <f t="shared" ca="1" si="104"/>
        <v>7.2411237847227225E-4</v>
      </c>
      <c r="AD302" s="19">
        <f t="shared" ca="1" si="105"/>
        <v>2.4471533133561878</v>
      </c>
      <c r="AE302" s="115">
        <f t="shared" ca="1" si="106"/>
        <v>67.3204704765852</v>
      </c>
      <c r="AF302" s="19">
        <f t="shared" ca="1" si="107"/>
        <v>505.74501809361215</v>
      </c>
      <c r="AG302" s="19">
        <f t="shared" ca="1" si="108"/>
        <v>2.2447483732640439E-2</v>
      </c>
      <c r="AH302" s="19">
        <f t="shared" ca="1" si="109"/>
        <v>75.861752714041828</v>
      </c>
      <c r="AI302" s="46">
        <f t="shared" ca="1" si="116"/>
        <v>7512.4997569575189</v>
      </c>
      <c r="AJ302" s="55">
        <f t="shared" ca="1" si="117"/>
        <v>3.3333102295727272E-4</v>
      </c>
      <c r="AK302" s="19">
        <f t="shared" ca="1" si="118"/>
        <v>133.1114851716134</v>
      </c>
      <c r="AL302" s="19">
        <f t="shared" ca="1" si="110"/>
        <v>150</v>
      </c>
    </row>
    <row r="303" spans="2:38" x14ac:dyDescent="0.25">
      <c r="B303" s="19"/>
      <c r="C303" s="19"/>
      <c r="D303" s="19"/>
      <c r="E303" s="19"/>
      <c r="F303" s="19"/>
      <c r="G303" s="19"/>
      <c r="H303" s="43">
        <f t="shared" si="119"/>
        <v>53206</v>
      </c>
      <c r="I303" s="264">
        <v>0</v>
      </c>
      <c r="J303" s="64">
        <f t="shared" ca="1" si="111"/>
        <v>0</v>
      </c>
      <c r="K303" s="19">
        <f ca="1">SUMPRODUCT(V$7:V303,OFFSET($J$366,ROW($I$7)-ROW(),0):$J$366)</f>
        <v>0</v>
      </c>
      <c r="L303" s="19">
        <f ca="1">SUMPRODUCT(W$7:W303,OFFSET($J$366,ROW($I$7)-ROW(),0):$J$366)</f>
        <v>0</v>
      </c>
      <c r="M303" s="19">
        <f ca="1">SUMPRODUCT(X$7:X303,OFFSET($J$366,ROW($I$7)-ROW(),0):$J$366)</f>
        <v>0</v>
      </c>
      <c r="N303" s="19"/>
      <c r="O303" s="43">
        <f t="shared" si="112"/>
        <v>52475</v>
      </c>
      <c r="P303" s="24">
        <f t="shared" si="113"/>
        <v>9009</v>
      </c>
      <c r="Q303" s="19">
        <f t="shared" si="114"/>
        <v>2.5481996454419744</v>
      </c>
      <c r="R303" s="19">
        <f t="shared" si="97"/>
        <v>18.369847154355259</v>
      </c>
      <c r="S303" s="19">
        <f t="shared" si="98"/>
        <v>1.5842509268139324E-3</v>
      </c>
      <c r="T303" s="19"/>
      <c r="U303" s="24">
        <f t="shared" si="120"/>
        <v>9007.280000000037</v>
      </c>
      <c r="V303" s="19">
        <f t="shared" si="99"/>
        <v>10.665756708951571</v>
      </c>
      <c r="W303" s="19">
        <f t="shared" si="100"/>
        <v>38.407985471544173</v>
      </c>
      <c r="X303" s="19">
        <f t="shared" si="101"/>
        <v>5.3328783544757856</v>
      </c>
      <c r="Y303" s="27"/>
      <c r="Z303" s="42">
        <f t="shared" si="115"/>
        <v>53206</v>
      </c>
      <c r="AA303" s="19">
        <f t="shared" ca="1" si="102"/>
        <v>2.1563035316939998</v>
      </c>
      <c r="AB303" s="19">
        <f t="shared" ca="1" si="103"/>
        <v>16.228845571641987</v>
      </c>
      <c r="AC303" s="19">
        <f t="shared" ca="1" si="104"/>
        <v>6.9948558057545622E-4</v>
      </c>
      <c r="AD303" s="19">
        <f t="shared" ca="1" si="105"/>
        <v>2.4343268357462979</v>
      </c>
      <c r="AE303" s="115">
        <f t="shared" ca="1" si="106"/>
        <v>64.689105950819993</v>
      </c>
      <c r="AF303" s="19">
        <f t="shared" ca="1" si="107"/>
        <v>486.86536714925961</v>
      </c>
      <c r="AG303" s="19">
        <f t="shared" ca="1" si="108"/>
        <v>2.0984567417263688E-2</v>
      </c>
      <c r="AH303" s="19">
        <f t="shared" ca="1" si="109"/>
        <v>73.029805072388939</v>
      </c>
      <c r="AI303" s="46">
        <f t="shared" ca="1" si="116"/>
        <v>7526.2342861779525</v>
      </c>
      <c r="AJ303" s="55">
        <f t="shared" ca="1" si="117"/>
        <v>3.242858609717074E-4</v>
      </c>
      <c r="AK303" s="19">
        <f t="shared" ca="1" si="118"/>
        <v>132.86857171540831</v>
      </c>
      <c r="AL303" s="19">
        <f t="shared" ca="1" si="110"/>
        <v>150</v>
      </c>
    </row>
    <row r="304" spans="2:38" x14ac:dyDescent="0.25">
      <c r="B304" s="19"/>
      <c r="C304" s="19"/>
      <c r="D304" s="19"/>
      <c r="E304" s="19"/>
      <c r="F304" s="19"/>
      <c r="G304" s="19"/>
      <c r="H304" s="43">
        <f t="shared" si="119"/>
        <v>53236</v>
      </c>
      <c r="I304" s="264">
        <v>0</v>
      </c>
      <c r="J304" s="64">
        <f t="shared" ca="1" si="111"/>
        <v>0</v>
      </c>
      <c r="K304" s="19">
        <f ca="1">SUMPRODUCT(V$7:V304,OFFSET($J$366,ROW($I$7)-ROW(),0):$J$366)</f>
        <v>0</v>
      </c>
      <c r="L304" s="19">
        <f ca="1">SUMPRODUCT(W$7:W304,OFFSET($J$366,ROW($I$7)-ROW(),0):$J$366)</f>
        <v>0</v>
      </c>
      <c r="M304" s="19">
        <f ca="1">SUMPRODUCT(X$7:X304,OFFSET($J$366,ROW($I$7)-ROW(),0):$J$366)</f>
        <v>0</v>
      </c>
      <c r="N304" s="19"/>
      <c r="O304" s="43">
        <f t="shared" si="112"/>
        <v>52505</v>
      </c>
      <c r="P304" s="24">
        <f t="shared" si="113"/>
        <v>9039</v>
      </c>
      <c r="Q304" s="19">
        <f t="shared" si="114"/>
        <v>2.5307958171161076</v>
      </c>
      <c r="R304" s="19">
        <f t="shared" si="97"/>
        <v>18.276661703264356</v>
      </c>
      <c r="S304" s="19">
        <f t="shared" si="98"/>
        <v>1.5318789115784694E-3</v>
      </c>
      <c r="T304" s="19"/>
      <c r="U304" s="24">
        <f t="shared" si="120"/>
        <v>9037.7100000000373</v>
      </c>
      <c r="V304" s="19">
        <f t="shared" si="99"/>
        <v>10.592911161288113</v>
      </c>
      <c r="W304" s="19">
        <f t="shared" si="100"/>
        <v>38.213151762717693</v>
      </c>
      <c r="X304" s="19">
        <f t="shared" si="101"/>
        <v>5.2964555806440563</v>
      </c>
      <c r="Y304" s="27"/>
      <c r="Z304" s="42">
        <f t="shared" si="115"/>
        <v>53236</v>
      </c>
      <c r="AA304" s="19">
        <f t="shared" ca="1" si="102"/>
        <v>2.141576296113699</v>
      </c>
      <c r="AB304" s="19">
        <f t="shared" ca="1" si="103"/>
        <v>16.146520864061635</v>
      </c>
      <c r="AC304" s="19">
        <f t="shared" ca="1" si="104"/>
        <v>6.7645480234080843E-4</v>
      </c>
      <c r="AD304" s="19">
        <f t="shared" ca="1" si="105"/>
        <v>2.4219781296092453</v>
      </c>
      <c r="AE304" s="115">
        <f t="shared" ca="1" si="106"/>
        <v>66.388865179524672</v>
      </c>
      <c r="AF304" s="19">
        <f t="shared" ca="1" si="107"/>
        <v>500.54214678591069</v>
      </c>
      <c r="AG304" s="19">
        <f t="shared" ca="1" si="108"/>
        <v>2.0970098872565061E-2</v>
      </c>
      <c r="AH304" s="19">
        <f t="shared" ca="1" si="109"/>
        <v>75.081322017886606</v>
      </c>
      <c r="AI304" s="46">
        <f t="shared" ca="1" si="116"/>
        <v>7539.5496734636972</v>
      </c>
      <c r="AJ304" s="55">
        <f t="shared" ca="1" si="117"/>
        <v>3.1576796997999064E-4</v>
      </c>
      <c r="AK304" s="19">
        <f t="shared" ca="1" si="118"/>
        <v>132.6339162562472</v>
      </c>
      <c r="AL304" s="19">
        <f t="shared" ca="1" si="110"/>
        <v>150</v>
      </c>
    </row>
    <row r="305" spans="2:38" x14ac:dyDescent="0.25">
      <c r="B305" s="19"/>
      <c r="C305" s="19"/>
      <c r="D305" s="19"/>
      <c r="E305" s="19"/>
      <c r="F305" s="19"/>
      <c r="G305" s="19"/>
      <c r="H305" s="43">
        <f t="shared" si="119"/>
        <v>53267</v>
      </c>
      <c r="I305" s="264">
        <v>0</v>
      </c>
      <c r="J305" s="64">
        <f t="shared" ca="1" si="111"/>
        <v>0</v>
      </c>
      <c r="K305" s="19">
        <f ca="1">SUMPRODUCT(V$7:V305,OFFSET($J$366,ROW($I$7)-ROW(),0):$J$366)</f>
        <v>0</v>
      </c>
      <c r="L305" s="19">
        <f ca="1">SUMPRODUCT(W$7:W305,OFFSET($J$366,ROW($I$7)-ROW(),0):$J$366)</f>
        <v>0</v>
      </c>
      <c r="M305" s="19">
        <f ca="1">SUMPRODUCT(X$7:X305,OFFSET($J$366,ROW($I$7)-ROW(),0):$J$366)</f>
        <v>0</v>
      </c>
      <c r="N305" s="19"/>
      <c r="O305" s="43">
        <f t="shared" si="112"/>
        <v>52536</v>
      </c>
      <c r="P305" s="24">
        <f t="shared" si="113"/>
        <v>9070</v>
      </c>
      <c r="Q305" s="19">
        <f t="shared" si="114"/>
        <v>2.5129367265874909</v>
      </c>
      <c r="R305" s="19">
        <f t="shared" si="97"/>
        <v>18.18086664586399</v>
      </c>
      <c r="S305" s="19">
        <f t="shared" si="98"/>
        <v>1.4795881067556553E-3</v>
      </c>
      <c r="T305" s="19"/>
      <c r="U305" s="24">
        <f t="shared" si="120"/>
        <v>9068.1400000000376</v>
      </c>
      <c r="V305" s="19">
        <f t="shared" si="99"/>
        <v>10.518160065956128</v>
      </c>
      <c r="W305" s="19">
        <f t="shared" si="100"/>
        <v>38.012861845117229</v>
      </c>
      <c r="X305" s="19">
        <f t="shared" si="101"/>
        <v>5.2590800329780638</v>
      </c>
      <c r="Y305" s="27"/>
      <c r="Z305" s="42">
        <f t="shared" si="115"/>
        <v>53267</v>
      </c>
      <c r="AA305" s="19">
        <f t="shared" ca="1" si="102"/>
        <v>2.1264638146216854</v>
      </c>
      <c r="AB305" s="19">
        <f t="shared" ca="1" si="103"/>
        <v>16.061890699204302</v>
      </c>
      <c r="AC305" s="19">
        <f t="shared" ca="1" si="104"/>
        <v>6.5345651593725121E-4</v>
      </c>
      <c r="AD305" s="19">
        <f t="shared" ca="1" si="105"/>
        <v>2.409283604880645</v>
      </c>
      <c r="AE305" s="115">
        <f t="shared" ca="1" si="106"/>
        <v>63.79391443865056</v>
      </c>
      <c r="AF305" s="19">
        <f t="shared" ca="1" si="107"/>
        <v>481.85672097612905</v>
      </c>
      <c r="AG305" s="19">
        <f t="shared" ca="1" si="108"/>
        <v>1.9603695478117536E-2</v>
      </c>
      <c r="AH305" s="19">
        <f t="shared" ca="1" si="109"/>
        <v>72.278508146419355</v>
      </c>
      <c r="AI305" s="46">
        <f t="shared" ca="1" si="116"/>
        <v>7553.3336559793934</v>
      </c>
      <c r="AJ305" s="55">
        <f t="shared" ca="1" si="117"/>
        <v>3.0720286314433911E-4</v>
      </c>
      <c r="AK305" s="19">
        <f t="shared" ca="1" si="118"/>
        <v>132.39187430948147</v>
      </c>
      <c r="AL305" s="19">
        <f t="shared" ca="1" si="110"/>
        <v>150</v>
      </c>
    </row>
    <row r="306" spans="2:38" x14ac:dyDescent="0.25">
      <c r="B306" s="19"/>
      <c r="C306" s="19"/>
      <c r="D306" s="19"/>
      <c r="E306" s="19"/>
      <c r="F306" s="19"/>
      <c r="G306" s="19"/>
      <c r="H306" s="44">
        <f t="shared" si="119"/>
        <v>53297</v>
      </c>
      <c r="I306" s="265">
        <v>0</v>
      </c>
      <c r="J306" s="65">
        <f t="shared" ca="1" si="111"/>
        <v>0</v>
      </c>
      <c r="K306" s="21">
        <f ca="1">SUMPRODUCT(V$7:V306,OFFSET($J$366,ROW($I$7)-ROW(),0):$J$366)</f>
        <v>0</v>
      </c>
      <c r="L306" s="21">
        <f ca="1">SUMPRODUCT(W$7:W306,OFFSET($J$366,ROW($I$7)-ROW(),0):$J$366)</f>
        <v>0</v>
      </c>
      <c r="M306" s="21">
        <f ca="1">SUMPRODUCT(X$7:X306,OFFSET($J$366,ROW($I$7)-ROW(),0):$J$366)</f>
        <v>0</v>
      </c>
      <c r="N306" s="19"/>
      <c r="O306" s="44">
        <f t="shared" si="112"/>
        <v>52566</v>
      </c>
      <c r="P306" s="25">
        <f t="shared" si="113"/>
        <v>9100</v>
      </c>
      <c r="Q306" s="21">
        <f t="shared" si="114"/>
        <v>2.4957737388045187</v>
      </c>
      <c r="R306" s="21">
        <f t="shared" si="97"/>
        <v>18.088639843681985</v>
      </c>
      <c r="S306" s="21">
        <f t="shared" si="98"/>
        <v>1.4306924567183989E-3</v>
      </c>
      <c r="T306" s="19"/>
      <c r="U306" s="25">
        <f t="shared" si="120"/>
        <v>9098.5700000000379</v>
      </c>
      <c r="V306" s="21">
        <f t="shared" si="99"/>
        <v>10.446322581628978</v>
      </c>
      <c r="W306" s="21">
        <f t="shared" si="100"/>
        <v>37.820032495557093</v>
      </c>
      <c r="X306" s="21">
        <f t="shared" si="101"/>
        <v>5.2231612908144891</v>
      </c>
      <c r="Y306" s="27"/>
      <c r="Z306" s="48">
        <f t="shared" si="115"/>
        <v>53297</v>
      </c>
      <c r="AA306" s="21">
        <f t="shared" ca="1" si="102"/>
        <v>2.111940379914738</v>
      </c>
      <c r="AB306" s="21">
        <f t="shared" ca="1" si="103"/>
        <v>15.980412910216641</v>
      </c>
      <c r="AC306" s="21">
        <f t="shared" ca="1" si="104"/>
        <v>6.3194845778500285E-4</v>
      </c>
      <c r="AD306" s="21">
        <f t="shared" ca="1" si="105"/>
        <v>2.3970619365324963</v>
      </c>
      <c r="AE306" s="116">
        <f t="shared" ca="1" si="106"/>
        <v>65.470151777356875</v>
      </c>
      <c r="AF306" s="21">
        <f t="shared" ca="1" si="107"/>
        <v>495.3928002167159</v>
      </c>
      <c r="AG306" s="21">
        <f t="shared" ca="1" si="108"/>
        <v>1.9590402191335086E-2</v>
      </c>
      <c r="AH306" s="21">
        <f t="shared" ca="1" si="109"/>
        <v>74.308920032507388</v>
      </c>
      <c r="AI306" s="47">
        <f t="shared" ca="1" si="116"/>
        <v>7566.6969873750859</v>
      </c>
      <c r="AJ306" s="57">
        <f t="shared" ca="1" si="117"/>
        <v>2.9913695701573508E-4</v>
      </c>
      <c r="AK306" s="21">
        <f t="shared" ca="1" si="118"/>
        <v>132.15806073224343</v>
      </c>
      <c r="AL306" s="21">
        <f t="shared" ca="1" si="110"/>
        <v>150</v>
      </c>
    </row>
    <row r="307" spans="2:38" x14ac:dyDescent="0.25">
      <c r="B307" s="19"/>
      <c r="C307" s="19"/>
      <c r="D307" s="19"/>
      <c r="E307" s="19"/>
      <c r="F307" s="19"/>
      <c r="G307" s="19"/>
      <c r="H307" s="43">
        <f t="shared" si="119"/>
        <v>53328</v>
      </c>
      <c r="I307" s="264">
        <v>0</v>
      </c>
      <c r="J307" s="64">
        <f t="shared" ca="1" si="111"/>
        <v>0</v>
      </c>
      <c r="K307" s="19">
        <f ca="1">SUMPRODUCT(V$7:V307,OFFSET($J$366,ROW($I$7)-ROW(),0):$J$366)</f>
        <v>0</v>
      </c>
      <c r="L307" s="19">
        <f ca="1">SUMPRODUCT(W$7:W307,OFFSET($J$366,ROW($I$7)-ROW(),0):$J$366)</f>
        <v>0</v>
      </c>
      <c r="M307" s="19">
        <f ca="1">SUMPRODUCT(X$7:X307,OFFSET($J$366,ROW($I$7)-ROW(),0):$J$366)</f>
        <v>0</v>
      </c>
      <c r="N307" s="19"/>
      <c r="O307" s="43">
        <f t="shared" si="112"/>
        <v>52597</v>
      </c>
      <c r="P307" s="24">
        <f t="shared" si="113"/>
        <v>9131</v>
      </c>
      <c r="Q307" s="19">
        <f t="shared" si="114"/>
        <v>2.4781617889036998</v>
      </c>
      <c r="R307" s="19">
        <f t="shared" si="97"/>
        <v>17.993830281615704</v>
      </c>
      <c r="S307" s="19">
        <f t="shared" si="98"/>
        <v>1.3818720537845442E-3</v>
      </c>
      <c r="T307" s="19"/>
      <c r="U307" s="24">
        <f t="shared" si="120"/>
        <v>9129.0000000000382</v>
      </c>
      <c r="V307" s="19">
        <f t="shared" si="99"/>
        <v>10.372605919299014</v>
      </c>
      <c r="W307" s="19">
        <f t="shared" si="100"/>
        <v>37.621803068180398</v>
      </c>
      <c r="X307" s="19">
        <f t="shared" si="101"/>
        <v>5.1863029596495069</v>
      </c>
      <c r="Y307" s="27"/>
      <c r="Z307" s="42">
        <f t="shared" si="115"/>
        <v>53328</v>
      </c>
      <c r="AA307" s="19">
        <f t="shared" ca="1" si="102"/>
        <v>2.0970370304699313</v>
      </c>
      <c r="AB307" s="19">
        <f t="shared" ca="1" si="103"/>
        <v>15.896653381432326</v>
      </c>
      <c r="AC307" s="19">
        <f t="shared" ca="1" si="104"/>
        <v>6.1047049330740838E-4</v>
      </c>
      <c r="AD307" s="19">
        <f t="shared" ca="1" si="105"/>
        <v>2.3844980072148489</v>
      </c>
      <c r="AE307" s="115">
        <f t="shared" ca="1" si="106"/>
        <v>65.008147944567867</v>
      </c>
      <c r="AF307" s="19">
        <f t="shared" ca="1" si="107"/>
        <v>492.79625482440213</v>
      </c>
      <c r="AG307" s="19">
        <f t="shared" ca="1" si="108"/>
        <v>1.8924585292529661E-2</v>
      </c>
      <c r="AH307" s="19">
        <f t="shared" ca="1" si="109"/>
        <v>73.919438223660322</v>
      </c>
      <c r="AI307" s="46">
        <f t="shared" ca="1" si="116"/>
        <v>7580.5306012502788</v>
      </c>
      <c r="AJ307" s="55">
        <f t="shared" ca="1" si="117"/>
        <v>2.9102625347065262E-4</v>
      </c>
      <c r="AK307" s="19">
        <f t="shared" ca="1" si="118"/>
        <v>131.91688716817092</v>
      </c>
      <c r="AL307" s="19">
        <f t="shared" ca="1" si="110"/>
        <v>150</v>
      </c>
    </row>
    <row r="308" spans="2:38" x14ac:dyDescent="0.25">
      <c r="B308" s="19"/>
      <c r="C308" s="19"/>
      <c r="D308" s="19"/>
      <c r="E308" s="19"/>
      <c r="F308" s="19"/>
      <c r="G308" s="19"/>
      <c r="H308" s="43">
        <f t="shared" si="119"/>
        <v>53359</v>
      </c>
      <c r="I308" s="264">
        <v>0</v>
      </c>
      <c r="J308" s="64">
        <f t="shared" ca="1" si="111"/>
        <v>0</v>
      </c>
      <c r="K308" s="19">
        <f ca="1">SUMPRODUCT(V$7:V308,OFFSET($J$366,ROW($I$7)-ROW(),0):$J$366)</f>
        <v>0</v>
      </c>
      <c r="L308" s="19">
        <f ca="1">SUMPRODUCT(W$7:W308,OFFSET($J$366,ROW($I$7)-ROW(),0):$J$366)</f>
        <v>0</v>
      </c>
      <c r="M308" s="19">
        <f ca="1">SUMPRODUCT(X$7:X308,OFFSET($J$366,ROW($I$7)-ROW(),0):$J$366)</f>
        <v>0</v>
      </c>
      <c r="N308" s="19"/>
      <c r="O308" s="43">
        <f t="shared" si="112"/>
        <v>52628</v>
      </c>
      <c r="P308" s="24">
        <f t="shared" si="113"/>
        <v>9162</v>
      </c>
      <c r="Q308" s="19">
        <f t="shared" si="114"/>
        <v>2.4606741214145775</v>
      </c>
      <c r="R308" s="19">
        <f t="shared" si="97"/>
        <v>17.899517653157304</v>
      </c>
      <c r="S308" s="19">
        <f t="shared" si="98"/>
        <v>1.3347256228593331E-3</v>
      </c>
      <c r="T308" s="19"/>
      <c r="U308" s="24">
        <f t="shared" si="120"/>
        <v>9159.4300000000385</v>
      </c>
      <c r="V308" s="19">
        <f t="shared" si="99"/>
        <v>10.29940945403003</v>
      </c>
      <c r="W308" s="19">
        <f t="shared" si="100"/>
        <v>37.424612637951128</v>
      </c>
      <c r="X308" s="19">
        <f t="shared" si="101"/>
        <v>5.1497047270150151</v>
      </c>
      <c r="Y308" s="27"/>
      <c r="Z308" s="42">
        <f t="shared" si="115"/>
        <v>53359</v>
      </c>
      <c r="AA308" s="19">
        <f t="shared" ca="1" si="102"/>
        <v>2.0822388496306328</v>
      </c>
      <c r="AB308" s="19">
        <f t="shared" ca="1" si="103"/>
        <v>15.813332868754891</v>
      </c>
      <c r="AC308" s="19">
        <f t="shared" ca="1" si="104"/>
        <v>5.8972602295499516E-4</v>
      </c>
      <c r="AD308" s="19">
        <f t="shared" ca="1" si="105"/>
        <v>2.3719999303132338</v>
      </c>
      <c r="AE308" s="115">
        <f t="shared" ca="1" si="106"/>
        <v>58.302687789657718</v>
      </c>
      <c r="AF308" s="19">
        <f t="shared" ca="1" si="107"/>
        <v>442.77332032513698</v>
      </c>
      <c r="AG308" s="19">
        <f t="shared" ca="1" si="108"/>
        <v>1.6512328642739865E-2</v>
      </c>
      <c r="AH308" s="19">
        <f t="shared" ca="1" si="109"/>
        <v>66.415998048770547</v>
      </c>
      <c r="AI308" s="46">
        <f t="shared" ca="1" si="116"/>
        <v>7594.3895060645955</v>
      </c>
      <c r="AJ308" s="55">
        <f t="shared" ca="1" si="117"/>
        <v>2.8313709051641E-4</v>
      </c>
      <c r="AK308" s="19">
        <f t="shared" ca="1" si="118"/>
        <v>131.6761537186679</v>
      </c>
      <c r="AL308" s="19">
        <f t="shared" ca="1" si="110"/>
        <v>150</v>
      </c>
    </row>
    <row r="309" spans="2:38" x14ac:dyDescent="0.25">
      <c r="B309" s="19"/>
      <c r="C309" s="19"/>
      <c r="D309" s="19"/>
      <c r="E309" s="19"/>
      <c r="F309" s="19"/>
      <c r="G309" s="19"/>
      <c r="H309" s="43">
        <f t="shared" si="119"/>
        <v>53387</v>
      </c>
      <c r="I309" s="264">
        <v>0</v>
      </c>
      <c r="J309" s="64">
        <f t="shared" ca="1" si="111"/>
        <v>0</v>
      </c>
      <c r="K309" s="19">
        <f ca="1">SUMPRODUCT(V$7:V309,OFFSET($J$366,ROW($I$7)-ROW(),0):$J$366)</f>
        <v>0</v>
      </c>
      <c r="L309" s="19">
        <f ca="1">SUMPRODUCT(W$7:W309,OFFSET($J$366,ROW($I$7)-ROW(),0):$J$366)</f>
        <v>0</v>
      </c>
      <c r="M309" s="19">
        <f ca="1">SUMPRODUCT(X$7:X309,OFFSET($J$366,ROW($I$7)-ROW(),0):$J$366)</f>
        <v>0</v>
      </c>
      <c r="N309" s="19"/>
      <c r="O309" s="43">
        <f t="shared" si="112"/>
        <v>52657</v>
      </c>
      <c r="P309" s="24">
        <f t="shared" si="113"/>
        <v>9191</v>
      </c>
      <c r="Q309" s="19">
        <f t="shared" si="114"/>
        <v>2.4444264272809417</v>
      </c>
      <c r="R309" s="19">
        <f t="shared" si="97"/>
        <v>17.811737280397825</v>
      </c>
      <c r="S309" s="19">
        <f t="shared" si="98"/>
        <v>1.2920852375984222E-3</v>
      </c>
      <c r="T309" s="19"/>
      <c r="U309" s="24">
        <f t="shared" si="120"/>
        <v>9189.8600000000388</v>
      </c>
      <c r="V309" s="19">
        <f t="shared" si="99"/>
        <v>10.231403027209909</v>
      </c>
      <c r="W309" s="19">
        <f t="shared" si="100"/>
        <v>37.241079957831168</v>
      </c>
      <c r="X309" s="19">
        <f t="shared" si="101"/>
        <v>5.1157015136049546</v>
      </c>
      <c r="Y309" s="27"/>
      <c r="Z309" s="42">
        <f t="shared" si="115"/>
        <v>53387</v>
      </c>
      <c r="AA309" s="19">
        <f t="shared" ca="1" si="102"/>
        <v>2.0689625280505894</v>
      </c>
      <c r="AB309" s="19">
        <f t="shared" ca="1" si="103"/>
        <v>15.738451060959518</v>
      </c>
      <c r="AC309" s="19">
        <f t="shared" ca="1" si="104"/>
        <v>5.7159858204774657E-4</v>
      </c>
      <c r="AD309" s="19">
        <f t="shared" ca="1" si="105"/>
        <v>2.3607676591439279</v>
      </c>
      <c r="AE309" s="115">
        <f t="shared" ca="1" si="106"/>
        <v>64.137838369568271</v>
      </c>
      <c r="AF309" s="19">
        <f t="shared" ca="1" si="107"/>
        <v>487.89198288974507</v>
      </c>
      <c r="AG309" s="19">
        <f t="shared" ca="1" si="108"/>
        <v>1.7719556043480144E-2</v>
      </c>
      <c r="AH309" s="19">
        <f t="shared" ca="1" si="109"/>
        <v>73.183797433461763</v>
      </c>
      <c r="AI309" s="46">
        <f t="shared" ca="1" si="116"/>
        <v>7606.9290031021228</v>
      </c>
      <c r="AJ309" s="55">
        <f t="shared" ca="1" si="117"/>
        <v>2.7619674142692261E-4</v>
      </c>
      <c r="AK309" s="19">
        <f t="shared" ca="1" si="118"/>
        <v>131.45909467436829</v>
      </c>
      <c r="AL309" s="19">
        <f t="shared" ca="1" si="110"/>
        <v>150</v>
      </c>
    </row>
    <row r="310" spans="2:38" x14ac:dyDescent="0.25">
      <c r="B310" s="19"/>
      <c r="C310" s="19"/>
      <c r="D310" s="19"/>
      <c r="E310" s="19"/>
      <c r="F310" s="19"/>
      <c r="G310" s="19"/>
      <c r="H310" s="43">
        <f t="shared" si="119"/>
        <v>53418</v>
      </c>
      <c r="I310" s="264">
        <v>0</v>
      </c>
      <c r="J310" s="64">
        <f t="shared" ca="1" si="111"/>
        <v>0</v>
      </c>
      <c r="K310" s="19">
        <f ca="1">SUMPRODUCT(V$7:V310,OFFSET($J$366,ROW($I$7)-ROW(),0):$J$366)</f>
        <v>0</v>
      </c>
      <c r="L310" s="19">
        <f ca="1">SUMPRODUCT(W$7:W310,OFFSET($J$366,ROW($I$7)-ROW(),0):$J$366)</f>
        <v>0</v>
      </c>
      <c r="M310" s="19">
        <f ca="1">SUMPRODUCT(X$7:X310,OFFSET($J$366,ROW($I$7)-ROW(),0):$J$366)</f>
        <v>0</v>
      </c>
      <c r="N310" s="19"/>
      <c r="O310" s="43">
        <f t="shared" si="112"/>
        <v>52688</v>
      </c>
      <c r="P310" s="24">
        <f t="shared" si="113"/>
        <v>9222</v>
      </c>
      <c r="Q310" s="19">
        <f t="shared" si="114"/>
        <v>2.4271768204339157</v>
      </c>
      <c r="R310" s="19">
        <f t="shared" si="97"/>
        <v>17.718379071832242</v>
      </c>
      <c r="S310" s="19">
        <f t="shared" si="98"/>
        <v>1.2480166838398999E-3</v>
      </c>
      <c r="T310" s="19"/>
      <c r="U310" s="24">
        <f t="shared" si="120"/>
        <v>9220.2900000000391</v>
      </c>
      <c r="V310" s="19">
        <f t="shared" si="99"/>
        <v>10.159202989711064</v>
      </c>
      <c r="W310" s="19">
        <f t="shared" si="100"/>
        <v>37.045885044770273</v>
      </c>
      <c r="X310" s="19">
        <f t="shared" si="101"/>
        <v>5.0796014948555319</v>
      </c>
      <c r="Y310" s="27"/>
      <c r="Z310" s="42">
        <f t="shared" si="115"/>
        <v>53418</v>
      </c>
      <c r="AA310" s="19">
        <f t="shared" ca="1" si="102"/>
        <v>2.0543624608152662</v>
      </c>
      <c r="AB310" s="19">
        <f t="shared" ca="1" si="103"/>
        <v>15.655959747870968</v>
      </c>
      <c r="AC310" s="19">
        <f t="shared" ca="1" si="104"/>
        <v>5.5218130104553974E-4</v>
      </c>
      <c r="AD310" s="19">
        <f t="shared" ca="1" si="105"/>
        <v>2.3483939621806451</v>
      </c>
      <c r="AE310" s="115">
        <f t="shared" ca="1" si="106"/>
        <v>61.630873824457986</v>
      </c>
      <c r="AF310" s="19">
        <f t="shared" ca="1" si="107"/>
        <v>469.67879243612902</v>
      </c>
      <c r="AG310" s="19">
        <f t="shared" ca="1" si="108"/>
        <v>1.6565439031366192E-2</v>
      </c>
      <c r="AH310" s="19">
        <f t="shared" ca="1" si="109"/>
        <v>70.451818865419355</v>
      </c>
      <c r="AI310" s="46">
        <f t="shared" ca="1" si="116"/>
        <v>7620.8361700972464</v>
      </c>
      <c r="AJ310" s="55">
        <f t="shared" ca="1" si="117"/>
        <v>2.6871252446615507E-4</v>
      </c>
      <c r="AK310" s="19">
        <f t="shared" ca="1" si="118"/>
        <v>131.21919664456445</v>
      </c>
      <c r="AL310" s="19">
        <f t="shared" ca="1" si="110"/>
        <v>150</v>
      </c>
    </row>
    <row r="311" spans="2:38" x14ac:dyDescent="0.25">
      <c r="B311" s="19"/>
      <c r="C311" s="19"/>
      <c r="D311" s="19"/>
      <c r="E311" s="19"/>
      <c r="F311" s="19"/>
      <c r="G311" s="19"/>
      <c r="H311" s="43">
        <f t="shared" si="119"/>
        <v>53448</v>
      </c>
      <c r="I311" s="264">
        <v>0</v>
      </c>
      <c r="J311" s="64">
        <f t="shared" ca="1" si="111"/>
        <v>0</v>
      </c>
      <c r="K311" s="19">
        <f ca="1">SUMPRODUCT(V$7:V311,OFFSET($J$366,ROW($I$7)-ROW(),0):$J$366)</f>
        <v>0</v>
      </c>
      <c r="L311" s="19">
        <f ca="1">SUMPRODUCT(W$7:W311,OFFSET($J$366,ROW($I$7)-ROW(),0):$J$366)</f>
        <v>0</v>
      </c>
      <c r="M311" s="19">
        <f ca="1">SUMPRODUCT(X$7:X311,OFFSET($J$366,ROW($I$7)-ROW(),0):$J$366)</f>
        <v>0</v>
      </c>
      <c r="N311" s="19"/>
      <c r="O311" s="43">
        <f t="shared" si="112"/>
        <v>52718</v>
      </c>
      <c r="P311" s="24">
        <f t="shared" si="113"/>
        <v>9252</v>
      </c>
      <c r="Q311" s="19">
        <f t="shared" si="114"/>
        <v>2.4105995601808132</v>
      </c>
      <c r="R311" s="19">
        <f t="shared" si="97"/>
        <v>17.628498348681163</v>
      </c>
      <c r="S311" s="19">
        <f t="shared" si="98"/>
        <v>1.2068082238398494E-3</v>
      </c>
      <c r="T311" s="19"/>
      <c r="U311" s="24">
        <f t="shared" si="120"/>
        <v>9250.7200000000394</v>
      </c>
      <c r="V311" s="19">
        <f t="shared" si="99"/>
        <v>10.089817129353998</v>
      </c>
      <c r="W311" s="19">
        <f t="shared" si="100"/>
        <v>36.857960916716756</v>
      </c>
      <c r="X311" s="19">
        <f t="shared" si="101"/>
        <v>5.0449085646769989</v>
      </c>
      <c r="Y311" s="27"/>
      <c r="Z311" s="42">
        <f t="shared" si="115"/>
        <v>53448</v>
      </c>
      <c r="AA311" s="19">
        <f t="shared" ca="1" si="102"/>
        <v>2.0403314677370403</v>
      </c>
      <c r="AB311" s="19">
        <f t="shared" ca="1" si="103"/>
        <v>15.576541140894673</v>
      </c>
      <c r="AC311" s="19">
        <f t="shared" ca="1" si="104"/>
        <v>5.3402168581042448E-4</v>
      </c>
      <c r="AD311" s="19">
        <f t="shared" ca="1" si="105"/>
        <v>2.3364811711342006</v>
      </c>
      <c r="AE311" s="115">
        <f t="shared" ca="1" si="106"/>
        <v>63.25027549984825</v>
      </c>
      <c r="AF311" s="19">
        <f t="shared" ca="1" si="107"/>
        <v>482.87277536773485</v>
      </c>
      <c r="AG311" s="19">
        <f t="shared" ca="1" si="108"/>
        <v>1.6554672260123159E-2</v>
      </c>
      <c r="AH311" s="19">
        <f t="shared" ca="1" si="109"/>
        <v>72.430916305160224</v>
      </c>
      <c r="AI311" s="46">
        <f t="shared" ca="1" si="116"/>
        <v>7634.3189267040161</v>
      </c>
      <c r="AJ311" s="55">
        <f t="shared" ca="1" si="117"/>
        <v>2.6166432260140961E-4</v>
      </c>
      <c r="AK311" s="19">
        <f t="shared" ca="1" si="118"/>
        <v>130.9874541004711</v>
      </c>
      <c r="AL311" s="19">
        <f t="shared" ca="1" si="110"/>
        <v>150</v>
      </c>
    </row>
    <row r="312" spans="2:38" x14ac:dyDescent="0.25">
      <c r="B312" s="19"/>
      <c r="C312" s="19"/>
      <c r="D312" s="19"/>
      <c r="E312" s="19"/>
      <c r="F312" s="19"/>
      <c r="G312" s="19"/>
      <c r="H312" s="43">
        <f t="shared" si="119"/>
        <v>53479</v>
      </c>
      <c r="I312" s="264">
        <v>0</v>
      </c>
      <c r="J312" s="64">
        <f t="shared" ca="1" si="111"/>
        <v>0</v>
      </c>
      <c r="K312" s="19">
        <f ca="1">SUMPRODUCT(V$7:V312,OFFSET($J$366,ROW($I$7)-ROW(),0):$J$366)</f>
        <v>0</v>
      </c>
      <c r="L312" s="19">
        <f ca="1">SUMPRODUCT(W$7:W312,OFFSET($J$366,ROW($I$7)-ROW(),0):$J$366)</f>
        <v>0</v>
      </c>
      <c r="M312" s="19">
        <f ca="1">SUMPRODUCT(X$7:X312,OFFSET($J$366,ROW($I$7)-ROW(),0):$J$366)</f>
        <v>0</v>
      </c>
      <c r="N312" s="19"/>
      <c r="O312" s="43">
        <f t="shared" si="112"/>
        <v>52749</v>
      </c>
      <c r="P312" s="24">
        <f t="shared" si="113"/>
        <v>9283</v>
      </c>
      <c r="Q312" s="19">
        <f t="shared" si="114"/>
        <v>2.393588659703441</v>
      </c>
      <c r="R312" s="19">
        <f t="shared" si="97"/>
        <v>17.536100566273635</v>
      </c>
      <c r="S312" s="19">
        <f t="shared" si="98"/>
        <v>1.1656619795853947E-3</v>
      </c>
      <c r="T312" s="19"/>
      <c r="U312" s="24">
        <f t="shared" si="120"/>
        <v>9281.1500000000397</v>
      </c>
      <c r="V312" s="19">
        <f t="shared" si="99"/>
        <v>10.018616222385671</v>
      </c>
      <c r="W312" s="19">
        <f t="shared" si="100"/>
        <v>36.664774078824649</v>
      </c>
      <c r="X312" s="19">
        <f t="shared" si="101"/>
        <v>5.0093081111928353</v>
      </c>
      <c r="Y312" s="27"/>
      <c r="Z312" s="42">
        <f t="shared" si="115"/>
        <v>53479</v>
      </c>
      <c r="AA312" s="19">
        <f t="shared" ca="1" si="102"/>
        <v>2.0259334415729926</v>
      </c>
      <c r="AB312" s="19">
        <f t="shared" ca="1" si="103"/>
        <v>15.494898460359384</v>
      </c>
      <c r="AC312" s="19">
        <f t="shared" ca="1" si="104"/>
        <v>5.1588695747405524E-4</v>
      </c>
      <c r="AD312" s="19">
        <f t="shared" ca="1" si="105"/>
        <v>2.3242347690539078</v>
      </c>
      <c r="AE312" s="115">
        <f t="shared" ca="1" si="106"/>
        <v>60.77800324718978</v>
      </c>
      <c r="AF312" s="19">
        <f t="shared" ca="1" si="107"/>
        <v>464.84695381078149</v>
      </c>
      <c r="AG312" s="19">
        <f t="shared" ca="1" si="108"/>
        <v>1.5476608724221658E-2</v>
      </c>
      <c r="AH312" s="19">
        <f t="shared" ca="1" si="109"/>
        <v>69.727043071617231</v>
      </c>
      <c r="AI312" s="46">
        <f t="shared" ca="1" si="116"/>
        <v>7648.2761686033973</v>
      </c>
      <c r="AJ312" s="55">
        <f t="shared" ca="1" si="117"/>
        <v>2.5457678620968249E-4</v>
      </c>
      <c r="AK312" s="19">
        <f t="shared" ca="1" si="118"/>
        <v>130.7484167615516</v>
      </c>
      <c r="AL312" s="19">
        <f t="shared" ca="1" si="110"/>
        <v>150</v>
      </c>
    </row>
    <row r="313" spans="2:38" x14ac:dyDescent="0.25">
      <c r="B313" s="19"/>
      <c r="C313" s="19"/>
      <c r="D313" s="19"/>
      <c r="E313" s="19"/>
      <c r="F313" s="19"/>
      <c r="G313" s="19"/>
      <c r="H313" s="43">
        <f t="shared" si="119"/>
        <v>53509</v>
      </c>
      <c r="I313" s="264">
        <v>0</v>
      </c>
      <c r="J313" s="64">
        <f t="shared" ca="1" si="111"/>
        <v>0</v>
      </c>
      <c r="K313" s="19">
        <f ca="1">SUMPRODUCT(V$7:V313,OFFSET($J$366,ROW($I$7)-ROW(),0):$J$366)</f>
        <v>0</v>
      </c>
      <c r="L313" s="19">
        <f ca="1">SUMPRODUCT(W$7:W313,OFFSET($J$366,ROW($I$7)-ROW(),0):$J$366)</f>
        <v>0</v>
      </c>
      <c r="M313" s="19">
        <f ca="1">SUMPRODUCT(X$7:X313,OFFSET($J$366,ROW($I$7)-ROW(),0):$J$366)</f>
        <v>0</v>
      </c>
      <c r="N313" s="19"/>
      <c r="O313" s="43">
        <f t="shared" si="112"/>
        <v>52779</v>
      </c>
      <c r="P313" s="24">
        <f t="shared" si="113"/>
        <v>9313</v>
      </c>
      <c r="Q313" s="19">
        <f t="shared" si="114"/>
        <v>2.3772408016418738</v>
      </c>
      <c r="R313" s="19">
        <f t="shared" si="97"/>
        <v>17.447144494515783</v>
      </c>
      <c r="S313" s="19">
        <f t="shared" si="98"/>
        <v>1.127185717639569E-3</v>
      </c>
      <c r="T313" s="19"/>
      <c r="U313" s="24">
        <f t="shared" si="120"/>
        <v>9311.5800000000399</v>
      </c>
      <c r="V313" s="19">
        <f t="shared" si="99"/>
        <v>9.9501905489463756</v>
      </c>
      <c r="W313" s="19">
        <f t="shared" si="100"/>
        <v>36.478783227459772</v>
      </c>
      <c r="X313" s="19">
        <f t="shared" si="101"/>
        <v>4.9750952744731878</v>
      </c>
      <c r="Y313" s="27"/>
      <c r="Z313" s="42">
        <f t="shared" si="115"/>
        <v>53509</v>
      </c>
      <c r="AA313" s="19">
        <f t="shared" ca="1" si="102"/>
        <v>2.0120966145096824</v>
      </c>
      <c r="AB313" s="19">
        <f t="shared" ca="1" si="103"/>
        <v>15.416296875354142</v>
      </c>
      <c r="AC313" s="19">
        <f t="shared" ca="1" si="104"/>
        <v>4.9892662639542285E-4</v>
      </c>
      <c r="AD313" s="19">
        <f t="shared" ca="1" si="105"/>
        <v>2.3124445313031212</v>
      </c>
      <c r="AE313" s="115">
        <f t="shared" ca="1" si="106"/>
        <v>62.374995049800155</v>
      </c>
      <c r="AF313" s="19">
        <f t="shared" ca="1" si="107"/>
        <v>477.90520313597841</v>
      </c>
      <c r="AG313" s="19">
        <f t="shared" ca="1" si="108"/>
        <v>1.5466725418258108E-2</v>
      </c>
      <c r="AH313" s="19">
        <f t="shared" ca="1" si="109"/>
        <v>71.685780470396764</v>
      </c>
      <c r="AI313" s="46">
        <f t="shared" ca="1" si="116"/>
        <v>7661.8074719592232</v>
      </c>
      <c r="AJ313" s="55">
        <f t="shared" ca="1" si="117"/>
        <v>2.4790208275716775E-4</v>
      </c>
      <c r="AK313" s="19">
        <f t="shared" ca="1" si="118"/>
        <v>130.51750564860998</v>
      </c>
      <c r="AL313" s="19">
        <f t="shared" ca="1" si="110"/>
        <v>150</v>
      </c>
    </row>
    <row r="314" spans="2:38" x14ac:dyDescent="0.25">
      <c r="B314" s="19"/>
      <c r="C314" s="19"/>
      <c r="D314" s="19"/>
      <c r="E314" s="19"/>
      <c r="F314" s="19"/>
      <c r="G314" s="19"/>
      <c r="H314" s="43">
        <f t="shared" si="119"/>
        <v>53540</v>
      </c>
      <c r="I314" s="264">
        <v>0</v>
      </c>
      <c r="J314" s="64">
        <f t="shared" ca="1" si="111"/>
        <v>0</v>
      </c>
      <c r="K314" s="19">
        <f ca="1">SUMPRODUCT(V$7:V314,OFFSET($J$366,ROW($I$7)-ROW(),0):$J$366)</f>
        <v>0</v>
      </c>
      <c r="L314" s="19">
        <f ca="1">SUMPRODUCT(W$7:W314,OFFSET($J$366,ROW($I$7)-ROW(),0):$J$366)</f>
        <v>0</v>
      </c>
      <c r="M314" s="19">
        <f ca="1">SUMPRODUCT(X$7:X314,OFFSET($J$366,ROW($I$7)-ROW(),0):$J$366)</f>
        <v>0</v>
      </c>
      <c r="N314" s="19"/>
      <c r="O314" s="43">
        <f t="shared" si="112"/>
        <v>52810</v>
      </c>
      <c r="P314" s="24">
        <f t="shared" si="113"/>
        <v>9344</v>
      </c>
      <c r="Q314" s="19">
        <f t="shared" si="114"/>
        <v>2.3604653042280916</v>
      </c>
      <c r="R314" s="19">
        <f t="shared" si="97"/>
        <v>17.355697257845307</v>
      </c>
      <c r="S314" s="19">
        <f t="shared" si="98"/>
        <v>1.0887670968127302E-3</v>
      </c>
      <c r="T314" s="19"/>
      <c r="U314" s="24">
        <f t="shared" si="120"/>
        <v>9342.0100000000402</v>
      </c>
      <c r="V314" s="19">
        <f t="shared" si="99"/>
        <v>9.8799749461747908</v>
      </c>
      <c r="W314" s="19">
        <f t="shared" si="100"/>
        <v>36.287583806585992</v>
      </c>
      <c r="X314" s="19">
        <f t="shared" si="101"/>
        <v>4.9399874730873954</v>
      </c>
      <c r="Y314" s="27"/>
      <c r="Z314" s="42">
        <f t="shared" si="115"/>
        <v>53540</v>
      </c>
      <c r="AA314" s="19">
        <f t="shared" ca="1" si="102"/>
        <v>1.9978978334986572</v>
      </c>
      <c r="AB314" s="19">
        <f t="shared" ca="1" si="103"/>
        <v>15.335494097032109</v>
      </c>
      <c r="AC314" s="19">
        <f t="shared" ca="1" si="104"/>
        <v>4.8198934204805318E-4</v>
      </c>
      <c r="AD314" s="19">
        <f t="shared" ca="1" si="105"/>
        <v>2.3003241145548166</v>
      </c>
      <c r="AE314" s="115">
        <f t="shared" ca="1" si="106"/>
        <v>61.934832838458377</v>
      </c>
      <c r="AF314" s="19">
        <f t="shared" ca="1" si="107"/>
        <v>475.4003170079954</v>
      </c>
      <c r="AG314" s="19">
        <f t="shared" ca="1" si="108"/>
        <v>1.4941669603489648E-2</v>
      </c>
      <c r="AH314" s="19">
        <f t="shared" ca="1" si="109"/>
        <v>71.310047551199318</v>
      </c>
      <c r="AI314" s="46">
        <f t="shared" ca="1" si="116"/>
        <v>7675.8149690652917</v>
      </c>
      <c r="AJ314" s="55">
        <f t="shared" ca="1" si="117"/>
        <v>2.4119005633418741E-4</v>
      </c>
      <c r="AK314" s="19">
        <f t="shared" ca="1" si="118"/>
        <v>130.27932591264289</v>
      </c>
      <c r="AL314" s="19">
        <f t="shared" ca="1" si="110"/>
        <v>150.00000000000003</v>
      </c>
    </row>
    <row r="315" spans="2:38" x14ac:dyDescent="0.25">
      <c r="B315" s="19"/>
      <c r="C315" s="19"/>
      <c r="D315" s="19"/>
      <c r="E315" s="19"/>
      <c r="F315" s="19"/>
      <c r="G315" s="19"/>
      <c r="H315" s="43">
        <f t="shared" si="119"/>
        <v>53571</v>
      </c>
      <c r="I315" s="264">
        <v>0</v>
      </c>
      <c r="J315" s="64">
        <f t="shared" ca="1" si="111"/>
        <v>0</v>
      </c>
      <c r="K315" s="19">
        <f ca="1">SUMPRODUCT(V$7:V315,OFFSET($J$366,ROW($I$7)-ROW(),0):$J$366)</f>
        <v>0</v>
      </c>
      <c r="L315" s="19">
        <f ca="1">SUMPRODUCT(W$7:W315,OFFSET($J$366,ROW($I$7)-ROW(),0):$J$366)</f>
        <v>0</v>
      </c>
      <c r="M315" s="19">
        <f ca="1">SUMPRODUCT(X$7:X315,OFFSET($J$366,ROW($I$7)-ROW(),0):$J$366)</f>
        <v>0</v>
      </c>
      <c r="N315" s="19"/>
      <c r="O315" s="43">
        <f t="shared" si="112"/>
        <v>52841</v>
      </c>
      <c r="P315" s="24">
        <f t="shared" si="113"/>
        <v>9375</v>
      </c>
      <c r="Q315" s="19">
        <f t="shared" si="114"/>
        <v>2.3438081866239133</v>
      </c>
      <c r="R315" s="19">
        <f t="shared" si="97"/>
        <v>17.264729331534031</v>
      </c>
      <c r="S315" s="19">
        <f t="shared" si="98"/>
        <v>1.0516642457750554E-3</v>
      </c>
      <c r="T315" s="19"/>
      <c r="U315" s="24">
        <f t="shared" si="120"/>
        <v>9372.4400000000405</v>
      </c>
      <c r="V315" s="19">
        <f t="shared" si="99"/>
        <v>9.8102548345044394</v>
      </c>
      <c r="W315" s="19">
        <f t="shared" si="100"/>
        <v>36.097386535874811</v>
      </c>
      <c r="X315" s="19">
        <f t="shared" si="101"/>
        <v>4.9051274172522197</v>
      </c>
      <c r="Y315" s="27"/>
      <c r="Z315" s="42">
        <f t="shared" si="115"/>
        <v>53571</v>
      </c>
      <c r="AA315" s="19">
        <f t="shared" ca="1" si="102"/>
        <v>1.9837992491584804</v>
      </c>
      <c r="AB315" s="19">
        <f t="shared" ca="1" si="103"/>
        <v>15.255114837343465</v>
      </c>
      <c r="AC315" s="19">
        <f t="shared" ca="1" si="104"/>
        <v>4.6562981177954437E-4</v>
      </c>
      <c r="AD315" s="19">
        <f t="shared" ca="1" si="105"/>
        <v>2.2882672256015195</v>
      </c>
      <c r="AE315" s="115">
        <f t="shared" ca="1" si="106"/>
        <v>59.513977474754412</v>
      </c>
      <c r="AF315" s="19">
        <f t="shared" ca="1" si="107"/>
        <v>457.65344512030396</v>
      </c>
      <c r="AG315" s="19">
        <f t="shared" ca="1" si="108"/>
        <v>1.3968894353386331E-2</v>
      </c>
      <c r="AH315" s="19">
        <f t="shared" ca="1" si="109"/>
        <v>68.648016768045579</v>
      </c>
      <c r="AI315" s="46">
        <f t="shared" ca="1" si="116"/>
        <v>7689.8480750079034</v>
      </c>
      <c r="AJ315" s="55">
        <f t="shared" ca="1" si="117"/>
        <v>2.3466111642372276E-4</v>
      </c>
      <c r="AK315" s="19">
        <f t="shared" ca="1" si="118"/>
        <v>130.04158082784647</v>
      </c>
      <c r="AL315" s="19">
        <f t="shared" ca="1" si="110"/>
        <v>149.99999999999997</v>
      </c>
    </row>
    <row r="316" spans="2:38" x14ac:dyDescent="0.25">
      <c r="B316" s="19"/>
      <c r="C316" s="19"/>
      <c r="D316" s="19"/>
      <c r="E316" s="19"/>
      <c r="F316" s="19"/>
      <c r="G316" s="19"/>
      <c r="H316" s="43">
        <f t="shared" si="119"/>
        <v>53601</v>
      </c>
      <c r="I316" s="264">
        <v>0</v>
      </c>
      <c r="J316" s="64">
        <f t="shared" ca="1" si="111"/>
        <v>0</v>
      </c>
      <c r="K316" s="19">
        <f ca="1">SUMPRODUCT(V$7:V316,OFFSET($J$366,ROW($I$7)-ROW(),0):$J$366)</f>
        <v>0</v>
      </c>
      <c r="L316" s="19">
        <f ca="1">SUMPRODUCT(W$7:W316,OFFSET($J$366,ROW($I$7)-ROW(),0):$J$366)</f>
        <v>0</v>
      </c>
      <c r="M316" s="19">
        <f ca="1">SUMPRODUCT(X$7:X316,OFFSET($J$366,ROW($I$7)-ROW(),0):$J$366)</f>
        <v>0</v>
      </c>
      <c r="N316" s="19"/>
      <c r="O316" s="43">
        <f t="shared" si="112"/>
        <v>52871</v>
      </c>
      <c r="P316" s="24">
        <f t="shared" si="113"/>
        <v>9405</v>
      </c>
      <c r="Q316" s="19">
        <f t="shared" si="114"/>
        <v>2.3278003218627168</v>
      </c>
      <c r="R316" s="19">
        <f t="shared" si="97"/>
        <v>17.17714985538472</v>
      </c>
      <c r="S316" s="19">
        <f t="shared" si="98"/>
        <v>1.0169683887116417E-3</v>
      </c>
      <c r="T316" s="19"/>
      <c r="U316" s="24">
        <f t="shared" si="120"/>
        <v>9402.8700000000408</v>
      </c>
      <c r="V316" s="19">
        <f t="shared" si="99"/>
        <v>9.7432522386606948</v>
      </c>
      <c r="W316" s="19">
        <f t="shared" si="100"/>
        <v>35.914273893767131</v>
      </c>
      <c r="X316" s="19">
        <f t="shared" si="101"/>
        <v>4.8716261193303474</v>
      </c>
      <c r="Y316" s="27"/>
      <c r="Z316" s="42">
        <f t="shared" si="115"/>
        <v>53601</v>
      </c>
      <c r="AA316" s="19">
        <f t="shared" ca="1" si="102"/>
        <v>1.9702501924246036</v>
      </c>
      <c r="AB316" s="19">
        <f t="shared" ca="1" si="103"/>
        <v>15.177729612217938</v>
      </c>
      <c r="AC316" s="19">
        <f t="shared" ca="1" si="104"/>
        <v>4.5032944987657134E-4</v>
      </c>
      <c r="AD316" s="19">
        <f t="shared" ca="1" si="105"/>
        <v>2.2766594418326909</v>
      </c>
      <c r="AE316" s="115">
        <f t="shared" ca="1" si="106"/>
        <v>61.077755965162716</v>
      </c>
      <c r="AF316" s="19">
        <f t="shared" ca="1" si="107"/>
        <v>470.50961797875607</v>
      </c>
      <c r="AG316" s="19">
        <f t="shared" ca="1" si="108"/>
        <v>1.3960212946173712E-2</v>
      </c>
      <c r="AH316" s="19">
        <f t="shared" ca="1" si="109"/>
        <v>70.576442696813416</v>
      </c>
      <c r="AI316" s="46">
        <f t="shared" ca="1" si="116"/>
        <v>7703.4529272346463</v>
      </c>
      <c r="AJ316" s="55">
        <f t="shared" ca="1" si="117"/>
        <v>2.2851237155416664E-4</v>
      </c>
      <c r="AK316" s="19">
        <f t="shared" ca="1" si="118"/>
        <v>129.81191803802921</v>
      </c>
      <c r="AL316" s="19">
        <f t="shared" ca="1" si="110"/>
        <v>150</v>
      </c>
    </row>
    <row r="317" spans="2:38" x14ac:dyDescent="0.25">
      <c r="B317" s="19"/>
      <c r="C317" s="19"/>
      <c r="D317" s="19"/>
      <c r="E317" s="19"/>
      <c r="F317" s="19"/>
      <c r="G317" s="19"/>
      <c r="H317" s="43">
        <f t="shared" si="119"/>
        <v>53632</v>
      </c>
      <c r="I317" s="264">
        <v>0</v>
      </c>
      <c r="J317" s="64">
        <f t="shared" ca="1" si="111"/>
        <v>0</v>
      </c>
      <c r="K317" s="19">
        <f ca="1">SUMPRODUCT(V$7:V317,OFFSET($J$366,ROW($I$7)-ROW(),0):$J$366)</f>
        <v>0</v>
      </c>
      <c r="L317" s="19">
        <f ca="1">SUMPRODUCT(W$7:W317,OFFSET($J$366,ROW($I$7)-ROW(),0):$J$366)</f>
        <v>0</v>
      </c>
      <c r="M317" s="19">
        <f ca="1">SUMPRODUCT(X$7:X317,OFFSET($J$366,ROW($I$7)-ROW(),0):$J$366)</f>
        <v>0</v>
      </c>
      <c r="N317" s="19"/>
      <c r="O317" s="43">
        <f t="shared" si="112"/>
        <v>52902</v>
      </c>
      <c r="P317" s="24">
        <f t="shared" si="113"/>
        <v>9436</v>
      </c>
      <c r="Q317" s="19">
        <f t="shared" si="114"/>
        <v>2.3113737115453108</v>
      </c>
      <c r="R317" s="19">
        <f t="shared" si="97"/>
        <v>17.08711776511096</v>
      </c>
      <c r="S317" s="19">
        <f t="shared" si="98"/>
        <v>9.8232389840358721E-4</v>
      </c>
      <c r="T317" s="19"/>
      <c r="U317" s="24">
        <f t="shared" si="120"/>
        <v>9433.3000000000411</v>
      </c>
      <c r="V317" s="19">
        <f t="shared" si="99"/>
        <v>9.6744969394000577</v>
      </c>
      <c r="W317" s="19">
        <f t="shared" si="100"/>
        <v>35.726033284787022</v>
      </c>
      <c r="X317" s="19">
        <f t="shared" si="101"/>
        <v>4.8372484697000289</v>
      </c>
      <c r="Y317" s="27"/>
      <c r="Z317" s="42">
        <f t="shared" si="115"/>
        <v>53632</v>
      </c>
      <c r="AA317" s="19">
        <f t="shared" ca="1" si="102"/>
        <v>1.9563467094519507</v>
      </c>
      <c r="AB317" s="19">
        <f t="shared" ca="1" si="103"/>
        <v>15.098177257252042</v>
      </c>
      <c r="AC317" s="19">
        <f t="shared" ca="1" si="104"/>
        <v>4.3504961176398383E-4</v>
      </c>
      <c r="AD317" s="19">
        <f t="shared" ca="1" si="105"/>
        <v>2.2647265885878061</v>
      </c>
      <c r="AE317" s="115">
        <f t="shared" ca="1" si="106"/>
        <v>58.690401283558522</v>
      </c>
      <c r="AF317" s="19">
        <f t="shared" ca="1" si="107"/>
        <v>452.94531771756124</v>
      </c>
      <c r="AG317" s="19">
        <f t="shared" ca="1" si="108"/>
        <v>1.3051488352919515E-2</v>
      </c>
      <c r="AH317" s="19">
        <f t="shared" ca="1" si="109"/>
        <v>67.941797657634183</v>
      </c>
      <c r="AI317" s="46">
        <f t="shared" ca="1" si="116"/>
        <v>7717.5365615441606</v>
      </c>
      <c r="AJ317" s="55">
        <f t="shared" ca="1" si="117"/>
        <v>2.2232914311923438E-4</v>
      </c>
      <c r="AK317" s="19">
        <f t="shared" ca="1" si="118"/>
        <v>129.57502591991806</v>
      </c>
      <c r="AL317" s="19">
        <f t="shared" ca="1" si="110"/>
        <v>150</v>
      </c>
    </row>
    <row r="318" spans="2:38" x14ac:dyDescent="0.25">
      <c r="B318" s="19"/>
      <c r="C318" s="19"/>
      <c r="D318" s="19"/>
      <c r="E318" s="19"/>
      <c r="F318" s="19"/>
      <c r="G318" s="19"/>
      <c r="H318" s="44">
        <f t="shared" si="119"/>
        <v>53662</v>
      </c>
      <c r="I318" s="265">
        <v>0</v>
      </c>
      <c r="J318" s="65">
        <f t="shared" ca="1" si="111"/>
        <v>0</v>
      </c>
      <c r="K318" s="21">
        <f ca="1">SUMPRODUCT(V$7:V318,OFFSET($J$366,ROW($I$7)-ROW(),0):$J$366)</f>
        <v>0</v>
      </c>
      <c r="L318" s="21">
        <f ca="1">SUMPRODUCT(W$7:W318,OFFSET($J$366,ROW($I$7)-ROW(),0):$J$366)</f>
        <v>0</v>
      </c>
      <c r="M318" s="21">
        <f ca="1">SUMPRODUCT(X$7:X318,OFFSET($J$366,ROW($I$7)-ROW(),0):$J$366)</f>
        <v>0</v>
      </c>
      <c r="N318" s="19"/>
      <c r="O318" s="44">
        <f t="shared" si="112"/>
        <v>52932</v>
      </c>
      <c r="P318" s="25">
        <f t="shared" si="113"/>
        <v>9466</v>
      </c>
      <c r="Q318" s="21">
        <f t="shared" si="114"/>
        <v>2.2955873694725413</v>
      </c>
      <c r="R318" s="21">
        <f t="shared" si="97"/>
        <v>17.000439266187918</v>
      </c>
      <c r="S318" s="21">
        <f t="shared" si="98"/>
        <v>9.4992654069752118E-4</v>
      </c>
      <c r="T318" s="19"/>
      <c r="U318" s="25">
        <f t="shared" si="120"/>
        <v>9463.7300000000414</v>
      </c>
      <c r="V318" s="21">
        <f t="shared" si="99"/>
        <v>9.6084215499879218</v>
      </c>
      <c r="W318" s="21">
        <f t="shared" si="100"/>
        <v>35.544804421021425</v>
      </c>
      <c r="X318" s="21">
        <f t="shared" si="101"/>
        <v>4.8042107749939609</v>
      </c>
      <c r="Y318" s="27"/>
      <c r="Z318" s="48">
        <f t="shared" si="115"/>
        <v>53662</v>
      </c>
      <c r="AA318" s="21">
        <f t="shared" ca="1" si="102"/>
        <v>1.9429851495215589</v>
      </c>
      <c r="AB318" s="21">
        <f t="shared" ca="1" si="103"/>
        <v>15.021588135603642</v>
      </c>
      <c r="AC318" s="21">
        <f t="shared" ca="1" si="104"/>
        <v>4.207588735698011E-4</v>
      </c>
      <c r="AD318" s="21">
        <f t="shared" ca="1" si="105"/>
        <v>2.2532382203405463</v>
      </c>
      <c r="AE318" s="116">
        <f t="shared" ca="1" si="106"/>
        <v>60.232539635168322</v>
      </c>
      <c r="AF318" s="21">
        <f t="shared" ca="1" si="107"/>
        <v>465.66923220371291</v>
      </c>
      <c r="AG318" s="21">
        <f t="shared" ca="1" si="108"/>
        <v>1.3043525080663834E-2</v>
      </c>
      <c r="AH318" s="21">
        <f t="shared" ca="1" si="109"/>
        <v>69.850384830556933</v>
      </c>
      <c r="AI318" s="47">
        <f t="shared" ca="1" si="116"/>
        <v>7731.1904001441098</v>
      </c>
      <c r="AJ318" s="57">
        <f t="shared" ca="1" si="117"/>
        <v>2.1650591456586919E-4</v>
      </c>
      <c r="AK318" s="21">
        <f t="shared" ca="1" si="118"/>
        <v>129.34618709964249</v>
      </c>
      <c r="AL318" s="21">
        <f t="shared" ca="1" si="110"/>
        <v>150</v>
      </c>
    </row>
    <row r="319" spans="2:38" x14ac:dyDescent="0.25">
      <c r="B319" s="19"/>
      <c r="C319" s="19"/>
      <c r="D319" s="19"/>
      <c r="E319" s="19"/>
      <c r="F319" s="19"/>
      <c r="G319" s="19"/>
      <c r="H319" s="43">
        <f t="shared" si="119"/>
        <v>53693</v>
      </c>
      <c r="I319" s="264">
        <v>0</v>
      </c>
      <c r="J319" s="64">
        <f t="shared" ca="1" si="111"/>
        <v>0</v>
      </c>
      <c r="K319" s="19">
        <f ca="1">SUMPRODUCT(V$7:V319,OFFSET($J$366,ROW($I$7)-ROW(),0):$J$366)</f>
        <v>0</v>
      </c>
      <c r="L319" s="19">
        <f ca="1">SUMPRODUCT(W$7:W319,OFFSET($J$366,ROW($I$7)-ROW(),0):$J$366)</f>
        <v>0</v>
      </c>
      <c r="M319" s="19">
        <f ca="1">SUMPRODUCT(X$7:X319,OFFSET($J$366,ROW($I$7)-ROW(),0):$J$366)</f>
        <v>0</v>
      </c>
      <c r="N319" s="19"/>
      <c r="O319" s="43">
        <f t="shared" si="112"/>
        <v>52963</v>
      </c>
      <c r="P319" s="24">
        <f t="shared" si="113"/>
        <v>9497</v>
      </c>
      <c r="Q319" s="19">
        <f t="shared" si="114"/>
        <v>2.2793880765977508</v>
      </c>
      <c r="R319" s="19">
        <f t="shared" si="97"/>
        <v>16.911333384502473</v>
      </c>
      <c r="S319" s="19">
        <f t="shared" si="98"/>
        <v>9.1757676891273895E-4</v>
      </c>
      <c r="T319" s="19"/>
      <c r="U319" s="24">
        <f t="shared" si="120"/>
        <v>9494.1600000000417</v>
      </c>
      <c r="V319" s="19">
        <f t="shared" si="99"/>
        <v>9.54061771170994</v>
      </c>
      <c r="W319" s="19">
        <f t="shared" si="100"/>
        <v>35.35850034453965</v>
      </c>
      <c r="X319" s="19">
        <f t="shared" si="101"/>
        <v>4.77030885585497</v>
      </c>
      <c r="Y319" s="27"/>
      <c r="Z319" s="42">
        <f t="shared" si="115"/>
        <v>53693</v>
      </c>
      <c r="AA319" s="19">
        <f t="shared" ca="1" si="102"/>
        <v>1.9292740680323366</v>
      </c>
      <c r="AB319" s="19">
        <f t="shared" ca="1" si="103"/>
        <v>14.942854178546385</v>
      </c>
      <c r="AC319" s="19">
        <f t="shared" ca="1" si="104"/>
        <v>4.0648713948271799E-4</v>
      </c>
      <c r="AD319" s="19">
        <f t="shared" ca="1" si="105"/>
        <v>2.2414281267819578</v>
      </c>
      <c r="AE319" s="115">
        <f t="shared" ca="1" si="106"/>
        <v>59.807496109002436</v>
      </c>
      <c r="AF319" s="19">
        <f t="shared" ca="1" si="107"/>
        <v>463.22847953493795</v>
      </c>
      <c r="AG319" s="19">
        <f t="shared" ca="1" si="108"/>
        <v>1.2601101323964258E-2</v>
      </c>
      <c r="AH319" s="19">
        <f t="shared" ca="1" si="109"/>
        <v>69.484271930240695</v>
      </c>
      <c r="AI319" s="46">
        <f t="shared" ca="1" si="116"/>
        <v>7745.3247447557187</v>
      </c>
      <c r="AJ319" s="55">
        <f t="shared" ca="1" si="117"/>
        <v>2.10649964002215E-4</v>
      </c>
      <c r="AK319" s="19">
        <f t="shared" ca="1" si="118"/>
        <v>129.11014488799708</v>
      </c>
      <c r="AL319" s="19">
        <f t="shared" ca="1" si="110"/>
        <v>150</v>
      </c>
    </row>
    <row r="320" spans="2:38" x14ac:dyDescent="0.25">
      <c r="B320" s="19"/>
      <c r="C320" s="19"/>
      <c r="D320" s="19"/>
      <c r="E320" s="19"/>
      <c r="F320" s="19"/>
      <c r="G320" s="19"/>
      <c r="H320" s="43">
        <f t="shared" si="119"/>
        <v>53724</v>
      </c>
      <c r="I320" s="264">
        <v>0</v>
      </c>
      <c r="J320" s="64">
        <f t="shared" ca="1" si="111"/>
        <v>0</v>
      </c>
      <c r="K320" s="19">
        <f ca="1">SUMPRODUCT(V$7:V320,OFFSET($J$366,ROW($I$7)-ROW(),0):$J$366)</f>
        <v>0</v>
      </c>
      <c r="L320" s="19">
        <f ca="1">SUMPRODUCT(W$7:W320,OFFSET($J$366,ROW($I$7)-ROW(),0):$J$366)</f>
        <v>0</v>
      </c>
      <c r="M320" s="19">
        <f ca="1">SUMPRODUCT(X$7:X320,OFFSET($J$366,ROW($I$7)-ROW(),0):$J$366)</f>
        <v>0</v>
      </c>
      <c r="N320" s="19"/>
      <c r="O320" s="43">
        <f t="shared" si="112"/>
        <v>52994</v>
      </c>
      <c r="P320" s="24">
        <f t="shared" si="113"/>
        <v>9528</v>
      </c>
      <c r="Q320" s="19">
        <f t="shared" si="114"/>
        <v>2.2633030974246013</v>
      </c>
      <c r="R320" s="19">
        <f t="shared" si="97"/>
        <v>16.822694541228607</v>
      </c>
      <c r="S320" s="19">
        <f t="shared" si="98"/>
        <v>8.863339887405083E-4</v>
      </c>
      <c r="T320" s="19"/>
      <c r="U320" s="24">
        <f t="shared" si="120"/>
        <v>9524.590000000042</v>
      </c>
      <c r="V320" s="19">
        <f t="shared" si="99"/>
        <v>9.4732923454121156</v>
      </c>
      <c r="W320" s="19">
        <f t="shared" si="100"/>
        <v>35.17317275982591</v>
      </c>
      <c r="X320" s="19">
        <f t="shared" si="101"/>
        <v>4.7366461727060578</v>
      </c>
      <c r="Y320" s="27"/>
      <c r="Z320" s="42">
        <f t="shared" si="115"/>
        <v>53724</v>
      </c>
      <c r="AA320" s="19">
        <f t="shared" ca="1" si="102"/>
        <v>1.9156597416601828</v>
      </c>
      <c r="AB320" s="19">
        <f t="shared" ca="1" si="103"/>
        <v>14.864532896629596</v>
      </c>
      <c r="AC320" s="19">
        <f t="shared" ca="1" si="104"/>
        <v>3.9270182650456387E-4</v>
      </c>
      <c r="AD320" s="19">
        <f t="shared" ca="1" si="105"/>
        <v>2.2296799344944396</v>
      </c>
      <c r="AE320" s="115">
        <f t="shared" ca="1" si="106"/>
        <v>53.638472766485123</v>
      </c>
      <c r="AF320" s="19">
        <f t="shared" ca="1" si="107"/>
        <v>416.20692110562868</v>
      </c>
      <c r="AG320" s="19">
        <f t="shared" ca="1" si="108"/>
        <v>1.0995651142127787E-2</v>
      </c>
      <c r="AH320" s="19">
        <f t="shared" ca="1" si="109"/>
        <v>62.431038165844306</v>
      </c>
      <c r="AI320" s="46">
        <f t="shared" ca="1" si="116"/>
        <v>7759.4849301094728</v>
      </c>
      <c r="AJ320" s="55">
        <f t="shared" ca="1" si="117"/>
        <v>2.0495358978272782E-4</v>
      </c>
      <c r="AK320" s="19">
        <f t="shared" ca="1" si="118"/>
        <v>128.87453342678143</v>
      </c>
      <c r="AL320" s="19">
        <f t="shared" ca="1" si="110"/>
        <v>150</v>
      </c>
    </row>
    <row r="321" spans="2:38" x14ac:dyDescent="0.25">
      <c r="B321" s="19"/>
      <c r="C321" s="19"/>
      <c r="D321" s="19"/>
      <c r="E321" s="19"/>
      <c r="F321" s="19"/>
      <c r="G321" s="19"/>
      <c r="H321" s="43">
        <f t="shared" si="119"/>
        <v>53752</v>
      </c>
      <c r="I321" s="264">
        <v>0</v>
      </c>
      <c r="J321" s="64">
        <f t="shared" ca="1" si="111"/>
        <v>0</v>
      </c>
      <c r="K321" s="19">
        <f ca="1">SUMPRODUCT(V$7:V321,OFFSET($J$366,ROW($I$7)-ROW(),0):$J$366)</f>
        <v>0</v>
      </c>
      <c r="L321" s="19">
        <f ca="1">SUMPRODUCT(W$7:W321,OFFSET($J$366,ROW($I$7)-ROW(),0):$J$366)</f>
        <v>0</v>
      </c>
      <c r="M321" s="19">
        <f ca="1">SUMPRODUCT(X$7:X321,OFFSET($J$366,ROW($I$7)-ROW(),0):$J$366)</f>
        <v>0</v>
      </c>
      <c r="N321" s="19"/>
      <c r="O321" s="43">
        <f t="shared" si="112"/>
        <v>53022</v>
      </c>
      <c r="P321" s="24">
        <f t="shared" si="113"/>
        <v>9556</v>
      </c>
      <c r="Q321" s="19">
        <f t="shared" si="114"/>
        <v>2.2488723130984667</v>
      </c>
      <c r="R321" s="19">
        <f t="shared" si="97"/>
        <v>16.743033043573956</v>
      </c>
      <c r="S321" s="19">
        <f t="shared" si="98"/>
        <v>8.590344993760808E-4</v>
      </c>
      <c r="T321" s="19"/>
      <c r="U321" s="24">
        <f t="shared" si="120"/>
        <v>9555.0200000000423</v>
      </c>
      <c r="V321" s="19">
        <f t="shared" si="99"/>
        <v>9.4128907850331149</v>
      </c>
      <c r="W321" s="19">
        <f t="shared" si="100"/>
        <v>35.006615160361299</v>
      </c>
      <c r="X321" s="19">
        <f t="shared" si="101"/>
        <v>4.7064453925165575</v>
      </c>
      <c r="Y321" s="27"/>
      <c r="Z321" s="42">
        <f t="shared" si="115"/>
        <v>53752</v>
      </c>
      <c r="AA321" s="19">
        <f t="shared" ca="1" si="102"/>
        <v>1.9034455258065421</v>
      </c>
      <c r="AB321" s="19">
        <f t="shared" ca="1" si="103"/>
        <v>14.794143997301944</v>
      </c>
      <c r="AC321" s="19">
        <f t="shared" ca="1" si="104"/>
        <v>3.8065479751615968E-4</v>
      </c>
      <c r="AD321" s="19">
        <f t="shared" ca="1" si="105"/>
        <v>2.2191215995952915</v>
      </c>
      <c r="AE321" s="115">
        <f t="shared" ca="1" si="106"/>
        <v>59.006811300002809</v>
      </c>
      <c r="AF321" s="19">
        <f t="shared" ca="1" si="107"/>
        <v>458.61846391636027</v>
      </c>
      <c r="AG321" s="19">
        <f t="shared" ca="1" si="108"/>
        <v>1.180029872300095E-2</v>
      </c>
      <c r="AH321" s="19">
        <f t="shared" ca="1" si="109"/>
        <v>68.792769587454032</v>
      </c>
      <c r="AI321" s="46">
        <f t="shared" ca="1" si="116"/>
        <v>7772.2970249086893</v>
      </c>
      <c r="AJ321" s="55">
        <f t="shared" ca="1" si="117"/>
        <v>1.9994199123545144E-4</v>
      </c>
      <c r="AK321" s="19">
        <f t="shared" ca="1" si="118"/>
        <v>128.66209266002005</v>
      </c>
      <c r="AL321" s="19">
        <f t="shared" ca="1" si="110"/>
        <v>149.99999999999997</v>
      </c>
    </row>
    <row r="322" spans="2:38" x14ac:dyDescent="0.25">
      <c r="B322" s="19"/>
      <c r="C322" s="19"/>
      <c r="D322" s="19"/>
      <c r="E322" s="19"/>
      <c r="F322" s="19"/>
      <c r="G322" s="19"/>
      <c r="H322" s="43">
        <f t="shared" si="119"/>
        <v>53783</v>
      </c>
      <c r="I322" s="264">
        <v>0</v>
      </c>
      <c r="J322" s="64">
        <f t="shared" ca="1" si="111"/>
        <v>0</v>
      </c>
      <c r="K322" s="19">
        <f ca="1">SUMPRODUCT(V$7:V322,OFFSET($J$366,ROW($I$7)-ROW(),0):$J$366)</f>
        <v>0</v>
      </c>
      <c r="L322" s="19">
        <f ca="1">SUMPRODUCT(W$7:W322,OFFSET($J$366,ROW($I$7)-ROW(),0):$J$366)</f>
        <v>0</v>
      </c>
      <c r="M322" s="19">
        <f ca="1">SUMPRODUCT(X$7:X322,OFFSET($J$366,ROW($I$7)-ROW(),0):$J$366)</f>
        <v>0</v>
      </c>
      <c r="N322" s="19"/>
      <c r="O322" s="43">
        <f t="shared" si="112"/>
        <v>53053</v>
      </c>
      <c r="P322" s="24">
        <f t="shared" si="113"/>
        <v>9587</v>
      </c>
      <c r="Q322" s="19">
        <f t="shared" si="114"/>
        <v>2.2330026747992022</v>
      </c>
      <c r="R322" s="19">
        <f t="shared" si="97"/>
        <v>16.655276327522305</v>
      </c>
      <c r="S322" s="19">
        <f t="shared" si="98"/>
        <v>8.2979451156030791E-4</v>
      </c>
      <c r="T322" s="19"/>
      <c r="U322" s="24">
        <f t="shared" si="120"/>
        <v>9585.4500000000426</v>
      </c>
      <c r="V322" s="19">
        <f t="shared" si="99"/>
        <v>9.3464667505341819</v>
      </c>
      <c r="W322" s="19">
        <f t="shared" si="100"/>
        <v>34.823131942084053</v>
      </c>
      <c r="X322" s="19">
        <f t="shared" si="101"/>
        <v>4.6732333752670909</v>
      </c>
      <c r="Y322" s="27"/>
      <c r="Z322" s="42">
        <f t="shared" si="115"/>
        <v>53783</v>
      </c>
      <c r="AA322" s="19">
        <f t="shared" ca="1" si="102"/>
        <v>1.890013463950045</v>
      </c>
      <c r="AB322" s="19">
        <f t="shared" ca="1" si="103"/>
        <v>14.71660216299871</v>
      </c>
      <c r="AC322" s="19">
        <f t="shared" ca="1" si="104"/>
        <v>3.6774970839331694E-4</v>
      </c>
      <c r="AD322" s="19">
        <f t="shared" ca="1" si="105"/>
        <v>2.2074903244498065</v>
      </c>
      <c r="AE322" s="115">
        <f t="shared" ca="1" si="106"/>
        <v>56.700403918501351</v>
      </c>
      <c r="AF322" s="19">
        <f t="shared" ca="1" si="107"/>
        <v>441.49806488996131</v>
      </c>
      <c r="AG322" s="19">
        <f t="shared" ca="1" si="108"/>
        <v>1.1032491251799508E-2</v>
      </c>
      <c r="AH322" s="19">
        <f t="shared" ca="1" si="109"/>
        <v>66.224709733494194</v>
      </c>
      <c r="AI322" s="46">
        <f t="shared" ca="1" si="116"/>
        <v>7786.5065216210996</v>
      </c>
      <c r="AJ322" s="55">
        <f t="shared" ca="1" si="117"/>
        <v>1.9453732704083224E-4</v>
      </c>
      <c r="AK322" s="19">
        <f t="shared" ca="1" si="118"/>
        <v>128.42729884361628</v>
      </c>
      <c r="AL322" s="19">
        <f t="shared" ca="1" si="110"/>
        <v>150</v>
      </c>
    </row>
    <row r="323" spans="2:38" x14ac:dyDescent="0.25">
      <c r="B323" s="19"/>
      <c r="C323" s="19"/>
      <c r="D323" s="19"/>
      <c r="E323" s="19"/>
      <c r="F323" s="19"/>
      <c r="G323" s="19"/>
      <c r="H323" s="43">
        <f t="shared" si="119"/>
        <v>53813</v>
      </c>
      <c r="I323" s="264">
        <v>0</v>
      </c>
      <c r="J323" s="64">
        <f t="shared" ca="1" si="111"/>
        <v>0</v>
      </c>
      <c r="K323" s="19">
        <f ca="1">SUMPRODUCT(V$7:V323,OFFSET($J$366,ROW($I$7)-ROW(),0):$J$366)</f>
        <v>0</v>
      </c>
      <c r="L323" s="19">
        <f ca="1">SUMPRODUCT(W$7:W323,OFFSET($J$366,ROW($I$7)-ROW(),0):$J$366)</f>
        <v>0</v>
      </c>
      <c r="M323" s="19">
        <f ca="1">SUMPRODUCT(X$7:X323,OFFSET($J$366,ROW($I$7)-ROW(),0):$J$366)</f>
        <v>0</v>
      </c>
      <c r="N323" s="19"/>
      <c r="O323" s="43">
        <f t="shared" si="112"/>
        <v>53083</v>
      </c>
      <c r="P323" s="24">
        <f t="shared" si="113"/>
        <v>9617</v>
      </c>
      <c r="Q323" s="19">
        <f t="shared" si="114"/>
        <v>2.2177515953663476</v>
      </c>
      <c r="R323" s="19">
        <f t="shared" si="97"/>
        <v>16.57078844776029</v>
      </c>
      <c r="S323" s="19">
        <f t="shared" si="98"/>
        <v>8.0245031571428297E-4</v>
      </c>
      <c r="T323" s="19"/>
      <c r="U323" s="24">
        <f t="shared" si="120"/>
        <v>9615.8800000000429</v>
      </c>
      <c r="V323" s="19">
        <f t="shared" si="99"/>
        <v>9.2826317590056799</v>
      </c>
      <c r="W323" s="19">
        <f t="shared" si="100"/>
        <v>34.646483261713747</v>
      </c>
      <c r="X323" s="19">
        <f t="shared" si="101"/>
        <v>4.64131587950284</v>
      </c>
      <c r="Y323" s="27"/>
      <c r="Z323" s="42">
        <f t="shared" si="115"/>
        <v>53813</v>
      </c>
      <c r="AA323" s="19">
        <f t="shared" ca="1" si="102"/>
        <v>1.877104950318077</v>
      </c>
      <c r="AB323" s="19">
        <f t="shared" ca="1" si="103"/>
        <v>14.641948672440991</v>
      </c>
      <c r="AC323" s="19">
        <f t="shared" ca="1" si="104"/>
        <v>3.5567965002435912E-4</v>
      </c>
      <c r="AD323" s="19">
        <f t="shared" ca="1" si="105"/>
        <v>2.1962923008661486</v>
      </c>
      <c r="AE323" s="115">
        <f t="shared" ca="1" si="106"/>
        <v>58.190253459860386</v>
      </c>
      <c r="AF323" s="19">
        <f t="shared" ca="1" si="107"/>
        <v>453.90040884567071</v>
      </c>
      <c r="AG323" s="19">
        <f t="shared" ca="1" si="108"/>
        <v>1.1026069150755134E-2</v>
      </c>
      <c r="AH323" s="19">
        <f t="shared" ca="1" si="109"/>
        <v>68.085061326850607</v>
      </c>
      <c r="AI323" s="46">
        <f t="shared" ca="1" si="116"/>
        <v>7800.2823816323644</v>
      </c>
      <c r="AJ323" s="55">
        <f t="shared" ca="1" si="117"/>
        <v>1.8944719497548254E-4</v>
      </c>
      <c r="AK323" s="19">
        <f t="shared" ca="1" si="118"/>
        <v>128.20048699195041</v>
      </c>
      <c r="AL323" s="19">
        <f t="shared" ca="1" si="110"/>
        <v>150</v>
      </c>
    </row>
    <row r="324" spans="2:38" x14ac:dyDescent="0.25">
      <c r="B324" s="19"/>
      <c r="C324" s="19"/>
      <c r="D324" s="19"/>
      <c r="E324" s="19"/>
      <c r="F324" s="19"/>
      <c r="G324" s="19"/>
      <c r="H324" s="43">
        <f t="shared" si="119"/>
        <v>53844</v>
      </c>
      <c r="I324" s="264">
        <v>0</v>
      </c>
      <c r="J324" s="64">
        <f t="shared" ca="1" si="111"/>
        <v>0</v>
      </c>
      <c r="K324" s="19">
        <f ca="1">SUMPRODUCT(V$7:V324,OFFSET($J$366,ROW($I$7)-ROW(),0):$J$366)</f>
        <v>0</v>
      </c>
      <c r="L324" s="19">
        <f ca="1">SUMPRODUCT(W$7:W324,OFFSET($J$366,ROW($I$7)-ROW(),0):$J$366)</f>
        <v>0</v>
      </c>
      <c r="M324" s="19">
        <f ca="1">SUMPRODUCT(X$7:X324,OFFSET($J$366,ROW($I$7)-ROW(),0):$J$366)</f>
        <v>0</v>
      </c>
      <c r="N324" s="19"/>
      <c r="O324" s="43">
        <f t="shared" si="112"/>
        <v>53114</v>
      </c>
      <c r="P324" s="24">
        <f t="shared" si="113"/>
        <v>9648</v>
      </c>
      <c r="Q324" s="19">
        <f t="shared" si="114"/>
        <v>2.202101566927166</v>
      </c>
      <c r="R324" s="19">
        <f t="shared" si="97"/>
        <v>16.483934532297216</v>
      </c>
      <c r="S324" s="19">
        <f t="shared" si="98"/>
        <v>7.7514549489189925E-4</v>
      </c>
      <c r="T324" s="19"/>
      <c r="U324" s="24">
        <f t="shared" si="120"/>
        <v>9646.3100000000431</v>
      </c>
      <c r="V324" s="19">
        <f t="shared" si="99"/>
        <v>9.2171269245948189</v>
      </c>
      <c r="W324" s="19">
        <f t="shared" si="100"/>
        <v>34.464887634095163</v>
      </c>
      <c r="X324" s="19">
        <f t="shared" si="101"/>
        <v>4.6085634622974094</v>
      </c>
      <c r="Y324" s="27"/>
      <c r="Z324" s="42">
        <f t="shared" si="115"/>
        <v>53844</v>
      </c>
      <c r="AA324" s="19">
        <f t="shared" ca="1" si="102"/>
        <v>1.8638587662471535</v>
      </c>
      <c r="AB324" s="19">
        <f t="shared" ca="1" si="103"/>
        <v>14.565204552737818</v>
      </c>
      <c r="AC324" s="19">
        <f t="shared" ca="1" si="104"/>
        <v>3.4362529728768299E-4</v>
      </c>
      <c r="AD324" s="19">
        <f t="shared" ca="1" si="105"/>
        <v>2.1847806829106724</v>
      </c>
      <c r="AE324" s="115">
        <f t="shared" ca="1" si="106"/>
        <v>55.915762987414602</v>
      </c>
      <c r="AF324" s="19">
        <f t="shared" ca="1" si="107"/>
        <v>436.95613658213455</v>
      </c>
      <c r="AG324" s="19">
        <f t="shared" ca="1" si="108"/>
        <v>1.0308758918630489E-2</v>
      </c>
      <c r="AH324" s="19">
        <f t="shared" ca="1" si="109"/>
        <v>65.543420487320176</v>
      </c>
      <c r="AI324" s="46">
        <f t="shared" ca="1" si="116"/>
        <v>7814.5430418339038</v>
      </c>
      <c r="AJ324" s="55">
        <f t="shared" ca="1" si="117"/>
        <v>1.8432832124144993E-4</v>
      </c>
      <c r="AK324" s="19">
        <f t="shared" ca="1" si="118"/>
        <v>127.96653555385903</v>
      </c>
      <c r="AL324" s="19">
        <f t="shared" ca="1" si="110"/>
        <v>149.99999999999997</v>
      </c>
    </row>
    <row r="325" spans="2:38" x14ac:dyDescent="0.25">
      <c r="B325" s="19"/>
      <c r="C325" s="19"/>
      <c r="D325" s="19"/>
      <c r="E325" s="19"/>
      <c r="F325" s="19"/>
      <c r="G325" s="19"/>
      <c r="H325" s="43">
        <f t="shared" si="119"/>
        <v>53874</v>
      </c>
      <c r="I325" s="264">
        <v>0</v>
      </c>
      <c r="J325" s="64">
        <f t="shared" ca="1" si="111"/>
        <v>0</v>
      </c>
      <c r="K325" s="19">
        <f ca="1">SUMPRODUCT(V$7:V325,OFFSET($J$366,ROW($I$7)-ROW(),0):$J$366)</f>
        <v>0</v>
      </c>
      <c r="L325" s="19">
        <f ca="1">SUMPRODUCT(W$7:W325,OFFSET($J$366,ROW($I$7)-ROW(),0):$J$366)</f>
        <v>0</v>
      </c>
      <c r="M325" s="19">
        <f ca="1">SUMPRODUCT(X$7:X325,OFFSET($J$366,ROW($I$7)-ROW(),0):$J$366)</f>
        <v>0</v>
      </c>
      <c r="N325" s="19"/>
      <c r="O325" s="43">
        <f t="shared" si="112"/>
        <v>53144</v>
      </c>
      <c r="P325" s="24">
        <f t="shared" si="113"/>
        <v>9678</v>
      </c>
      <c r="Q325" s="19">
        <f t="shared" si="114"/>
        <v>2.1870615375105245</v>
      </c>
      <c r="R325" s="19">
        <f t="shared" si="97"/>
        <v>16.400315824844832</v>
      </c>
      <c r="S325" s="19">
        <f t="shared" si="98"/>
        <v>7.4961070051255232E-4</v>
      </c>
      <c r="T325" s="19"/>
      <c r="U325" s="24">
        <f t="shared" si="120"/>
        <v>9676.7400000000434</v>
      </c>
      <c r="V325" s="19">
        <f t="shared" si="99"/>
        <v>9.154175305030666</v>
      </c>
      <c r="W325" s="19">
        <f t="shared" si="100"/>
        <v>34.29005623381218</v>
      </c>
      <c r="X325" s="19">
        <f t="shared" si="101"/>
        <v>4.577087652515333</v>
      </c>
      <c r="Y325" s="27"/>
      <c r="Z325" s="42">
        <f t="shared" si="115"/>
        <v>53874</v>
      </c>
      <c r="AA325" s="19">
        <f t="shared" ca="1" si="102"/>
        <v>1.8511288853489078</v>
      </c>
      <c r="AB325" s="19">
        <f t="shared" ca="1" si="103"/>
        <v>14.491319062832893</v>
      </c>
      <c r="AC325" s="19">
        <f t="shared" ca="1" si="104"/>
        <v>3.3235079751331632E-4</v>
      </c>
      <c r="AD325" s="19">
        <f t="shared" ca="1" si="105"/>
        <v>2.1736978594249341</v>
      </c>
      <c r="AE325" s="115">
        <f t="shared" ca="1" si="106"/>
        <v>57.384995445816145</v>
      </c>
      <c r="AF325" s="19">
        <f t="shared" ca="1" si="107"/>
        <v>449.23089094781972</v>
      </c>
      <c r="AG325" s="19">
        <f t="shared" ca="1" si="108"/>
        <v>1.0302874722912806E-2</v>
      </c>
      <c r="AH325" s="19">
        <f t="shared" ca="1" si="109"/>
        <v>67.384633642172957</v>
      </c>
      <c r="AI325" s="46">
        <f t="shared" ca="1" si="116"/>
        <v>7828.368503958337</v>
      </c>
      <c r="AJ325" s="55">
        <f t="shared" ca="1" si="117"/>
        <v>1.7950729457618127E-4</v>
      </c>
      <c r="AK325" s="19">
        <f t="shared" ca="1" si="118"/>
        <v>127.74053744332039</v>
      </c>
      <c r="AL325" s="19">
        <f t="shared" ca="1" si="110"/>
        <v>150</v>
      </c>
    </row>
    <row r="326" spans="2:38" x14ac:dyDescent="0.25">
      <c r="B326" s="19"/>
      <c r="C326" s="19"/>
      <c r="D326" s="19"/>
      <c r="E326" s="19"/>
      <c r="F326" s="19"/>
      <c r="G326" s="19"/>
      <c r="H326" s="43">
        <f t="shared" si="119"/>
        <v>53905</v>
      </c>
      <c r="I326" s="264">
        <v>0</v>
      </c>
      <c r="J326" s="64">
        <f t="shared" ca="1" si="111"/>
        <v>0</v>
      </c>
      <c r="K326" s="19">
        <f ca="1">SUMPRODUCT(V$7:V326,OFFSET($J$366,ROW($I$7)-ROW(),0):$J$366)</f>
        <v>0</v>
      </c>
      <c r="L326" s="19">
        <f ca="1">SUMPRODUCT(W$7:W326,OFFSET($J$366,ROW($I$7)-ROW(),0):$J$366)</f>
        <v>0</v>
      </c>
      <c r="M326" s="19">
        <f ca="1">SUMPRODUCT(X$7:X326,OFFSET($J$366,ROW($I$7)-ROW(),0):$J$366)</f>
        <v>0</v>
      </c>
      <c r="N326" s="19"/>
      <c r="O326" s="43">
        <f t="shared" si="112"/>
        <v>53175</v>
      </c>
      <c r="P326" s="24">
        <f t="shared" si="113"/>
        <v>9709</v>
      </c>
      <c r="Q326" s="19">
        <f t="shared" si="114"/>
        <v>2.1716280798898451</v>
      </c>
      <c r="R326" s="19">
        <f t="shared" si="97"/>
        <v>16.314355422374586</v>
      </c>
      <c r="S326" s="19">
        <f t="shared" si="98"/>
        <v>7.2411237847227225E-4</v>
      </c>
      <c r="T326" s="19"/>
      <c r="U326" s="24">
        <f t="shared" si="120"/>
        <v>9707.1700000000437</v>
      </c>
      <c r="V326" s="19">
        <f t="shared" si="99"/>
        <v>9.0895769504808062</v>
      </c>
      <c r="W326" s="19">
        <f t="shared" si="100"/>
        <v>34.110328778190834</v>
      </c>
      <c r="X326" s="19">
        <f t="shared" si="101"/>
        <v>4.5447884752404031</v>
      </c>
      <c r="Y326" s="27"/>
      <c r="Z326" s="42">
        <f t="shared" si="115"/>
        <v>53905</v>
      </c>
      <c r="AA326" s="19">
        <f t="shared" ca="1" si="102"/>
        <v>1.8380660068187644</v>
      </c>
      <c r="AB326" s="19">
        <f t="shared" ca="1" si="103"/>
        <v>14.415364451210182</v>
      </c>
      <c r="AC326" s="19">
        <f t="shared" ca="1" si="104"/>
        <v>3.2109083801196858E-4</v>
      </c>
      <c r="AD326" s="19">
        <f t="shared" ca="1" si="105"/>
        <v>2.1623046676815272</v>
      </c>
      <c r="AE326" s="115">
        <f t="shared" ca="1" si="106"/>
        <v>56.980046211381698</v>
      </c>
      <c r="AF326" s="19">
        <f t="shared" ca="1" si="107"/>
        <v>446.87629798751567</v>
      </c>
      <c r="AG326" s="19">
        <f t="shared" ca="1" si="108"/>
        <v>9.9538159783710261E-3</v>
      </c>
      <c r="AH326" s="19">
        <f t="shared" ca="1" si="109"/>
        <v>67.031444698127345</v>
      </c>
      <c r="AI326" s="46">
        <f t="shared" ca="1" si="116"/>
        <v>7842.6805118710599</v>
      </c>
      <c r="AJ326" s="55">
        <f t="shared" ca="1" si="117"/>
        <v>1.7465899234238189E-4</v>
      </c>
      <c r="AK326" s="19">
        <f t="shared" ca="1" si="118"/>
        <v>127.50742536131004</v>
      </c>
      <c r="AL326" s="19">
        <f t="shared" ca="1" si="110"/>
        <v>150</v>
      </c>
    </row>
    <row r="327" spans="2:38" x14ac:dyDescent="0.25">
      <c r="B327" s="19"/>
      <c r="C327" s="19"/>
      <c r="D327" s="19"/>
      <c r="E327" s="19"/>
      <c r="F327" s="19"/>
      <c r="G327" s="19"/>
      <c r="H327" s="43">
        <f t="shared" si="119"/>
        <v>53936</v>
      </c>
      <c r="I327" s="264">
        <v>0</v>
      </c>
      <c r="J327" s="64">
        <f t="shared" ca="1" si="111"/>
        <v>0</v>
      </c>
      <c r="K327" s="19">
        <f ca="1">SUMPRODUCT(V$7:V327,OFFSET($J$366,ROW($I$7)-ROW(),0):$J$366)</f>
        <v>0</v>
      </c>
      <c r="L327" s="19">
        <f ca="1">SUMPRODUCT(W$7:W327,OFFSET($J$366,ROW($I$7)-ROW(),0):$J$366)</f>
        <v>0</v>
      </c>
      <c r="M327" s="19">
        <f ca="1">SUMPRODUCT(X$7:X327,OFFSET($J$366,ROW($I$7)-ROW(),0):$J$366)</f>
        <v>0</v>
      </c>
      <c r="N327" s="19"/>
      <c r="O327" s="43">
        <f t="shared" si="112"/>
        <v>53206</v>
      </c>
      <c r="P327" s="24">
        <f t="shared" si="113"/>
        <v>9740</v>
      </c>
      <c r="Q327" s="19">
        <f t="shared" si="114"/>
        <v>2.1563035316939998</v>
      </c>
      <c r="R327" s="19">
        <f t="shared" ref="R327:R390" si="121">IF(days&lt;tlim_gas,
qi_gas/(1+b_gas*(d_gas/365)*days)^(1/b_gas),
qlim_gas * EXP((-dmin_gas/365)* ( days-tlim_gas)))</f>
        <v>16.228845571641987</v>
      </c>
      <c r="S327" s="19">
        <f t="shared" ref="S327:S390" si="122">IF(days&lt;tlim_water,
qi_water/(1+b_water*(d_water/365)*days)^(1/b_water),
qlim_water * EXP((-dmin_water/365)* ( days-tlim_water)))</f>
        <v>6.9948558057545622E-4</v>
      </c>
      <c r="T327" s="19"/>
      <c r="U327" s="24">
        <f t="shared" si="120"/>
        <v>9737.600000000044</v>
      </c>
      <c r="V327" s="19">
        <f t="shared" ref="V327:V366" si="123">IF(days&lt;tlim_oil_new,
qi_oil_new/(1+b_oil_new*(d_oil_new/365)*days)^(1/b_oil_new),
qlim_oil_new * EXP((-dmin_oil_new/365)* ( days-tlim_oil_new)))</f>
        <v>9.0254344477440842</v>
      </c>
      <c r="W327" s="19">
        <f t="shared" ref="W327:W366" si="124">IF(days&lt;tlim_gas_new,
qi_gas_new/(1+b_gas_new*(d_gas_new/365)*days)^(1/b_gas_new),
qlim_gas_new * EXP((-dmin_gas_new/365)* ( days-tlim_gas_new)))</f>
        <v>33.931543343722325</v>
      </c>
      <c r="X327" s="19">
        <f t="shared" ref="X327:X366" si="125">IF(days&lt;tlim_water_new,
qi_water_new/(1+b_water_new*(d_water_new/365)*days)^(1/b_water_new),
qlim_water_new * EXP((-dmin_water_new/365)* ( days-tlim_water_new)))</f>
        <v>4.5127172238720421</v>
      </c>
      <c r="Y327" s="27"/>
      <c r="Z327" s="42">
        <f t="shared" si="115"/>
        <v>53936</v>
      </c>
      <c r="AA327" s="19">
        <f t="shared" ref="AA327:AA366" ca="1" si="126">mult_vol * OFFSET(Q$6,MATCH($Z327,$O$7:$O$534,0),0)  +K327</f>
        <v>1.8250953092258018</v>
      </c>
      <c r="AB327" s="19">
        <f t="shared" ref="AB327:AB366" ca="1" si="127">mult_vol * (  VLOOKUP($Z327-qi_start, daily_base, 3, TRUE)  +  L327  )</f>
        <v>14.339807947102857</v>
      </c>
      <c r="AC327" s="19">
        <f t="shared" ref="AC327:AC366" ca="1" si="128">mult_vol * (  VLOOKUP($Z327-qi_start, daily_base, 4, TRUE)  +  M327  )</f>
        <v>3.102142053464078E-4</v>
      </c>
      <c r="AD327" s="19">
        <f t="shared" ref="AD327:AD366" ca="1" si="129">NGL_yield*(AB327/1000)</f>
        <v>2.1509711920654286</v>
      </c>
      <c r="AE327" s="115">
        <f t="shared" ref="AE327:AE366" ca="1" si="130">AA327*($Z328-$Z327)</f>
        <v>54.752859276774053</v>
      </c>
      <c r="AF327" s="19">
        <f t="shared" ref="AF327:AF366" ca="1" si="131">AB327*($Z328-$Z327)</f>
        <v>430.19423841308571</v>
      </c>
      <c r="AG327" s="19">
        <f t="shared" ref="AG327:AG366" ca="1" si="132">AC327*($Z328-$Z327)</f>
        <v>9.3064261603922338E-3</v>
      </c>
      <c r="AH327" s="19">
        <f t="shared" ref="AH327:AH366" ca="1" si="133">AD327*($Z328-$Z327)</f>
        <v>64.529135761962863</v>
      </c>
      <c r="AI327" s="46">
        <f t="shared" ca="1" si="116"/>
        <v>7857.0186853341629</v>
      </c>
      <c r="AJ327" s="55">
        <f t="shared" ca="1" si="117"/>
        <v>1.6994262445492629E-4</v>
      </c>
      <c r="AK327" s="19">
        <f t="shared" ca="1" si="118"/>
        <v>127.27473868257313</v>
      </c>
      <c r="AL327" s="19">
        <f t="shared" ref="AL327:AL366" ca="1" si="134">AH327/(AF327/1000)</f>
        <v>150</v>
      </c>
    </row>
    <row r="328" spans="2:38" x14ac:dyDescent="0.25">
      <c r="B328" s="19"/>
      <c r="C328" s="19"/>
      <c r="D328" s="19"/>
      <c r="E328" s="19"/>
      <c r="F328" s="19"/>
      <c r="G328" s="19"/>
      <c r="H328" s="43">
        <f t="shared" si="119"/>
        <v>53966</v>
      </c>
      <c r="I328" s="264">
        <v>0</v>
      </c>
      <c r="J328" s="64">
        <f t="shared" ref="J328:J366" ca="1" si="135">OFFSET($I$7,ROW($I$366)-ROW(),0)</f>
        <v>0</v>
      </c>
      <c r="K328" s="19">
        <f ca="1">SUMPRODUCT(V$7:V328,OFFSET($J$366,ROW($I$7)-ROW(),0):$J$366)</f>
        <v>0</v>
      </c>
      <c r="L328" s="19">
        <f ca="1">SUMPRODUCT(W$7:W328,OFFSET($J$366,ROW($I$7)-ROW(),0):$J$366)</f>
        <v>0</v>
      </c>
      <c r="M328" s="19">
        <f ca="1">SUMPRODUCT(X$7:X328,OFFSET($J$366,ROW($I$7)-ROW(),0):$J$366)</f>
        <v>0</v>
      </c>
      <c r="N328" s="19"/>
      <c r="O328" s="43">
        <f t="shared" ref="O328:O366" si="136">EOMONTH(O327,0)+1</f>
        <v>53236</v>
      </c>
      <c r="P328" s="24">
        <f t="shared" ref="P328:P391" si="137">O328-$O$7</f>
        <v>9770</v>
      </c>
      <c r="Q328" s="19">
        <f t="shared" ref="Q328:Q391" si="138">IF(days&lt;tlim_oil,
qi_oil/(1+b_oil*(d_oil)*(days/365.25))^(1/b_oil),
qlim_oil * EXP((-dmin_oil/365)* ( days-tlim_oil)))</f>
        <v>2.141576296113699</v>
      </c>
      <c r="R328" s="19">
        <f t="shared" si="121"/>
        <v>16.146520864061635</v>
      </c>
      <c r="S328" s="19">
        <f t="shared" si="122"/>
        <v>6.7645480234080843E-4</v>
      </c>
      <c r="T328" s="19"/>
      <c r="U328" s="24">
        <f t="shared" si="120"/>
        <v>9768.0300000000443</v>
      </c>
      <c r="V328" s="19">
        <f t="shared" si="123"/>
        <v>8.9637920595678402</v>
      </c>
      <c r="W328" s="19">
        <f t="shared" si="124"/>
        <v>33.759417460141101</v>
      </c>
      <c r="X328" s="19">
        <f t="shared" si="125"/>
        <v>4.4818960297839201</v>
      </c>
      <c r="Y328" s="27"/>
      <c r="Z328" s="42">
        <f t="shared" ref="Z328:Z366" si="139">H328</f>
        <v>53966</v>
      </c>
      <c r="AA328" s="19">
        <f t="shared" ca="1" si="126"/>
        <v>1.8126301770306352</v>
      </c>
      <c r="AB328" s="19">
        <f t="shared" ca="1" si="127"/>
        <v>14.267065835484859</v>
      </c>
      <c r="AC328" s="19">
        <f t="shared" ca="1" si="128"/>
        <v>3.0004105602110157E-4</v>
      </c>
      <c r="AD328" s="19">
        <f t="shared" ca="1" si="129"/>
        <v>2.1400598753227289</v>
      </c>
      <c r="AE328" s="115">
        <f t="shared" ca="1" si="130"/>
        <v>56.191535487949693</v>
      </c>
      <c r="AF328" s="19">
        <f t="shared" ca="1" si="131"/>
        <v>442.27904090003062</v>
      </c>
      <c r="AG328" s="19">
        <f t="shared" ca="1" si="132"/>
        <v>9.3012727366541485E-3</v>
      </c>
      <c r="AH328" s="19">
        <f t="shared" ca="1" si="133"/>
        <v>66.341856135004591</v>
      </c>
      <c r="AI328" s="46">
        <f t="shared" ref="AI328:AI366" ca="1" si="140">AF328/AE328*1000</f>
        <v>7870.9192952180074</v>
      </c>
      <c r="AJ328" s="55">
        <f t="shared" ref="AJ328:AJ366" ca="1" si="141">AG328/(AG328+AE328)</f>
        <v>1.6550060947065083E-4</v>
      </c>
      <c r="AK328" s="19">
        <f t="shared" ref="AK328:AK366" ca="1" si="142">AE328/(AF328/1000)</f>
        <v>127.04996233509243</v>
      </c>
      <c r="AL328" s="19">
        <f t="shared" ca="1" si="134"/>
        <v>150</v>
      </c>
    </row>
    <row r="329" spans="2:38" x14ac:dyDescent="0.25">
      <c r="B329" s="19"/>
      <c r="C329" s="19"/>
      <c r="D329" s="19"/>
      <c r="E329" s="19"/>
      <c r="F329" s="19"/>
      <c r="G329" s="19"/>
      <c r="H329" s="43">
        <f t="shared" ref="H329:H367" si="143">EOMONTH(H328,0)+1</f>
        <v>53997</v>
      </c>
      <c r="I329" s="264">
        <v>0</v>
      </c>
      <c r="J329" s="64">
        <f t="shared" ca="1" si="135"/>
        <v>0</v>
      </c>
      <c r="K329" s="19">
        <f ca="1">SUMPRODUCT(V$7:V329,OFFSET($J$366,ROW($I$7)-ROW(),0):$J$366)</f>
        <v>0</v>
      </c>
      <c r="L329" s="19">
        <f ca="1">SUMPRODUCT(W$7:W329,OFFSET($J$366,ROW($I$7)-ROW(),0):$J$366)</f>
        <v>0</v>
      </c>
      <c r="M329" s="19">
        <f ca="1">SUMPRODUCT(X$7:X329,OFFSET($J$366,ROW($I$7)-ROW(),0):$J$366)</f>
        <v>0</v>
      </c>
      <c r="N329" s="19"/>
      <c r="O329" s="43">
        <f t="shared" si="136"/>
        <v>53267</v>
      </c>
      <c r="P329" s="24">
        <f t="shared" si="137"/>
        <v>9801</v>
      </c>
      <c r="Q329" s="19">
        <f t="shared" si="138"/>
        <v>2.1264638146216854</v>
      </c>
      <c r="R329" s="19">
        <f t="shared" si="121"/>
        <v>16.061890699204302</v>
      </c>
      <c r="S329" s="19">
        <f t="shared" si="122"/>
        <v>6.5345651593725121E-4</v>
      </c>
      <c r="T329" s="19"/>
      <c r="U329" s="24">
        <f t="shared" ref="U329:U366" si="144">U328+30.43</f>
        <v>9798.4600000000446</v>
      </c>
      <c r="V329" s="19">
        <f t="shared" si="123"/>
        <v>8.900537184248055</v>
      </c>
      <c r="W329" s="19">
        <f t="shared" si="124"/>
        <v>33.582471287699796</v>
      </c>
      <c r="X329" s="19">
        <f t="shared" si="125"/>
        <v>4.4502685921240275</v>
      </c>
      <c r="Y329" s="27"/>
      <c r="Z329" s="42">
        <f t="shared" si="139"/>
        <v>53997</v>
      </c>
      <c r="AA329" s="19">
        <f t="shared" ca="1" si="126"/>
        <v>1.7998389726957951</v>
      </c>
      <c r="AB329" s="19">
        <f t="shared" ca="1" si="127"/>
        <v>14.192286621816919</v>
      </c>
      <c r="AC329" s="19">
        <f t="shared" ca="1" si="128"/>
        <v>2.8988084959991436E-4</v>
      </c>
      <c r="AD329" s="19">
        <f t="shared" ca="1" si="129"/>
        <v>2.1288429932725377</v>
      </c>
      <c r="AE329" s="115">
        <f t="shared" ca="1" si="130"/>
        <v>53.995169180873852</v>
      </c>
      <c r="AF329" s="19">
        <f t="shared" ca="1" si="131"/>
        <v>425.76859865450757</v>
      </c>
      <c r="AG329" s="19">
        <f t="shared" ca="1" si="132"/>
        <v>8.6964254879974313E-3</v>
      </c>
      <c r="AH329" s="19">
        <f t="shared" ca="1" si="133"/>
        <v>63.865289798176128</v>
      </c>
      <c r="AI329" s="46">
        <f t="shared" ca="1" si="140"/>
        <v>7885.3090954907711</v>
      </c>
      <c r="AJ329" s="55">
        <f t="shared" ca="1" si="141"/>
        <v>1.610333888204655E-4</v>
      </c>
      <c r="AK329" s="19">
        <f t="shared" ca="1" si="142"/>
        <v>126.81811047481345</v>
      </c>
      <c r="AL329" s="19">
        <f t="shared" ca="1" si="134"/>
        <v>150</v>
      </c>
    </row>
    <row r="330" spans="2:38" x14ac:dyDescent="0.25">
      <c r="B330" s="19"/>
      <c r="C330" s="19"/>
      <c r="D330" s="19"/>
      <c r="E330" s="19"/>
      <c r="F330" s="19"/>
      <c r="G330" s="19"/>
      <c r="H330" s="44">
        <f t="shared" si="143"/>
        <v>54027</v>
      </c>
      <c r="I330" s="265">
        <v>0</v>
      </c>
      <c r="J330" s="65">
        <f t="shared" ca="1" si="135"/>
        <v>0</v>
      </c>
      <c r="K330" s="21">
        <f ca="1">SUMPRODUCT(V$7:V330,OFFSET($J$366,ROW($I$7)-ROW(),0):$J$366)</f>
        <v>0</v>
      </c>
      <c r="L330" s="21">
        <f ca="1">SUMPRODUCT(W$7:W330,OFFSET($J$366,ROW($I$7)-ROW(),0):$J$366)</f>
        <v>0</v>
      </c>
      <c r="M330" s="21">
        <f ca="1">SUMPRODUCT(X$7:X330,OFFSET($J$366,ROW($I$7)-ROW(),0):$J$366)</f>
        <v>0</v>
      </c>
      <c r="N330" s="19"/>
      <c r="O330" s="44">
        <f t="shared" si="136"/>
        <v>53297</v>
      </c>
      <c r="P330" s="25">
        <f t="shared" si="137"/>
        <v>9831</v>
      </c>
      <c r="Q330" s="21">
        <f t="shared" si="138"/>
        <v>2.111940379914738</v>
      </c>
      <c r="R330" s="21">
        <f t="shared" si="121"/>
        <v>15.980412910216641</v>
      </c>
      <c r="S330" s="21">
        <f t="shared" si="122"/>
        <v>6.3194845778500285E-4</v>
      </c>
      <c r="T330" s="19"/>
      <c r="U330" s="25">
        <f t="shared" si="144"/>
        <v>9828.8900000000449</v>
      </c>
      <c r="V330" s="21">
        <f t="shared" si="123"/>
        <v>8.8397478259888906</v>
      </c>
      <c r="W330" s="21">
        <f t="shared" si="124"/>
        <v>33.412116155760145</v>
      </c>
      <c r="X330" s="21">
        <f t="shared" si="125"/>
        <v>4.4198739129944453</v>
      </c>
      <c r="Y330" s="27"/>
      <c r="Z330" s="48">
        <f t="shared" si="139"/>
        <v>54027</v>
      </c>
      <c r="AA330" s="21">
        <f t="shared" ca="1" si="126"/>
        <v>1.7875463375598344</v>
      </c>
      <c r="AB330" s="21">
        <f t="shared" ca="1" si="127"/>
        <v>14.120292847467423</v>
      </c>
      <c r="AC330" s="21">
        <f t="shared" ca="1" si="128"/>
        <v>2.8037767945103206E-4</v>
      </c>
      <c r="AD330" s="21">
        <f t="shared" ca="1" si="129"/>
        <v>2.1180439271201137</v>
      </c>
      <c r="AE330" s="116">
        <f t="shared" ca="1" si="130"/>
        <v>55.413936464354869</v>
      </c>
      <c r="AF330" s="21">
        <f t="shared" ca="1" si="131"/>
        <v>437.72907827149015</v>
      </c>
      <c r="AG330" s="21">
        <f t="shared" ca="1" si="132"/>
        <v>8.691708062981994E-3</v>
      </c>
      <c r="AH330" s="21">
        <f t="shared" ca="1" si="133"/>
        <v>65.659361740723526</v>
      </c>
      <c r="AI330" s="47">
        <f t="shared" ca="1" si="140"/>
        <v>7899.2597566689801</v>
      </c>
      <c r="AJ330" s="57">
        <f t="shared" ca="1" si="141"/>
        <v>1.5682598154570358E-4</v>
      </c>
      <c r="AK330" s="21">
        <f t="shared" ca="1" si="142"/>
        <v>126.59414056560759</v>
      </c>
      <c r="AL330" s="21">
        <f t="shared" ca="1" si="134"/>
        <v>150</v>
      </c>
    </row>
    <row r="331" spans="2:38" x14ac:dyDescent="0.25">
      <c r="B331" s="19"/>
      <c r="C331" s="19"/>
      <c r="D331" s="19"/>
      <c r="E331" s="19"/>
      <c r="F331" s="19"/>
      <c r="G331" s="19"/>
      <c r="H331" s="43">
        <f t="shared" si="143"/>
        <v>54058</v>
      </c>
      <c r="I331" s="264">
        <v>0</v>
      </c>
      <c r="J331" s="64">
        <f t="shared" ca="1" si="135"/>
        <v>0</v>
      </c>
      <c r="K331" s="19">
        <f ca="1">SUMPRODUCT(V$7:V331,OFFSET($J$366,ROW($I$7)-ROW(),0):$J$366)</f>
        <v>0</v>
      </c>
      <c r="L331" s="19">
        <f ca="1">SUMPRODUCT(W$7:W331,OFFSET($J$366,ROW($I$7)-ROW(),0):$J$366)</f>
        <v>0</v>
      </c>
      <c r="M331" s="19">
        <f ca="1">SUMPRODUCT(X$7:X331,OFFSET($J$366,ROW($I$7)-ROW(),0):$J$366)</f>
        <v>0</v>
      </c>
      <c r="N331" s="19"/>
      <c r="O331" s="43">
        <f t="shared" si="136"/>
        <v>53328</v>
      </c>
      <c r="P331" s="24">
        <f t="shared" si="137"/>
        <v>9862</v>
      </c>
      <c r="Q331" s="19">
        <f t="shared" si="138"/>
        <v>2.0970370304699313</v>
      </c>
      <c r="R331" s="19">
        <f t="shared" si="121"/>
        <v>15.896653381432326</v>
      </c>
      <c r="S331" s="19">
        <f t="shared" si="122"/>
        <v>6.1047049330740838E-4</v>
      </c>
      <c r="T331" s="19"/>
      <c r="U331" s="24">
        <f t="shared" si="144"/>
        <v>9859.3200000000452</v>
      </c>
      <c r="V331" s="19">
        <f t="shared" si="123"/>
        <v>8.7773682947731437</v>
      </c>
      <c r="W331" s="19">
        <f t="shared" si="124"/>
        <v>33.236990323867275</v>
      </c>
      <c r="X331" s="19">
        <f t="shared" si="125"/>
        <v>4.3886841473865719</v>
      </c>
      <c r="Y331" s="27"/>
      <c r="Z331" s="42">
        <f t="shared" si="139"/>
        <v>54058</v>
      </c>
      <c r="AA331" s="19">
        <f t="shared" ca="1" si="126"/>
        <v>1.77493214258975</v>
      </c>
      <c r="AB331" s="19">
        <f t="shared" ca="1" si="127"/>
        <v>14.046282927833602</v>
      </c>
      <c r="AC331" s="19">
        <f t="shared" ca="1" si="128"/>
        <v>2.7088649027886251E-4</v>
      </c>
      <c r="AD331" s="19">
        <f t="shared" ca="1" si="129"/>
        <v>2.1069424391750404</v>
      </c>
      <c r="AE331" s="115">
        <f t="shared" ca="1" si="130"/>
        <v>55.022896420282251</v>
      </c>
      <c r="AF331" s="19">
        <f t="shared" ca="1" si="131"/>
        <v>435.43477076284165</v>
      </c>
      <c r="AG331" s="19">
        <f t="shared" ca="1" si="132"/>
        <v>8.3974811986447379E-3</v>
      </c>
      <c r="AH331" s="19">
        <f t="shared" ca="1" si="133"/>
        <v>65.315215614426251</v>
      </c>
      <c r="AI331" s="46">
        <f t="shared" ca="1" si="140"/>
        <v>7913.7013696417107</v>
      </c>
      <c r="AJ331" s="55">
        <f t="shared" ca="1" si="141"/>
        <v>1.5259465302920602E-4</v>
      </c>
      <c r="AK331" s="19">
        <f t="shared" ca="1" si="142"/>
        <v>126.36312052867804</v>
      </c>
      <c r="AL331" s="19">
        <f t="shared" ca="1" si="134"/>
        <v>150</v>
      </c>
    </row>
    <row r="332" spans="2:38" x14ac:dyDescent="0.25">
      <c r="B332" s="19"/>
      <c r="C332" s="19"/>
      <c r="D332" s="19"/>
      <c r="E332" s="19"/>
      <c r="F332" s="19"/>
      <c r="G332" s="19"/>
      <c r="H332" s="43">
        <f t="shared" si="143"/>
        <v>54089</v>
      </c>
      <c r="I332" s="264">
        <v>0</v>
      </c>
      <c r="J332" s="64">
        <f t="shared" ca="1" si="135"/>
        <v>0</v>
      </c>
      <c r="K332" s="19">
        <f ca="1">SUMPRODUCT(V$7:V332,OFFSET($J$366,ROW($I$7)-ROW(),0):$J$366)</f>
        <v>0</v>
      </c>
      <c r="L332" s="19">
        <f ca="1">SUMPRODUCT(W$7:W332,OFFSET($J$366,ROW($I$7)-ROW(),0):$J$366)</f>
        <v>0</v>
      </c>
      <c r="M332" s="19">
        <f ca="1">SUMPRODUCT(X$7:X332,OFFSET($J$366,ROW($I$7)-ROW(),0):$J$366)</f>
        <v>0</v>
      </c>
      <c r="N332" s="19"/>
      <c r="O332" s="43">
        <f t="shared" si="136"/>
        <v>53359</v>
      </c>
      <c r="P332" s="24">
        <f t="shared" si="137"/>
        <v>9893</v>
      </c>
      <c r="Q332" s="19">
        <f t="shared" si="138"/>
        <v>2.0822388496306328</v>
      </c>
      <c r="R332" s="19">
        <f t="shared" si="121"/>
        <v>15.813332868754891</v>
      </c>
      <c r="S332" s="19">
        <f t="shared" si="122"/>
        <v>5.8972602295499516E-4</v>
      </c>
      <c r="T332" s="19"/>
      <c r="U332" s="24">
        <f t="shared" si="144"/>
        <v>9889.7500000000455</v>
      </c>
      <c r="V332" s="19">
        <f t="shared" si="123"/>
        <v>8.7154289577791442</v>
      </c>
      <c r="W332" s="19">
        <f t="shared" si="124"/>
        <v>33.062782394236358</v>
      </c>
      <c r="X332" s="19">
        <f t="shared" si="125"/>
        <v>4.3577144788895721</v>
      </c>
      <c r="Y332" s="27"/>
      <c r="Z332" s="42">
        <f t="shared" si="139"/>
        <v>54089</v>
      </c>
      <c r="AA332" s="19">
        <f t="shared" ca="1" si="126"/>
        <v>1.7624069623273679</v>
      </c>
      <c r="AB332" s="19">
        <f t="shared" ca="1" si="127"/>
        <v>13.972660922831819</v>
      </c>
      <c r="AC332" s="19">
        <f t="shared" ca="1" si="128"/>
        <v>2.6171814321620124E-4</v>
      </c>
      <c r="AD332" s="19">
        <f t="shared" ca="1" si="129"/>
        <v>2.0958991384247727</v>
      </c>
      <c r="AE332" s="115">
        <f t="shared" ca="1" si="130"/>
        <v>51.109801907493669</v>
      </c>
      <c r="AF332" s="19">
        <f t="shared" ca="1" si="131"/>
        <v>405.20716676212277</v>
      </c>
      <c r="AG332" s="19">
        <f t="shared" ca="1" si="132"/>
        <v>7.5898261532698361E-3</v>
      </c>
      <c r="AH332" s="19">
        <f t="shared" ca="1" si="133"/>
        <v>60.781075014318411</v>
      </c>
      <c r="AI332" s="46">
        <f t="shared" ca="1" si="140"/>
        <v>7928.1693851118553</v>
      </c>
      <c r="AJ332" s="55">
        <f t="shared" ca="1" si="141"/>
        <v>1.4847835337173501E-4</v>
      </c>
      <c r="AK332" s="19">
        <f t="shared" ca="1" si="142"/>
        <v>126.13252207727541</v>
      </c>
      <c r="AL332" s="19">
        <f t="shared" ca="1" si="134"/>
        <v>150</v>
      </c>
    </row>
    <row r="333" spans="2:38" x14ac:dyDescent="0.25">
      <c r="B333" s="19"/>
      <c r="C333" s="19"/>
      <c r="D333" s="19"/>
      <c r="E333" s="19"/>
      <c r="F333" s="19"/>
      <c r="G333" s="19"/>
      <c r="H333" s="43">
        <f t="shared" si="143"/>
        <v>54118</v>
      </c>
      <c r="I333" s="264">
        <v>0</v>
      </c>
      <c r="J333" s="64">
        <f t="shared" ca="1" si="135"/>
        <v>0</v>
      </c>
      <c r="K333" s="19">
        <f ca="1">SUMPRODUCT(V$7:V333,OFFSET($J$366,ROW($I$7)-ROW(),0):$J$366)</f>
        <v>0</v>
      </c>
      <c r="L333" s="19">
        <f ca="1">SUMPRODUCT(W$7:W333,OFFSET($J$366,ROW($I$7)-ROW(),0):$J$366)</f>
        <v>0</v>
      </c>
      <c r="M333" s="19">
        <f ca="1">SUMPRODUCT(X$7:X333,OFFSET($J$366,ROW($I$7)-ROW(),0):$J$366)</f>
        <v>0</v>
      </c>
      <c r="N333" s="19"/>
      <c r="O333" s="43">
        <f t="shared" si="136"/>
        <v>53387</v>
      </c>
      <c r="P333" s="24">
        <f t="shared" si="137"/>
        <v>9921</v>
      </c>
      <c r="Q333" s="19">
        <f t="shared" si="138"/>
        <v>2.0689625280505894</v>
      </c>
      <c r="R333" s="19">
        <f t="shared" si="121"/>
        <v>15.738451060959518</v>
      </c>
      <c r="S333" s="19">
        <f t="shared" si="122"/>
        <v>5.7159858204774657E-4</v>
      </c>
      <c r="T333" s="19"/>
      <c r="U333" s="24">
        <f t="shared" si="144"/>
        <v>9920.1800000000458</v>
      </c>
      <c r="V333" s="19">
        <f t="shared" si="123"/>
        <v>8.6598595222304677</v>
      </c>
      <c r="W333" s="19">
        <f t="shared" si="124"/>
        <v>32.90621825073962</v>
      </c>
      <c r="X333" s="19">
        <f t="shared" si="125"/>
        <v>4.3299297611152339</v>
      </c>
      <c r="Y333" s="27"/>
      <c r="Z333" s="42">
        <f t="shared" si="139"/>
        <v>54118</v>
      </c>
      <c r="AA333" s="19">
        <f t="shared" ca="1" si="126"/>
        <v>1.7507698873430451</v>
      </c>
      <c r="AB333" s="19">
        <f t="shared" ca="1" si="127"/>
        <v>13.904138105177477</v>
      </c>
      <c r="AC333" s="19">
        <f t="shared" ca="1" si="128"/>
        <v>2.5342379364915466E-4</v>
      </c>
      <c r="AD333" s="19">
        <f t="shared" ca="1" si="129"/>
        <v>2.0856207157766216</v>
      </c>
      <c r="AE333" s="115">
        <f t="shared" ca="1" si="130"/>
        <v>54.273866507634395</v>
      </c>
      <c r="AF333" s="19">
        <f t="shared" ca="1" si="131"/>
        <v>431.02828126050179</v>
      </c>
      <c r="AG333" s="19">
        <f t="shared" ca="1" si="132"/>
        <v>7.8561376031237948E-3</v>
      </c>
      <c r="AH333" s="19">
        <f t="shared" ca="1" si="133"/>
        <v>64.654242189075262</v>
      </c>
      <c r="AI333" s="46">
        <f t="shared" ca="1" si="140"/>
        <v>7941.7279253519091</v>
      </c>
      <c r="AJ333" s="55">
        <f t="shared" ca="1" si="141"/>
        <v>1.4472896622069647E-4</v>
      </c>
      <c r="AK333" s="19">
        <f t="shared" ca="1" si="142"/>
        <v>125.91718192809891</v>
      </c>
      <c r="AL333" s="19">
        <f t="shared" ca="1" si="134"/>
        <v>149.99999999999997</v>
      </c>
    </row>
    <row r="334" spans="2:38" x14ac:dyDescent="0.25">
      <c r="B334" s="19"/>
      <c r="C334" s="19"/>
      <c r="D334" s="19"/>
      <c r="E334" s="19"/>
      <c r="F334" s="19"/>
      <c r="G334" s="19"/>
      <c r="H334" s="43">
        <f t="shared" si="143"/>
        <v>54149</v>
      </c>
      <c r="I334" s="264">
        <v>0</v>
      </c>
      <c r="J334" s="64">
        <f t="shared" ca="1" si="135"/>
        <v>0</v>
      </c>
      <c r="K334" s="19">
        <f ca="1">SUMPRODUCT(V$7:V334,OFFSET($J$366,ROW($I$7)-ROW(),0):$J$366)</f>
        <v>0</v>
      </c>
      <c r="L334" s="19">
        <f ca="1">SUMPRODUCT(W$7:W334,OFFSET($J$366,ROW($I$7)-ROW(),0):$J$366)</f>
        <v>0</v>
      </c>
      <c r="M334" s="19">
        <f ca="1">SUMPRODUCT(X$7:X334,OFFSET($J$366,ROW($I$7)-ROW(),0):$J$366)</f>
        <v>0</v>
      </c>
      <c r="N334" s="19"/>
      <c r="O334" s="43">
        <f t="shared" si="136"/>
        <v>53418</v>
      </c>
      <c r="P334" s="24">
        <f t="shared" si="137"/>
        <v>9952</v>
      </c>
      <c r="Q334" s="19">
        <f t="shared" si="138"/>
        <v>2.0543624608152662</v>
      </c>
      <c r="R334" s="19">
        <f t="shared" si="121"/>
        <v>15.655959747870968</v>
      </c>
      <c r="S334" s="19">
        <f t="shared" si="122"/>
        <v>5.5218130104553974E-4</v>
      </c>
      <c r="T334" s="19"/>
      <c r="U334" s="24">
        <f t="shared" si="144"/>
        <v>9950.6100000000461</v>
      </c>
      <c r="V334" s="19">
        <f t="shared" si="123"/>
        <v>8.5987494104914468</v>
      </c>
      <c r="W334" s="19">
        <f t="shared" si="124"/>
        <v>32.733744025559012</v>
      </c>
      <c r="X334" s="19">
        <f t="shared" si="125"/>
        <v>4.2993747052457234</v>
      </c>
      <c r="Y334" s="27"/>
      <c r="Z334" s="42">
        <f t="shared" si="139"/>
        <v>54149</v>
      </c>
      <c r="AA334" s="19">
        <f t="shared" ca="1" si="126"/>
        <v>1.7384152130933999</v>
      </c>
      <c r="AB334" s="19">
        <f t="shared" ca="1" si="127"/>
        <v>13.831261136203969</v>
      </c>
      <c r="AC334" s="19">
        <f t="shared" ca="1" si="128"/>
        <v>2.4484929225499798E-4</v>
      </c>
      <c r="AD334" s="19">
        <f t="shared" ca="1" si="129"/>
        <v>2.0746891704305952</v>
      </c>
      <c r="AE334" s="115">
        <f t="shared" ca="1" si="130"/>
        <v>52.152456392801994</v>
      </c>
      <c r="AF334" s="19">
        <f t="shared" ca="1" si="131"/>
        <v>414.93783408611904</v>
      </c>
      <c r="AG334" s="19">
        <f t="shared" ca="1" si="132"/>
        <v>7.3454787676499392E-3</v>
      </c>
      <c r="AH334" s="19">
        <f t="shared" ca="1" si="133"/>
        <v>62.240675112917856</v>
      </c>
      <c r="AI334" s="46">
        <f t="shared" ca="1" si="140"/>
        <v>7956.2471796321397</v>
      </c>
      <c r="AJ334" s="55">
        <f t="shared" ca="1" si="141"/>
        <v>1.4082643154466592E-4</v>
      </c>
      <c r="AK334" s="19">
        <f t="shared" ca="1" si="142"/>
        <v>125.68739726437651</v>
      </c>
      <c r="AL334" s="19">
        <f t="shared" ca="1" si="134"/>
        <v>150</v>
      </c>
    </row>
    <row r="335" spans="2:38" x14ac:dyDescent="0.25">
      <c r="B335" s="19"/>
      <c r="C335" s="19"/>
      <c r="D335" s="19"/>
      <c r="E335" s="19"/>
      <c r="F335" s="19"/>
      <c r="G335" s="19"/>
      <c r="H335" s="43">
        <f t="shared" si="143"/>
        <v>54179</v>
      </c>
      <c r="I335" s="264">
        <v>0</v>
      </c>
      <c r="J335" s="64">
        <f t="shared" ca="1" si="135"/>
        <v>0</v>
      </c>
      <c r="K335" s="19">
        <f ca="1">SUMPRODUCT(V$7:V335,OFFSET($J$366,ROW($I$7)-ROW(),0):$J$366)</f>
        <v>0</v>
      </c>
      <c r="L335" s="19">
        <f ca="1">SUMPRODUCT(W$7:W335,OFFSET($J$366,ROW($I$7)-ROW(),0):$J$366)</f>
        <v>0</v>
      </c>
      <c r="M335" s="19">
        <f ca="1">SUMPRODUCT(X$7:X335,OFFSET($J$366,ROW($I$7)-ROW(),0):$J$366)</f>
        <v>0</v>
      </c>
      <c r="N335" s="19"/>
      <c r="O335" s="43">
        <f t="shared" si="136"/>
        <v>53448</v>
      </c>
      <c r="P335" s="24">
        <f t="shared" si="137"/>
        <v>9982</v>
      </c>
      <c r="Q335" s="19">
        <f t="shared" si="138"/>
        <v>2.0403314677370403</v>
      </c>
      <c r="R335" s="19">
        <f t="shared" si="121"/>
        <v>15.576541140894673</v>
      </c>
      <c r="S335" s="19">
        <f t="shared" si="122"/>
        <v>5.3402168581042448E-4</v>
      </c>
      <c r="T335" s="19"/>
      <c r="U335" s="24">
        <f t="shared" si="144"/>
        <v>9981.0400000000463</v>
      </c>
      <c r="V335" s="19">
        <f t="shared" si="123"/>
        <v>8.540021218285224</v>
      </c>
      <c r="W335" s="19">
        <f t="shared" si="124"/>
        <v>32.567694266010918</v>
      </c>
      <c r="X335" s="19">
        <f t="shared" si="125"/>
        <v>4.270010609142612</v>
      </c>
      <c r="Y335" s="27"/>
      <c r="Z335" s="42">
        <f t="shared" si="139"/>
        <v>54179</v>
      </c>
      <c r="AA335" s="19">
        <f t="shared" ca="1" si="126"/>
        <v>1.7265420931901494</v>
      </c>
      <c r="AB335" s="19">
        <f t="shared" ca="1" si="127"/>
        <v>13.761098750131659</v>
      </c>
      <c r="AC335" s="19">
        <f t="shared" ca="1" si="128"/>
        <v>2.3682905284094248E-4</v>
      </c>
      <c r="AD335" s="19">
        <f t="shared" ca="1" si="129"/>
        <v>2.0641648125197487</v>
      </c>
      <c r="AE335" s="115">
        <f t="shared" ca="1" si="130"/>
        <v>53.522804888894633</v>
      </c>
      <c r="AF335" s="19">
        <f t="shared" ca="1" si="131"/>
        <v>426.5940612540814</v>
      </c>
      <c r="AG335" s="19">
        <f t="shared" ca="1" si="132"/>
        <v>7.3417006380692169E-3</v>
      </c>
      <c r="AH335" s="19">
        <f t="shared" ca="1" si="133"/>
        <v>63.989109188112209</v>
      </c>
      <c r="AI335" s="46">
        <f t="shared" ca="1" si="140"/>
        <v>7970.3233442198534</v>
      </c>
      <c r="AJ335" s="55">
        <f t="shared" ca="1" si="141"/>
        <v>1.3715076654590769E-4</v>
      </c>
      <c r="AK335" s="19">
        <f t="shared" ca="1" si="142"/>
        <v>125.46542427606887</v>
      </c>
      <c r="AL335" s="19">
        <f t="shared" ca="1" si="134"/>
        <v>150</v>
      </c>
    </row>
    <row r="336" spans="2:38" x14ac:dyDescent="0.25">
      <c r="B336" s="19"/>
      <c r="C336" s="19"/>
      <c r="D336" s="19"/>
      <c r="E336" s="19"/>
      <c r="F336" s="19"/>
      <c r="G336" s="19"/>
      <c r="H336" s="43">
        <f t="shared" si="143"/>
        <v>54210</v>
      </c>
      <c r="I336" s="264">
        <v>0</v>
      </c>
      <c r="J336" s="64">
        <f t="shared" ca="1" si="135"/>
        <v>0</v>
      </c>
      <c r="K336" s="19">
        <f ca="1">SUMPRODUCT(V$7:V336,OFFSET($J$366,ROW($I$7)-ROW(),0):$J$366)</f>
        <v>0</v>
      </c>
      <c r="L336" s="19">
        <f ca="1">SUMPRODUCT(W$7:W336,OFFSET($J$366,ROW($I$7)-ROW(),0):$J$366)</f>
        <v>0</v>
      </c>
      <c r="M336" s="19">
        <f ca="1">SUMPRODUCT(X$7:X336,OFFSET($J$366,ROW($I$7)-ROW(),0):$J$366)</f>
        <v>0</v>
      </c>
      <c r="N336" s="19"/>
      <c r="O336" s="43">
        <f t="shared" si="136"/>
        <v>53479</v>
      </c>
      <c r="P336" s="24">
        <f t="shared" si="137"/>
        <v>10013</v>
      </c>
      <c r="Q336" s="19">
        <f t="shared" si="138"/>
        <v>2.0259334415729926</v>
      </c>
      <c r="R336" s="19">
        <f t="shared" si="121"/>
        <v>15.494898460359384</v>
      </c>
      <c r="S336" s="19">
        <f t="shared" si="122"/>
        <v>5.1588695747405524E-4</v>
      </c>
      <c r="T336" s="19"/>
      <c r="U336" s="24">
        <f t="shared" si="144"/>
        <v>10011.470000000047</v>
      </c>
      <c r="V336" s="19">
        <f t="shared" si="123"/>
        <v>8.4797567706272332</v>
      </c>
      <c r="W336" s="19">
        <f t="shared" si="124"/>
        <v>32.396994376049449</v>
      </c>
      <c r="X336" s="19">
        <f t="shared" si="125"/>
        <v>4.2398783853136166</v>
      </c>
      <c r="Y336" s="27"/>
      <c r="Z336" s="42">
        <f t="shared" si="139"/>
        <v>54210</v>
      </c>
      <c r="AA336" s="19">
        <f t="shared" ca="1" si="126"/>
        <v>1.7143583874422534</v>
      </c>
      <c r="AB336" s="19">
        <f t="shared" ca="1" si="127"/>
        <v>13.68897150577688</v>
      </c>
      <c r="AC336" s="19">
        <f t="shared" ca="1" si="128"/>
        <v>2.2881869473230135E-4</v>
      </c>
      <c r="AD336" s="19">
        <f t="shared" ca="1" si="129"/>
        <v>2.053345725866532</v>
      </c>
      <c r="AE336" s="115">
        <f t="shared" ca="1" si="130"/>
        <v>51.430751623267604</v>
      </c>
      <c r="AF336" s="19">
        <f t="shared" ca="1" si="131"/>
        <v>410.66914517330639</v>
      </c>
      <c r="AG336" s="19">
        <f t="shared" ca="1" si="132"/>
        <v>6.8645608419690409E-3</v>
      </c>
      <c r="AH336" s="19">
        <f t="shared" ca="1" si="133"/>
        <v>61.60037177599596</v>
      </c>
      <c r="AI336" s="46">
        <f t="shared" ca="1" si="140"/>
        <v>7984.8948773192151</v>
      </c>
      <c r="AJ336" s="55">
        <f t="shared" ca="1" si="141"/>
        <v>1.3345410132146993E-4</v>
      </c>
      <c r="AK336" s="19">
        <f t="shared" ca="1" si="142"/>
        <v>125.2364640191396</v>
      </c>
      <c r="AL336" s="19">
        <f t="shared" ca="1" si="134"/>
        <v>150</v>
      </c>
    </row>
    <row r="337" spans="2:38" x14ac:dyDescent="0.25">
      <c r="B337" s="19"/>
      <c r="C337" s="19"/>
      <c r="D337" s="19"/>
      <c r="E337" s="19"/>
      <c r="F337" s="19"/>
      <c r="G337" s="19"/>
      <c r="H337" s="43">
        <f t="shared" si="143"/>
        <v>54240</v>
      </c>
      <c r="I337" s="264">
        <v>0</v>
      </c>
      <c r="J337" s="64">
        <f t="shared" ca="1" si="135"/>
        <v>0</v>
      </c>
      <c r="K337" s="19">
        <f ca="1">SUMPRODUCT(V$7:V337,OFFSET($J$366,ROW($I$7)-ROW(),0):$J$366)</f>
        <v>0</v>
      </c>
      <c r="L337" s="19">
        <f ca="1">SUMPRODUCT(W$7:W337,OFFSET($J$366,ROW($I$7)-ROW(),0):$J$366)</f>
        <v>0</v>
      </c>
      <c r="M337" s="19">
        <f ca="1">SUMPRODUCT(X$7:X337,OFFSET($J$366,ROW($I$7)-ROW(),0):$J$366)</f>
        <v>0</v>
      </c>
      <c r="N337" s="19"/>
      <c r="O337" s="43">
        <f t="shared" si="136"/>
        <v>53509</v>
      </c>
      <c r="P337" s="24">
        <f t="shared" si="137"/>
        <v>10043</v>
      </c>
      <c r="Q337" s="19">
        <f t="shared" si="138"/>
        <v>2.0120966145096824</v>
      </c>
      <c r="R337" s="19">
        <f t="shared" si="121"/>
        <v>15.416296875354142</v>
      </c>
      <c r="S337" s="19">
        <f t="shared" si="122"/>
        <v>4.9892662639542285E-4</v>
      </c>
      <c r="T337" s="19"/>
      <c r="U337" s="24">
        <f t="shared" si="144"/>
        <v>10041.900000000047</v>
      </c>
      <c r="V337" s="19">
        <f t="shared" si="123"/>
        <v>8.421841280628211</v>
      </c>
      <c r="W337" s="19">
        <f t="shared" si="124"/>
        <v>32.23265285978345</v>
      </c>
      <c r="X337" s="19">
        <f t="shared" si="125"/>
        <v>4.2109206403141055</v>
      </c>
      <c r="Y337" s="27"/>
      <c r="Z337" s="42">
        <f t="shared" si="139"/>
        <v>54240</v>
      </c>
      <c r="AA337" s="19">
        <f t="shared" ca="1" si="126"/>
        <v>1.7026495721155483</v>
      </c>
      <c r="AB337" s="19">
        <f t="shared" ca="1" si="127"/>
        <v>13.619530917947388</v>
      </c>
      <c r="AC337" s="19">
        <f t="shared" ca="1" si="128"/>
        <v>2.2132604564254065E-4</v>
      </c>
      <c r="AD337" s="19">
        <f t="shared" ca="1" si="129"/>
        <v>2.042929637692108</v>
      </c>
      <c r="AE337" s="115">
        <f t="shared" ca="1" si="130"/>
        <v>52.782136735582</v>
      </c>
      <c r="AF337" s="19">
        <f t="shared" ca="1" si="131"/>
        <v>422.20545845636906</v>
      </c>
      <c r="AG337" s="19">
        <f t="shared" ca="1" si="132"/>
        <v>6.8611074149187599E-3</v>
      </c>
      <c r="AH337" s="19">
        <f t="shared" ca="1" si="133"/>
        <v>63.330818768455345</v>
      </c>
      <c r="AI337" s="46">
        <f t="shared" ca="1" si="140"/>
        <v>7999.0217253131377</v>
      </c>
      <c r="AJ337" s="55">
        <f t="shared" ca="1" si="141"/>
        <v>1.299722990636195E-4</v>
      </c>
      <c r="AK337" s="19">
        <f t="shared" ca="1" si="142"/>
        <v>125.01528741139319</v>
      </c>
      <c r="AL337" s="19">
        <f t="shared" ca="1" si="134"/>
        <v>149.99999999999997</v>
      </c>
    </row>
    <row r="338" spans="2:38" x14ac:dyDescent="0.25">
      <c r="B338" s="19"/>
      <c r="C338" s="19"/>
      <c r="D338" s="19"/>
      <c r="E338" s="19"/>
      <c r="F338" s="19"/>
      <c r="G338" s="19"/>
      <c r="H338" s="43">
        <f t="shared" si="143"/>
        <v>54271</v>
      </c>
      <c r="I338" s="264">
        <v>0</v>
      </c>
      <c r="J338" s="64">
        <f t="shared" ca="1" si="135"/>
        <v>0</v>
      </c>
      <c r="K338" s="19">
        <f ca="1">SUMPRODUCT(V$7:V338,OFFSET($J$366,ROW($I$7)-ROW(),0):$J$366)</f>
        <v>0</v>
      </c>
      <c r="L338" s="19">
        <f ca="1">SUMPRODUCT(W$7:W338,OFFSET($J$366,ROW($I$7)-ROW(),0):$J$366)</f>
        <v>0</v>
      </c>
      <c r="M338" s="19">
        <f ca="1">SUMPRODUCT(X$7:X338,OFFSET($J$366,ROW($I$7)-ROW(),0):$J$366)</f>
        <v>0</v>
      </c>
      <c r="N338" s="19"/>
      <c r="O338" s="43">
        <f t="shared" si="136"/>
        <v>53540</v>
      </c>
      <c r="P338" s="24">
        <f t="shared" si="137"/>
        <v>10074</v>
      </c>
      <c r="Q338" s="19">
        <f t="shared" si="138"/>
        <v>1.9978978334986572</v>
      </c>
      <c r="R338" s="19">
        <f t="shared" si="121"/>
        <v>15.335494097032109</v>
      </c>
      <c r="S338" s="19">
        <f t="shared" si="122"/>
        <v>4.8198934204805318E-4</v>
      </c>
      <c r="T338" s="19"/>
      <c r="U338" s="24">
        <f t="shared" si="144"/>
        <v>10072.330000000047</v>
      </c>
      <c r="V338" s="19">
        <f t="shared" si="123"/>
        <v>8.3624107944423436</v>
      </c>
      <c r="W338" s="19">
        <f t="shared" si="124"/>
        <v>32.06370905149938</v>
      </c>
      <c r="X338" s="19">
        <f t="shared" si="125"/>
        <v>4.1812053972211718</v>
      </c>
      <c r="Y338" s="27"/>
      <c r="Z338" s="42">
        <f t="shared" si="139"/>
        <v>54271</v>
      </c>
      <c r="AA338" s="19">
        <f t="shared" ca="1" si="126"/>
        <v>1.6906344689447321</v>
      </c>
      <c r="AB338" s="19">
        <f t="shared" ca="1" si="127"/>
        <v>13.548145685390514</v>
      </c>
      <c r="AC338" s="19">
        <f t="shared" ca="1" si="128"/>
        <v>2.1384254167864164E-4</v>
      </c>
      <c r="AD338" s="19">
        <f t="shared" ca="1" si="129"/>
        <v>2.0322218528085774</v>
      </c>
      <c r="AE338" s="115">
        <f t="shared" ca="1" si="130"/>
        <v>52.409668537286699</v>
      </c>
      <c r="AF338" s="19">
        <f t="shared" ca="1" si="131"/>
        <v>419.99251624710593</v>
      </c>
      <c r="AG338" s="19">
        <f t="shared" ca="1" si="132"/>
        <v>6.6291187920378908E-3</v>
      </c>
      <c r="AH338" s="19">
        <f t="shared" ca="1" si="133"/>
        <v>62.9988774370659</v>
      </c>
      <c r="AI338" s="46">
        <f t="shared" ca="1" si="140"/>
        <v>8013.6457254695961</v>
      </c>
      <c r="AJ338" s="55">
        <f t="shared" ca="1" si="141"/>
        <v>1.2647056523400045E-4</v>
      </c>
      <c r="AK338" s="19">
        <f t="shared" ca="1" si="142"/>
        <v>124.78714860350287</v>
      </c>
      <c r="AL338" s="19">
        <f t="shared" ca="1" si="134"/>
        <v>150.00000000000003</v>
      </c>
    </row>
    <row r="339" spans="2:38" x14ac:dyDescent="0.25">
      <c r="B339" s="19"/>
      <c r="C339" s="19"/>
      <c r="D339" s="19"/>
      <c r="E339" s="19"/>
      <c r="F339" s="19"/>
      <c r="G339" s="19"/>
      <c r="H339" s="43">
        <f t="shared" si="143"/>
        <v>54302</v>
      </c>
      <c r="I339" s="264">
        <v>0</v>
      </c>
      <c r="J339" s="64">
        <f t="shared" ca="1" si="135"/>
        <v>0</v>
      </c>
      <c r="K339" s="19">
        <f ca="1">SUMPRODUCT(V$7:V339,OFFSET($J$366,ROW($I$7)-ROW(),0):$J$366)</f>
        <v>0</v>
      </c>
      <c r="L339" s="19">
        <f ca="1">SUMPRODUCT(W$7:W339,OFFSET($J$366,ROW($I$7)-ROW(),0):$J$366)</f>
        <v>0</v>
      </c>
      <c r="M339" s="19">
        <f ca="1">SUMPRODUCT(X$7:X339,OFFSET($J$366,ROW($I$7)-ROW(),0):$J$366)</f>
        <v>0</v>
      </c>
      <c r="N339" s="19"/>
      <c r="O339" s="43">
        <f t="shared" si="136"/>
        <v>53571</v>
      </c>
      <c r="P339" s="24">
        <f t="shared" si="137"/>
        <v>10105</v>
      </c>
      <c r="Q339" s="19">
        <f t="shared" si="138"/>
        <v>1.9837992491584804</v>
      </c>
      <c r="R339" s="19">
        <f t="shared" si="121"/>
        <v>15.255114837343465</v>
      </c>
      <c r="S339" s="19">
        <f t="shared" si="122"/>
        <v>4.6562981177954437E-4</v>
      </c>
      <c r="T339" s="19"/>
      <c r="U339" s="24">
        <f t="shared" si="144"/>
        <v>10102.760000000048</v>
      </c>
      <c r="V339" s="19">
        <f t="shared" si="123"/>
        <v>8.3033996919245574</v>
      </c>
      <c r="W339" s="19">
        <f t="shared" si="124"/>
        <v>31.89565074309898</v>
      </c>
      <c r="X339" s="19">
        <f t="shared" si="125"/>
        <v>4.1516998459622787</v>
      </c>
      <c r="Y339" s="27"/>
      <c r="Z339" s="42">
        <f t="shared" si="139"/>
        <v>54302</v>
      </c>
      <c r="AA339" s="19">
        <f t="shared" ca="1" si="126"/>
        <v>1.6787041528649114</v>
      </c>
      <c r="AB339" s="19">
        <f t="shared" ca="1" si="127"/>
        <v>13.477134610464907</v>
      </c>
      <c r="AC339" s="19">
        <f t="shared" ca="1" si="128"/>
        <v>2.0661329294850949E-4</v>
      </c>
      <c r="AD339" s="19">
        <f t="shared" ca="1" si="129"/>
        <v>2.0215701915697357</v>
      </c>
      <c r="AE339" s="115">
        <f t="shared" ca="1" si="130"/>
        <v>50.361124585947344</v>
      </c>
      <c r="AF339" s="19">
        <f t="shared" ca="1" si="131"/>
        <v>404.31403831394721</v>
      </c>
      <c r="AG339" s="19">
        <f t="shared" ca="1" si="132"/>
        <v>6.1983987884552845E-3</v>
      </c>
      <c r="AH339" s="19">
        <f t="shared" ca="1" si="133"/>
        <v>60.64710574709207</v>
      </c>
      <c r="AI339" s="46">
        <f t="shared" ca="1" si="140"/>
        <v>8028.2964615680185</v>
      </c>
      <c r="AJ339" s="55">
        <f t="shared" ca="1" si="141"/>
        <v>1.2306389184777114E-4</v>
      </c>
      <c r="AK339" s="19">
        <f t="shared" ca="1" si="142"/>
        <v>124.55942612322123</v>
      </c>
      <c r="AL339" s="19">
        <f t="shared" ca="1" si="134"/>
        <v>149.99999999999997</v>
      </c>
    </row>
    <row r="340" spans="2:38" x14ac:dyDescent="0.25">
      <c r="B340" s="19"/>
      <c r="C340" s="19"/>
      <c r="D340" s="19"/>
      <c r="E340" s="19"/>
      <c r="F340" s="19"/>
      <c r="G340" s="19"/>
      <c r="H340" s="43">
        <f t="shared" si="143"/>
        <v>54332</v>
      </c>
      <c r="I340" s="264">
        <v>0</v>
      </c>
      <c r="J340" s="64">
        <f t="shared" ca="1" si="135"/>
        <v>0</v>
      </c>
      <c r="K340" s="19">
        <f ca="1">SUMPRODUCT(V$7:V340,OFFSET($J$366,ROW($I$7)-ROW(),0):$J$366)</f>
        <v>0</v>
      </c>
      <c r="L340" s="19">
        <f ca="1">SUMPRODUCT(W$7:W340,OFFSET($J$366,ROW($I$7)-ROW(),0):$J$366)</f>
        <v>0</v>
      </c>
      <c r="M340" s="19">
        <f ca="1">SUMPRODUCT(X$7:X340,OFFSET($J$366,ROW($I$7)-ROW(),0):$J$366)</f>
        <v>0</v>
      </c>
      <c r="N340" s="19"/>
      <c r="O340" s="43">
        <f t="shared" si="136"/>
        <v>53601</v>
      </c>
      <c r="P340" s="24">
        <f t="shared" si="137"/>
        <v>10135</v>
      </c>
      <c r="Q340" s="19">
        <f t="shared" si="138"/>
        <v>1.9702501924246036</v>
      </c>
      <c r="R340" s="19">
        <f t="shared" si="121"/>
        <v>15.177729612217938</v>
      </c>
      <c r="S340" s="19">
        <f t="shared" si="122"/>
        <v>4.5032944987657134E-4</v>
      </c>
      <c r="T340" s="19"/>
      <c r="U340" s="24">
        <f t="shared" si="144"/>
        <v>10133.190000000048</v>
      </c>
      <c r="V340" s="19">
        <f t="shared" si="123"/>
        <v>8.2466886948024118</v>
      </c>
      <c r="W340" s="19">
        <f t="shared" si="124"/>
        <v>31.733852412532638</v>
      </c>
      <c r="X340" s="19">
        <f t="shared" si="125"/>
        <v>4.1233443474012059</v>
      </c>
      <c r="Y340" s="27"/>
      <c r="Z340" s="42">
        <f t="shared" si="139"/>
        <v>54332</v>
      </c>
      <c r="AA340" s="19">
        <f t="shared" ca="1" si="126"/>
        <v>1.6672388507098623</v>
      </c>
      <c r="AB340" s="19">
        <f t="shared" ca="1" si="127"/>
        <v>13.408768616042831</v>
      </c>
      <c r="AC340" s="19">
        <f t="shared" ca="1" si="128"/>
        <v>1.9985115277049774E-4</v>
      </c>
      <c r="AD340" s="19">
        <f t="shared" ca="1" si="129"/>
        <v>2.0113152924064246</v>
      </c>
      <c r="AE340" s="115">
        <f t="shared" ca="1" si="130"/>
        <v>51.68440437200573</v>
      </c>
      <c r="AF340" s="19">
        <f t="shared" ca="1" si="131"/>
        <v>415.67182709732776</v>
      </c>
      <c r="AG340" s="19">
        <f t="shared" ca="1" si="132"/>
        <v>6.1953857358854302E-3</v>
      </c>
      <c r="AH340" s="19">
        <f t="shared" ca="1" si="133"/>
        <v>62.350774064599165</v>
      </c>
      <c r="AI340" s="46">
        <f t="shared" ca="1" si="140"/>
        <v>8042.5000954924744</v>
      </c>
      <c r="AJ340" s="55">
        <f t="shared" ca="1" si="141"/>
        <v>1.1985517221547729E-4</v>
      </c>
      <c r="AK340" s="19">
        <f t="shared" ca="1" si="142"/>
        <v>124.33944521312014</v>
      </c>
      <c r="AL340" s="19">
        <f t="shared" ca="1" si="134"/>
        <v>150</v>
      </c>
    </row>
    <row r="341" spans="2:38" x14ac:dyDescent="0.25">
      <c r="B341" s="19"/>
      <c r="C341" s="19"/>
      <c r="D341" s="19"/>
      <c r="E341" s="19"/>
      <c r="F341" s="19"/>
      <c r="G341" s="19"/>
      <c r="H341" s="43">
        <f t="shared" si="143"/>
        <v>54363</v>
      </c>
      <c r="I341" s="264">
        <v>0</v>
      </c>
      <c r="J341" s="64">
        <f t="shared" ca="1" si="135"/>
        <v>0</v>
      </c>
      <c r="K341" s="19">
        <f ca="1">SUMPRODUCT(V$7:V341,OFFSET($J$366,ROW($I$7)-ROW(),0):$J$366)</f>
        <v>0</v>
      </c>
      <c r="L341" s="19">
        <f ca="1">SUMPRODUCT(W$7:W341,OFFSET($J$366,ROW($I$7)-ROW(),0):$J$366)</f>
        <v>0</v>
      </c>
      <c r="M341" s="19">
        <f ca="1">SUMPRODUCT(X$7:X341,OFFSET($J$366,ROW($I$7)-ROW(),0):$J$366)</f>
        <v>0</v>
      </c>
      <c r="N341" s="19"/>
      <c r="O341" s="43">
        <f t="shared" si="136"/>
        <v>53632</v>
      </c>
      <c r="P341" s="24">
        <f t="shared" si="137"/>
        <v>10166</v>
      </c>
      <c r="Q341" s="19">
        <f t="shared" si="138"/>
        <v>1.9563467094519507</v>
      </c>
      <c r="R341" s="19">
        <f t="shared" si="121"/>
        <v>15.098177257252042</v>
      </c>
      <c r="S341" s="19">
        <f t="shared" si="122"/>
        <v>4.3504961176398383E-4</v>
      </c>
      <c r="T341" s="19"/>
      <c r="U341" s="24">
        <f t="shared" si="144"/>
        <v>10163.620000000048</v>
      </c>
      <c r="V341" s="19">
        <f t="shared" si="123"/>
        <v>8.1884942095082103</v>
      </c>
      <c r="W341" s="19">
        <f t="shared" si="124"/>
        <v>31.56752301043781</v>
      </c>
      <c r="X341" s="19">
        <f t="shared" si="125"/>
        <v>4.0942471047541051</v>
      </c>
      <c r="Y341" s="27"/>
      <c r="Z341" s="42">
        <f t="shared" si="139"/>
        <v>54363</v>
      </c>
      <c r="AA341" s="19">
        <f t="shared" ca="1" si="126"/>
        <v>1.6554736307082019</v>
      </c>
      <c r="AB341" s="19">
        <f t="shared" ca="1" si="127"/>
        <v>13.338488070279233</v>
      </c>
      <c r="AC341" s="19">
        <f t="shared" ca="1" si="128"/>
        <v>1.9309714891394171E-4</v>
      </c>
      <c r="AD341" s="19">
        <f t="shared" ca="1" si="129"/>
        <v>2.0007732105418849</v>
      </c>
      <c r="AE341" s="115">
        <f t="shared" ca="1" si="130"/>
        <v>49.664208921246058</v>
      </c>
      <c r="AF341" s="19">
        <f t="shared" ca="1" si="131"/>
        <v>400.154642108377</v>
      </c>
      <c r="AG341" s="19">
        <f t="shared" ca="1" si="132"/>
        <v>5.7929144674182514E-3</v>
      </c>
      <c r="AH341" s="19">
        <f t="shared" ca="1" si="133"/>
        <v>60.023196316256545</v>
      </c>
      <c r="AI341" s="46">
        <f t="shared" ca="1" si="140"/>
        <v>8057.2035838306329</v>
      </c>
      <c r="AJ341" s="55">
        <f t="shared" ca="1" si="141"/>
        <v>1.1662803006488031E-4</v>
      </c>
      <c r="AK341" s="19">
        <f t="shared" ca="1" si="142"/>
        <v>124.1125397410612</v>
      </c>
      <c r="AL341" s="19">
        <f t="shared" ca="1" si="134"/>
        <v>150</v>
      </c>
    </row>
    <row r="342" spans="2:38" x14ac:dyDescent="0.25">
      <c r="B342" s="19"/>
      <c r="C342" s="19"/>
      <c r="D342" s="19"/>
      <c r="E342" s="19"/>
      <c r="F342" s="19"/>
      <c r="G342" s="19"/>
      <c r="H342" s="44">
        <f t="shared" si="143"/>
        <v>54393</v>
      </c>
      <c r="I342" s="265">
        <v>0</v>
      </c>
      <c r="J342" s="65">
        <f t="shared" ca="1" si="135"/>
        <v>0</v>
      </c>
      <c r="K342" s="21">
        <f ca="1">SUMPRODUCT(V$7:V342,OFFSET($J$366,ROW($I$7)-ROW(),0):$J$366)</f>
        <v>0</v>
      </c>
      <c r="L342" s="21">
        <f ca="1">SUMPRODUCT(W$7:W342,OFFSET($J$366,ROW($I$7)-ROW(),0):$J$366)</f>
        <v>0</v>
      </c>
      <c r="M342" s="21">
        <f ca="1">SUMPRODUCT(X$7:X342,OFFSET($J$366,ROW($I$7)-ROW(),0):$J$366)</f>
        <v>0</v>
      </c>
      <c r="N342" s="19"/>
      <c r="O342" s="44">
        <f t="shared" si="136"/>
        <v>53662</v>
      </c>
      <c r="P342" s="25">
        <f t="shared" si="137"/>
        <v>10196</v>
      </c>
      <c r="Q342" s="21">
        <f t="shared" si="138"/>
        <v>1.9429851495215589</v>
      </c>
      <c r="R342" s="21">
        <f t="shared" si="121"/>
        <v>15.021588135603642</v>
      </c>
      <c r="S342" s="21">
        <f t="shared" si="122"/>
        <v>4.207588735698011E-4</v>
      </c>
      <c r="T342" s="19"/>
      <c r="U342" s="25">
        <f t="shared" si="144"/>
        <v>10194.050000000048</v>
      </c>
      <c r="V342" s="21">
        <f t="shared" si="123"/>
        <v>8.132567999909778</v>
      </c>
      <c r="W342" s="21">
        <f t="shared" si="124"/>
        <v>31.407389186414534</v>
      </c>
      <c r="X342" s="21">
        <f t="shared" si="125"/>
        <v>4.066283999954889</v>
      </c>
      <c r="Y342" s="27"/>
      <c r="Z342" s="48">
        <f t="shared" si="139"/>
        <v>54393</v>
      </c>
      <c r="AA342" s="21">
        <f t="shared" ca="1" si="126"/>
        <v>1.6441669895985145</v>
      </c>
      <c r="AB342" s="21">
        <f t="shared" ca="1" si="127"/>
        <v>13.270825393651851</v>
      </c>
      <c r="AC342" s="21">
        <f t="shared" ca="1" si="128"/>
        <v>1.8677947360788182E-4</v>
      </c>
      <c r="AD342" s="21">
        <f t="shared" ca="1" si="129"/>
        <v>1.9906238090477777</v>
      </c>
      <c r="AE342" s="116">
        <f t="shared" ca="1" si="130"/>
        <v>50.969176677553946</v>
      </c>
      <c r="AF342" s="21">
        <f t="shared" ca="1" si="131"/>
        <v>411.39558720320736</v>
      </c>
      <c r="AG342" s="21">
        <f t="shared" ca="1" si="132"/>
        <v>5.7901636818443363E-3</v>
      </c>
      <c r="AH342" s="21">
        <f t="shared" ca="1" si="133"/>
        <v>61.70933808048111</v>
      </c>
      <c r="AI342" s="47">
        <f t="shared" ca="1" si="140"/>
        <v>8071.4583601343475</v>
      </c>
      <c r="AJ342" s="57">
        <f t="shared" ca="1" si="141"/>
        <v>1.1358837564089262E-4</v>
      </c>
      <c r="AK342" s="21">
        <f t="shared" ca="1" si="142"/>
        <v>123.8933480644699</v>
      </c>
      <c r="AL342" s="21">
        <f t="shared" ca="1" si="134"/>
        <v>150.00000000000003</v>
      </c>
    </row>
    <row r="343" spans="2:38" x14ac:dyDescent="0.25">
      <c r="B343" s="19"/>
      <c r="C343" s="19"/>
      <c r="D343" s="19"/>
      <c r="E343" s="19"/>
      <c r="F343" s="19"/>
      <c r="G343" s="19"/>
      <c r="H343" s="43">
        <f t="shared" si="143"/>
        <v>54424</v>
      </c>
      <c r="I343" s="264">
        <v>0</v>
      </c>
      <c r="J343" s="64">
        <f t="shared" ca="1" si="135"/>
        <v>0</v>
      </c>
      <c r="K343" s="19">
        <f ca="1">SUMPRODUCT(V$7:V343,OFFSET($J$366,ROW($I$7)-ROW(),0):$J$366)</f>
        <v>0</v>
      </c>
      <c r="L343" s="19">
        <f ca="1">SUMPRODUCT(W$7:W343,OFFSET($J$366,ROW($I$7)-ROW(),0):$J$366)</f>
        <v>0</v>
      </c>
      <c r="M343" s="19">
        <f ca="1">SUMPRODUCT(X$7:X343,OFFSET($J$366,ROW($I$7)-ROW(),0):$J$366)</f>
        <v>0</v>
      </c>
      <c r="N343" s="19"/>
      <c r="O343" s="43">
        <f t="shared" si="136"/>
        <v>53693</v>
      </c>
      <c r="P343" s="24">
        <f t="shared" si="137"/>
        <v>10227</v>
      </c>
      <c r="Q343" s="19">
        <f t="shared" si="138"/>
        <v>1.9292740680323366</v>
      </c>
      <c r="R343" s="19">
        <f t="shared" si="121"/>
        <v>14.942854178546385</v>
      </c>
      <c r="S343" s="19">
        <f t="shared" si="122"/>
        <v>4.0648713948271799E-4</v>
      </c>
      <c r="T343" s="19"/>
      <c r="U343" s="24">
        <f t="shared" si="144"/>
        <v>10224.480000000049</v>
      </c>
      <c r="V343" s="19">
        <f t="shared" si="123"/>
        <v>8.0751788311912946</v>
      </c>
      <c r="W343" s="19">
        <f t="shared" si="124"/>
        <v>31.242770904435233</v>
      </c>
      <c r="X343" s="19">
        <f t="shared" si="125"/>
        <v>4.0375894155956473</v>
      </c>
      <c r="Y343" s="27"/>
      <c r="Z343" s="42">
        <f t="shared" si="139"/>
        <v>54424</v>
      </c>
      <c r="AA343" s="19">
        <f t="shared" ca="1" si="126"/>
        <v>1.6325645810150906</v>
      </c>
      <c r="AB343" s="19">
        <f t="shared" ca="1" si="127"/>
        <v>13.270825393651851</v>
      </c>
      <c r="AC343" s="19">
        <f t="shared" ca="1" si="128"/>
        <v>1.8677947360788182E-4</v>
      </c>
      <c r="AD343" s="19">
        <f t="shared" ca="1" si="129"/>
        <v>1.9906238090477777</v>
      </c>
      <c r="AE343" s="115">
        <f t="shared" ca="1" si="130"/>
        <v>50.609502011467811</v>
      </c>
      <c r="AF343" s="19">
        <f t="shared" ca="1" si="131"/>
        <v>411.39558720320736</v>
      </c>
      <c r="AG343" s="19">
        <f t="shared" ca="1" si="132"/>
        <v>5.7901636818443363E-3</v>
      </c>
      <c r="AH343" s="19">
        <f t="shared" ca="1" si="133"/>
        <v>61.70933808048111</v>
      </c>
      <c r="AI343" s="46">
        <f t="shared" ca="1" si="140"/>
        <v>8128.8210879843791</v>
      </c>
      <c r="AJ343" s="55">
        <f t="shared" ca="1" si="141"/>
        <v>1.1439554002391208E-4</v>
      </c>
      <c r="AK343" s="19">
        <f t="shared" ca="1" si="142"/>
        <v>123.01906871565308</v>
      </c>
      <c r="AL343" s="19">
        <f t="shared" ca="1" si="134"/>
        <v>150.00000000000003</v>
      </c>
    </row>
    <row r="344" spans="2:38" x14ac:dyDescent="0.25">
      <c r="B344" s="19"/>
      <c r="C344" s="19"/>
      <c r="D344" s="19"/>
      <c r="E344" s="19"/>
      <c r="F344" s="19"/>
      <c r="G344" s="19"/>
      <c r="H344" s="43">
        <f t="shared" si="143"/>
        <v>54455</v>
      </c>
      <c r="I344" s="264">
        <v>0</v>
      </c>
      <c r="J344" s="64">
        <f t="shared" ca="1" si="135"/>
        <v>0</v>
      </c>
      <c r="K344" s="19">
        <f ca="1">SUMPRODUCT(V$7:V344,OFFSET($J$366,ROW($I$7)-ROW(),0):$J$366)</f>
        <v>0</v>
      </c>
      <c r="L344" s="19">
        <f ca="1">SUMPRODUCT(W$7:W344,OFFSET($J$366,ROW($I$7)-ROW(),0):$J$366)</f>
        <v>0</v>
      </c>
      <c r="M344" s="19">
        <f ca="1">SUMPRODUCT(X$7:X344,OFFSET($J$366,ROW($I$7)-ROW(),0):$J$366)</f>
        <v>0</v>
      </c>
      <c r="N344" s="19"/>
      <c r="O344" s="43">
        <f t="shared" si="136"/>
        <v>53724</v>
      </c>
      <c r="P344" s="24">
        <f t="shared" si="137"/>
        <v>10258</v>
      </c>
      <c r="Q344" s="19">
        <f t="shared" si="138"/>
        <v>1.9156597416601828</v>
      </c>
      <c r="R344" s="19">
        <f t="shared" si="121"/>
        <v>14.864532896629596</v>
      </c>
      <c r="S344" s="19">
        <f t="shared" si="122"/>
        <v>3.9270182650456387E-4</v>
      </c>
      <c r="T344" s="19"/>
      <c r="U344" s="24">
        <f t="shared" si="144"/>
        <v>10254.910000000049</v>
      </c>
      <c r="V344" s="19">
        <f t="shared" si="123"/>
        <v>8.0181946411568141</v>
      </c>
      <c r="W344" s="19">
        <f t="shared" si="124"/>
        <v>31.079015450582176</v>
      </c>
      <c r="X344" s="19">
        <f t="shared" si="125"/>
        <v>4.0090973205784071</v>
      </c>
      <c r="Y344" s="27"/>
      <c r="Z344" s="42">
        <f t="shared" si="139"/>
        <v>54455</v>
      </c>
      <c r="AA344" s="19">
        <f t="shared" ca="1" si="126"/>
        <v>1.6210440472569048</v>
      </c>
      <c r="AB344" s="19">
        <f t="shared" ca="1" si="127"/>
        <v>13.270825393651851</v>
      </c>
      <c r="AC344" s="19">
        <f t="shared" ca="1" si="128"/>
        <v>1.8677947360788182E-4</v>
      </c>
      <c r="AD344" s="19">
        <f t="shared" ca="1" si="129"/>
        <v>1.9906238090477777</v>
      </c>
      <c r="AE344" s="115">
        <f t="shared" ca="1" si="130"/>
        <v>45.389233323193331</v>
      </c>
      <c r="AF344" s="19">
        <f t="shared" ca="1" si="131"/>
        <v>371.58311102225184</v>
      </c>
      <c r="AG344" s="19">
        <f t="shared" ca="1" si="132"/>
        <v>5.2298252610206908E-3</v>
      </c>
      <c r="AH344" s="19">
        <f t="shared" ca="1" si="133"/>
        <v>55.737466653337776</v>
      </c>
      <c r="AI344" s="46">
        <f t="shared" ca="1" si="140"/>
        <v>8186.5914847338372</v>
      </c>
      <c r="AJ344" s="55">
        <f t="shared" ca="1" si="141"/>
        <v>1.1520843949442681E-4</v>
      </c>
      <c r="AK344" s="19">
        <f t="shared" ca="1" si="142"/>
        <v>122.15095890209942</v>
      </c>
      <c r="AL344" s="19">
        <f t="shared" ca="1" si="134"/>
        <v>150</v>
      </c>
    </row>
    <row r="345" spans="2:38" x14ac:dyDescent="0.25">
      <c r="B345" s="19"/>
      <c r="C345" s="19"/>
      <c r="D345" s="19"/>
      <c r="E345" s="19"/>
      <c r="F345" s="19"/>
      <c r="G345" s="19"/>
      <c r="H345" s="43">
        <f t="shared" si="143"/>
        <v>54483</v>
      </c>
      <c r="I345" s="264">
        <v>0</v>
      </c>
      <c r="J345" s="64">
        <f t="shared" ca="1" si="135"/>
        <v>0</v>
      </c>
      <c r="K345" s="19">
        <f ca="1">SUMPRODUCT(V$7:V345,OFFSET($J$366,ROW($I$7)-ROW(),0):$J$366)</f>
        <v>0</v>
      </c>
      <c r="L345" s="19">
        <f ca="1">SUMPRODUCT(W$7:W345,OFFSET($J$366,ROW($I$7)-ROW(),0):$J$366)</f>
        <v>0</v>
      </c>
      <c r="M345" s="19">
        <f ca="1">SUMPRODUCT(X$7:X345,OFFSET($J$366,ROW($I$7)-ROW(),0):$J$366)</f>
        <v>0</v>
      </c>
      <c r="N345" s="19"/>
      <c r="O345" s="43">
        <f t="shared" si="136"/>
        <v>53752</v>
      </c>
      <c r="P345" s="24">
        <f t="shared" si="137"/>
        <v>10286</v>
      </c>
      <c r="Q345" s="19">
        <f t="shared" si="138"/>
        <v>1.9034455258065421</v>
      </c>
      <c r="R345" s="19">
        <f t="shared" si="121"/>
        <v>14.794143997301944</v>
      </c>
      <c r="S345" s="19">
        <f t="shared" si="122"/>
        <v>3.8065479751615968E-4</v>
      </c>
      <c r="T345" s="19"/>
      <c r="U345" s="24">
        <f t="shared" si="144"/>
        <v>10285.340000000049</v>
      </c>
      <c r="V345" s="19">
        <f t="shared" si="123"/>
        <v>7.9670707604520308</v>
      </c>
      <c r="W345" s="19">
        <f t="shared" si="124"/>
        <v>30.931845155695239</v>
      </c>
      <c r="X345" s="19">
        <f t="shared" si="125"/>
        <v>3.9835353802260154</v>
      </c>
      <c r="Y345" s="27"/>
      <c r="Z345" s="42">
        <f t="shared" si="139"/>
        <v>54483</v>
      </c>
      <c r="AA345" s="19">
        <f t="shared" ca="1" si="126"/>
        <v>1.6107082963556016</v>
      </c>
      <c r="AB345" s="19">
        <f t="shared" ca="1" si="127"/>
        <v>13.270825393651851</v>
      </c>
      <c r="AC345" s="19">
        <f t="shared" ca="1" si="128"/>
        <v>1.8677947360788182E-4</v>
      </c>
      <c r="AD345" s="19">
        <f t="shared" ca="1" si="129"/>
        <v>1.9906238090477777</v>
      </c>
      <c r="AE345" s="115">
        <f t="shared" ca="1" si="130"/>
        <v>49.931957187023649</v>
      </c>
      <c r="AF345" s="19">
        <f t="shared" ca="1" si="131"/>
        <v>411.39558720320736</v>
      </c>
      <c r="AG345" s="19">
        <f t="shared" ca="1" si="132"/>
        <v>5.7901636818443363E-3</v>
      </c>
      <c r="AH345" s="19">
        <f t="shared" ca="1" si="133"/>
        <v>61.70933808048111</v>
      </c>
      <c r="AI345" s="46">
        <f t="shared" ca="1" si="140"/>
        <v>8239.1240075428304</v>
      </c>
      <c r="AJ345" s="55">
        <f t="shared" ca="1" si="141"/>
        <v>1.1594763458553434E-4</v>
      </c>
      <c r="AK345" s="19">
        <f t="shared" ca="1" si="142"/>
        <v>121.37212634310524</v>
      </c>
      <c r="AL345" s="19">
        <f t="shared" ca="1" si="134"/>
        <v>150.00000000000003</v>
      </c>
    </row>
    <row r="346" spans="2:38" x14ac:dyDescent="0.25">
      <c r="B346" s="19"/>
      <c r="C346" s="19"/>
      <c r="D346" s="19"/>
      <c r="E346" s="19"/>
      <c r="F346" s="19"/>
      <c r="G346" s="19"/>
      <c r="H346" s="43">
        <f t="shared" si="143"/>
        <v>54514</v>
      </c>
      <c r="I346" s="264">
        <v>0</v>
      </c>
      <c r="J346" s="64">
        <f t="shared" ca="1" si="135"/>
        <v>0</v>
      </c>
      <c r="K346" s="19">
        <f ca="1">SUMPRODUCT(V$7:V346,OFFSET($J$366,ROW($I$7)-ROW(),0):$J$366)</f>
        <v>0</v>
      </c>
      <c r="L346" s="19">
        <f ca="1">SUMPRODUCT(W$7:W346,OFFSET($J$366,ROW($I$7)-ROW(),0):$J$366)</f>
        <v>0</v>
      </c>
      <c r="M346" s="19">
        <f ca="1">SUMPRODUCT(X$7:X346,OFFSET($J$366,ROW($I$7)-ROW(),0):$J$366)</f>
        <v>0</v>
      </c>
      <c r="N346" s="19"/>
      <c r="O346" s="43">
        <f t="shared" si="136"/>
        <v>53783</v>
      </c>
      <c r="P346" s="24">
        <f t="shared" si="137"/>
        <v>10317</v>
      </c>
      <c r="Q346" s="19">
        <f t="shared" si="138"/>
        <v>1.890013463950045</v>
      </c>
      <c r="R346" s="19">
        <f t="shared" si="121"/>
        <v>14.71660216299871</v>
      </c>
      <c r="S346" s="19">
        <f t="shared" si="122"/>
        <v>3.6774970839331694E-4</v>
      </c>
      <c r="T346" s="19"/>
      <c r="U346" s="24">
        <f t="shared" si="144"/>
        <v>10315.77000000005</v>
      </c>
      <c r="V346" s="19">
        <f t="shared" si="123"/>
        <v>7.9108494576521329</v>
      </c>
      <c r="W346" s="19">
        <f t="shared" si="124"/>
        <v>30.769719384025464</v>
      </c>
      <c r="X346" s="19">
        <f t="shared" si="125"/>
        <v>3.9554247288260664</v>
      </c>
      <c r="Y346" s="27"/>
      <c r="Z346" s="42">
        <f t="shared" si="139"/>
        <v>54514</v>
      </c>
      <c r="AA346" s="19">
        <f t="shared" ca="1" si="126"/>
        <v>1.5993419960459281</v>
      </c>
      <c r="AB346" s="19">
        <f t="shared" ca="1" si="127"/>
        <v>13.270825393651851</v>
      </c>
      <c r="AC346" s="19">
        <f t="shared" ca="1" si="128"/>
        <v>1.8677947360788182E-4</v>
      </c>
      <c r="AD346" s="19">
        <f t="shared" ca="1" si="129"/>
        <v>1.9906238090477777</v>
      </c>
      <c r="AE346" s="115">
        <f t="shared" ca="1" si="130"/>
        <v>47.98025988137784</v>
      </c>
      <c r="AF346" s="19">
        <f t="shared" ca="1" si="131"/>
        <v>398.12476180955554</v>
      </c>
      <c r="AG346" s="19">
        <f t="shared" ca="1" si="132"/>
        <v>5.6033842082364544E-3</v>
      </c>
      <c r="AH346" s="19">
        <f t="shared" ca="1" si="133"/>
        <v>59.718714271433328</v>
      </c>
      <c r="AI346" s="46">
        <f t="shared" ca="1" si="140"/>
        <v>8297.6783117441228</v>
      </c>
      <c r="AJ346" s="55">
        <f t="shared" ca="1" si="141"/>
        <v>1.1677156201657879E-4</v>
      </c>
      <c r="AK346" s="19">
        <f t="shared" ca="1" si="142"/>
        <v>120.51563852320589</v>
      </c>
      <c r="AL346" s="19">
        <f t="shared" ca="1" si="134"/>
        <v>150</v>
      </c>
    </row>
    <row r="347" spans="2:38" x14ac:dyDescent="0.25">
      <c r="B347" s="19"/>
      <c r="C347" s="19"/>
      <c r="D347" s="19"/>
      <c r="E347" s="19"/>
      <c r="F347" s="19"/>
      <c r="G347" s="19"/>
      <c r="H347" s="43">
        <f t="shared" si="143"/>
        <v>54544</v>
      </c>
      <c r="I347" s="264">
        <v>0</v>
      </c>
      <c r="J347" s="64">
        <f t="shared" ca="1" si="135"/>
        <v>0</v>
      </c>
      <c r="K347" s="19">
        <f ca="1">SUMPRODUCT(V$7:V347,OFFSET($J$366,ROW($I$7)-ROW(),0):$J$366)</f>
        <v>0</v>
      </c>
      <c r="L347" s="19">
        <f ca="1">SUMPRODUCT(W$7:W347,OFFSET($J$366,ROW($I$7)-ROW(),0):$J$366)</f>
        <v>0</v>
      </c>
      <c r="M347" s="19">
        <f ca="1">SUMPRODUCT(X$7:X347,OFFSET($J$366,ROW($I$7)-ROW(),0):$J$366)</f>
        <v>0</v>
      </c>
      <c r="N347" s="19"/>
      <c r="O347" s="43">
        <f t="shared" si="136"/>
        <v>53813</v>
      </c>
      <c r="P347" s="24">
        <f t="shared" si="137"/>
        <v>10347</v>
      </c>
      <c r="Q347" s="19">
        <f t="shared" si="138"/>
        <v>1.877104950318077</v>
      </c>
      <c r="R347" s="19">
        <f t="shared" si="121"/>
        <v>14.641948672440991</v>
      </c>
      <c r="S347" s="19">
        <f t="shared" si="122"/>
        <v>3.5567965002435912E-4</v>
      </c>
      <c r="T347" s="19"/>
      <c r="U347" s="24">
        <f t="shared" si="144"/>
        <v>10346.20000000005</v>
      </c>
      <c r="V347" s="19">
        <f t="shared" si="123"/>
        <v>7.8568195208224081</v>
      </c>
      <c r="W347" s="19">
        <f t="shared" si="124"/>
        <v>30.61363261005026</v>
      </c>
      <c r="X347" s="19">
        <f t="shared" si="125"/>
        <v>3.928409760411204</v>
      </c>
      <c r="Y347" s="27"/>
      <c r="Z347" s="42">
        <f t="shared" si="139"/>
        <v>54544</v>
      </c>
      <c r="AA347" s="19">
        <f t="shared" ca="1" si="126"/>
        <v>1.5884187257349378</v>
      </c>
      <c r="AB347" s="19">
        <f t="shared" ca="1" si="127"/>
        <v>13.270825393651851</v>
      </c>
      <c r="AC347" s="19">
        <f t="shared" ca="1" si="128"/>
        <v>1.8677947360788182E-4</v>
      </c>
      <c r="AD347" s="19">
        <f t="shared" ca="1" si="129"/>
        <v>1.9906238090477777</v>
      </c>
      <c r="AE347" s="115">
        <f t="shared" ca="1" si="130"/>
        <v>49.24098049778307</v>
      </c>
      <c r="AF347" s="19">
        <f t="shared" ca="1" si="131"/>
        <v>411.39558720320736</v>
      </c>
      <c r="AG347" s="19">
        <f t="shared" ca="1" si="132"/>
        <v>5.7901636818443363E-3</v>
      </c>
      <c r="AH347" s="19">
        <f t="shared" ca="1" si="133"/>
        <v>61.70933808048111</v>
      </c>
      <c r="AI347" s="46">
        <f t="shared" ca="1" si="140"/>
        <v>8354.7399553046926</v>
      </c>
      <c r="AJ347" s="55">
        <f t="shared" ca="1" si="141"/>
        <v>1.1757448466311476E-4</v>
      </c>
      <c r="AK347" s="19">
        <f t="shared" ca="1" si="142"/>
        <v>119.69253445944395</v>
      </c>
      <c r="AL347" s="19">
        <f t="shared" ca="1" si="134"/>
        <v>150.00000000000003</v>
      </c>
    </row>
    <row r="348" spans="2:38" x14ac:dyDescent="0.25">
      <c r="B348" s="19"/>
      <c r="C348" s="19"/>
      <c r="D348" s="19"/>
      <c r="E348" s="19"/>
      <c r="F348" s="19"/>
      <c r="G348" s="19"/>
      <c r="H348" s="43">
        <f t="shared" si="143"/>
        <v>54575</v>
      </c>
      <c r="I348" s="264">
        <v>0</v>
      </c>
      <c r="J348" s="64">
        <f t="shared" ca="1" si="135"/>
        <v>0</v>
      </c>
      <c r="K348" s="19">
        <f ca="1">SUMPRODUCT(V$7:V348,OFFSET($J$366,ROW($I$7)-ROW(),0):$J$366)</f>
        <v>0</v>
      </c>
      <c r="L348" s="19">
        <f ca="1">SUMPRODUCT(W$7:W348,OFFSET($J$366,ROW($I$7)-ROW(),0):$J$366)</f>
        <v>0</v>
      </c>
      <c r="M348" s="19">
        <f ca="1">SUMPRODUCT(X$7:X348,OFFSET($J$366,ROW($I$7)-ROW(),0):$J$366)</f>
        <v>0</v>
      </c>
      <c r="N348" s="19"/>
      <c r="O348" s="43">
        <f t="shared" si="136"/>
        <v>53844</v>
      </c>
      <c r="P348" s="24">
        <f t="shared" si="137"/>
        <v>10378</v>
      </c>
      <c r="Q348" s="19">
        <f t="shared" si="138"/>
        <v>1.8638587662471535</v>
      </c>
      <c r="R348" s="19">
        <f t="shared" si="121"/>
        <v>14.565204552737818</v>
      </c>
      <c r="S348" s="19">
        <f t="shared" si="122"/>
        <v>3.4362529728768299E-4</v>
      </c>
      <c r="T348" s="19"/>
      <c r="U348" s="24">
        <f t="shared" si="144"/>
        <v>10376.63000000005</v>
      </c>
      <c r="V348" s="19">
        <f t="shared" si="123"/>
        <v>7.8013762289770545</v>
      </c>
      <c r="W348" s="19">
        <f t="shared" si="124"/>
        <v>30.453174713486487</v>
      </c>
      <c r="X348" s="19">
        <f t="shared" si="125"/>
        <v>3.9006881144885273</v>
      </c>
      <c r="Y348" s="27"/>
      <c r="Z348" s="42">
        <f t="shared" si="139"/>
        <v>54575</v>
      </c>
      <c r="AA348" s="19">
        <f t="shared" ca="1" si="126"/>
        <v>1.577209716446873</v>
      </c>
      <c r="AB348" s="19">
        <f t="shared" ca="1" si="127"/>
        <v>13.270825393651851</v>
      </c>
      <c r="AC348" s="19">
        <f t="shared" ca="1" si="128"/>
        <v>1.8677947360788182E-4</v>
      </c>
      <c r="AD348" s="19">
        <f t="shared" ca="1" si="129"/>
        <v>1.9906238090477777</v>
      </c>
      <c r="AE348" s="115">
        <f t="shared" ca="1" si="130"/>
        <v>47.31629149340619</v>
      </c>
      <c r="AF348" s="19">
        <f t="shared" ca="1" si="131"/>
        <v>398.12476180955554</v>
      </c>
      <c r="AG348" s="19">
        <f t="shared" ca="1" si="132"/>
        <v>5.6033842082364544E-3</v>
      </c>
      <c r="AH348" s="19">
        <f t="shared" ca="1" si="133"/>
        <v>59.718714271433328</v>
      </c>
      <c r="AI348" s="46">
        <f t="shared" ca="1" si="140"/>
        <v>8414.115925907603</v>
      </c>
      <c r="AJ348" s="55">
        <f t="shared" ca="1" si="141"/>
        <v>1.1840997117144457E-4</v>
      </c>
      <c r="AK348" s="19">
        <f t="shared" ca="1" si="142"/>
        <v>118.84789903130948</v>
      </c>
      <c r="AL348" s="19">
        <f t="shared" ca="1" si="134"/>
        <v>150</v>
      </c>
    </row>
    <row r="349" spans="2:38" x14ac:dyDescent="0.25">
      <c r="B349" s="19"/>
      <c r="C349" s="19"/>
      <c r="D349" s="19"/>
      <c r="E349" s="19"/>
      <c r="F349" s="19"/>
      <c r="G349" s="19"/>
      <c r="H349" s="43">
        <f t="shared" si="143"/>
        <v>54605</v>
      </c>
      <c r="I349" s="264">
        <v>0</v>
      </c>
      <c r="J349" s="64">
        <f t="shared" ca="1" si="135"/>
        <v>0</v>
      </c>
      <c r="K349" s="19">
        <f ca="1">SUMPRODUCT(V$7:V349,OFFSET($J$366,ROW($I$7)-ROW(),0):$J$366)</f>
        <v>0</v>
      </c>
      <c r="L349" s="19">
        <f ca="1">SUMPRODUCT(W$7:W349,OFFSET($J$366,ROW($I$7)-ROW(),0):$J$366)</f>
        <v>0</v>
      </c>
      <c r="M349" s="19">
        <f ca="1">SUMPRODUCT(X$7:X349,OFFSET($J$366,ROW($I$7)-ROW(),0):$J$366)</f>
        <v>0</v>
      </c>
      <c r="N349" s="19"/>
      <c r="O349" s="43">
        <f t="shared" si="136"/>
        <v>53874</v>
      </c>
      <c r="P349" s="24">
        <f t="shared" si="137"/>
        <v>10408</v>
      </c>
      <c r="Q349" s="19">
        <f t="shared" si="138"/>
        <v>1.8511288853489078</v>
      </c>
      <c r="R349" s="19">
        <f t="shared" si="121"/>
        <v>14.491319062832893</v>
      </c>
      <c r="S349" s="19">
        <f t="shared" si="122"/>
        <v>3.3235079751331632E-4</v>
      </c>
      <c r="T349" s="19"/>
      <c r="U349" s="24">
        <f t="shared" si="144"/>
        <v>10407.06000000005</v>
      </c>
      <c r="V349" s="19">
        <f t="shared" si="123"/>
        <v>7.7480939781779554</v>
      </c>
      <c r="W349" s="19">
        <f t="shared" si="124"/>
        <v>30.29869368819644</v>
      </c>
      <c r="X349" s="19">
        <f t="shared" si="125"/>
        <v>3.8740469890889777</v>
      </c>
      <c r="Y349" s="27"/>
      <c r="Z349" s="42">
        <f t="shared" si="139"/>
        <v>54605</v>
      </c>
      <c r="AA349" s="19">
        <f t="shared" ca="1" si="126"/>
        <v>1.5664376063463044</v>
      </c>
      <c r="AB349" s="19">
        <f t="shared" ca="1" si="127"/>
        <v>13.270825393651851</v>
      </c>
      <c r="AC349" s="19">
        <f t="shared" ca="1" si="128"/>
        <v>1.8677947360788182E-4</v>
      </c>
      <c r="AD349" s="19">
        <f t="shared" ca="1" si="129"/>
        <v>1.9906238090477777</v>
      </c>
      <c r="AE349" s="115">
        <f t="shared" ca="1" si="130"/>
        <v>48.559565796735434</v>
      </c>
      <c r="AF349" s="19">
        <f t="shared" ca="1" si="131"/>
        <v>411.39558720320736</v>
      </c>
      <c r="AG349" s="19">
        <f t="shared" ca="1" si="132"/>
        <v>5.7901636818443363E-3</v>
      </c>
      <c r="AH349" s="19">
        <f t="shared" ca="1" si="133"/>
        <v>61.70933808048111</v>
      </c>
      <c r="AI349" s="46">
        <f t="shared" ca="1" si="140"/>
        <v>8471.9782900296177</v>
      </c>
      <c r="AJ349" s="55">
        <f t="shared" ca="1" si="141"/>
        <v>1.1922415819547484E-4</v>
      </c>
      <c r="AK349" s="19">
        <f t="shared" ca="1" si="142"/>
        <v>118.03618538268282</v>
      </c>
      <c r="AL349" s="19">
        <f t="shared" ca="1" si="134"/>
        <v>150.00000000000003</v>
      </c>
    </row>
    <row r="350" spans="2:38" x14ac:dyDescent="0.25">
      <c r="B350" s="19"/>
      <c r="C350" s="19"/>
      <c r="D350" s="19"/>
      <c r="E350" s="19"/>
      <c r="F350" s="19"/>
      <c r="G350" s="19"/>
      <c r="H350" s="43">
        <f t="shared" si="143"/>
        <v>54636</v>
      </c>
      <c r="I350" s="264">
        <v>0</v>
      </c>
      <c r="J350" s="64">
        <f t="shared" ca="1" si="135"/>
        <v>0</v>
      </c>
      <c r="K350" s="19">
        <f ca="1">SUMPRODUCT(V$7:V350,OFFSET($J$366,ROW($I$7)-ROW(),0):$J$366)</f>
        <v>0</v>
      </c>
      <c r="L350" s="19">
        <f ca="1">SUMPRODUCT(W$7:W350,OFFSET($J$366,ROW($I$7)-ROW(),0):$J$366)</f>
        <v>0</v>
      </c>
      <c r="M350" s="19">
        <f ca="1">SUMPRODUCT(X$7:X350,OFFSET($J$366,ROW($I$7)-ROW(),0):$J$366)</f>
        <v>0</v>
      </c>
      <c r="N350" s="19"/>
      <c r="O350" s="43">
        <f t="shared" si="136"/>
        <v>53905</v>
      </c>
      <c r="P350" s="24">
        <f t="shared" si="137"/>
        <v>10439</v>
      </c>
      <c r="Q350" s="19">
        <f t="shared" si="138"/>
        <v>1.8380660068187644</v>
      </c>
      <c r="R350" s="19">
        <f t="shared" si="121"/>
        <v>14.415364451210182</v>
      </c>
      <c r="S350" s="19">
        <f t="shared" si="122"/>
        <v>3.2109083801196858E-4</v>
      </c>
      <c r="T350" s="19"/>
      <c r="U350" s="24">
        <f t="shared" si="144"/>
        <v>10437.490000000051</v>
      </c>
      <c r="V350" s="19">
        <f t="shared" si="123"/>
        <v>7.6934179308869552</v>
      </c>
      <c r="W350" s="19">
        <f t="shared" si="124"/>
        <v>30.139886508409418</v>
      </c>
      <c r="X350" s="19">
        <f t="shared" si="125"/>
        <v>3.8467089654434776</v>
      </c>
      <c r="Y350" s="27"/>
      <c r="Z350" s="42">
        <f t="shared" si="139"/>
        <v>54636</v>
      </c>
      <c r="AA350" s="19">
        <f t="shared" ca="1" si="126"/>
        <v>1.5553837114291535</v>
      </c>
      <c r="AB350" s="19">
        <f t="shared" ca="1" si="127"/>
        <v>13.270825393651851</v>
      </c>
      <c r="AC350" s="19">
        <f t="shared" ca="1" si="128"/>
        <v>1.8677947360788182E-4</v>
      </c>
      <c r="AD350" s="19">
        <f t="shared" ca="1" si="129"/>
        <v>1.9906238090477777</v>
      </c>
      <c r="AE350" s="115">
        <f t="shared" ca="1" si="130"/>
        <v>48.216895054303762</v>
      </c>
      <c r="AF350" s="19">
        <f t="shared" ca="1" si="131"/>
        <v>411.39558720320736</v>
      </c>
      <c r="AG350" s="19">
        <f t="shared" ca="1" si="132"/>
        <v>5.7901636818443363E-3</v>
      </c>
      <c r="AH350" s="19">
        <f t="shared" ca="1" si="133"/>
        <v>61.70933808048111</v>
      </c>
      <c r="AI350" s="46">
        <f t="shared" ca="1" si="140"/>
        <v>8532.1874571118169</v>
      </c>
      <c r="AJ350" s="55">
        <f t="shared" ca="1" si="141"/>
        <v>1.2007136590736304E-4</v>
      </c>
      <c r="AK350" s="19">
        <f t="shared" ca="1" si="142"/>
        <v>117.20323832858033</v>
      </c>
      <c r="AL350" s="19">
        <f t="shared" ca="1" si="134"/>
        <v>150.00000000000003</v>
      </c>
    </row>
    <row r="351" spans="2:38" x14ac:dyDescent="0.25">
      <c r="B351" s="19"/>
      <c r="C351" s="19"/>
      <c r="D351" s="19"/>
      <c r="E351" s="19"/>
      <c r="F351" s="19"/>
      <c r="G351" s="19"/>
      <c r="H351" s="43">
        <f t="shared" si="143"/>
        <v>54667</v>
      </c>
      <c r="I351" s="264">
        <v>0</v>
      </c>
      <c r="J351" s="64">
        <f t="shared" ca="1" si="135"/>
        <v>0</v>
      </c>
      <c r="K351" s="19">
        <f ca="1">SUMPRODUCT(V$7:V351,OFFSET($J$366,ROW($I$7)-ROW(),0):$J$366)</f>
        <v>0</v>
      </c>
      <c r="L351" s="19">
        <f ca="1">SUMPRODUCT(W$7:W351,OFFSET($J$366,ROW($I$7)-ROW(),0):$J$366)</f>
        <v>0</v>
      </c>
      <c r="M351" s="19">
        <f ca="1">SUMPRODUCT(X$7:X351,OFFSET($J$366,ROW($I$7)-ROW(),0):$J$366)</f>
        <v>0</v>
      </c>
      <c r="N351" s="19"/>
      <c r="O351" s="43">
        <f t="shared" si="136"/>
        <v>53936</v>
      </c>
      <c r="P351" s="24">
        <f t="shared" si="137"/>
        <v>10470</v>
      </c>
      <c r="Q351" s="19">
        <f t="shared" si="138"/>
        <v>1.8250953092258018</v>
      </c>
      <c r="R351" s="19">
        <f t="shared" si="121"/>
        <v>14.339807947102857</v>
      </c>
      <c r="S351" s="19">
        <f t="shared" si="122"/>
        <v>3.102142053464078E-4</v>
      </c>
      <c r="T351" s="19"/>
      <c r="U351" s="24">
        <f t="shared" si="144"/>
        <v>10467.920000000051</v>
      </c>
      <c r="V351" s="19">
        <f t="shared" si="123"/>
        <v>7.6391277165705933</v>
      </c>
      <c r="W351" s="19">
        <f t="shared" si="124"/>
        <v>29.981911698513038</v>
      </c>
      <c r="X351" s="19">
        <f t="shared" si="125"/>
        <v>3.8195638582852967</v>
      </c>
      <c r="Y351" s="27"/>
      <c r="Z351" s="42">
        <f t="shared" si="139"/>
        <v>54667</v>
      </c>
      <c r="AA351" s="19">
        <f t="shared" ca="1" si="126"/>
        <v>1.5444078206357186</v>
      </c>
      <c r="AB351" s="19">
        <f t="shared" ca="1" si="127"/>
        <v>13.270825393651851</v>
      </c>
      <c r="AC351" s="19">
        <f t="shared" ca="1" si="128"/>
        <v>1.8677947360788182E-4</v>
      </c>
      <c r="AD351" s="19">
        <f t="shared" ca="1" si="129"/>
        <v>1.9906238090477777</v>
      </c>
      <c r="AE351" s="115">
        <f t="shared" ca="1" si="130"/>
        <v>46.332234619071556</v>
      </c>
      <c r="AF351" s="19">
        <f t="shared" ca="1" si="131"/>
        <v>398.12476180955554</v>
      </c>
      <c r="AG351" s="19">
        <f t="shared" ca="1" si="132"/>
        <v>5.6033842082364544E-3</v>
      </c>
      <c r="AH351" s="19">
        <f t="shared" ca="1" si="133"/>
        <v>59.718714271433328</v>
      </c>
      <c r="AI351" s="46">
        <f t="shared" ca="1" si="140"/>
        <v>8592.8245223397244</v>
      </c>
      <c r="AJ351" s="55">
        <f t="shared" ca="1" si="141"/>
        <v>1.209245931551629E-4</v>
      </c>
      <c r="AK351" s="19">
        <f t="shared" ca="1" si="142"/>
        <v>116.3761691397501</v>
      </c>
      <c r="AL351" s="19">
        <f t="shared" ca="1" si="134"/>
        <v>150</v>
      </c>
    </row>
    <row r="352" spans="2:38" x14ac:dyDescent="0.25">
      <c r="B352" s="19"/>
      <c r="C352" s="19"/>
      <c r="D352" s="19"/>
      <c r="E352" s="19"/>
      <c r="F352" s="19"/>
      <c r="G352" s="19"/>
      <c r="H352" s="43">
        <f t="shared" si="143"/>
        <v>54697</v>
      </c>
      <c r="I352" s="264">
        <v>0</v>
      </c>
      <c r="J352" s="64">
        <f t="shared" ca="1" si="135"/>
        <v>0</v>
      </c>
      <c r="K352" s="19">
        <f ca="1">SUMPRODUCT(V$7:V352,OFFSET($J$366,ROW($I$7)-ROW(),0):$J$366)</f>
        <v>0</v>
      </c>
      <c r="L352" s="19">
        <f ca="1">SUMPRODUCT(W$7:W352,OFFSET($J$366,ROW($I$7)-ROW(),0):$J$366)</f>
        <v>0</v>
      </c>
      <c r="M352" s="19">
        <f ca="1">SUMPRODUCT(X$7:X352,OFFSET($J$366,ROW($I$7)-ROW(),0):$J$366)</f>
        <v>0</v>
      </c>
      <c r="N352" s="19"/>
      <c r="O352" s="43">
        <f t="shared" si="136"/>
        <v>53966</v>
      </c>
      <c r="P352" s="24">
        <f t="shared" si="137"/>
        <v>10500</v>
      </c>
      <c r="Q352" s="19">
        <f t="shared" si="138"/>
        <v>1.8126301770306352</v>
      </c>
      <c r="R352" s="19">
        <f t="shared" si="121"/>
        <v>14.267065835484859</v>
      </c>
      <c r="S352" s="19">
        <f t="shared" si="122"/>
        <v>3.0004105602110157E-4</v>
      </c>
      <c r="T352" s="19"/>
      <c r="U352" s="24">
        <f t="shared" si="144"/>
        <v>10498.350000000051</v>
      </c>
      <c r="V352" s="19">
        <f t="shared" si="123"/>
        <v>7.5869535992182202</v>
      </c>
      <c r="W352" s="19">
        <f t="shared" si="124"/>
        <v>29.829821267780677</v>
      </c>
      <c r="X352" s="19">
        <f t="shared" si="125"/>
        <v>3.7934767996091101</v>
      </c>
      <c r="Y352" s="27"/>
      <c r="Z352" s="42">
        <f t="shared" si="139"/>
        <v>54697</v>
      </c>
      <c r="AA352" s="19">
        <f t="shared" ca="1" si="126"/>
        <v>1.5338597426530736</v>
      </c>
      <c r="AB352" s="19">
        <f t="shared" ca="1" si="127"/>
        <v>13.270825393651851</v>
      </c>
      <c r="AC352" s="19">
        <f t="shared" ca="1" si="128"/>
        <v>1.8677947360788182E-4</v>
      </c>
      <c r="AD352" s="19">
        <f t="shared" ca="1" si="129"/>
        <v>1.9906238090477777</v>
      </c>
      <c r="AE352" s="115">
        <f t="shared" ca="1" si="130"/>
        <v>47.549652022245283</v>
      </c>
      <c r="AF352" s="19">
        <f t="shared" ca="1" si="131"/>
        <v>411.39558720320736</v>
      </c>
      <c r="AG352" s="19">
        <f t="shared" ca="1" si="132"/>
        <v>5.7901636818443363E-3</v>
      </c>
      <c r="AH352" s="19">
        <f t="shared" ca="1" si="133"/>
        <v>61.70933808048111</v>
      </c>
      <c r="AI352" s="46">
        <f t="shared" ca="1" si="140"/>
        <v>8651.9158333849227</v>
      </c>
      <c r="AJ352" s="55">
        <f t="shared" ca="1" si="141"/>
        <v>1.2175606861579754E-4</v>
      </c>
      <c r="AK352" s="19">
        <f t="shared" ca="1" si="142"/>
        <v>115.58133704229138</v>
      </c>
      <c r="AL352" s="19">
        <f t="shared" ca="1" si="134"/>
        <v>150.00000000000003</v>
      </c>
    </row>
    <row r="353" spans="1:38" x14ac:dyDescent="0.25">
      <c r="B353" s="19"/>
      <c r="C353" s="19"/>
      <c r="D353" s="19"/>
      <c r="E353" s="19"/>
      <c r="F353" s="19"/>
      <c r="G353" s="19"/>
      <c r="H353" s="43">
        <f t="shared" si="143"/>
        <v>54728</v>
      </c>
      <c r="I353" s="264">
        <v>0</v>
      </c>
      <c r="J353" s="64">
        <f t="shared" ca="1" si="135"/>
        <v>0</v>
      </c>
      <c r="K353" s="19">
        <f ca="1">SUMPRODUCT(V$7:V353,OFFSET($J$366,ROW($I$7)-ROW(),0):$J$366)</f>
        <v>0</v>
      </c>
      <c r="L353" s="19">
        <f ca="1">SUMPRODUCT(W$7:W353,OFFSET($J$366,ROW($I$7)-ROW(),0):$J$366)</f>
        <v>0</v>
      </c>
      <c r="M353" s="19">
        <f ca="1">SUMPRODUCT(X$7:X353,OFFSET($J$366,ROW($I$7)-ROW(),0):$J$366)</f>
        <v>0</v>
      </c>
      <c r="N353" s="19"/>
      <c r="O353" s="43">
        <f t="shared" si="136"/>
        <v>53997</v>
      </c>
      <c r="P353" s="24">
        <f t="shared" si="137"/>
        <v>10531</v>
      </c>
      <c r="Q353" s="19">
        <f t="shared" si="138"/>
        <v>1.7998389726957951</v>
      </c>
      <c r="R353" s="19">
        <f t="shared" si="121"/>
        <v>14.192286621816919</v>
      </c>
      <c r="S353" s="19">
        <f t="shared" si="122"/>
        <v>2.8988084959991436E-4</v>
      </c>
      <c r="T353" s="19"/>
      <c r="U353" s="24">
        <f t="shared" si="144"/>
        <v>10528.780000000052</v>
      </c>
      <c r="V353" s="19">
        <f t="shared" si="123"/>
        <v>7.5334146727475551</v>
      </c>
      <c r="W353" s="19">
        <f t="shared" si="124"/>
        <v>29.673471629811541</v>
      </c>
      <c r="X353" s="19">
        <f t="shared" si="125"/>
        <v>3.7667073363737775</v>
      </c>
      <c r="Y353" s="27"/>
      <c r="Z353" s="42">
        <f t="shared" si="139"/>
        <v>54728</v>
      </c>
      <c r="AA353" s="19">
        <f t="shared" ca="1" si="126"/>
        <v>1.5230357402515458</v>
      </c>
      <c r="AB353" s="19">
        <f t="shared" ca="1" si="127"/>
        <v>13.270825393651851</v>
      </c>
      <c r="AC353" s="19">
        <f t="shared" ca="1" si="128"/>
        <v>1.8677947360788182E-4</v>
      </c>
      <c r="AD353" s="19">
        <f t="shared" ca="1" si="129"/>
        <v>1.9906238090477777</v>
      </c>
      <c r="AE353" s="115">
        <f t="shared" ca="1" si="130"/>
        <v>45.69107220754637</v>
      </c>
      <c r="AF353" s="19">
        <f t="shared" ca="1" si="131"/>
        <v>398.12476180955554</v>
      </c>
      <c r="AG353" s="19">
        <f t="shared" ca="1" si="132"/>
        <v>5.6033842082364544E-3</v>
      </c>
      <c r="AH353" s="19">
        <f t="shared" ca="1" si="133"/>
        <v>59.718714271433328</v>
      </c>
      <c r="AI353" s="46">
        <f t="shared" ca="1" si="140"/>
        <v>8713.4037914698129</v>
      </c>
      <c r="AJ353" s="55">
        <f t="shared" ca="1" si="141"/>
        <v>1.2262126589461389E-4</v>
      </c>
      <c r="AK353" s="19">
        <f t="shared" ca="1" si="142"/>
        <v>114.76571313944764</v>
      </c>
      <c r="AL353" s="19">
        <f t="shared" ca="1" si="134"/>
        <v>150</v>
      </c>
    </row>
    <row r="354" spans="1:38" x14ac:dyDescent="0.25">
      <c r="B354" s="19"/>
      <c r="C354" s="19"/>
      <c r="D354" s="19"/>
      <c r="E354" s="19"/>
      <c r="F354" s="19"/>
      <c r="G354" s="19"/>
      <c r="H354" s="44">
        <f t="shared" si="143"/>
        <v>54758</v>
      </c>
      <c r="I354" s="265">
        <v>0</v>
      </c>
      <c r="J354" s="65">
        <f t="shared" ca="1" si="135"/>
        <v>0</v>
      </c>
      <c r="K354" s="21">
        <f ca="1">SUMPRODUCT(V$7:V354,OFFSET($J$366,ROW($I$7)-ROW(),0):$J$366)</f>
        <v>0</v>
      </c>
      <c r="L354" s="21">
        <f ca="1">SUMPRODUCT(W$7:W354,OFFSET($J$366,ROW($I$7)-ROW(),0):$J$366)</f>
        <v>0</v>
      </c>
      <c r="M354" s="21">
        <f ca="1">SUMPRODUCT(X$7:X354,OFFSET($J$366,ROW($I$7)-ROW(),0):$J$366)</f>
        <v>0</v>
      </c>
      <c r="N354" s="19"/>
      <c r="O354" s="44">
        <f t="shared" si="136"/>
        <v>54027</v>
      </c>
      <c r="P354" s="25">
        <f t="shared" si="137"/>
        <v>10561</v>
      </c>
      <c r="Q354" s="21">
        <f t="shared" si="138"/>
        <v>1.7875463375598344</v>
      </c>
      <c r="R354" s="21">
        <f t="shared" si="121"/>
        <v>14.120292847467423</v>
      </c>
      <c r="S354" s="21">
        <f t="shared" si="122"/>
        <v>2.8037767945103206E-4</v>
      </c>
      <c r="T354" s="19"/>
      <c r="U354" s="25">
        <f t="shared" si="144"/>
        <v>10559.210000000052</v>
      </c>
      <c r="V354" s="21">
        <f t="shared" si="123"/>
        <v>7.4819625599169965</v>
      </c>
      <c r="W354" s="21">
        <f t="shared" si="124"/>
        <v>29.52294583522966</v>
      </c>
      <c r="X354" s="21">
        <f t="shared" si="125"/>
        <v>3.7409812799584983</v>
      </c>
      <c r="Y354" s="27"/>
      <c r="Z354" s="48">
        <f t="shared" si="139"/>
        <v>54758</v>
      </c>
      <c r="AA354" s="21">
        <f t="shared" ca="1" si="126"/>
        <v>1.5126336304306334</v>
      </c>
      <c r="AB354" s="21">
        <f t="shared" ca="1" si="127"/>
        <v>13.270825393651851</v>
      </c>
      <c r="AC354" s="21">
        <f t="shared" ca="1" si="128"/>
        <v>1.8677947360788182E-4</v>
      </c>
      <c r="AD354" s="21">
        <f t="shared" ca="1" si="129"/>
        <v>1.9906238090477777</v>
      </c>
      <c r="AE354" s="116">
        <f t="shared" ca="1" si="130"/>
        <v>46.891642543349633</v>
      </c>
      <c r="AF354" s="21">
        <f t="shared" ca="1" si="131"/>
        <v>411.39558720320736</v>
      </c>
      <c r="AG354" s="21">
        <f t="shared" ca="1" si="132"/>
        <v>5.7901636818443363E-3</v>
      </c>
      <c r="AH354" s="21">
        <f t="shared" ca="1" si="133"/>
        <v>61.70933808048111</v>
      </c>
      <c r="AI354" s="47">
        <f t="shared" ca="1" si="140"/>
        <v>8773.3243044938554</v>
      </c>
      <c r="AJ354" s="57">
        <f t="shared" ca="1" si="141"/>
        <v>1.234644062078093E-4</v>
      </c>
      <c r="AK354" s="21">
        <f t="shared" ca="1" si="142"/>
        <v>113.98188021931232</v>
      </c>
      <c r="AL354" s="21">
        <f t="shared" ca="1" si="134"/>
        <v>150.00000000000003</v>
      </c>
    </row>
    <row r="355" spans="1:38" x14ac:dyDescent="0.25">
      <c r="B355" s="19"/>
      <c r="C355" s="19"/>
      <c r="D355" s="19"/>
      <c r="E355" s="19"/>
      <c r="F355" s="19"/>
      <c r="G355" s="19"/>
      <c r="H355" s="43">
        <f t="shared" si="143"/>
        <v>54789</v>
      </c>
      <c r="I355" s="264">
        <v>0</v>
      </c>
      <c r="J355" s="64">
        <f t="shared" ca="1" si="135"/>
        <v>0</v>
      </c>
      <c r="K355" s="19">
        <f ca="1">SUMPRODUCT(V$7:V355,OFFSET($J$366,ROW($I$7)-ROW(),0):$J$366)</f>
        <v>0</v>
      </c>
      <c r="L355" s="19">
        <f ca="1">SUMPRODUCT(W$7:W355,OFFSET($J$366,ROW($I$7)-ROW(),0):$J$366)</f>
        <v>0</v>
      </c>
      <c r="M355" s="19">
        <f ca="1">SUMPRODUCT(X$7:X355,OFFSET($J$366,ROW($I$7)-ROW(),0):$J$366)</f>
        <v>0</v>
      </c>
      <c r="N355" s="19"/>
      <c r="O355" s="43">
        <f t="shared" si="136"/>
        <v>54058</v>
      </c>
      <c r="P355" s="24">
        <f t="shared" si="137"/>
        <v>10592</v>
      </c>
      <c r="Q355" s="19">
        <f t="shared" si="138"/>
        <v>1.77493214258975</v>
      </c>
      <c r="R355" s="19">
        <f t="shared" si="121"/>
        <v>14.046282927833602</v>
      </c>
      <c r="S355" s="19">
        <f t="shared" si="122"/>
        <v>2.7088649027886251E-4</v>
      </c>
      <c r="T355" s="19"/>
      <c r="U355" s="24">
        <f t="shared" si="144"/>
        <v>10589.640000000052</v>
      </c>
      <c r="V355" s="19">
        <f t="shared" si="123"/>
        <v>7.4291645246959899</v>
      </c>
      <c r="W355" s="19">
        <f t="shared" si="124"/>
        <v>29.368204650169119</v>
      </c>
      <c r="X355" s="19">
        <f t="shared" si="125"/>
        <v>3.7145822623479949</v>
      </c>
      <c r="Y355" s="27"/>
      <c r="Z355" s="42">
        <f t="shared" si="139"/>
        <v>54789</v>
      </c>
      <c r="AA355" s="19">
        <f t="shared" ca="1" si="126"/>
        <v>1.501959414533883</v>
      </c>
      <c r="AB355" s="19">
        <f t="shared" ca="1" si="127"/>
        <v>13.270825393651851</v>
      </c>
      <c r="AC355" s="19">
        <f t="shared" ca="1" si="128"/>
        <v>1.8677947360788182E-4</v>
      </c>
      <c r="AD355" s="19">
        <f t="shared" ca="1" si="129"/>
        <v>1.9906238090477777</v>
      </c>
      <c r="AE355" s="115">
        <f t="shared" ca="1" si="130"/>
        <v>46.560741850550372</v>
      </c>
      <c r="AF355" s="19">
        <f t="shared" ca="1" si="131"/>
        <v>411.39558720320736</v>
      </c>
      <c r="AG355" s="19">
        <f t="shared" ca="1" si="132"/>
        <v>5.7901636818443363E-3</v>
      </c>
      <c r="AH355" s="19">
        <f t="shared" ca="1" si="133"/>
        <v>61.70933808048111</v>
      </c>
      <c r="AI355" s="46">
        <f t="shared" ca="1" si="140"/>
        <v>8835.6750956351952</v>
      </c>
      <c r="AJ355" s="55">
        <f t="shared" ca="1" si="141"/>
        <v>1.2434174140506487E-4</v>
      </c>
      <c r="AK355" s="19">
        <f t="shared" ca="1" si="142"/>
        <v>113.1775432184008</v>
      </c>
      <c r="AL355" s="19">
        <f t="shared" ca="1" si="134"/>
        <v>150.00000000000003</v>
      </c>
    </row>
    <row r="356" spans="1:38" x14ac:dyDescent="0.25">
      <c r="B356" s="19"/>
      <c r="C356" s="19"/>
      <c r="D356" s="19"/>
      <c r="E356" s="19"/>
      <c r="F356" s="19"/>
      <c r="G356" s="19"/>
      <c r="H356" s="43">
        <f t="shared" si="143"/>
        <v>54820</v>
      </c>
      <c r="I356" s="264">
        <v>0</v>
      </c>
      <c r="J356" s="64">
        <f t="shared" ca="1" si="135"/>
        <v>0</v>
      </c>
      <c r="K356" s="19">
        <f ca="1">SUMPRODUCT(V$7:V356,OFFSET($J$366,ROW($I$7)-ROW(),0):$J$366)</f>
        <v>0</v>
      </c>
      <c r="L356" s="19">
        <f ca="1">SUMPRODUCT(W$7:W356,OFFSET($J$366,ROW($I$7)-ROW(),0):$J$366)</f>
        <v>0</v>
      </c>
      <c r="M356" s="19">
        <f ca="1">SUMPRODUCT(X$7:X356,OFFSET($J$366,ROW($I$7)-ROW(),0):$J$366)</f>
        <v>0</v>
      </c>
      <c r="N356" s="19"/>
      <c r="O356" s="43">
        <f t="shared" si="136"/>
        <v>54089</v>
      </c>
      <c r="P356" s="24">
        <f t="shared" si="137"/>
        <v>10623</v>
      </c>
      <c r="Q356" s="19">
        <f t="shared" si="138"/>
        <v>1.7624069623273679</v>
      </c>
      <c r="R356" s="19">
        <f t="shared" si="121"/>
        <v>13.972660922831819</v>
      </c>
      <c r="S356" s="19">
        <f t="shared" si="122"/>
        <v>2.6171814321620124E-4</v>
      </c>
      <c r="T356" s="19"/>
      <c r="U356" s="24">
        <f t="shared" si="144"/>
        <v>10620.070000000052</v>
      </c>
      <c r="V356" s="19">
        <f t="shared" si="123"/>
        <v>7.3767390698642696</v>
      </c>
      <c r="W356" s="19">
        <f t="shared" si="124"/>
        <v>29.214274523547243</v>
      </c>
      <c r="X356" s="19">
        <f t="shared" si="125"/>
        <v>3.6883695349321348</v>
      </c>
      <c r="Y356" s="27"/>
      <c r="Z356" s="42">
        <f t="shared" si="139"/>
        <v>54820</v>
      </c>
      <c r="AA356" s="19">
        <f t="shared" ca="1" si="126"/>
        <v>1.4913605234763525</v>
      </c>
      <c r="AB356" s="19">
        <f t="shared" ca="1" si="127"/>
        <v>13.270825393651851</v>
      </c>
      <c r="AC356" s="19">
        <f t="shared" ca="1" si="128"/>
        <v>1.8677947360788182E-4</v>
      </c>
      <c r="AD356" s="19">
        <f t="shared" ca="1" si="129"/>
        <v>1.9906238090477777</v>
      </c>
      <c r="AE356" s="115">
        <f t="shared" ca="1" si="130"/>
        <v>41.758094657337871</v>
      </c>
      <c r="AF356" s="19">
        <f t="shared" ca="1" si="131"/>
        <v>371.58311102225184</v>
      </c>
      <c r="AG356" s="19">
        <f t="shared" ca="1" si="132"/>
        <v>5.2298252610206908E-3</v>
      </c>
      <c r="AH356" s="19">
        <f t="shared" ca="1" si="133"/>
        <v>55.737466653337776</v>
      </c>
      <c r="AI356" s="46">
        <f t="shared" ca="1" si="140"/>
        <v>8898.4690051454745</v>
      </c>
      <c r="AJ356" s="55">
        <f t="shared" ca="1" si="141"/>
        <v>1.2522531014502329E-4</v>
      </c>
      <c r="AK356" s="19">
        <f t="shared" ca="1" si="142"/>
        <v>112.37888218993149</v>
      </c>
      <c r="AL356" s="19">
        <f t="shared" ca="1" si="134"/>
        <v>150</v>
      </c>
    </row>
    <row r="357" spans="1:38" x14ac:dyDescent="0.25">
      <c r="B357" s="19"/>
      <c r="C357" s="19"/>
      <c r="D357" s="19"/>
      <c r="E357" s="19"/>
      <c r="F357" s="19"/>
      <c r="G357" s="19"/>
      <c r="H357" s="43">
        <f t="shared" si="143"/>
        <v>54848</v>
      </c>
      <c r="I357" s="264">
        <v>0</v>
      </c>
      <c r="J357" s="64">
        <f t="shared" ca="1" si="135"/>
        <v>0</v>
      </c>
      <c r="K357" s="19">
        <f ca="1">SUMPRODUCT(V$7:V357,OFFSET($J$366,ROW($I$7)-ROW(),0):$J$366)</f>
        <v>0</v>
      </c>
      <c r="L357" s="19">
        <f ca="1">SUMPRODUCT(W$7:W357,OFFSET($J$366,ROW($I$7)-ROW(),0):$J$366)</f>
        <v>0</v>
      </c>
      <c r="M357" s="19">
        <f ca="1">SUMPRODUCT(X$7:X357,OFFSET($J$366,ROW($I$7)-ROW(),0):$J$366)</f>
        <v>0</v>
      </c>
      <c r="N357" s="19"/>
      <c r="O357" s="43">
        <f t="shared" si="136"/>
        <v>54118</v>
      </c>
      <c r="P357" s="24">
        <f t="shared" si="137"/>
        <v>10652</v>
      </c>
      <c r="Q357" s="19">
        <f t="shared" si="138"/>
        <v>1.7507698873430451</v>
      </c>
      <c r="R357" s="19">
        <f t="shared" si="121"/>
        <v>13.904138105177477</v>
      </c>
      <c r="S357" s="19">
        <f t="shared" si="122"/>
        <v>2.5342379364915466E-4</v>
      </c>
      <c r="T357" s="19"/>
      <c r="U357" s="24">
        <f t="shared" si="144"/>
        <v>10650.500000000053</v>
      </c>
      <c r="V357" s="19">
        <f t="shared" si="123"/>
        <v>7.3280308727618051</v>
      </c>
      <c r="W357" s="19">
        <f t="shared" si="124"/>
        <v>29.071005863616481</v>
      </c>
      <c r="X357" s="19">
        <f t="shared" si="125"/>
        <v>3.6640154363809025</v>
      </c>
      <c r="Y357" s="27"/>
      <c r="Z357" s="42">
        <f t="shared" si="139"/>
        <v>54848</v>
      </c>
      <c r="AA357" s="19">
        <f t="shared" ca="1" si="126"/>
        <v>1.4818516326471536</v>
      </c>
      <c r="AB357" s="19">
        <f t="shared" ca="1" si="127"/>
        <v>13.270825393651851</v>
      </c>
      <c r="AC357" s="19">
        <f t="shared" ca="1" si="128"/>
        <v>1.8677947360788182E-4</v>
      </c>
      <c r="AD357" s="19">
        <f t="shared" ca="1" si="129"/>
        <v>1.9906238090477777</v>
      </c>
      <c r="AE357" s="115">
        <f t="shared" ca="1" si="130"/>
        <v>45.937400612061758</v>
      </c>
      <c r="AF357" s="19">
        <f t="shared" ca="1" si="131"/>
        <v>411.39558720320736</v>
      </c>
      <c r="AG357" s="19">
        <f t="shared" ca="1" si="132"/>
        <v>5.7901636818443363E-3</v>
      </c>
      <c r="AH357" s="19">
        <f t="shared" ca="1" si="133"/>
        <v>61.70933808048111</v>
      </c>
      <c r="AI357" s="46">
        <f t="shared" ca="1" si="140"/>
        <v>8955.56957341612</v>
      </c>
      <c r="AJ357" s="55">
        <f t="shared" ca="1" si="141"/>
        <v>1.260287669201535E-4</v>
      </c>
      <c r="AK357" s="19">
        <f t="shared" ca="1" si="142"/>
        <v>111.66235623565682</v>
      </c>
      <c r="AL357" s="19">
        <f t="shared" ca="1" si="134"/>
        <v>150.00000000000003</v>
      </c>
    </row>
    <row r="358" spans="1:38" x14ac:dyDescent="0.25">
      <c r="B358" s="19"/>
      <c r="C358" s="19"/>
      <c r="D358" s="19"/>
      <c r="E358" s="19"/>
      <c r="F358" s="19"/>
      <c r="G358" s="19"/>
      <c r="H358" s="43">
        <f t="shared" si="143"/>
        <v>54879</v>
      </c>
      <c r="I358" s="264">
        <v>0</v>
      </c>
      <c r="J358" s="64">
        <f t="shared" ca="1" si="135"/>
        <v>0</v>
      </c>
      <c r="K358" s="19">
        <f ca="1">SUMPRODUCT(V$7:V358,OFFSET($J$366,ROW($I$7)-ROW(),0):$J$366)</f>
        <v>0</v>
      </c>
      <c r="L358" s="19">
        <f ca="1">SUMPRODUCT(W$7:W358,OFFSET($J$366,ROW($I$7)-ROW(),0):$J$366)</f>
        <v>0</v>
      </c>
      <c r="M358" s="19">
        <f ca="1">SUMPRODUCT(X$7:X358,OFFSET($J$366,ROW($I$7)-ROW(),0):$J$366)</f>
        <v>0</v>
      </c>
      <c r="N358" s="19"/>
      <c r="O358" s="43">
        <f t="shared" si="136"/>
        <v>54149</v>
      </c>
      <c r="P358" s="24">
        <f t="shared" si="137"/>
        <v>10683</v>
      </c>
      <c r="Q358" s="19">
        <f t="shared" si="138"/>
        <v>1.7384152130933999</v>
      </c>
      <c r="R358" s="19">
        <f t="shared" si="121"/>
        <v>13.831261136203969</v>
      </c>
      <c r="S358" s="19">
        <f t="shared" si="122"/>
        <v>2.4484929225499798E-4</v>
      </c>
      <c r="T358" s="19"/>
      <c r="U358" s="24">
        <f t="shared" si="144"/>
        <v>10680.930000000053</v>
      </c>
      <c r="V358" s="19">
        <f t="shared" si="123"/>
        <v>7.2763190887182096</v>
      </c>
      <c r="W358" s="19">
        <f t="shared" si="124"/>
        <v>28.918633470856481</v>
      </c>
      <c r="X358" s="19">
        <f t="shared" si="125"/>
        <v>3.6381595443591048</v>
      </c>
      <c r="Y358" s="27"/>
      <c r="Z358" s="42">
        <f t="shared" si="139"/>
        <v>54879</v>
      </c>
      <c r="AA358" s="19">
        <f t="shared" ca="1" si="126"/>
        <v>1.4713946363622539</v>
      </c>
      <c r="AB358" s="19">
        <f t="shared" ca="1" si="127"/>
        <v>13.270825393651851</v>
      </c>
      <c r="AC358" s="19">
        <f t="shared" ca="1" si="128"/>
        <v>1.8677947360788182E-4</v>
      </c>
      <c r="AD358" s="19">
        <f t="shared" ca="1" si="129"/>
        <v>1.9906238090477777</v>
      </c>
      <c r="AE358" s="115">
        <f t="shared" ca="1" si="130"/>
        <v>44.141839090867613</v>
      </c>
      <c r="AF358" s="19">
        <f t="shared" ca="1" si="131"/>
        <v>398.12476180955554</v>
      </c>
      <c r="AG358" s="19">
        <f t="shared" ca="1" si="132"/>
        <v>5.6033842082364544E-3</v>
      </c>
      <c r="AH358" s="19">
        <f t="shared" ca="1" si="133"/>
        <v>59.718714271433328</v>
      </c>
      <c r="AI358" s="46">
        <f t="shared" ca="1" si="140"/>
        <v>9019.2155562436128</v>
      </c>
      <c r="AJ358" s="55">
        <f t="shared" ca="1" si="141"/>
        <v>1.2692432209181621E-4</v>
      </c>
      <c r="AK358" s="19">
        <f t="shared" ca="1" si="142"/>
        <v>110.87438744134943</v>
      </c>
      <c r="AL358" s="19">
        <f t="shared" ca="1" si="134"/>
        <v>150</v>
      </c>
    </row>
    <row r="359" spans="1:38" x14ac:dyDescent="0.25">
      <c r="B359" s="19"/>
      <c r="C359" s="19"/>
      <c r="D359" s="19"/>
      <c r="E359" s="19"/>
      <c r="F359" s="19"/>
      <c r="G359" s="19"/>
      <c r="H359" s="43">
        <f t="shared" si="143"/>
        <v>54909</v>
      </c>
      <c r="I359" s="264">
        <v>0</v>
      </c>
      <c r="J359" s="64">
        <f t="shared" ca="1" si="135"/>
        <v>0</v>
      </c>
      <c r="K359" s="19">
        <f ca="1">SUMPRODUCT(V$7:V359,OFFSET($J$366,ROW($I$7)-ROW(),0):$J$366)</f>
        <v>0</v>
      </c>
      <c r="L359" s="19">
        <f ca="1">SUMPRODUCT(W$7:W359,OFFSET($J$366,ROW($I$7)-ROW(),0):$J$366)</f>
        <v>0</v>
      </c>
      <c r="M359" s="19">
        <f ca="1">SUMPRODUCT(X$7:X359,OFFSET($J$366,ROW($I$7)-ROW(),0):$J$366)</f>
        <v>0</v>
      </c>
      <c r="N359" s="19"/>
      <c r="O359" s="43">
        <f t="shared" si="136"/>
        <v>54179</v>
      </c>
      <c r="P359" s="24">
        <f t="shared" si="137"/>
        <v>10713</v>
      </c>
      <c r="Q359" s="19">
        <f t="shared" si="138"/>
        <v>1.7265420931901494</v>
      </c>
      <c r="R359" s="19">
        <f t="shared" si="121"/>
        <v>13.761098750131659</v>
      </c>
      <c r="S359" s="19">
        <f t="shared" si="122"/>
        <v>2.3682905284094248E-4</v>
      </c>
      <c r="T359" s="19"/>
      <c r="U359" s="24">
        <f t="shared" si="144"/>
        <v>10711.360000000053</v>
      </c>
      <c r="V359" s="19">
        <f t="shared" si="123"/>
        <v>7.2266229008662108</v>
      </c>
      <c r="W359" s="19">
        <f t="shared" si="124"/>
        <v>28.771936773694506</v>
      </c>
      <c r="X359" s="19">
        <f t="shared" si="125"/>
        <v>3.6133114504331054</v>
      </c>
      <c r="Y359" s="27"/>
      <c r="Z359" s="42">
        <f t="shared" si="139"/>
        <v>54909</v>
      </c>
      <c r="AA359" s="19">
        <f t="shared" ca="1" si="126"/>
        <v>1.4613452276761427</v>
      </c>
      <c r="AB359" s="19">
        <f t="shared" ca="1" si="127"/>
        <v>13.270825393651851</v>
      </c>
      <c r="AC359" s="19">
        <f t="shared" ca="1" si="128"/>
        <v>1.8677947360788182E-4</v>
      </c>
      <c r="AD359" s="19">
        <f t="shared" ca="1" si="129"/>
        <v>1.9906238090477777</v>
      </c>
      <c r="AE359" s="115">
        <f t="shared" ca="1" si="130"/>
        <v>45.301702057960426</v>
      </c>
      <c r="AF359" s="19">
        <f t="shared" ca="1" si="131"/>
        <v>411.39558720320736</v>
      </c>
      <c r="AG359" s="19">
        <f t="shared" ca="1" si="132"/>
        <v>5.7901636818443363E-3</v>
      </c>
      <c r="AH359" s="19">
        <f t="shared" ca="1" si="133"/>
        <v>61.70933808048111</v>
      </c>
      <c r="AI359" s="46">
        <f t="shared" ca="1" si="140"/>
        <v>9081.2390818529257</v>
      </c>
      <c r="AJ359" s="55">
        <f t="shared" ca="1" si="141"/>
        <v>1.2779704631452806E-4</v>
      </c>
      <c r="AK359" s="19">
        <f t="shared" ca="1" si="142"/>
        <v>110.11713170268843</v>
      </c>
      <c r="AL359" s="19">
        <f t="shared" ca="1" si="134"/>
        <v>150.00000000000003</v>
      </c>
    </row>
    <row r="360" spans="1:38" x14ac:dyDescent="0.25">
      <c r="B360" s="19"/>
      <c r="C360" s="19"/>
      <c r="D360" s="19"/>
      <c r="E360" s="19"/>
      <c r="F360" s="19"/>
      <c r="G360" s="19"/>
      <c r="H360" s="43">
        <f t="shared" si="143"/>
        <v>54940</v>
      </c>
      <c r="I360" s="264">
        <v>0</v>
      </c>
      <c r="J360" s="64">
        <f t="shared" ca="1" si="135"/>
        <v>0</v>
      </c>
      <c r="K360" s="19">
        <f ca="1">SUMPRODUCT(V$7:V360,OFFSET($J$366,ROW($I$7)-ROW(),0):$J$366)</f>
        <v>0</v>
      </c>
      <c r="L360" s="19">
        <f ca="1">SUMPRODUCT(W$7:W360,OFFSET($J$366,ROW($I$7)-ROW(),0):$J$366)</f>
        <v>0</v>
      </c>
      <c r="M360" s="19">
        <f ca="1">SUMPRODUCT(X$7:X360,OFFSET($J$366,ROW($I$7)-ROW(),0):$J$366)</f>
        <v>0</v>
      </c>
      <c r="N360" s="19"/>
      <c r="O360" s="43">
        <f t="shared" si="136"/>
        <v>54210</v>
      </c>
      <c r="P360" s="24">
        <f t="shared" si="137"/>
        <v>10744</v>
      </c>
      <c r="Q360" s="19">
        <f t="shared" si="138"/>
        <v>1.7143583874422534</v>
      </c>
      <c r="R360" s="19">
        <f t="shared" si="121"/>
        <v>13.68897150577688</v>
      </c>
      <c r="S360" s="19">
        <f t="shared" si="122"/>
        <v>2.2881869473230135E-4</v>
      </c>
      <c r="T360" s="19"/>
      <c r="U360" s="24">
        <f t="shared" si="144"/>
        <v>10741.790000000054</v>
      </c>
      <c r="V360" s="19">
        <f t="shared" si="123"/>
        <v>7.1756267234069782</v>
      </c>
      <c r="W360" s="19">
        <f t="shared" si="124"/>
        <v>28.621131917780179</v>
      </c>
      <c r="X360" s="19">
        <f t="shared" si="125"/>
        <v>3.5878133617034891</v>
      </c>
      <c r="Y360" s="27"/>
      <c r="Z360" s="42">
        <f t="shared" si="139"/>
        <v>54940</v>
      </c>
      <c r="AA360" s="19">
        <f t="shared" ca="1" si="126"/>
        <v>1.4510329391311234</v>
      </c>
      <c r="AB360" s="19">
        <f t="shared" ca="1" si="127"/>
        <v>13.270825393651851</v>
      </c>
      <c r="AC360" s="19">
        <f t="shared" ca="1" si="128"/>
        <v>1.8677947360788182E-4</v>
      </c>
      <c r="AD360" s="19">
        <f t="shared" ca="1" si="129"/>
        <v>1.9906238090477777</v>
      </c>
      <c r="AE360" s="115">
        <f t="shared" ca="1" si="130"/>
        <v>43.5309881739337</v>
      </c>
      <c r="AF360" s="19">
        <f t="shared" ca="1" si="131"/>
        <v>398.12476180955554</v>
      </c>
      <c r="AG360" s="19">
        <f t="shared" ca="1" si="132"/>
        <v>5.6033842082364544E-3</v>
      </c>
      <c r="AH360" s="19">
        <f t="shared" ca="1" si="133"/>
        <v>59.718714271433328</v>
      </c>
      <c r="AI360" s="46">
        <f t="shared" ca="1" si="140"/>
        <v>9145.7781803343514</v>
      </c>
      <c r="AJ360" s="55">
        <f t="shared" ca="1" si="141"/>
        <v>1.2870516518853541E-4</v>
      </c>
      <c r="AK360" s="19">
        <f t="shared" ca="1" si="142"/>
        <v>109.34006710880473</v>
      </c>
      <c r="AL360" s="19">
        <f t="shared" ca="1" si="134"/>
        <v>150</v>
      </c>
    </row>
    <row r="361" spans="1:38" x14ac:dyDescent="0.25">
      <c r="B361" s="19"/>
      <c r="C361" s="19"/>
      <c r="D361" s="19"/>
      <c r="E361" s="19"/>
      <c r="F361" s="19"/>
      <c r="G361" s="19"/>
      <c r="H361" s="43">
        <f t="shared" si="143"/>
        <v>54970</v>
      </c>
      <c r="I361" s="264">
        <v>0</v>
      </c>
      <c r="J361" s="64">
        <f t="shared" ca="1" si="135"/>
        <v>0</v>
      </c>
      <c r="K361" s="19">
        <f ca="1">SUMPRODUCT(V$7:V361,OFFSET($J$366,ROW($I$7)-ROW(),0):$J$366)</f>
        <v>0</v>
      </c>
      <c r="L361" s="19">
        <f ca="1">SUMPRODUCT(W$7:W361,OFFSET($J$366,ROW($I$7)-ROW(),0):$J$366)</f>
        <v>0</v>
      </c>
      <c r="M361" s="19">
        <f ca="1">SUMPRODUCT(X$7:X361,OFFSET($J$366,ROW($I$7)-ROW(),0):$J$366)</f>
        <v>0</v>
      </c>
      <c r="N361" s="19"/>
      <c r="O361" s="43">
        <f t="shared" si="136"/>
        <v>54240</v>
      </c>
      <c r="P361" s="24">
        <f t="shared" si="137"/>
        <v>10774</v>
      </c>
      <c r="Q361" s="19">
        <f t="shared" si="138"/>
        <v>1.7026495721155483</v>
      </c>
      <c r="R361" s="19">
        <f t="shared" si="121"/>
        <v>13.619530917947388</v>
      </c>
      <c r="S361" s="19">
        <f t="shared" si="122"/>
        <v>2.2132604564254065E-4</v>
      </c>
      <c r="T361" s="19"/>
      <c r="U361" s="24">
        <f t="shared" si="144"/>
        <v>10772.220000000054</v>
      </c>
      <c r="V361" s="19">
        <f t="shared" si="123"/>
        <v>7.1266182495819148</v>
      </c>
      <c r="W361" s="19">
        <f t="shared" si="124"/>
        <v>28.475944368527305</v>
      </c>
      <c r="X361" s="19">
        <f t="shared" si="125"/>
        <v>3.5633091247909574</v>
      </c>
      <c r="Y361" s="27"/>
      <c r="Z361" s="42">
        <f t="shared" si="139"/>
        <v>54970</v>
      </c>
      <c r="AA361" s="19">
        <f t="shared" ca="1" si="126"/>
        <v>1.4411225978386004</v>
      </c>
      <c r="AB361" s="19">
        <f t="shared" ca="1" si="127"/>
        <v>13.270825393651851</v>
      </c>
      <c r="AC361" s="19">
        <f t="shared" ca="1" si="128"/>
        <v>1.8677947360788182E-4</v>
      </c>
      <c r="AD361" s="19">
        <f t="shared" ca="1" si="129"/>
        <v>1.9906238090477777</v>
      </c>
      <c r="AE361" s="115">
        <f t="shared" ca="1" si="130"/>
        <v>44.674800532996613</v>
      </c>
      <c r="AF361" s="19">
        <f t="shared" ca="1" si="131"/>
        <v>411.39558720320736</v>
      </c>
      <c r="AG361" s="19">
        <f t="shared" ca="1" si="132"/>
        <v>5.7901636818443363E-3</v>
      </c>
      <c r="AH361" s="19">
        <f t="shared" ca="1" si="133"/>
        <v>61.70933808048111</v>
      </c>
      <c r="AI361" s="46">
        <f t="shared" ca="1" si="140"/>
        <v>9208.6720543800147</v>
      </c>
      <c r="AJ361" s="55">
        <f t="shared" ca="1" si="141"/>
        <v>1.2959013279729929E-4</v>
      </c>
      <c r="AK361" s="19">
        <f t="shared" ca="1" si="142"/>
        <v>108.59329055206823</v>
      </c>
      <c r="AL361" s="19">
        <f t="shared" ca="1" si="134"/>
        <v>150.00000000000003</v>
      </c>
    </row>
    <row r="362" spans="1:38" x14ac:dyDescent="0.25">
      <c r="B362" s="19"/>
      <c r="C362" s="19"/>
      <c r="D362" s="19"/>
      <c r="E362" s="19"/>
      <c r="F362" s="19"/>
      <c r="G362" s="19"/>
      <c r="H362" s="43">
        <f t="shared" si="143"/>
        <v>55001</v>
      </c>
      <c r="I362" s="264">
        <v>0</v>
      </c>
      <c r="J362" s="64">
        <f t="shared" ca="1" si="135"/>
        <v>0</v>
      </c>
      <c r="K362" s="19">
        <f ca="1">SUMPRODUCT(V$7:V362,OFFSET($J$366,ROW($I$7)-ROW(),0):$J$366)</f>
        <v>0</v>
      </c>
      <c r="L362" s="19">
        <f ca="1">SUMPRODUCT(W$7:W362,OFFSET($J$366,ROW($I$7)-ROW(),0):$J$366)</f>
        <v>0</v>
      </c>
      <c r="M362" s="19">
        <f ca="1">SUMPRODUCT(X$7:X362,OFFSET($J$366,ROW($I$7)-ROW(),0):$J$366)</f>
        <v>0</v>
      </c>
      <c r="N362" s="19"/>
      <c r="O362" s="43">
        <f t="shared" si="136"/>
        <v>54271</v>
      </c>
      <c r="P362" s="24">
        <f t="shared" si="137"/>
        <v>10805</v>
      </c>
      <c r="Q362" s="19">
        <f t="shared" si="138"/>
        <v>1.6906344689447321</v>
      </c>
      <c r="R362" s="19">
        <f t="shared" si="121"/>
        <v>13.548145685390514</v>
      </c>
      <c r="S362" s="19">
        <f t="shared" si="122"/>
        <v>2.1384254167864164E-4</v>
      </c>
      <c r="T362" s="19"/>
      <c r="U362" s="24">
        <f t="shared" si="144"/>
        <v>10802.650000000054</v>
      </c>
      <c r="V362" s="19">
        <f t="shared" si="123"/>
        <v>7.0763277758813512</v>
      </c>
      <c r="W362" s="19">
        <f t="shared" si="124"/>
        <v>28.326690923363113</v>
      </c>
      <c r="X362" s="19">
        <f t="shared" si="125"/>
        <v>3.5381638879406756</v>
      </c>
      <c r="Y362" s="27"/>
      <c r="Z362" s="42">
        <f t="shared" si="139"/>
        <v>55001</v>
      </c>
      <c r="AA362" s="19">
        <f t="shared" ca="1" si="126"/>
        <v>1.430953014514821</v>
      </c>
      <c r="AB362" s="19">
        <f t="shared" ca="1" si="127"/>
        <v>13.270825393651851</v>
      </c>
      <c r="AC362" s="19">
        <f t="shared" ca="1" si="128"/>
        <v>1.8677947360788182E-4</v>
      </c>
      <c r="AD362" s="19">
        <f t="shared" ca="1" si="129"/>
        <v>1.9906238090477777</v>
      </c>
      <c r="AE362" s="115">
        <f t="shared" ca="1" si="130"/>
        <v>44.359543449959453</v>
      </c>
      <c r="AF362" s="19">
        <f t="shared" ca="1" si="131"/>
        <v>411.39558720320736</v>
      </c>
      <c r="AG362" s="19">
        <f t="shared" ca="1" si="132"/>
        <v>5.7901636818443363E-3</v>
      </c>
      <c r="AH362" s="19">
        <f t="shared" ca="1" si="133"/>
        <v>61.70933808048111</v>
      </c>
      <c r="AI362" s="46">
        <f t="shared" ca="1" si="140"/>
        <v>9274.1168012084981</v>
      </c>
      <c r="AJ362" s="55">
        <f t="shared" ca="1" si="141"/>
        <v>1.3051099158339243E-4</v>
      </c>
      <c r="AK362" s="19">
        <f t="shared" ca="1" si="142"/>
        <v>107.82697926229389</v>
      </c>
      <c r="AL362" s="19">
        <f t="shared" ca="1" si="134"/>
        <v>150.00000000000003</v>
      </c>
    </row>
    <row r="363" spans="1:38" x14ac:dyDescent="0.25">
      <c r="B363" s="19"/>
      <c r="C363" s="19"/>
      <c r="D363" s="19"/>
      <c r="E363" s="19"/>
      <c r="F363" s="19"/>
      <c r="G363" s="19"/>
      <c r="H363" s="43">
        <f t="shared" si="143"/>
        <v>55032</v>
      </c>
      <c r="I363" s="264">
        <v>0</v>
      </c>
      <c r="J363" s="64">
        <f t="shared" ca="1" si="135"/>
        <v>0</v>
      </c>
      <c r="K363" s="19">
        <f ca="1">SUMPRODUCT(V$7:V363,OFFSET($J$366,ROW($I$7)-ROW(),0):$J$366)</f>
        <v>0</v>
      </c>
      <c r="L363" s="19">
        <f ca="1">SUMPRODUCT(W$7:W363,OFFSET($J$366,ROW($I$7)-ROW(),0):$J$366)</f>
        <v>0</v>
      </c>
      <c r="M363" s="19">
        <f ca="1">SUMPRODUCT(X$7:X363,OFFSET($J$366,ROW($I$7)-ROW(),0):$J$366)</f>
        <v>0</v>
      </c>
      <c r="N363" s="19"/>
      <c r="O363" s="43">
        <f t="shared" si="136"/>
        <v>54302</v>
      </c>
      <c r="P363" s="24">
        <f t="shared" si="137"/>
        <v>10836</v>
      </c>
      <c r="Q363" s="19">
        <f t="shared" si="138"/>
        <v>1.6787041528649114</v>
      </c>
      <c r="R363" s="19">
        <f t="shared" si="121"/>
        <v>13.477134610464907</v>
      </c>
      <c r="S363" s="19">
        <f t="shared" si="122"/>
        <v>2.0661329294850949E-4</v>
      </c>
      <c r="T363" s="19"/>
      <c r="U363" s="24">
        <f t="shared" si="144"/>
        <v>10833.080000000054</v>
      </c>
      <c r="V363" s="19">
        <f t="shared" si="123"/>
        <v>7.0263921874372253</v>
      </c>
      <c r="W363" s="19">
        <f t="shared" si="124"/>
        <v>28.178219773268928</v>
      </c>
      <c r="X363" s="19">
        <f t="shared" si="125"/>
        <v>3.5131960937186126</v>
      </c>
      <c r="Y363" s="27"/>
      <c r="Z363" s="42">
        <f t="shared" si="139"/>
        <v>55032</v>
      </c>
      <c r="AA363" s="19">
        <f t="shared" ca="1" si="126"/>
        <v>1.4208551949848611</v>
      </c>
      <c r="AB363" s="19">
        <f t="shared" ca="1" si="127"/>
        <v>13.270825393651851</v>
      </c>
      <c r="AC363" s="19">
        <f t="shared" ca="1" si="128"/>
        <v>1.8677947360788182E-4</v>
      </c>
      <c r="AD363" s="19">
        <f t="shared" ca="1" si="129"/>
        <v>1.9906238090477777</v>
      </c>
      <c r="AE363" s="115">
        <f t="shared" ca="1" si="130"/>
        <v>42.625655849545836</v>
      </c>
      <c r="AF363" s="19">
        <f t="shared" ca="1" si="131"/>
        <v>398.12476180955554</v>
      </c>
      <c r="AG363" s="19">
        <f t="shared" ca="1" si="132"/>
        <v>5.6033842082364544E-3</v>
      </c>
      <c r="AH363" s="19">
        <f t="shared" ca="1" si="133"/>
        <v>59.718714271433328</v>
      </c>
      <c r="AI363" s="46">
        <f t="shared" ca="1" si="140"/>
        <v>9340.0266547170886</v>
      </c>
      <c r="AJ363" s="55">
        <f t="shared" ca="1" si="141"/>
        <v>1.3143839307002862E-4</v>
      </c>
      <c r="AK363" s="19">
        <f t="shared" ca="1" si="142"/>
        <v>107.0660756085701</v>
      </c>
      <c r="AL363" s="19">
        <f t="shared" ca="1" si="134"/>
        <v>150</v>
      </c>
    </row>
    <row r="364" spans="1:38" x14ac:dyDescent="0.25">
      <c r="B364" s="19"/>
      <c r="C364" s="19"/>
      <c r="D364" s="19"/>
      <c r="E364" s="19"/>
      <c r="F364" s="19"/>
      <c r="G364" s="19"/>
      <c r="H364" s="43">
        <f t="shared" si="143"/>
        <v>55062</v>
      </c>
      <c r="I364" s="264">
        <v>0</v>
      </c>
      <c r="J364" s="64">
        <f t="shared" ca="1" si="135"/>
        <v>0</v>
      </c>
      <c r="K364" s="19">
        <f ca="1">SUMPRODUCT(V$7:V364,OFFSET($J$366,ROW($I$7)-ROW(),0):$J$366)</f>
        <v>0</v>
      </c>
      <c r="L364" s="19">
        <f ca="1">SUMPRODUCT(W$7:W364,OFFSET($J$366,ROW($I$7)-ROW(),0):$J$366)</f>
        <v>0</v>
      </c>
      <c r="M364" s="19">
        <f ca="1">SUMPRODUCT(X$7:X364,OFFSET($J$366,ROW($I$7)-ROW(),0):$J$366)</f>
        <v>0</v>
      </c>
      <c r="N364" s="19"/>
      <c r="O364" s="43">
        <f t="shared" si="136"/>
        <v>54332</v>
      </c>
      <c r="P364" s="24">
        <f t="shared" si="137"/>
        <v>10866</v>
      </c>
      <c r="Q364" s="19">
        <f t="shared" si="138"/>
        <v>1.6672388507098623</v>
      </c>
      <c r="R364" s="19">
        <f t="shared" si="121"/>
        <v>13.408768616042831</v>
      </c>
      <c r="S364" s="19">
        <f t="shared" si="122"/>
        <v>1.9985115277049774E-4</v>
      </c>
      <c r="T364" s="19"/>
      <c r="U364" s="24">
        <f t="shared" si="144"/>
        <v>10863.510000000055</v>
      </c>
      <c r="V364" s="19">
        <f t="shared" si="123"/>
        <v>6.9784029635162872</v>
      </c>
      <c r="W364" s="19">
        <f t="shared" si="124"/>
        <v>28.035279001990485</v>
      </c>
      <c r="X364" s="19">
        <f t="shared" si="125"/>
        <v>3.4892014817581436</v>
      </c>
      <c r="Y364" s="27"/>
      <c r="Z364" s="42">
        <f t="shared" si="139"/>
        <v>55062</v>
      </c>
      <c r="AA364" s="19">
        <f t="shared" ca="1" si="126"/>
        <v>1.4111509632408277</v>
      </c>
      <c r="AB364" s="19">
        <f t="shared" ca="1" si="127"/>
        <v>13.270825393651851</v>
      </c>
      <c r="AC364" s="19">
        <f t="shared" ca="1" si="128"/>
        <v>1.8677947360788182E-4</v>
      </c>
      <c r="AD364" s="19">
        <f t="shared" ca="1" si="129"/>
        <v>1.9906238090477777</v>
      </c>
      <c r="AE364" s="115">
        <f t="shared" ca="1" si="130"/>
        <v>43.745679860465657</v>
      </c>
      <c r="AF364" s="19">
        <f t="shared" ca="1" si="131"/>
        <v>411.39558720320736</v>
      </c>
      <c r="AG364" s="19">
        <f t="shared" ca="1" si="132"/>
        <v>5.7901636818443363E-3</v>
      </c>
      <c r="AH364" s="19">
        <f t="shared" ca="1" si="133"/>
        <v>61.70933808048111</v>
      </c>
      <c r="AI364" s="46">
        <f t="shared" ca="1" si="140"/>
        <v>9404.2563406357858</v>
      </c>
      <c r="AJ364" s="55">
        <f t="shared" ca="1" si="141"/>
        <v>1.3234215167281474E-4</v>
      </c>
      <c r="AK364" s="19">
        <f t="shared" ca="1" si="142"/>
        <v>106.33483007890806</v>
      </c>
      <c r="AL364" s="19">
        <f t="shared" ca="1" si="134"/>
        <v>150.00000000000003</v>
      </c>
    </row>
    <row r="365" spans="1:38" x14ac:dyDescent="0.25">
      <c r="B365" s="19"/>
      <c r="C365" s="19"/>
      <c r="D365" s="19"/>
      <c r="E365" s="19"/>
      <c r="F365" s="19"/>
      <c r="G365" s="19"/>
      <c r="H365" s="43">
        <f t="shared" si="143"/>
        <v>55093</v>
      </c>
      <c r="I365" s="264">
        <v>0</v>
      </c>
      <c r="J365" s="64">
        <f t="shared" ca="1" si="135"/>
        <v>0</v>
      </c>
      <c r="K365" s="19">
        <f ca="1">SUMPRODUCT(V$7:V365,OFFSET($J$366,ROW($I$7)-ROW(),0):$J$366)</f>
        <v>0</v>
      </c>
      <c r="L365" s="19">
        <f ca="1">SUMPRODUCT(W$7:W365,OFFSET($J$366,ROW($I$7)-ROW(),0):$J$366)</f>
        <v>0</v>
      </c>
      <c r="M365" s="19">
        <f ca="1">SUMPRODUCT(X$7:X365,OFFSET($J$366,ROW($I$7)-ROW(),0):$J$366)</f>
        <v>0</v>
      </c>
      <c r="N365" s="19"/>
      <c r="O365" s="43">
        <f t="shared" si="136"/>
        <v>54363</v>
      </c>
      <c r="P365" s="24">
        <f t="shared" si="137"/>
        <v>10897</v>
      </c>
      <c r="Q365" s="19">
        <f t="shared" si="138"/>
        <v>1.6554736307082019</v>
      </c>
      <c r="R365" s="19">
        <f t="shared" si="121"/>
        <v>13.338488070279233</v>
      </c>
      <c r="S365" s="19">
        <f t="shared" si="122"/>
        <v>1.9309714891394171E-4</v>
      </c>
      <c r="T365" s="19"/>
      <c r="U365" s="24">
        <f t="shared" si="144"/>
        <v>10893.940000000055</v>
      </c>
      <c r="V365" s="19">
        <f t="shared" si="123"/>
        <v>6.9291584020120665</v>
      </c>
      <c r="W365" s="19">
        <f t="shared" si="124"/>
        <v>27.888335254558136</v>
      </c>
      <c r="X365" s="19">
        <f t="shared" si="125"/>
        <v>3.4645792010060332</v>
      </c>
      <c r="Y365" s="27"/>
      <c r="Z365" s="42">
        <f t="shared" si="139"/>
        <v>55093</v>
      </c>
      <c r="AA365" s="19">
        <f t="shared" ca="1" si="126"/>
        <v>1.4011928810314223</v>
      </c>
      <c r="AB365" s="19">
        <f t="shared" ca="1" si="127"/>
        <v>13.270825393651851</v>
      </c>
      <c r="AC365" s="19">
        <f t="shared" ca="1" si="128"/>
        <v>1.8677947360788182E-4</v>
      </c>
      <c r="AD365" s="19">
        <f t="shared" ca="1" si="129"/>
        <v>1.9906238090477777</v>
      </c>
      <c r="AE365" s="115">
        <f t="shared" ca="1" si="130"/>
        <v>42.035786430942665</v>
      </c>
      <c r="AF365" s="19">
        <f t="shared" ca="1" si="131"/>
        <v>398.12476180955554</v>
      </c>
      <c r="AG365" s="19">
        <f t="shared" ca="1" si="132"/>
        <v>5.6033842082364544E-3</v>
      </c>
      <c r="AH365" s="19">
        <f t="shared" ca="1" si="133"/>
        <v>59.718714271433328</v>
      </c>
      <c r="AI365" s="46">
        <f t="shared" ca="1" si="140"/>
        <v>9471.0910776845776</v>
      </c>
      <c r="AJ365" s="55">
        <f t="shared" ca="1" si="141"/>
        <v>1.3328256351356643E-4</v>
      </c>
      <c r="AK365" s="19">
        <f t="shared" ca="1" si="142"/>
        <v>105.58445608829184</v>
      </c>
      <c r="AL365" s="19">
        <f t="shared" ca="1" si="134"/>
        <v>150</v>
      </c>
    </row>
    <row r="366" spans="1:38" x14ac:dyDescent="0.25">
      <c r="B366" s="19"/>
      <c r="C366" s="19"/>
      <c r="D366" s="19"/>
      <c r="E366" s="19"/>
      <c r="F366" s="19"/>
      <c r="G366" s="19"/>
      <c r="H366" s="44">
        <f t="shared" si="143"/>
        <v>55123</v>
      </c>
      <c r="I366" s="265">
        <v>0</v>
      </c>
      <c r="J366" s="65">
        <f t="shared" ca="1" si="135"/>
        <v>0</v>
      </c>
      <c r="K366" s="21">
        <f ca="1">SUMPRODUCT(V$7:V366,OFFSET($J$366,ROW($I$7)-ROW(),0):$J$366)</f>
        <v>0</v>
      </c>
      <c r="L366" s="21">
        <f ca="1">SUMPRODUCT(W$7:W366,OFFSET($J$366,ROW($I$7)-ROW(),0):$J$366)</f>
        <v>0</v>
      </c>
      <c r="M366" s="21">
        <f ca="1">SUMPRODUCT(X$7:X366,OFFSET($J$366,ROW($I$7)-ROW(),0):$J$366)</f>
        <v>0</v>
      </c>
      <c r="N366" s="19"/>
      <c r="O366" s="44">
        <f t="shared" si="136"/>
        <v>54393</v>
      </c>
      <c r="P366" s="25">
        <f t="shared" si="137"/>
        <v>10927</v>
      </c>
      <c r="Q366" s="21">
        <f t="shared" si="138"/>
        <v>1.6441669895985145</v>
      </c>
      <c r="R366" s="21">
        <f t="shared" si="121"/>
        <v>13.270825393651851</v>
      </c>
      <c r="S366" s="21">
        <f t="shared" si="122"/>
        <v>1.8677947360788182E-4</v>
      </c>
      <c r="T366" s="19"/>
      <c r="U366" s="25">
        <f t="shared" si="144"/>
        <v>10924.370000000055</v>
      </c>
      <c r="V366" s="21">
        <f t="shared" si="123"/>
        <v>6.8818332705267595</v>
      </c>
      <c r="W366" s="21">
        <f t="shared" si="124"/>
        <v>27.746864991956951</v>
      </c>
      <c r="X366" s="21">
        <f t="shared" si="125"/>
        <v>3.4409166352633798</v>
      </c>
      <c r="Y366" s="27"/>
      <c r="Z366" s="48">
        <f t="shared" si="139"/>
        <v>55123</v>
      </c>
      <c r="AA366" s="21">
        <f t="shared" ca="1" si="126"/>
        <v>1.391622939996183</v>
      </c>
      <c r="AB366" s="21">
        <f t="shared" ca="1" si="127"/>
        <v>13.270825393651851</v>
      </c>
      <c r="AC366" s="21">
        <f t="shared" ca="1" si="128"/>
        <v>1.8677947360788182E-4</v>
      </c>
      <c r="AD366" s="21">
        <f t="shared" ca="1" si="129"/>
        <v>1.9906238090477777</v>
      </c>
      <c r="AE366" s="116">
        <f t="shared" ca="1" si="130"/>
        <v>43.140311139881675</v>
      </c>
      <c r="AF366" s="21">
        <f t="shared" ca="1" si="131"/>
        <v>411.39558720320736</v>
      </c>
      <c r="AG366" s="21">
        <f t="shared" ca="1" si="132"/>
        <v>5.7901636818443363E-3</v>
      </c>
      <c r="AH366" s="21">
        <f t="shared" ca="1" si="133"/>
        <v>61.70933808048111</v>
      </c>
      <c r="AI366" s="47">
        <f t="shared" ca="1" si="140"/>
        <v>9536.2220701020142</v>
      </c>
      <c r="AJ366" s="57">
        <f t="shared" ca="1" si="141"/>
        <v>1.3419900076501503E-4</v>
      </c>
      <c r="AK366" s="21">
        <f t="shared" ca="1" si="142"/>
        <v>104.86332980176736</v>
      </c>
      <c r="AL366" s="21">
        <f t="shared" ca="1" si="134"/>
        <v>150.00000000000003</v>
      </c>
    </row>
    <row r="367" spans="1:38" x14ac:dyDescent="0.25">
      <c r="A367" s="18" t="s">
        <v>18</v>
      </c>
      <c r="B367" s="19"/>
      <c r="C367" s="19"/>
      <c r="D367" s="19"/>
      <c r="E367" s="19"/>
      <c r="F367" s="19"/>
      <c r="G367" s="19"/>
      <c r="H367" s="43">
        <f t="shared" si="143"/>
        <v>55154</v>
      </c>
      <c r="I367" s="66" t="s">
        <v>18</v>
      </c>
      <c r="J367" s="66" t="s">
        <v>18</v>
      </c>
      <c r="K367" s="18" t="s">
        <v>18</v>
      </c>
      <c r="L367" s="18" t="s">
        <v>18</v>
      </c>
      <c r="M367" s="18" t="s">
        <v>18</v>
      </c>
      <c r="N367" s="18"/>
      <c r="O367" s="43">
        <f t="shared" ref="O367:O430" si="145">EOMONTH(O366,0)+1</f>
        <v>54424</v>
      </c>
      <c r="P367" s="24">
        <f t="shared" si="137"/>
        <v>10958</v>
      </c>
      <c r="Q367" s="19">
        <f t="shared" si="138"/>
        <v>1.6325645810150906</v>
      </c>
      <c r="R367" s="19">
        <f t="shared" si="121"/>
        <v>13.201267861703442</v>
      </c>
      <c r="S367" s="19">
        <f t="shared" si="122"/>
        <v>1.8046932730479123E-4</v>
      </c>
      <c r="T367" s="18"/>
      <c r="U367" s="26" t="s">
        <v>18</v>
      </c>
      <c r="V367" s="18" t="s">
        <v>18</v>
      </c>
      <c r="W367" s="18" t="s">
        <v>18</v>
      </c>
      <c r="X367" s="18" t="s">
        <v>18</v>
      </c>
      <c r="Y367" s="53"/>
      <c r="Z367" s="42">
        <f t="shared" ref="Z367" si="146">H367</f>
        <v>55154</v>
      </c>
      <c r="AA367" s="18" t="s">
        <v>18</v>
      </c>
      <c r="AB367" s="18" t="s">
        <v>18</v>
      </c>
      <c r="AC367" s="18" t="s">
        <v>18</v>
      </c>
      <c r="AD367" s="18" t="s">
        <v>18</v>
      </c>
      <c r="AE367" s="18" t="s">
        <v>18</v>
      </c>
      <c r="AF367" s="18" t="s">
        <v>18</v>
      </c>
      <c r="AG367" s="18" t="s">
        <v>18</v>
      </c>
      <c r="AH367" s="18" t="s">
        <v>18</v>
      </c>
      <c r="AI367" s="56" t="s">
        <v>18</v>
      </c>
      <c r="AJ367" s="18" t="s">
        <v>18</v>
      </c>
      <c r="AK367" s="18" t="s">
        <v>18</v>
      </c>
      <c r="AL367" s="18" t="s">
        <v>18</v>
      </c>
    </row>
    <row r="368" spans="1:38" x14ac:dyDescent="0.25">
      <c r="B368" s="169" t="s">
        <v>208</v>
      </c>
      <c r="C368" s="19"/>
      <c r="D368" s="19"/>
      <c r="E368" s="19"/>
      <c r="F368" s="19"/>
      <c r="G368" s="19"/>
      <c r="O368" s="43">
        <f t="shared" si="145"/>
        <v>54455</v>
      </c>
      <c r="P368" s="24">
        <f t="shared" si="137"/>
        <v>10989</v>
      </c>
      <c r="Q368" s="19">
        <f t="shared" si="138"/>
        <v>1.6210440472569048</v>
      </c>
      <c r="R368" s="19">
        <f t="shared" si="121"/>
        <v>13.132074907700051</v>
      </c>
      <c r="S368" s="19">
        <f t="shared" si="122"/>
        <v>1.7437339222029343E-4</v>
      </c>
    </row>
    <row r="369" spans="2:19" x14ac:dyDescent="0.25">
      <c r="B369" s="169" t="s">
        <v>209</v>
      </c>
      <c r="C369" s="18"/>
      <c r="D369" s="18"/>
      <c r="E369" s="18"/>
      <c r="F369" s="18"/>
      <c r="G369" s="18"/>
      <c r="O369" s="43">
        <f t="shared" si="145"/>
        <v>54483</v>
      </c>
      <c r="P369" s="24">
        <f t="shared" si="137"/>
        <v>11017</v>
      </c>
      <c r="Q369" s="19">
        <f t="shared" si="138"/>
        <v>1.6107082963556016</v>
      </c>
      <c r="R369" s="19">
        <f t="shared" si="121"/>
        <v>13.069889818866828</v>
      </c>
      <c r="S369" s="19">
        <f t="shared" si="122"/>
        <v>1.6904542261922574E-4</v>
      </c>
    </row>
    <row r="370" spans="2:19" x14ac:dyDescent="0.25">
      <c r="O370" s="43">
        <f t="shared" si="145"/>
        <v>54514</v>
      </c>
      <c r="P370" s="24">
        <f t="shared" si="137"/>
        <v>11048</v>
      </c>
      <c r="Q370" s="19">
        <f t="shared" si="138"/>
        <v>1.5993419960459281</v>
      </c>
      <c r="R370" s="19">
        <f t="shared" si="121"/>
        <v>13.001385468031732</v>
      </c>
      <c r="S370" s="19">
        <f t="shared" si="122"/>
        <v>1.6333720151400844E-4</v>
      </c>
    </row>
    <row r="371" spans="2:19" x14ac:dyDescent="0.25">
      <c r="O371" s="43">
        <f t="shared" si="145"/>
        <v>54544</v>
      </c>
      <c r="P371" s="24">
        <f t="shared" si="137"/>
        <v>11078</v>
      </c>
      <c r="Q371" s="19">
        <f t="shared" si="138"/>
        <v>1.5884187257349378</v>
      </c>
      <c r="R371" s="19">
        <f t="shared" si="121"/>
        <v>12.935432825123756</v>
      </c>
      <c r="S371" s="19">
        <f t="shared" si="122"/>
        <v>1.5799759645517813E-4</v>
      </c>
    </row>
    <row r="372" spans="2:19" x14ac:dyDescent="0.25">
      <c r="O372" s="43">
        <f t="shared" si="145"/>
        <v>54575</v>
      </c>
      <c r="P372" s="24">
        <f t="shared" si="137"/>
        <v>11109</v>
      </c>
      <c r="Q372" s="19">
        <f t="shared" si="138"/>
        <v>1.577209716446873</v>
      </c>
      <c r="R372" s="19">
        <f t="shared" si="121"/>
        <v>12.867633215430264</v>
      </c>
      <c r="S372" s="19">
        <f t="shared" si="122"/>
        <v>1.5266420322509157E-4</v>
      </c>
    </row>
    <row r="373" spans="2:19" x14ac:dyDescent="0.25">
      <c r="O373" s="43">
        <f t="shared" si="145"/>
        <v>54605</v>
      </c>
      <c r="P373" s="24">
        <f t="shared" si="137"/>
        <v>11139</v>
      </c>
      <c r="Q373" s="19">
        <f t="shared" si="138"/>
        <v>1.5664376063463044</v>
      </c>
      <c r="R373" s="19">
        <f t="shared" si="121"/>
        <v>12.802359062870543</v>
      </c>
      <c r="S373" s="19">
        <f t="shared" si="122"/>
        <v>1.4767516377607281E-4</v>
      </c>
    </row>
    <row r="374" spans="2:19" x14ac:dyDescent="0.25">
      <c r="O374" s="43">
        <f t="shared" si="145"/>
        <v>54636</v>
      </c>
      <c r="P374" s="24">
        <f t="shared" si="137"/>
        <v>11170</v>
      </c>
      <c r="Q374" s="19">
        <f t="shared" si="138"/>
        <v>1.5553837114291535</v>
      </c>
      <c r="R374" s="19">
        <f t="shared" si="121"/>
        <v>12.735256944267082</v>
      </c>
      <c r="S374" s="19">
        <f t="shared" si="122"/>
        <v>1.4269187118019682E-4</v>
      </c>
    </row>
    <row r="375" spans="2:19" x14ac:dyDescent="0.25">
      <c r="O375" s="43">
        <f t="shared" si="145"/>
        <v>54667</v>
      </c>
      <c r="P375" s="24">
        <f t="shared" si="137"/>
        <v>11201</v>
      </c>
      <c r="Q375" s="19">
        <f t="shared" si="138"/>
        <v>1.5444078206357186</v>
      </c>
      <c r="R375" s="19">
        <f t="shared" si="121"/>
        <v>12.668506533837009</v>
      </c>
      <c r="S375" s="19">
        <f t="shared" si="122"/>
        <v>1.3787755181240594E-4</v>
      </c>
    </row>
    <row r="376" spans="2:19" x14ac:dyDescent="0.25">
      <c r="O376" s="43">
        <f t="shared" si="145"/>
        <v>54697</v>
      </c>
      <c r="P376" s="24">
        <f t="shared" si="137"/>
        <v>11231</v>
      </c>
      <c r="Q376" s="19">
        <f t="shared" si="138"/>
        <v>1.5338597426530736</v>
      </c>
      <c r="R376" s="19">
        <f t="shared" si="121"/>
        <v>12.604242499080261</v>
      </c>
      <c r="S376" s="19">
        <f t="shared" si="122"/>
        <v>1.3337399402747299E-4</v>
      </c>
    </row>
    <row r="377" spans="2:19" x14ac:dyDescent="0.25">
      <c r="O377" s="43">
        <f t="shared" si="145"/>
        <v>54728</v>
      </c>
      <c r="P377" s="24">
        <f t="shared" si="137"/>
        <v>11262</v>
      </c>
      <c r="Q377" s="19">
        <f t="shared" si="138"/>
        <v>1.5230357402515458</v>
      </c>
      <c r="R377" s="19">
        <f t="shared" si="121"/>
        <v>12.538178786062479</v>
      </c>
      <c r="S377" s="19">
        <f t="shared" si="122"/>
        <v>1.2887554613681465E-4</v>
      </c>
    </row>
    <row r="378" spans="2:19" x14ac:dyDescent="0.25">
      <c r="O378" s="44">
        <f t="shared" si="145"/>
        <v>54758</v>
      </c>
      <c r="P378" s="25">
        <f t="shared" si="137"/>
        <v>11292</v>
      </c>
      <c r="Q378" s="21">
        <f t="shared" si="138"/>
        <v>1.5126336304306334</v>
      </c>
      <c r="R378" s="21">
        <f t="shared" si="121"/>
        <v>12.474575870032741</v>
      </c>
      <c r="S378" s="21">
        <f t="shared" si="122"/>
        <v>1.2466742229585634E-4</v>
      </c>
    </row>
    <row r="379" spans="2:19" x14ac:dyDescent="0.25">
      <c r="O379" s="43">
        <f t="shared" si="145"/>
        <v>54789</v>
      </c>
      <c r="P379" s="24">
        <f t="shared" si="137"/>
        <v>11323</v>
      </c>
      <c r="Q379" s="19">
        <f t="shared" si="138"/>
        <v>1.501959414533883</v>
      </c>
      <c r="R379" s="19">
        <f t="shared" si="121"/>
        <v>12.409191790001234</v>
      </c>
      <c r="S379" s="19">
        <f t="shared" si="122"/>
        <v>1.2046402501923291E-4</v>
      </c>
    </row>
    <row r="380" spans="2:19" x14ac:dyDescent="0.25">
      <c r="O380" s="43">
        <f t="shared" si="145"/>
        <v>54820</v>
      </c>
      <c r="P380" s="24">
        <f t="shared" si="137"/>
        <v>11354</v>
      </c>
      <c r="Q380" s="19">
        <f t="shared" si="138"/>
        <v>1.4913605234763525</v>
      </c>
      <c r="R380" s="19">
        <f t="shared" si="121"/>
        <v>12.344150413238047</v>
      </c>
      <c r="S380" s="19">
        <f t="shared" si="122"/>
        <v>1.1640303776189743E-4</v>
      </c>
    </row>
    <row r="381" spans="2:19" x14ac:dyDescent="0.25">
      <c r="O381" s="43">
        <f t="shared" si="145"/>
        <v>54848</v>
      </c>
      <c r="P381" s="24">
        <f t="shared" si="137"/>
        <v>11382</v>
      </c>
      <c r="Q381" s="19">
        <f t="shared" si="138"/>
        <v>1.4818516326471536</v>
      </c>
      <c r="R381" s="19">
        <f t="shared" si="121"/>
        <v>12.285696429734816</v>
      </c>
      <c r="S381" s="19">
        <f t="shared" si="122"/>
        <v>1.1285341781736096E-4</v>
      </c>
    </row>
    <row r="382" spans="2:19" x14ac:dyDescent="0.25">
      <c r="O382" s="43">
        <f t="shared" si="145"/>
        <v>54879</v>
      </c>
      <c r="P382" s="24">
        <f t="shared" si="137"/>
        <v>11413</v>
      </c>
      <c r="Q382" s="19">
        <f t="shared" si="138"/>
        <v>1.4713946363622539</v>
      </c>
      <c r="R382" s="19">
        <f t="shared" si="121"/>
        <v>12.221302339949824</v>
      </c>
      <c r="S382" s="19">
        <f t="shared" si="122"/>
        <v>1.0905021323701467E-4</v>
      </c>
    </row>
    <row r="383" spans="2:19" x14ac:dyDescent="0.25">
      <c r="O383" s="43">
        <f t="shared" si="145"/>
        <v>54909</v>
      </c>
      <c r="P383" s="24">
        <f t="shared" si="137"/>
        <v>11443</v>
      </c>
      <c r="Q383" s="19">
        <f t="shared" si="138"/>
        <v>1.4613452276761427</v>
      </c>
      <c r="R383" s="19">
        <f t="shared" si="121"/>
        <v>12.159306855616331</v>
      </c>
      <c r="S383" s="19">
        <f t="shared" si="122"/>
        <v>1.0549236181985932E-4</v>
      </c>
    </row>
    <row r="384" spans="2:19" x14ac:dyDescent="0.25">
      <c r="O384" s="43">
        <f t="shared" si="145"/>
        <v>54940</v>
      </c>
      <c r="P384" s="24">
        <f t="shared" si="137"/>
        <v>11474</v>
      </c>
      <c r="Q384" s="19">
        <f t="shared" si="138"/>
        <v>1.4510329391311234</v>
      </c>
      <c r="R384" s="19">
        <f t="shared" si="121"/>
        <v>12.095575222504447</v>
      </c>
      <c r="S384" s="19">
        <f t="shared" si="122"/>
        <v>1.0193840598673445E-4</v>
      </c>
    </row>
    <row r="385" spans="15:19" x14ac:dyDescent="0.25">
      <c r="O385" s="43">
        <f t="shared" si="145"/>
        <v>54970</v>
      </c>
      <c r="P385" s="24">
        <f t="shared" si="137"/>
        <v>11504</v>
      </c>
      <c r="Q385" s="19">
        <f t="shared" si="138"/>
        <v>1.4411225978386004</v>
      </c>
      <c r="R385" s="19">
        <f t="shared" si="121"/>
        <v>12.034217519098311</v>
      </c>
      <c r="S385" s="19">
        <f t="shared" si="122"/>
        <v>9.8613685728255726E-5</v>
      </c>
    </row>
    <row r="386" spans="15:19" x14ac:dyDescent="0.25">
      <c r="O386" s="43">
        <f t="shared" si="145"/>
        <v>55001</v>
      </c>
      <c r="P386" s="24">
        <f t="shared" si="137"/>
        <v>11535</v>
      </c>
      <c r="Q386" s="19">
        <f t="shared" si="138"/>
        <v>1.430953014514821</v>
      </c>
      <c r="R386" s="19">
        <f t="shared" si="121"/>
        <v>11.971141527611056</v>
      </c>
      <c r="S386" s="19">
        <f t="shared" si="122"/>
        <v>9.5292567861513571E-5</v>
      </c>
    </row>
    <row r="387" spans="15:19" x14ac:dyDescent="0.25">
      <c r="O387" s="43">
        <f t="shared" si="145"/>
        <v>55032</v>
      </c>
      <c r="P387" s="24">
        <f t="shared" si="137"/>
        <v>11566</v>
      </c>
      <c r="Q387" s="19">
        <f t="shared" si="138"/>
        <v>1.4208551949848611</v>
      </c>
      <c r="R387" s="19">
        <f t="shared" si="121"/>
        <v>11.90839614180679</v>
      </c>
      <c r="S387" s="19">
        <f t="shared" si="122"/>
        <v>9.2083839075709147E-5</v>
      </c>
    </row>
    <row r="388" spans="15:19" x14ac:dyDescent="0.25">
      <c r="O388" s="43">
        <f t="shared" si="145"/>
        <v>55062</v>
      </c>
      <c r="P388" s="24">
        <f t="shared" si="137"/>
        <v>11596</v>
      </c>
      <c r="Q388" s="19">
        <f t="shared" si="138"/>
        <v>1.4111509632408277</v>
      </c>
      <c r="R388" s="19">
        <f t="shared" si="121"/>
        <v>11.847987949135444</v>
      </c>
      <c r="S388" s="19">
        <f t="shared" si="122"/>
        <v>8.9082026493212245E-5</v>
      </c>
    </row>
    <row r="389" spans="15:19" x14ac:dyDescent="0.25">
      <c r="O389" s="43">
        <f t="shared" si="145"/>
        <v>55093</v>
      </c>
      <c r="P389" s="24">
        <f t="shared" si="137"/>
        <v>11627</v>
      </c>
      <c r="Q389" s="19">
        <f t="shared" si="138"/>
        <v>1.4011928810314223</v>
      </c>
      <c r="R389" s="19">
        <f t="shared" si="121"/>
        <v>11.785888058898729</v>
      </c>
      <c r="S389" s="19">
        <f t="shared" si="122"/>
        <v>8.6083414818173174E-5</v>
      </c>
    </row>
    <row r="390" spans="15:19" x14ac:dyDescent="0.25">
      <c r="O390" s="44">
        <f t="shared" si="145"/>
        <v>55123</v>
      </c>
      <c r="P390" s="25">
        <f t="shared" si="137"/>
        <v>11657</v>
      </c>
      <c r="Q390" s="21">
        <f t="shared" si="138"/>
        <v>1.391622939996183</v>
      </c>
      <c r="R390" s="21">
        <f t="shared" si="121"/>
        <v>11.726101317830777</v>
      </c>
      <c r="S390" s="21">
        <f t="shared" si="122"/>
        <v>8.3278137849614019E-5</v>
      </c>
    </row>
    <row r="391" spans="15:19" x14ac:dyDescent="0.25">
      <c r="O391" s="43">
        <f t="shared" si="145"/>
        <v>55154</v>
      </c>
      <c r="P391" s="24">
        <f t="shared" si="137"/>
        <v>11688</v>
      </c>
      <c r="Q391" s="19">
        <f t="shared" si="138"/>
        <v>1.3818026613711727</v>
      </c>
      <c r="R391" s="19">
        <f t="shared" ref="R391:R454" si="147">IF(days&lt;tlim_gas,
qi_gas/(1+b_gas*(d_gas/365)*days)^(1/b_gas),
qlim_gas * EXP((-dmin_gas/365)* ( days-tlim_gas)))</f>
        <v>11.664640282601161</v>
      </c>
      <c r="S391" s="19">
        <f t="shared" ref="S391:S454" si="148">IF(days&lt;tlim_water,
qi_water/(1+b_water*(d_water/365)*days)^(1/b_water),
qlim_water * EXP((-dmin_water/365)* ( days-tlim_water)))</f>
        <v>8.0475820266111712E-5</v>
      </c>
    </row>
    <row r="392" spans="15:19" x14ac:dyDescent="0.25">
      <c r="O392" s="43">
        <f t="shared" si="145"/>
        <v>55185</v>
      </c>
      <c r="P392" s="24">
        <f t="shared" ref="P392:P455" si="149">O392-$O$7</f>
        <v>11719</v>
      </c>
      <c r="Q392" s="19">
        <f t="shared" ref="Q392:Q455" si="150">IF(days&lt;tlim_oil,
qi_oil/(1+b_oil*(d_oil)*(days/365.25))^(1/b_oil),
qlim_oil * EXP((-dmin_oil/365)* ( days-tlim_oil)))</f>
        <v>1.3720516815982442</v>
      </c>
      <c r="R392" s="19">
        <f t="shared" si="147"/>
        <v>11.603501388443764</v>
      </c>
      <c r="S392" s="19">
        <f t="shared" si="148"/>
        <v>7.7768256451222201E-5</v>
      </c>
    </row>
    <row r="393" spans="15:19" x14ac:dyDescent="0.25">
      <c r="O393" s="43">
        <f t="shared" si="145"/>
        <v>55213</v>
      </c>
      <c r="P393" s="24">
        <f t="shared" si="149"/>
        <v>11747</v>
      </c>
      <c r="Q393" s="19">
        <f t="shared" si="150"/>
        <v>1.3633035020353814</v>
      </c>
      <c r="R393" s="19">
        <f t="shared" si="147"/>
        <v>11.548554643950729</v>
      </c>
      <c r="S393" s="19">
        <f t="shared" si="148"/>
        <v>7.5401477824027136E-5</v>
      </c>
    </row>
    <row r="394" spans="15:19" x14ac:dyDescent="0.25">
      <c r="O394" s="43">
        <f t="shared" si="145"/>
        <v>55244</v>
      </c>
      <c r="P394" s="24">
        <f t="shared" si="149"/>
        <v>11778</v>
      </c>
      <c r="Q394" s="19">
        <f t="shared" si="150"/>
        <v>1.3536830654532732</v>
      </c>
      <c r="R394" s="19">
        <f t="shared" si="147"/>
        <v>11.488024199552834</v>
      </c>
      <c r="S394" s="19">
        <f t="shared" si="148"/>
        <v>7.2865449281108425E-5</v>
      </c>
    </row>
    <row r="395" spans="15:19" x14ac:dyDescent="0.25">
      <c r="O395" s="43">
        <f t="shared" si="145"/>
        <v>55274</v>
      </c>
      <c r="P395" s="24">
        <f t="shared" si="149"/>
        <v>11808</v>
      </c>
      <c r="Q395" s="19">
        <f t="shared" si="150"/>
        <v>1.3444376094620512</v>
      </c>
      <c r="R395" s="19">
        <f t="shared" si="147"/>
        <v>11.429748444279351</v>
      </c>
      <c r="S395" s="19">
        <f t="shared" si="148"/>
        <v>7.049286358480828E-5</v>
      </c>
    </row>
    <row r="396" spans="15:19" x14ac:dyDescent="0.25">
      <c r="O396" s="43">
        <f t="shared" si="145"/>
        <v>55305</v>
      </c>
      <c r="P396" s="24">
        <f t="shared" si="149"/>
        <v>11839</v>
      </c>
      <c r="Q396" s="19">
        <f t="shared" si="150"/>
        <v>1.3349503040006336</v>
      </c>
      <c r="R396" s="19">
        <f t="shared" si="147"/>
        <v>11.369840709154179</v>
      </c>
      <c r="S396" s="19">
        <f t="shared" si="148"/>
        <v>6.8122713995504534E-5</v>
      </c>
    </row>
    <row r="397" spans="15:19" x14ac:dyDescent="0.25">
      <c r="O397" s="43">
        <f t="shared" si="145"/>
        <v>55335</v>
      </c>
      <c r="P397" s="24">
        <f t="shared" si="149"/>
        <v>11869</v>
      </c>
      <c r="Q397" s="19">
        <f t="shared" si="150"/>
        <v>1.3258327900115123</v>
      </c>
      <c r="R397" s="19">
        <f t="shared" si="147"/>
        <v>11.312164467952412</v>
      </c>
      <c r="S397" s="19">
        <f t="shared" si="148"/>
        <v>6.5905291387038399E-5</v>
      </c>
    </row>
    <row r="398" spans="15:19" x14ac:dyDescent="0.25">
      <c r="O398" s="43">
        <f t="shared" si="145"/>
        <v>55366</v>
      </c>
      <c r="P398" s="24">
        <f t="shared" si="149"/>
        <v>11900</v>
      </c>
      <c r="Q398" s="19">
        <f t="shared" si="150"/>
        <v>1.3164767733536356</v>
      </c>
      <c r="R398" s="19">
        <f t="shared" si="147"/>
        <v>11.252873035954394</v>
      </c>
      <c r="S398" s="19">
        <f t="shared" si="148"/>
        <v>6.3690120370290797E-5</v>
      </c>
    </row>
    <row r="399" spans="15:19" x14ac:dyDescent="0.25">
      <c r="O399" s="43">
        <f t="shared" si="145"/>
        <v>55397</v>
      </c>
      <c r="P399" s="24">
        <f t="shared" si="149"/>
        <v>11931</v>
      </c>
      <c r="Q399" s="19">
        <f t="shared" si="150"/>
        <v>1.3071867793860723</v>
      </c>
      <c r="R399" s="19">
        <f t="shared" si="147"/>
        <v>11.193892373298381</v>
      </c>
      <c r="S399" s="19">
        <f t="shared" si="148"/>
        <v>6.1549764083846571E-5</v>
      </c>
    </row>
    <row r="400" spans="15:19" x14ac:dyDescent="0.25">
      <c r="O400" s="43">
        <f t="shared" si="145"/>
        <v>55427</v>
      </c>
      <c r="P400" s="24">
        <f t="shared" si="149"/>
        <v>11961</v>
      </c>
      <c r="Q400" s="19">
        <f t="shared" si="150"/>
        <v>1.2982588861815616</v>
      </c>
      <c r="R400" s="19">
        <f t="shared" si="147"/>
        <v>11.137108672187317</v>
      </c>
      <c r="S400" s="19">
        <f t="shared" si="148"/>
        <v>5.9547293077359051E-5</v>
      </c>
    </row>
    <row r="401" spans="15:19" x14ac:dyDescent="0.25">
      <c r="O401" s="43">
        <f t="shared" si="145"/>
        <v>55458</v>
      </c>
      <c r="P401" s="24">
        <f t="shared" si="149"/>
        <v>11992</v>
      </c>
      <c r="Q401" s="19">
        <f t="shared" si="150"/>
        <v>1.2890974505489083</v>
      </c>
      <c r="R401" s="19">
        <f t="shared" si="147"/>
        <v>11.078734775364804</v>
      </c>
      <c r="S401" s="19">
        <f t="shared" si="148"/>
        <v>5.7546821107588052E-5</v>
      </c>
    </row>
    <row r="402" spans="15:19" x14ac:dyDescent="0.25">
      <c r="O402" s="44">
        <f t="shared" si="145"/>
        <v>55488</v>
      </c>
      <c r="P402" s="25">
        <f t="shared" si="149"/>
        <v>12022</v>
      </c>
      <c r="Q402" s="21">
        <f t="shared" si="150"/>
        <v>1.2802931047964883</v>
      </c>
      <c r="R402" s="21">
        <f t="shared" si="147"/>
        <v>11.022535238760929</v>
      </c>
      <c r="S402" s="21">
        <f t="shared" si="148"/>
        <v>5.5675201570326251E-5</v>
      </c>
    </row>
    <row r="403" spans="15:19" x14ac:dyDescent="0.25">
      <c r="O403" s="43">
        <f t="shared" si="145"/>
        <v>55519</v>
      </c>
      <c r="P403" s="24">
        <f t="shared" si="149"/>
        <v>12053</v>
      </c>
      <c r="Q403" s="19">
        <f t="shared" si="150"/>
        <v>1.2712584484614788</v>
      </c>
      <c r="R403" s="19">
        <f t="shared" si="147"/>
        <v>10.964761865645089</v>
      </c>
      <c r="S403" s="19">
        <f t="shared" si="148"/>
        <v>5.3805429209549301E-5</v>
      </c>
    </row>
    <row r="404" spans="15:19" x14ac:dyDescent="0.25">
      <c r="O404" s="43">
        <f t="shared" si="145"/>
        <v>55550</v>
      </c>
      <c r="P404" s="24">
        <f t="shared" si="149"/>
        <v>12084</v>
      </c>
      <c r="Q404" s="19">
        <f t="shared" si="150"/>
        <v>1.2622875470703849</v>
      </c>
      <c r="R404" s="19">
        <f t="shared" si="147"/>
        <v>10.907291305137138</v>
      </c>
      <c r="S404" s="19">
        <f t="shared" si="148"/>
        <v>5.1998753834477262E-5</v>
      </c>
    </row>
    <row r="405" spans="15:19" x14ac:dyDescent="0.25">
      <c r="O405" s="43">
        <f t="shared" si="145"/>
        <v>55579</v>
      </c>
      <c r="P405" s="24">
        <f t="shared" si="149"/>
        <v>12113</v>
      </c>
      <c r="Q405" s="19">
        <f t="shared" si="150"/>
        <v>1.2539527327221502</v>
      </c>
      <c r="R405" s="19">
        <f t="shared" si="147"/>
        <v>10.853801255007642</v>
      </c>
      <c r="S405" s="19">
        <f t="shared" si="148"/>
        <v>5.0363864009503014E-5</v>
      </c>
    </row>
    <row r="406" spans="15:19" x14ac:dyDescent="0.25">
      <c r="O406" s="43">
        <f t="shared" si="145"/>
        <v>55610</v>
      </c>
      <c r="P406" s="24">
        <f t="shared" si="149"/>
        <v>12144</v>
      </c>
      <c r="Q406" s="19">
        <f t="shared" si="150"/>
        <v>1.2451039527372798</v>
      </c>
      <c r="R406" s="19">
        <f t="shared" si="147"/>
        <v>10.796912282003897</v>
      </c>
      <c r="S406" s="19">
        <f t="shared" si="148"/>
        <v>4.8673298590029451E-5</v>
      </c>
    </row>
    <row r="407" spans="15:19" x14ac:dyDescent="0.25">
      <c r="O407" s="43">
        <f t="shared" si="145"/>
        <v>55640</v>
      </c>
      <c r="P407" s="24">
        <f t="shared" si="149"/>
        <v>12174</v>
      </c>
      <c r="Q407" s="19">
        <f t="shared" si="150"/>
        <v>1.2366000760963507</v>
      </c>
      <c r="R407" s="19">
        <f t="shared" si="147"/>
        <v>10.742142357522031</v>
      </c>
      <c r="S407" s="19">
        <f t="shared" si="148"/>
        <v>4.7091579470607268E-5</v>
      </c>
    </row>
    <row r="408" spans="15:19" x14ac:dyDescent="0.25">
      <c r="O408" s="43">
        <f t="shared" si="145"/>
        <v>55671</v>
      </c>
      <c r="P408" s="24">
        <f t="shared" si="149"/>
        <v>12205</v>
      </c>
      <c r="Q408" s="19">
        <f t="shared" si="150"/>
        <v>1.2278737487658971</v>
      </c>
      <c r="R408" s="19">
        <f t="shared" si="147"/>
        <v>10.685838632014109</v>
      </c>
      <c r="S408" s="19">
        <f t="shared" si="148"/>
        <v>4.5511376751158555E-5</v>
      </c>
    </row>
    <row r="409" spans="15:19" x14ac:dyDescent="0.25">
      <c r="O409" s="43">
        <f t="shared" si="145"/>
        <v>55701</v>
      </c>
      <c r="P409" s="24">
        <f t="shared" si="149"/>
        <v>12235</v>
      </c>
      <c r="Q409" s="19">
        <f t="shared" si="150"/>
        <v>1.2194875518807413</v>
      </c>
      <c r="R409" s="19">
        <f t="shared" si="147"/>
        <v>10.631632155234973</v>
      </c>
      <c r="S409" s="19">
        <f t="shared" si="148"/>
        <v>4.4032897916441261E-5</v>
      </c>
    </row>
    <row r="410" spans="15:19" x14ac:dyDescent="0.25">
      <c r="O410" s="43">
        <f t="shared" si="145"/>
        <v>55732</v>
      </c>
      <c r="P410" s="24">
        <f t="shared" si="149"/>
        <v>12266</v>
      </c>
      <c r="Q410" s="19">
        <f t="shared" si="150"/>
        <v>1.2108819826600778</v>
      </c>
      <c r="R410" s="19">
        <f t="shared" si="147"/>
        <v>10.575907656466775</v>
      </c>
      <c r="S410" s="19">
        <f t="shared" si="148"/>
        <v>4.2555819770429248E-5</v>
      </c>
    </row>
    <row r="411" spans="15:19" x14ac:dyDescent="0.25">
      <c r="O411" s="43">
        <f t="shared" si="145"/>
        <v>55763</v>
      </c>
      <c r="P411" s="24">
        <f t="shared" si="149"/>
        <v>12297</v>
      </c>
      <c r="Q411" s="19">
        <f t="shared" si="150"/>
        <v>1.2023371404402741</v>
      </c>
      <c r="R411" s="19">
        <f t="shared" si="147"/>
        <v>10.520475231363056</v>
      </c>
      <c r="S411" s="19">
        <f t="shared" si="148"/>
        <v>4.1128529397375895E-5</v>
      </c>
    </row>
    <row r="412" spans="15:19" x14ac:dyDescent="0.25">
      <c r="O412" s="43">
        <f t="shared" si="145"/>
        <v>55793</v>
      </c>
      <c r="P412" s="24">
        <f t="shared" si="149"/>
        <v>12327</v>
      </c>
      <c r="Q412" s="19">
        <f t="shared" si="150"/>
        <v>1.1941253548294153</v>
      </c>
      <c r="R412" s="19">
        <f t="shared" si="147"/>
        <v>10.467107600054661</v>
      </c>
      <c r="S412" s="19">
        <f t="shared" si="148"/>
        <v>3.979309652255E-5</v>
      </c>
    </row>
    <row r="413" spans="15:19" x14ac:dyDescent="0.25">
      <c r="O413" s="43">
        <f t="shared" si="145"/>
        <v>55824</v>
      </c>
      <c r="P413" s="24">
        <f t="shared" si="149"/>
        <v>12358</v>
      </c>
      <c r="Q413" s="19">
        <f t="shared" si="150"/>
        <v>1.1856987592620507</v>
      </c>
      <c r="R413" s="19">
        <f t="shared" si="147"/>
        <v>10.412245438154278</v>
      </c>
      <c r="S413" s="19">
        <f t="shared" si="148"/>
        <v>3.84589060387959E-5</v>
      </c>
    </row>
    <row r="414" spans="15:19" x14ac:dyDescent="0.25">
      <c r="O414" s="44">
        <f t="shared" si="145"/>
        <v>55854</v>
      </c>
      <c r="P414" s="25">
        <f t="shared" si="149"/>
        <v>12388</v>
      </c>
      <c r="Q414" s="21">
        <f t="shared" si="150"/>
        <v>1.1776006113444408</v>
      </c>
      <c r="R414" s="21">
        <f t="shared" si="147"/>
        <v>10.359426828403702</v>
      </c>
      <c r="S414" s="21">
        <f t="shared" si="148"/>
        <v>3.7210567205096264E-5</v>
      </c>
    </row>
    <row r="415" spans="15:19" x14ac:dyDescent="0.25">
      <c r="O415" s="43">
        <f t="shared" si="145"/>
        <v>55885</v>
      </c>
      <c r="P415" s="24">
        <f t="shared" si="149"/>
        <v>12419</v>
      </c>
      <c r="Q415" s="19">
        <f t="shared" si="150"/>
        <v>1.1692906260890841</v>
      </c>
      <c r="R415" s="19">
        <f t="shared" si="147"/>
        <v>10.305129063102033</v>
      </c>
      <c r="S415" s="19">
        <f t="shared" si="148"/>
        <v>3.5963375630235752E-5</v>
      </c>
    </row>
    <row r="416" spans="15:19" x14ac:dyDescent="0.25">
      <c r="O416" s="43">
        <f t="shared" si="145"/>
        <v>55916</v>
      </c>
      <c r="P416" s="24">
        <f t="shared" si="149"/>
        <v>12450</v>
      </c>
      <c r="Q416" s="19">
        <f t="shared" si="150"/>
        <v>1.1610392819844526</v>
      </c>
      <c r="R416" s="19">
        <f t="shared" si="147"/>
        <v>10.251115893402572</v>
      </c>
      <c r="S416" s="19">
        <f t="shared" si="148"/>
        <v>3.4758188295339344E-5</v>
      </c>
    </row>
    <row r="417" spans="15:19" x14ac:dyDescent="0.25">
      <c r="O417" s="43">
        <f t="shared" si="145"/>
        <v>55944</v>
      </c>
      <c r="P417" s="24">
        <f t="shared" si="149"/>
        <v>12478</v>
      </c>
      <c r="Q417" s="19">
        <f t="shared" si="150"/>
        <v>1.1536365141043781</v>
      </c>
      <c r="R417" s="19">
        <f t="shared" si="147"/>
        <v>10.202573179707185</v>
      </c>
      <c r="S417" s="19">
        <f t="shared" si="148"/>
        <v>3.3704552187829439E-5</v>
      </c>
    </row>
    <row r="418" spans="15:19" x14ac:dyDescent="0.25">
      <c r="O418" s="43">
        <f t="shared" si="145"/>
        <v>55975</v>
      </c>
      <c r="P418" s="24">
        <f t="shared" si="149"/>
        <v>12509</v>
      </c>
      <c r="Q418" s="19">
        <f t="shared" si="150"/>
        <v>1.1454956365182976</v>
      </c>
      <c r="R418" s="19">
        <f t="shared" si="147"/>
        <v>10.149097545083661</v>
      </c>
      <c r="S418" s="19">
        <f t="shared" si="148"/>
        <v>3.2575421501815146E-5</v>
      </c>
    </row>
    <row r="419" spans="15:19" x14ac:dyDescent="0.25">
      <c r="O419" s="43">
        <f t="shared" si="145"/>
        <v>56005</v>
      </c>
      <c r="P419" s="24">
        <f t="shared" si="149"/>
        <v>12539</v>
      </c>
      <c r="Q419" s="19">
        <f t="shared" si="150"/>
        <v>1.1376720700086427</v>
      </c>
      <c r="R419" s="19">
        <f t="shared" si="147"/>
        <v>10.097613816070709</v>
      </c>
      <c r="S419" s="19">
        <f t="shared" si="148"/>
        <v>3.1518917841086018E-5</v>
      </c>
    </row>
    <row r="420" spans="15:19" x14ac:dyDescent="0.25">
      <c r="O420" s="43">
        <f t="shared" si="145"/>
        <v>56036</v>
      </c>
      <c r="P420" s="24">
        <f t="shared" si="149"/>
        <v>12570</v>
      </c>
      <c r="Q420" s="19">
        <f t="shared" si="150"/>
        <v>1.1296438488646254</v>
      </c>
      <c r="R420" s="19">
        <f t="shared" si="147"/>
        <v>10.044688314093261</v>
      </c>
      <c r="S420" s="19">
        <f t="shared" si="148"/>
        <v>3.0463355618511563E-5</v>
      </c>
    </row>
    <row r="421" spans="15:19" x14ac:dyDescent="0.25">
      <c r="O421" s="43">
        <f t="shared" si="145"/>
        <v>56066</v>
      </c>
      <c r="P421" s="24">
        <f t="shared" si="149"/>
        <v>12600</v>
      </c>
      <c r="Q421" s="19">
        <f t="shared" si="150"/>
        <v>1.1219285477302823</v>
      </c>
      <c r="R421" s="19">
        <f t="shared" si="147"/>
        <v>9.9937342259208748</v>
      </c>
      <c r="S421" s="19">
        <f t="shared" si="148"/>
        <v>2.9475677257526348E-5</v>
      </c>
    </row>
    <row r="422" spans="15:19" x14ac:dyDescent="0.25">
      <c r="O422" s="43">
        <f t="shared" si="145"/>
        <v>56097</v>
      </c>
      <c r="P422" s="24">
        <f t="shared" si="149"/>
        <v>12631</v>
      </c>
      <c r="Q422" s="19">
        <f t="shared" si="150"/>
        <v>1.1140114240472714</v>
      </c>
      <c r="R422" s="19">
        <f t="shared" si="147"/>
        <v>9.941353197078767</v>
      </c>
      <c r="S422" s="19">
        <f t="shared" si="148"/>
        <v>2.8488867870086749E-5</v>
      </c>
    </row>
    <row r="423" spans="15:19" x14ac:dyDescent="0.25">
      <c r="O423" s="43">
        <f t="shared" si="145"/>
        <v>56128</v>
      </c>
      <c r="P423" s="24">
        <f t="shared" si="149"/>
        <v>12662</v>
      </c>
      <c r="Q423" s="19">
        <f t="shared" si="150"/>
        <v>1.1061501692050522</v>
      </c>
      <c r="R423" s="19">
        <f t="shared" si="147"/>
        <v>9.8892467174812726</v>
      </c>
      <c r="S423" s="19">
        <f t="shared" si="148"/>
        <v>2.7535255259551692E-5</v>
      </c>
    </row>
    <row r="424" spans="15:19" x14ac:dyDescent="0.25">
      <c r="O424" s="43">
        <f t="shared" si="145"/>
        <v>56158</v>
      </c>
      <c r="P424" s="24">
        <f t="shared" si="149"/>
        <v>12692</v>
      </c>
      <c r="Q424" s="19">
        <f t="shared" si="150"/>
        <v>1.0985953264430619</v>
      </c>
      <c r="R424" s="19">
        <f t="shared" si="147"/>
        <v>9.8390811440513808</v>
      </c>
      <c r="S424" s="19">
        <f t="shared" si="148"/>
        <v>2.6642954884244798E-5</v>
      </c>
    </row>
    <row r="425" spans="15:19" x14ac:dyDescent="0.25">
      <c r="O425" s="43">
        <f t="shared" si="145"/>
        <v>56189</v>
      </c>
      <c r="P425" s="24">
        <f t="shared" si="149"/>
        <v>12723</v>
      </c>
      <c r="Q425" s="19">
        <f t="shared" si="150"/>
        <v>1.0908428585210868</v>
      </c>
      <c r="R425" s="19">
        <f t="shared" si="147"/>
        <v>9.7875107118650195</v>
      </c>
      <c r="S425" s="19">
        <f t="shared" si="148"/>
        <v>2.5751424407817214E-5</v>
      </c>
    </row>
    <row r="426" spans="15:19" x14ac:dyDescent="0.25">
      <c r="O426" s="44">
        <f t="shared" si="145"/>
        <v>56219</v>
      </c>
      <c r="P426" s="25">
        <f t="shared" si="149"/>
        <v>12753</v>
      </c>
      <c r="Q426" s="21">
        <f t="shared" si="150"/>
        <v>1.0833925624368859</v>
      </c>
      <c r="R426" s="21">
        <f t="shared" si="147"/>
        <v>9.7378612186994769</v>
      </c>
      <c r="S426" s="21">
        <f t="shared" si="148"/>
        <v>2.4917205210356468E-5</v>
      </c>
    </row>
    <row r="427" spans="15:19" x14ac:dyDescent="0.25">
      <c r="O427" s="43">
        <f t="shared" si="145"/>
        <v>56250</v>
      </c>
      <c r="P427" s="24">
        <f t="shared" si="149"/>
        <v>12784</v>
      </c>
      <c r="Q427" s="19">
        <f t="shared" si="150"/>
        <v>1.0757473760019576</v>
      </c>
      <c r="R427" s="19">
        <f t="shared" si="147"/>
        <v>9.686821319315909</v>
      </c>
      <c r="S427" s="19">
        <f t="shared" si="148"/>
        <v>2.408369640835021E-5</v>
      </c>
    </row>
    <row r="428" spans="15:19" x14ac:dyDescent="0.25">
      <c r="O428" s="43">
        <f t="shared" si="145"/>
        <v>56281</v>
      </c>
      <c r="P428" s="24">
        <f t="shared" si="149"/>
        <v>12815</v>
      </c>
      <c r="Q428" s="19">
        <f t="shared" si="150"/>
        <v>1.0681561394256962</v>
      </c>
      <c r="R428" s="19">
        <f t="shared" si="147"/>
        <v>9.6360489397984175</v>
      </c>
      <c r="S428" s="19">
        <f t="shared" si="148"/>
        <v>2.3278204132188552E-5</v>
      </c>
    </row>
    <row r="429" spans="15:19" x14ac:dyDescent="0.25">
      <c r="O429" s="43">
        <f t="shared" si="145"/>
        <v>56309</v>
      </c>
      <c r="P429" s="24">
        <f t="shared" si="149"/>
        <v>12843</v>
      </c>
      <c r="Q429" s="19">
        <f t="shared" si="150"/>
        <v>1.0613455929760278</v>
      </c>
      <c r="R429" s="19">
        <f t="shared" si="147"/>
        <v>9.5904187889247492</v>
      </c>
      <c r="S429" s="19">
        <f t="shared" si="148"/>
        <v>2.2573955795224954E-5</v>
      </c>
    </row>
    <row r="430" spans="15:19" x14ac:dyDescent="0.25">
      <c r="O430" s="43">
        <f t="shared" si="145"/>
        <v>56340</v>
      </c>
      <c r="P430" s="24">
        <f t="shared" si="149"/>
        <v>12874</v>
      </c>
      <c r="Q430" s="19">
        <f t="shared" si="150"/>
        <v>1.0538559855968339</v>
      </c>
      <c r="R430" s="19">
        <f t="shared" si="147"/>
        <v>9.5401516923786396</v>
      </c>
      <c r="S430" s="19">
        <f t="shared" si="148"/>
        <v>2.1819197807173557E-5</v>
      </c>
    </row>
    <row r="431" spans="15:19" x14ac:dyDescent="0.25">
      <c r="O431" s="43">
        <f t="shared" ref="O431:O494" si="151">EOMONTH(O430,0)+1</f>
        <v>56370</v>
      </c>
      <c r="P431" s="24">
        <f t="shared" si="149"/>
        <v>12904</v>
      </c>
      <c r="Q431" s="19">
        <f t="shared" si="150"/>
        <v>1.0466583044079516</v>
      </c>
      <c r="R431" s="19">
        <f t="shared" si="147"/>
        <v>9.4917569871064646</v>
      </c>
      <c r="S431" s="19">
        <f t="shared" si="148"/>
        <v>2.111293910960178E-5</v>
      </c>
    </row>
    <row r="432" spans="15:19" x14ac:dyDescent="0.25">
      <c r="O432" s="43">
        <f t="shared" si="151"/>
        <v>56401</v>
      </c>
      <c r="P432" s="24">
        <f t="shared" si="149"/>
        <v>12935</v>
      </c>
      <c r="Q432" s="19">
        <f t="shared" si="150"/>
        <v>1.0392723409554554</v>
      </c>
      <c r="R432" s="19">
        <f t="shared" si="147"/>
        <v>9.4420070152476647</v>
      </c>
      <c r="S432" s="19">
        <f t="shared" si="148"/>
        <v>2.0407262184995776E-5</v>
      </c>
    </row>
    <row r="433" spans="15:19" x14ac:dyDescent="0.25">
      <c r="O433" s="43">
        <f t="shared" si="151"/>
        <v>56431</v>
      </c>
      <c r="P433" s="24">
        <f t="shared" si="149"/>
        <v>12965</v>
      </c>
      <c r="Q433" s="19">
        <f t="shared" si="150"/>
        <v>1.0321742639118594</v>
      </c>
      <c r="R433" s="19">
        <f t="shared" si="147"/>
        <v>9.39411017236562</v>
      </c>
      <c r="S433" s="19">
        <f t="shared" si="148"/>
        <v>1.9746923269819749E-5</v>
      </c>
    </row>
    <row r="434" spans="15:19" x14ac:dyDescent="0.25">
      <c r="O434" s="43">
        <f t="shared" si="151"/>
        <v>56462</v>
      </c>
      <c r="P434" s="24">
        <f t="shared" si="149"/>
        <v>12996</v>
      </c>
      <c r="Q434" s="19">
        <f t="shared" si="150"/>
        <v>1.0248905101234895</v>
      </c>
      <c r="R434" s="19">
        <f t="shared" si="147"/>
        <v>9.3448720052540413</v>
      </c>
      <c r="S434" s="19">
        <f t="shared" si="148"/>
        <v>1.908712088622339E-5</v>
      </c>
    </row>
    <row r="435" spans="15:19" x14ac:dyDescent="0.25">
      <c r="O435" s="43">
        <f t="shared" si="151"/>
        <v>56493</v>
      </c>
      <c r="P435" s="24">
        <f t="shared" si="149"/>
        <v>13027</v>
      </c>
      <c r="Q435" s="19">
        <f t="shared" si="150"/>
        <v>1.0176581556686479</v>
      </c>
      <c r="R435" s="19">
        <f t="shared" si="147"/>
        <v>9.2958919144323957</v>
      </c>
      <c r="S435" s="19">
        <f t="shared" si="148"/>
        <v>1.8449470945909287E-5</v>
      </c>
    </row>
    <row r="436" spans="15:19" x14ac:dyDescent="0.25">
      <c r="O436" s="43">
        <f t="shared" si="151"/>
        <v>56523</v>
      </c>
      <c r="P436" s="24">
        <f t="shared" si="149"/>
        <v>13057</v>
      </c>
      <c r="Q436" s="19">
        <f t="shared" si="150"/>
        <v>1.0107077003276173</v>
      </c>
      <c r="R436" s="19">
        <f t="shared" si="147"/>
        <v>9.248736275408298</v>
      </c>
      <c r="S436" s="19">
        <f t="shared" si="148"/>
        <v>1.7852778335505681E-5</v>
      </c>
    </row>
    <row r="437" spans="15:19" x14ac:dyDescent="0.25">
      <c r="O437" s="43">
        <f t="shared" si="151"/>
        <v>56554</v>
      </c>
      <c r="P437" s="24">
        <f t="shared" si="149"/>
        <v>13088</v>
      </c>
      <c r="Q437" s="19">
        <f t="shared" si="150"/>
        <v>1.0035754298393997</v>
      </c>
      <c r="R437" s="19">
        <f t="shared" si="147"/>
        <v>9.2002600691531189</v>
      </c>
      <c r="S437" s="19">
        <f t="shared" si="148"/>
        <v>1.7256560445772675E-5</v>
      </c>
    </row>
    <row r="438" spans="15:19" x14ac:dyDescent="0.25">
      <c r="O438" s="44">
        <f t="shared" si="151"/>
        <v>56584</v>
      </c>
      <c r="P438" s="25">
        <f t="shared" si="149"/>
        <v>13118</v>
      </c>
      <c r="Q438" s="21">
        <f t="shared" si="150"/>
        <v>0.99672115744193501</v>
      </c>
      <c r="R438" s="21">
        <f t="shared" si="147"/>
        <v>9.1535895455775087</v>
      </c>
      <c r="S438" s="21">
        <f t="shared" si="148"/>
        <v>1.6698632371139203E-5</v>
      </c>
    </row>
    <row r="439" spans="15:19" x14ac:dyDescent="0.25">
      <c r="O439" s="43">
        <f t="shared" si="151"/>
        <v>56615</v>
      </c>
      <c r="P439" s="24">
        <f t="shared" si="149"/>
        <v>13149</v>
      </c>
      <c r="Q439" s="19">
        <f t="shared" si="150"/>
        <v>0.98968758592180062</v>
      </c>
      <c r="R439" s="19">
        <f t="shared" si="147"/>
        <v>9.1056120401569558</v>
      </c>
      <c r="S439" s="19">
        <f t="shared" si="148"/>
        <v>1.6141141921540567E-5</v>
      </c>
    </row>
    <row r="440" spans="15:19" x14ac:dyDescent="0.25">
      <c r="O440" s="43">
        <f t="shared" si="151"/>
        <v>56646</v>
      </c>
      <c r="P440" s="24">
        <f t="shared" si="149"/>
        <v>13180</v>
      </c>
      <c r="Q440" s="19">
        <f t="shared" si="150"/>
        <v>0.98270364827164081</v>
      </c>
      <c r="R440" s="19">
        <f t="shared" si="147"/>
        <v>9.0578860034105109</v>
      </c>
      <c r="S440" s="19">
        <f t="shared" si="148"/>
        <v>1.5602353440903342E-5</v>
      </c>
    </row>
    <row r="441" spans="15:19" x14ac:dyDescent="0.25">
      <c r="O441" s="43">
        <f t="shared" si="151"/>
        <v>56674</v>
      </c>
      <c r="P441" s="24">
        <f t="shared" si="149"/>
        <v>13208</v>
      </c>
      <c r="Q441" s="19">
        <f t="shared" si="150"/>
        <v>0.97643794553794561</v>
      </c>
      <c r="R441" s="19">
        <f t="shared" si="147"/>
        <v>9.0149936615892656</v>
      </c>
      <c r="S441" s="19">
        <f t="shared" si="148"/>
        <v>1.5131255721435487E-5</v>
      </c>
    </row>
    <row r="442" spans="15:19" x14ac:dyDescent="0.25">
      <c r="O442" s="43">
        <f t="shared" si="151"/>
        <v>56705</v>
      </c>
      <c r="P442" s="24">
        <f t="shared" si="149"/>
        <v>13239</v>
      </c>
      <c r="Q442" s="19">
        <f t="shared" si="150"/>
        <v>0.96954750674908685</v>
      </c>
      <c r="R442" s="19">
        <f t="shared" si="147"/>
        <v>8.9677425908359201</v>
      </c>
      <c r="S442" s="19">
        <f t="shared" si="148"/>
        <v>1.4626337434912952E-5</v>
      </c>
    </row>
    <row r="443" spans="15:19" x14ac:dyDescent="0.25">
      <c r="O443" s="43">
        <f t="shared" si="151"/>
        <v>56735</v>
      </c>
      <c r="P443" s="24">
        <f t="shared" si="149"/>
        <v>13269</v>
      </c>
      <c r="Q443" s="19">
        <f t="shared" si="150"/>
        <v>0.96292564005531511</v>
      </c>
      <c r="R443" s="19">
        <f t="shared" si="147"/>
        <v>8.9222515678800747</v>
      </c>
      <c r="S443" s="19">
        <f t="shared" si="148"/>
        <v>1.4153832478061114E-5</v>
      </c>
    </row>
    <row r="444" spans="15:19" x14ac:dyDescent="0.25">
      <c r="O444" s="43">
        <f t="shared" si="151"/>
        <v>56766</v>
      </c>
      <c r="P444" s="24">
        <f t="shared" si="149"/>
        <v>13300</v>
      </c>
      <c r="Q444" s="19">
        <f t="shared" si="150"/>
        <v>0.956130553679019</v>
      </c>
      <c r="R444" s="19">
        <f t="shared" si="147"/>
        <v>8.8754865943328038</v>
      </c>
      <c r="S444" s="19">
        <f t="shared" si="148"/>
        <v>1.3681685044210965E-5</v>
      </c>
    </row>
    <row r="445" spans="15:19" x14ac:dyDescent="0.25">
      <c r="O445" s="43">
        <f t="shared" si="151"/>
        <v>56796</v>
      </c>
      <c r="P445" s="24">
        <f t="shared" si="149"/>
        <v>13330</v>
      </c>
      <c r="Q445" s="19">
        <f t="shared" si="150"/>
        <v>0.94960032279891093</v>
      </c>
      <c r="R445" s="19">
        <f t="shared" si="147"/>
        <v>8.8304635620236827</v>
      </c>
      <c r="S445" s="19">
        <f t="shared" si="148"/>
        <v>1.323984225914293E-5</v>
      </c>
    </row>
    <row r="446" spans="15:19" x14ac:dyDescent="0.25">
      <c r="O446" s="43">
        <f t="shared" si="151"/>
        <v>56827</v>
      </c>
      <c r="P446" s="24">
        <f t="shared" si="149"/>
        <v>13361</v>
      </c>
      <c r="Q446" s="19">
        <f t="shared" si="150"/>
        <v>0.94289926931361068</v>
      </c>
      <c r="R446" s="19">
        <f t="shared" si="147"/>
        <v>8.784179684938799</v>
      </c>
      <c r="S446" s="19">
        <f t="shared" si="148"/>
        <v>1.2798328854074128E-5</v>
      </c>
    </row>
    <row r="447" spans="15:19" x14ac:dyDescent="0.25">
      <c r="O447" s="43">
        <f t="shared" si="151"/>
        <v>56858</v>
      </c>
      <c r="P447" s="24">
        <f t="shared" si="149"/>
        <v>13392</v>
      </c>
      <c r="Q447" s="19">
        <f t="shared" si="150"/>
        <v>0.93624550321515598</v>
      </c>
      <c r="R447" s="19">
        <f t="shared" si="147"/>
        <v>8.7381383995664503</v>
      </c>
      <c r="S447" s="19">
        <f t="shared" si="148"/>
        <v>1.2371609885635486E-5</v>
      </c>
    </row>
    <row r="448" spans="15:19" x14ac:dyDescent="0.25">
      <c r="O448" s="43">
        <f t="shared" si="151"/>
        <v>56888</v>
      </c>
      <c r="P448" s="24">
        <f t="shared" si="149"/>
        <v>13422</v>
      </c>
      <c r="Q448" s="19">
        <f t="shared" si="150"/>
        <v>0.92985108430140739</v>
      </c>
      <c r="R448" s="19">
        <f t="shared" si="147"/>
        <v>8.6938120988837966</v>
      </c>
      <c r="S448" s="19">
        <f t="shared" si="148"/>
        <v>1.1972273011825793E-5</v>
      </c>
    </row>
    <row r="449" spans="15:19" x14ac:dyDescent="0.25">
      <c r="O449" s="43">
        <f t="shared" si="151"/>
        <v>56919</v>
      </c>
      <c r="P449" s="24">
        <f t="shared" si="149"/>
        <v>13453</v>
      </c>
      <c r="Q449" s="19">
        <f t="shared" si="150"/>
        <v>0.92328939545224809</v>
      </c>
      <c r="R449" s="19">
        <f t="shared" si="147"/>
        <v>8.6482444650039287</v>
      </c>
      <c r="S449" s="19">
        <f t="shared" si="148"/>
        <v>1.1573227099803409E-5</v>
      </c>
    </row>
    <row r="450" spans="15:19" x14ac:dyDescent="0.25">
      <c r="O450" s="44">
        <f t="shared" si="151"/>
        <v>56949</v>
      </c>
      <c r="P450" s="25">
        <f t="shared" si="149"/>
        <v>13483</v>
      </c>
      <c r="Q450" s="21">
        <f t="shared" si="150"/>
        <v>0.91698346484658033</v>
      </c>
      <c r="R450" s="21">
        <f t="shared" si="147"/>
        <v>8.6043741728428582</v>
      </c>
      <c r="S450" s="21">
        <f t="shared" si="148"/>
        <v>1.1199783356018199E-5</v>
      </c>
    </row>
    <row r="451" spans="15:19" x14ac:dyDescent="0.25">
      <c r="O451" s="43">
        <f t="shared" si="151"/>
        <v>56980</v>
      </c>
      <c r="P451" s="24">
        <f t="shared" si="149"/>
        <v>13514</v>
      </c>
      <c r="Q451" s="19">
        <f t="shared" si="150"/>
        <v>0.91051257904805671</v>
      </c>
      <c r="R451" s="19">
        <f t="shared" si="147"/>
        <v>8.559275317747538</v>
      </c>
      <c r="S451" s="19">
        <f t="shared" si="148"/>
        <v>1.0826607537594144E-5</v>
      </c>
    </row>
    <row r="452" spans="15:19" x14ac:dyDescent="0.25">
      <c r="O452" s="43">
        <f t="shared" si="151"/>
        <v>57011</v>
      </c>
      <c r="P452" s="24">
        <f t="shared" si="149"/>
        <v>13545</v>
      </c>
      <c r="Q452" s="19">
        <f t="shared" si="150"/>
        <v>0.90408735640990967</v>
      </c>
      <c r="R452" s="19">
        <f t="shared" si="147"/>
        <v>8.5144128432058803</v>
      </c>
      <c r="S452" s="19">
        <f t="shared" si="148"/>
        <v>1.0465925988995231E-5</v>
      </c>
    </row>
    <row r="453" spans="15:19" x14ac:dyDescent="0.25">
      <c r="O453" s="43">
        <f t="shared" si="151"/>
        <v>57040</v>
      </c>
      <c r="P453" s="24">
        <f t="shared" si="149"/>
        <v>13574</v>
      </c>
      <c r="Q453" s="19">
        <f t="shared" si="150"/>
        <v>0.89811771796441275</v>
      </c>
      <c r="R453" s="19">
        <f t="shared" si="147"/>
        <v>8.4726576212112317</v>
      </c>
      <c r="S453" s="19">
        <f t="shared" si="148"/>
        <v>1.0139452817964491E-5</v>
      </c>
    </row>
    <row r="454" spans="15:19" x14ac:dyDescent="0.25">
      <c r="O454" s="43">
        <f t="shared" si="151"/>
        <v>57071</v>
      </c>
      <c r="P454" s="24">
        <f t="shared" si="149"/>
        <v>13605</v>
      </c>
      <c r="Q454" s="19">
        <f t="shared" si="150"/>
        <v>0.89177996225847944</v>
      </c>
      <c r="R454" s="19">
        <f t="shared" si="147"/>
        <v>8.4282491435398068</v>
      </c>
      <c r="S454" s="19">
        <f t="shared" si="148"/>
        <v>9.8017722489037334E-6</v>
      </c>
    </row>
    <row r="455" spans="15:19" x14ac:dyDescent="0.25">
      <c r="O455" s="43">
        <f t="shared" si="151"/>
        <v>57101</v>
      </c>
      <c r="P455" s="24">
        <f t="shared" si="149"/>
        <v>13635</v>
      </c>
      <c r="Q455" s="19">
        <f t="shared" si="150"/>
        <v>0.88568923644138886</v>
      </c>
      <c r="R455" s="19">
        <f t="shared" ref="R455:R518" si="152">IF(days&lt;tlim_gas,
qi_gas/(1+b_gas*(d_gas/365)*days)^(1/b_gas),
qlim_gas * EXP((-dmin_gas/365)* ( days-tlim_gas)))</f>
        <v>8.3854948303575636</v>
      </c>
      <c r="S455" s="19">
        <f t="shared" ref="S455:S518" si="153">IF(days&lt;tlim_water,
qi_water/(1+b_water*(d_water/365)*days)^(1/b_water),
qlim_water * EXP((-dmin_water/365)* ( days-tlim_water)))</f>
        <v>9.4857479465152118E-6</v>
      </c>
    </row>
    <row r="456" spans="15:19" x14ac:dyDescent="0.25">
      <c r="O456" s="43">
        <f t="shared" si="151"/>
        <v>57132</v>
      </c>
      <c r="P456" s="24">
        <f t="shared" ref="P456:P519" si="154">O456-$O$7</f>
        <v>13666</v>
      </c>
      <c r="Q456" s="19">
        <f t="shared" ref="Q456:Q519" si="155">IF(days&lt;tlim_oil,
qi_oil/(1+b_oil*(d_oil)*(days/365.25))^(1/b_oil),
qlim_oil * EXP((-dmin_oil/365)* ( days-tlim_oil)))</f>
        <v>0.87943918491733808</v>
      </c>
      <c r="R456" s="19">
        <f t="shared" si="152"/>
        <v>8.3415432066066515</v>
      </c>
      <c r="S456" s="19">
        <f t="shared" si="153"/>
        <v>9.1699415903076055E-6</v>
      </c>
    </row>
    <row r="457" spans="15:19" x14ac:dyDescent="0.25">
      <c r="O457" s="43">
        <f t="shared" si="151"/>
        <v>57162</v>
      </c>
      <c r="P457" s="24">
        <f t="shared" si="154"/>
        <v>13696</v>
      </c>
      <c r="Q457" s="19">
        <f t="shared" si="155"/>
        <v>0.87343274479216215</v>
      </c>
      <c r="R457" s="19">
        <f t="shared" si="152"/>
        <v>8.2992287300641721</v>
      </c>
      <c r="S457" s="19">
        <f t="shared" si="153"/>
        <v>8.8743853573401204E-6</v>
      </c>
    </row>
    <row r="458" spans="15:19" x14ac:dyDescent="0.25">
      <c r="O458" s="43">
        <f t="shared" si="151"/>
        <v>57193</v>
      </c>
      <c r="P458" s="24">
        <f t="shared" si="154"/>
        <v>13727</v>
      </c>
      <c r="Q458" s="19">
        <f t="shared" si="155"/>
        <v>0.86726918376744211</v>
      </c>
      <c r="R458" s="19">
        <f t="shared" si="152"/>
        <v>8.255729260331508</v>
      </c>
      <c r="S458" s="19">
        <f t="shared" si="153"/>
        <v>8.5790296617160701E-6</v>
      </c>
    </row>
    <row r="459" spans="15:19" x14ac:dyDescent="0.25">
      <c r="O459" s="43">
        <f t="shared" si="151"/>
        <v>57224</v>
      </c>
      <c r="P459" s="24">
        <f t="shared" si="154"/>
        <v>13758</v>
      </c>
      <c r="Q459" s="19">
        <f t="shared" si="155"/>
        <v>0.86114911720149112</v>
      </c>
      <c r="R459" s="19">
        <f t="shared" si="152"/>
        <v>8.2124577881548326</v>
      </c>
      <c r="S459" s="19">
        <f t="shared" si="153"/>
        <v>8.2935514428138415E-6</v>
      </c>
    </row>
    <row r="460" spans="15:19" x14ac:dyDescent="0.25">
      <c r="O460" s="43">
        <f t="shared" si="151"/>
        <v>57254</v>
      </c>
      <c r="P460" s="24">
        <f t="shared" si="154"/>
        <v>13788</v>
      </c>
      <c r="Q460" s="19">
        <f t="shared" si="155"/>
        <v>0.85526759554538589</v>
      </c>
      <c r="R460" s="19">
        <f t="shared" si="152"/>
        <v>8.1707981283262114</v>
      </c>
      <c r="S460" s="19">
        <f t="shared" si="153"/>
        <v>8.0263741553894262E-6</v>
      </c>
    </row>
    <row r="461" spans="15:19" x14ac:dyDescent="0.25">
      <c r="O461" s="43">
        <f t="shared" si="151"/>
        <v>57285</v>
      </c>
      <c r="P461" s="24">
        <f t="shared" si="154"/>
        <v>13819</v>
      </c>
      <c r="Q461" s="19">
        <f t="shared" si="155"/>
        <v>0.8492322206993651</v>
      </c>
      <c r="R461" s="19">
        <f t="shared" si="152"/>
        <v>8.1279718130823273</v>
      </c>
      <c r="S461" s="19">
        <f t="shared" si="153"/>
        <v>7.759373663988233E-6</v>
      </c>
    </row>
    <row r="462" spans="15:19" x14ac:dyDescent="0.25">
      <c r="O462" s="44">
        <f t="shared" si="151"/>
        <v>57315</v>
      </c>
      <c r="P462" s="25">
        <f t="shared" si="154"/>
        <v>13849</v>
      </c>
      <c r="Q462" s="21">
        <f t="shared" si="155"/>
        <v>0.84343208969146566</v>
      </c>
      <c r="R462" s="21">
        <f t="shared" si="152"/>
        <v>8.086740728605033</v>
      </c>
      <c r="S462" s="21">
        <f t="shared" si="153"/>
        <v>7.5094867832909277E-6</v>
      </c>
    </row>
    <row r="463" spans="15:19" x14ac:dyDescent="0.25">
      <c r="O463" s="43">
        <f t="shared" si="151"/>
        <v>57346</v>
      </c>
      <c r="P463" s="24">
        <f t="shared" si="154"/>
        <v>13880</v>
      </c>
      <c r="Q463" s="19">
        <f t="shared" si="155"/>
        <v>0.8374802345703739</v>
      </c>
      <c r="R463" s="19">
        <f t="shared" si="152"/>
        <v>8.0443549907248908</v>
      </c>
      <c r="S463" s="19">
        <f t="shared" si="153"/>
        <v>7.2597624776205614E-6</v>
      </c>
    </row>
    <row r="464" spans="15:19" x14ac:dyDescent="0.25">
      <c r="O464" s="43">
        <f t="shared" si="151"/>
        <v>57377</v>
      </c>
      <c r="P464" s="24">
        <f t="shared" si="154"/>
        <v>13911</v>
      </c>
      <c r="Q464" s="19">
        <f t="shared" si="155"/>
        <v>0.83157037996101957</v>
      </c>
      <c r="R464" s="19">
        <f t="shared" si="152"/>
        <v>8.002191412901059</v>
      </c>
      <c r="S464" s="19">
        <f t="shared" si="153"/>
        <v>7.0183827624442954E-6</v>
      </c>
    </row>
    <row r="465" spans="15:19" x14ac:dyDescent="0.25">
      <c r="O465" s="43">
        <f t="shared" si="151"/>
        <v>57405</v>
      </c>
      <c r="P465" s="24">
        <f t="shared" si="154"/>
        <v>13939</v>
      </c>
      <c r="Q465" s="19">
        <f t="shared" si="155"/>
        <v>0.82626830052725997</v>
      </c>
      <c r="R465" s="19">
        <f t="shared" si="152"/>
        <v>7.9642981639385564</v>
      </c>
      <c r="S465" s="19">
        <f t="shared" si="153"/>
        <v>6.807301486820551E-6</v>
      </c>
    </row>
    <row r="466" spans="15:19" x14ac:dyDescent="0.25">
      <c r="O466" s="43">
        <f t="shared" si="151"/>
        <v>57436</v>
      </c>
      <c r="P466" s="24">
        <f t="shared" si="154"/>
        <v>13970</v>
      </c>
      <c r="Q466" s="19">
        <f t="shared" si="155"/>
        <v>0.82043756527780087</v>
      </c>
      <c r="R466" s="19">
        <f t="shared" si="152"/>
        <v>7.9225541949274181</v>
      </c>
      <c r="S466" s="19">
        <f t="shared" si="153"/>
        <v>6.5810372227428054E-6</v>
      </c>
    </row>
    <row r="467" spans="15:19" x14ac:dyDescent="0.25">
      <c r="O467" s="43">
        <f t="shared" si="151"/>
        <v>57466</v>
      </c>
      <c r="P467" s="24">
        <f t="shared" si="154"/>
        <v>14000</v>
      </c>
      <c r="Q467" s="19">
        <f t="shared" si="155"/>
        <v>0.81483409752607749</v>
      </c>
      <c r="R467" s="19">
        <f t="shared" si="152"/>
        <v>7.882365140536109</v>
      </c>
      <c r="S467" s="19">
        <f t="shared" si="153"/>
        <v>6.3692697160320754E-6</v>
      </c>
    </row>
    <row r="468" spans="15:19" x14ac:dyDescent="0.25">
      <c r="O468" s="43">
        <f t="shared" si="151"/>
        <v>57497</v>
      </c>
      <c r="P468" s="24">
        <f t="shared" si="154"/>
        <v>14031</v>
      </c>
      <c r="Q468" s="19">
        <f t="shared" si="155"/>
        <v>0.80908405012395113</v>
      </c>
      <c r="R468" s="19">
        <f t="shared" si="152"/>
        <v>7.8410506142102516</v>
      </c>
      <c r="S468" s="19">
        <f t="shared" si="153"/>
        <v>6.1576341596390136E-6</v>
      </c>
    </row>
    <row r="469" spans="15:19" x14ac:dyDescent="0.25">
      <c r="O469" s="43">
        <f t="shared" si="151"/>
        <v>57527</v>
      </c>
      <c r="P469" s="24">
        <f t="shared" si="154"/>
        <v>14061</v>
      </c>
      <c r="Q469" s="19">
        <f t="shared" si="155"/>
        <v>0.80355812520878933</v>
      </c>
      <c r="R469" s="19">
        <f t="shared" si="152"/>
        <v>7.8012750062603207</v>
      </c>
      <c r="S469" s="19">
        <f t="shared" si="153"/>
        <v>5.9595558977148637E-6</v>
      </c>
    </row>
    <row r="470" spans="15:19" x14ac:dyDescent="0.25">
      <c r="O470" s="43">
        <f t="shared" si="151"/>
        <v>57558</v>
      </c>
      <c r="P470" s="24">
        <f t="shared" si="154"/>
        <v>14092</v>
      </c>
      <c r="Q470" s="19">
        <f t="shared" si="155"/>
        <v>0.79788764906604703</v>
      </c>
      <c r="R470" s="19">
        <f t="shared" si="152"/>
        <v>7.7603855047116186</v>
      </c>
      <c r="S470" s="19">
        <f t="shared" si="153"/>
        <v>5.7615988581444766E-6</v>
      </c>
    </row>
    <row r="471" spans="15:19" x14ac:dyDescent="0.25">
      <c r="O471" s="43">
        <f t="shared" si="151"/>
        <v>57589</v>
      </c>
      <c r="P471" s="24">
        <f t="shared" si="154"/>
        <v>14123</v>
      </c>
      <c r="Q471" s="19">
        <f t="shared" si="155"/>
        <v>0.79225718782537169</v>
      </c>
      <c r="R471" s="19">
        <f t="shared" si="152"/>
        <v>7.7197103208655404</v>
      </c>
      <c r="S471" s="19">
        <f t="shared" si="153"/>
        <v>5.5702490838403227E-6</v>
      </c>
    </row>
    <row r="472" spans="15:19" x14ac:dyDescent="0.25">
      <c r="O472" s="43">
        <f t="shared" si="151"/>
        <v>57619</v>
      </c>
      <c r="P472" s="24">
        <f t="shared" si="154"/>
        <v>14153</v>
      </c>
      <c r="Q472" s="19">
        <f t="shared" si="155"/>
        <v>0.78684618790175487</v>
      </c>
      <c r="R472" s="19">
        <f t="shared" si="152"/>
        <v>7.6805502406266388</v>
      </c>
      <c r="S472" s="19">
        <f t="shared" si="153"/>
        <v>5.391154105219844E-6</v>
      </c>
    </row>
    <row r="473" spans="15:19" x14ac:dyDescent="0.25">
      <c r="O473" s="43">
        <f t="shared" si="151"/>
        <v>57650</v>
      </c>
      <c r="P473" s="24">
        <f t="shared" si="154"/>
        <v>14184</v>
      </c>
      <c r="Q473" s="19">
        <f t="shared" si="155"/>
        <v>0.78129364304341598</v>
      </c>
      <c r="R473" s="19">
        <f t="shared" si="152"/>
        <v>7.6402935042973876</v>
      </c>
      <c r="S473" s="19">
        <f t="shared" si="153"/>
        <v>5.2121657360296521E-6</v>
      </c>
    </row>
    <row r="474" spans="15:19" x14ac:dyDescent="0.25">
      <c r="O474" s="44">
        <f t="shared" si="151"/>
        <v>57680</v>
      </c>
      <c r="P474" s="25">
        <f t="shared" si="154"/>
        <v>14214</v>
      </c>
      <c r="Q474" s="21">
        <f t="shared" si="155"/>
        <v>0.77595752251614858</v>
      </c>
      <c r="R474" s="21">
        <f t="shared" si="152"/>
        <v>7.6015362848887298</v>
      </c>
      <c r="S474" s="21">
        <f t="shared" si="153"/>
        <v>5.044638630693009E-6</v>
      </c>
    </row>
    <row r="475" spans="15:19" x14ac:dyDescent="0.25">
      <c r="O475" s="43">
        <f t="shared" si="151"/>
        <v>57711</v>
      </c>
      <c r="P475" s="24">
        <f t="shared" si="154"/>
        <v>14245</v>
      </c>
      <c r="Q475" s="19">
        <f t="shared" si="155"/>
        <v>0.77048181580474417</v>
      </c>
      <c r="R475" s="19">
        <f t="shared" si="152"/>
        <v>7.5616936912813966</v>
      </c>
      <c r="S475" s="19">
        <f t="shared" si="153"/>
        <v>4.8772093925910323E-6</v>
      </c>
    </row>
    <row r="476" spans="15:19" x14ac:dyDescent="0.25">
      <c r="O476" s="43">
        <f t="shared" si="151"/>
        <v>57742</v>
      </c>
      <c r="P476" s="24">
        <f t="shared" si="154"/>
        <v>14276</v>
      </c>
      <c r="Q476" s="19">
        <f t="shared" si="155"/>
        <v>0.76504474956413782</v>
      </c>
      <c r="R476" s="19">
        <f t="shared" si="152"/>
        <v>7.5220599281269953</v>
      </c>
      <c r="S476" s="19">
        <f t="shared" si="153"/>
        <v>4.7153639093032616E-6</v>
      </c>
    </row>
    <row r="477" spans="15:19" x14ac:dyDescent="0.25">
      <c r="O477" s="43">
        <f t="shared" si="151"/>
        <v>57770</v>
      </c>
      <c r="P477" s="24">
        <f t="shared" si="154"/>
        <v>14304</v>
      </c>
      <c r="Q477" s="19">
        <f t="shared" si="155"/>
        <v>0.76016683648507921</v>
      </c>
      <c r="R477" s="19">
        <f t="shared" si="152"/>
        <v>7.4864402741022422</v>
      </c>
      <c r="S477" s="19">
        <f t="shared" si="153"/>
        <v>4.573824480978744E-6</v>
      </c>
    </row>
    <row r="478" spans="15:19" x14ac:dyDescent="0.25">
      <c r="O478" s="43">
        <f t="shared" si="151"/>
        <v>57801</v>
      </c>
      <c r="P478" s="24">
        <f t="shared" si="154"/>
        <v>14335</v>
      </c>
      <c r="Q478" s="19">
        <f t="shared" si="155"/>
        <v>0.75480256005557689</v>
      </c>
      <c r="R478" s="19">
        <f t="shared" si="152"/>
        <v>7.4472009432317723</v>
      </c>
      <c r="S478" s="19">
        <f t="shared" si="153"/>
        <v>4.4220944422789613E-6</v>
      </c>
    </row>
    <row r="479" spans="15:19" x14ac:dyDescent="0.25">
      <c r="O479" s="43">
        <f t="shared" si="151"/>
        <v>57831</v>
      </c>
      <c r="P479" s="24">
        <f t="shared" si="154"/>
        <v>14365</v>
      </c>
      <c r="Q479" s="19">
        <f t="shared" si="155"/>
        <v>0.74964736972399137</v>
      </c>
      <c r="R479" s="19">
        <f t="shared" si="152"/>
        <v>7.4094232321039426</v>
      </c>
      <c r="S479" s="19">
        <f t="shared" si="153"/>
        <v>4.2800763235711887E-6</v>
      </c>
    </row>
    <row r="480" spans="15:19" x14ac:dyDescent="0.25">
      <c r="O480" s="43">
        <f t="shared" si="151"/>
        <v>57862</v>
      </c>
      <c r="P480" s="24">
        <f t="shared" si="154"/>
        <v>14396</v>
      </c>
      <c r="Q480" s="19">
        <f t="shared" si="155"/>
        <v>0.74435732611403482</v>
      </c>
      <c r="R480" s="19">
        <f t="shared" si="152"/>
        <v>7.3705875773576368</v>
      </c>
      <c r="S480" s="19">
        <f t="shared" si="153"/>
        <v>4.1381372792440027E-6</v>
      </c>
    </row>
    <row r="481" spans="15:19" x14ac:dyDescent="0.25">
      <c r="O481" s="43">
        <f t="shared" si="151"/>
        <v>57892</v>
      </c>
      <c r="P481" s="24">
        <f t="shared" si="154"/>
        <v>14426</v>
      </c>
      <c r="Q481" s="19">
        <f t="shared" si="155"/>
        <v>0.73927347519208597</v>
      </c>
      <c r="R481" s="19">
        <f t="shared" si="152"/>
        <v>7.3331985058847016</v>
      </c>
      <c r="S481" s="19">
        <f t="shared" si="153"/>
        <v>4.0052819834532405E-6</v>
      </c>
    </row>
    <row r="482" spans="15:19" x14ac:dyDescent="0.25">
      <c r="O482" s="43">
        <f t="shared" si="151"/>
        <v>57923</v>
      </c>
      <c r="P482" s="24">
        <f t="shared" si="154"/>
        <v>14457</v>
      </c>
      <c r="Q482" s="19">
        <f t="shared" si="155"/>
        <v>0.7340566371407633</v>
      </c>
      <c r="R482" s="19">
        <f t="shared" si="152"/>
        <v>7.2947623744289203</v>
      </c>
      <c r="S482" s="19">
        <f t="shared" si="153"/>
        <v>3.8724991915544956E-6</v>
      </c>
    </row>
    <row r="483" spans="15:19" x14ac:dyDescent="0.25">
      <c r="O483" s="43">
        <f t="shared" si="151"/>
        <v>57954</v>
      </c>
      <c r="P483" s="24">
        <f t="shared" si="154"/>
        <v>14488</v>
      </c>
      <c r="Q483" s="19">
        <f t="shared" si="155"/>
        <v>0.72887661279934202</v>
      </c>
      <c r="R483" s="19">
        <f t="shared" si="152"/>
        <v>7.2565277016136083</v>
      </c>
      <c r="S483" s="19">
        <f t="shared" si="153"/>
        <v>3.7441396790902792E-6</v>
      </c>
    </row>
    <row r="484" spans="15:19" x14ac:dyDescent="0.25">
      <c r="O484" s="43">
        <f t="shared" si="151"/>
        <v>57984</v>
      </c>
      <c r="P484" s="24">
        <f t="shared" si="154"/>
        <v>14518</v>
      </c>
      <c r="Q484" s="19">
        <f t="shared" si="155"/>
        <v>0.7238984928696145</v>
      </c>
      <c r="R484" s="19">
        <f t="shared" si="152"/>
        <v>7.2197172261890401</v>
      </c>
      <c r="S484" s="19">
        <f t="shared" si="153"/>
        <v>3.6239928545989074E-6</v>
      </c>
    </row>
    <row r="485" spans="15:19" x14ac:dyDescent="0.25">
      <c r="O485" s="43">
        <f t="shared" si="151"/>
        <v>58015</v>
      </c>
      <c r="P485" s="24">
        <f t="shared" si="154"/>
        <v>14549</v>
      </c>
      <c r="Q485" s="19">
        <f t="shared" si="155"/>
        <v>0.71879015159994264</v>
      </c>
      <c r="R485" s="19">
        <f t="shared" si="152"/>
        <v>7.1818758940395444</v>
      </c>
      <c r="S485" s="19">
        <f t="shared" si="153"/>
        <v>3.5039095969508738E-6</v>
      </c>
    </row>
    <row r="486" spans="15:19" x14ac:dyDescent="0.25">
      <c r="O486" s="44">
        <f t="shared" si="151"/>
        <v>58045</v>
      </c>
      <c r="P486" s="25">
        <f t="shared" si="154"/>
        <v>14579</v>
      </c>
      <c r="Q486" s="21">
        <f t="shared" si="155"/>
        <v>0.71388092071485654</v>
      </c>
      <c r="R486" s="21">
        <f t="shared" si="152"/>
        <v>7.1454441077954067</v>
      </c>
      <c r="S486" s="21">
        <f t="shared" si="153"/>
        <v>3.3915082545344915E-6</v>
      </c>
    </row>
    <row r="487" spans="15:19" x14ac:dyDescent="0.25">
      <c r="O487" s="43">
        <f t="shared" si="151"/>
        <v>58076</v>
      </c>
      <c r="P487" s="24">
        <f t="shared" si="154"/>
        <v>14610</v>
      </c>
      <c r="Q487" s="19">
        <f t="shared" si="155"/>
        <v>0.70884327054036467</v>
      </c>
      <c r="R487" s="19">
        <f t="shared" si="152"/>
        <v>7.1079920698045118</v>
      </c>
      <c r="S487" s="19">
        <f t="shared" si="153"/>
        <v>3.279165140446364E-6</v>
      </c>
    </row>
    <row r="488" spans="15:19" x14ac:dyDescent="0.25">
      <c r="O488" s="43">
        <f t="shared" si="151"/>
        <v>58107</v>
      </c>
      <c r="P488" s="24">
        <f t="shared" si="154"/>
        <v>14641</v>
      </c>
      <c r="Q488" s="19">
        <f t="shared" si="155"/>
        <v>0.70384116959900689</v>
      </c>
      <c r="R488" s="19">
        <f t="shared" si="152"/>
        <v>7.0707363324393748</v>
      </c>
      <c r="S488" s="19">
        <f t="shared" si="153"/>
        <v>3.1705613579474678E-6</v>
      </c>
    </row>
    <row r="489" spans="15:19" x14ac:dyDescent="0.25">
      <c r="O489" s="43">
        <f t="shared" si="151"/>
        <v>58135</v>
      </c>
      <c r="P489" s="24">
        <f t="shared" si="154"/>
        <v>14669</v>
      </c>
      <c r="Q489" s="19">
        <f t="shared" si="155"/>
        <v>0.69935348956627275</v>
      </c>
      <c r="R489" s="19">
        <f t="shared" si="152"/>
        <v>7.0372538576561086</v>
      </c>
      <c r="S489" s="19">
        <f t="shared" si="153"/>
        <v>3.0755775432091119E-6</v>
      </c>
    </row>
    <row r="490" spans="15:19" x14ac:dyDescent="0.25">
      <c r="O490" s="43">
        <f t="shared" si="151"/>
        <v>58166</v>
      </c>
      <c r="P490" s="24">
        <f t="shared" si="154"/>
        <v>14700</v>
      </c>
      <c r="Q490" s="19">
        <f t="shared" si="155"/>
        <v>0.69441835525113094</v>
      </c>
      <c r="R490" s="19">
        <f t="shared" si="152"/>
        <v>7.0003688866378662</v>
      </c>
      <c r="S490" s="19">
        <f t="shared" si="153"/>
        <v>2.9737485375968815E-6</v>
      </c>
    </row>
    <row r="491" spans="15:19" x14ac:dyDescent="0.25">
      <c r="O491" s="43">
        <f t="shared" si="151"/>
        <v>58196</v>
      </c>
      <c r="P491" s="24">
        <f t="shared" si="154"/>
        <v>14730</v>
      </c>
      <c r="Q491" s="19">
        <f t="shared" si="155"/>
        <v>0.68967558014607233</v>
      </c>
      <c r="R491" s="19">
        <f t="shared" si="152"/>
        <v>6.9648578381777053</v>
      </c>
      <c r="S491" s="19">
        <f t="shared" si="153"/>
        <v>2.8784310896445936E-6</v>
      </c>
    </row>
    <row r="492" spans="15:19" x14ac:dyDescent="0.25">
      <c r="O492" s="43">
        <f t="shared" si="151"/>
        <v>58227</v>
      </c>
      <c r="P492" s="24">
        <f t="shared" si="154"/>
        <v>14761</v>
      </c>
      <c r="Q492" s="19">
        <f t="shared" si="155"/>
        <v>0.68480874002491221</v>
      </c>
      <c r="R492" s="19">
        <f t="shared" si="152"/>
        <v>6.9283523227161776</v>
      </c>
      <c r="S492" s="19">
        <f t="shared" si="153"/>
        <v>2.7831604186794581E-6</v>
      </c>
    </row>
    <row r="493" spans="15:19" x14ac:dyDescent="0.25">
      <c r="O493" s="43">
        <f t="shared" si="151"/>
        <v>58257</v>
      </c>
      <c r="P493" s="24">
        <f t="shared" si="154"/>
        <v>14791</v>
      </c>
      <c r="Q493" s="19">
        <f t="shared" si="155"/>
        <v>0.68013159717671923</v>
      </c>
      <c r="R493" s="19">
        <f t="shared" si="152"/>
        <v>6.8932065955316197</v>
      </c>
      <c r="S493" s="19">
        <f t="shared" si="153"/>
        <v>2.6939809429065024E-6</v>
      </c>
    </row>
    <row r="494" spans="15:19" x14ac:dyDescent="0.25">
      <c r="O494" s="43">
        <f t="shared" si="151"/>
        <v>58288</v>
      </c>
      <c r="P494" s="24">
        <f t="shared" si="154"/>
        <v>14822</v>
      </c>
      <c r="Q494" s="19">
        <f t="shared" si="155"/>
        <v>0.67533210616950201</v>
      </c>
      <c r="R494" s="19">
        <f t="shared" si="152"/>
        <v>6.8570766319631851</v>
      </c>
      <c r="S494" s="19">
        <f t="shared" si="153"/>
        <v>2.6048442498740981E-6</v>
      </c>
    </row>
    <row r="495" spans="15:19" x14ac:dyDescent="0.25">
      <c r="O495" s="43">
        <f t="shared" ref="O495:O534" si="156">EOMONTH(O494,0)+1</f>
        <v>58319</v>
      </c>
      <c r="P495" s="24">
        <f t="shared" si="154"/>
        <v>14853</v>
      </c>
      <c r="Q495" s="19">
        <f t="shared" si="155"/>
        <v>0.67056648377539474</v>
      </c>
      <c r="R495" s="19">
        <f t="shared" si="152"/>
        <v>6.8211360395167917</v>
      </c>
      <c r="S495" s="19">
        <f t="shared" si="153"/>
        <v>2.5186711087507468E-6</v>
      </c>
    </row>
    <row r="496" spans="15:19" x14ac:dyDescent="0.25">
      <c r="O496" s="43">
        <f t="shared" si="156"/>
        <v>58349</v>
      </c>
      <c r="P496" s="24">
        <f t="shared" si="154"/>
        <v>14883</v>
      </c>
      <c r="Q496" s="19">
        <f t="shared" si="155"/>
        <v>0.66598661344004551</v>
      </c>
      <c r="R496" s="19">
        <f t="shared" si="152"/>
        <v>6.7865341926176974</v>
      </c>
      <c r="S496" s="19">
        <f t="shared" si="153"/>
        <v>2.4380061658988151E-6</v>
      </c>
    </row>
    <row r="497" spans="15:19" x14ac:dyDescent="0.25">
      <c r="O497" s="43">
        <f t="shared" si="156"/>
        <v>58380</v>
      </c>
      <c r="P497" s="24">
        <f t="shared" si="154"/>
        <v>14914</v>
      </c>
      <c r="Q497" s="19">
        <f t="shared" si="155"/>
        <v>0.66128693947194728</v>
      </c>
      <c r="R497" s="19">
        <f t="shared" si="152"/>
        <v>6.7509633403971705</v>
      </c>
      <c r="S497" s="19">
        <f t="shared" si="153"/>
        <v>2.3573785824410929E-6</v>
      </c>
    </row>
    <row r="498" spans="15:19" x14ac:dyDescent="0.25">
      <c r="O498" s="44">
        <f t="shared" si="156"/>
        <v>58410</v>
      </c>
      <c r="P498" s="25">
        <f t="shared" si="154"/>
        <v>14944</v>
      </c>
      <c r="Q498" s="21">
        <f t="shared" si="155"/>
        <v>0.65677044705766807</v>
      </c>
      <c r="R498" s="21">
        <f t="shared" si="152"/>
        <v>6.716717461327681</v>
      </c>
      <c r="S498" s="21">
        <f t="shared" si="153"/>
        <v>2.2819038937739541E-6</v>
      </c>
    </row>
    <row r="499" spans="15:19" x14ac:dyDescent="0.25">
      <c r="O499" s="43">
        <f t="shared" si="156"/>
        <v>58441</v>
      </c>
      <c r="P499" s="24">
        <f t="shared" si="154"/>
        <v>14975</v>
      </c>
      <c r="Q499" s="19">
        <f t="shared" si="155"/>
        <v>0.65213580889713529</v>
      </c>
      <c r="R499" s="19">
        <f t="shared" si="152"/>
        <v>6.6815125456162408</v>
      </c>
      <c r="S499" s="19">
        <f t="shared" si="153"/>
        <v>2.206463330903952E-6</v>
      </c>
    </row>
    <row r="500" spans="15:19" x14ac:dyDescent="0.25">
      <c r="O500" s="43">
        <f t="shared" si="156"/>
        <v>58472</v>
      </c>
      <c r="P500" s="24">
        <f t="shared" si="154"/>
        <v>15006</v>
      </c>
      <c r="Q500" s="19">
        <f t="shared" si="155"/>
        <v>0.64753387603108636</v>
      </c>
      <c r="R500" s="19">
        <f t="shared" si="152"/>
        <v>6.6464921524930123</v>
      </c>
      <c r="S500" s="19">
        <f t="shared" si="153"/>
        <v>2.1335289152114117E-6</v>
      </c>
    </row>
    <row r="501" spans="15:19" x14ac:dyDescent="0.25">
      <c r="O501" s="43">
        <f t="shared" si="156"/>
        <v>58501</v>
      </c>
      <c r="P501" s="24">
        <f t="shared" si="154"/>
        <v>15035</v>
      </c>
      <c r="Q501" s="19">
        <f t="shared" si="155"/>
        <v>0.64325824592332037</v>
      </c>
      <c r="R501" s="19">
        <f t="shared" si="152"/>
        <v>6.6138973323423214</v>
      </c>
      <c r="S501" s="19">
        <f t="shared" si="153"/>
        <v>2.0674946331050876E-6</v>
      </c>
    </row>
    <row r="502" spans="15:19" x14ac:dyDescent="0.25">
      <c r="O502" s="43">
        <f t="shared" si="156"/>
        <v>58532</v>
      </c>
      <c r="P502" s="24">
        <f t="shared" si="154"/>
        <v>15066</v>
      </c>
      <c r="Q502" s="19">
        <f t="shared" si="155"/>
        <v>0.63871895943899482</v>
      </c>
      <c r="R502" s="19">
        <f t="shared" si="152"/>
        <v>6.5792313367202269</v>
      </c>
      <c r="S502" s="19">
        <f t="shared" si="153"/>
        <v>1.9991756654810554E-6</v>
      </c>
    </row>
    <row r="503" spans="15:19" x14ac:dyDescent="0.25">
      <c r="O503" s="43">
        <f t="shared" si="156"/>
        <v>58562</v>
      </c>
      <c r="P503" s="24">
        <f t="shared" si="154"/>
        <v>15096</v>
      </c>
      <c r="Q503" s="19">
        <f t="shared" si="155"/>
        <v>0.63435660300493901</v>
      </c>
      <c r="R503" s="19">
        <f t="shared" si="152"/>
        <v>6.5458566093862363</v>
      </c>
      <c r="S503" s="19">
        <f t="shared" si="153"/>
        <v>1.9352211991600605E-6</v>
      </c>
    </row>
    <row r="504" spans="15:19" x14ac:dyDescent="0.25">
      <c r="O504" s="43">
        <f t="shared" si="156"/>
        <v>58593</v>
      </c>
      <c r="P504" s="24">
        <f t="shared" si="154"/>
        <v>15127</v>
      </c>
      <c r="Q504" s="19">
        <f t="shared" si="155"/>
        <v>0.62988013282750666</v>
      </c>
      <c r="R504" s="19">
        <f t="shared" si="152"/>
        <v>6.511547241526201</v>
      </c>
      <c r="S504" s="19">
        <f t="shared" si="153"/>
        <v>1.8712938997455978E-6</v>
      </c>
    </row>
    <row r="505" spans="15:19" x14ac:dyDescent="0.25">
      <c r="O505" s="43">
        <f t="shared" si="156"/>
        <v>58623</v>
      </c>
      <c r="P505" s="24">
        <f t="shared" si="154"/>
        <v>15157</v>
      </c>
      <c r="Q505" s="19">
        <f t="shared" si="155"/>
        <v>0.62557814427758562</v>
      </c>
      <c r="R505" s="19">
        <f t="shared" si="152"/>
        <v>6.4785158579821376</v>
      </c>
      <c r="S505" s="19">
        <f t="shared" si="153"/>
        <v>1.8114498863461278E-6</v>
      </c>
    </row>
    <row r="506" spans="15:19" x14ac:dyDescent="0.25">
      <c r="O506" s="43">
        <f t="shared" si="156"/>
        <v>58654</v>
      </c>
      <c r="P506" s="24">
        <f t="shared" si="154"/>
        <v>15188</v>
      </c>
      <c r="Q506" s="19">
        <f t="shared" si="155"/>
        <v>0.62116362113201307</v>
      </c>
      <c r="R506" s="19">
        <f t="shared" si="152"/>
        <v>6.4445594490623543</v>
      </c>
      <c r="S506" s="19">
        <f t="shared" si="153"/>
        <v>1.7516306373617874E-6</v>
      </c>
    </row>
    <row r="507" spans="15:19" x14ac:dyDescent="0.25">
      <c r="O507" s="43">
        <f t="shared" si="156"/>
        <v>58685</v>
      </c>
      <c r="P507" s="24">
        <f t="shared" si="154"/>
        <v>15219</v>
      </c>
      <c r="Q507" s="19">
        <f t="shared" si="155"/>
        <v>0.61678024999323822</v>
      </c>
      <c r="R507" s="19">
        <f t="shared" si="152"/>
        <v>6.4107810188234922</v>
      </c>
      <c r="S507" s="19">
        <f t="shared" si="153"/>
        <v>1.6937963392018185E-6</v>
      </c>
    </row>
    <row r="508" spans="15:19" x14ac:dyDescent="0.25">
      <c r="O508" s="43">
        <f t="shared" si="156"/>
        <v>58715</v>
      </c>
      <c r="P508" s="24">
        <f t="shared" si="154"/>
        <v>15249</v>
      </c>
      <c r="Q508" s="19">
        <f t="shared" si="155"/>
        <v>0.61256773171396273</v>
      </c>
      <c r="R508" s="19">
        <f t="shared" si="152"/>
        <v>6.3782607960875923</v>
      </c>
      <c r="S508" s="19">
        <f t="shared" si="153"/>
        <v>1.6396552473648873E-6</v>
      </c>
    </row>
    <row r="509" spans="15:19" x14ac:dyDescent="0.25">
      <c r="O509" s="43">
        <f t="shared" si="156"/>
        <v>58746</v>
      </c>
      <c r="P509" s="24">
        <f t="shared" si="154"/>
        <v>15280</v>
      </c>
      <c r="Q509" s="19">
        <f t="shared" si="155"/>
        <v>0.6082450192684935</v>
      </c>
      <c r="R509" s="19">
        <f t="shared" si="152"/>
        <v>6.3448298627478019</v>
      </c>
      <c r="S509" s="19">
        <f t="shared" si="153"/>
        <v>1.5855356650292963E-6</v>
      </c>
    </row>
    <row r="510" spans="15:19" x14ac:dyDescent="0.25">
      <c r="O510" s="44">
        <f t="shared" si="156"/>
        <v>58776</v>
      </c>
      <c r="P510" s="25">
        <f t="shared" si="154"/>
        <v>15310</v>
      </c>
      <c r="Q510" s="21">
        <f t="shared" si="155"/>
        <v>0.60409079535815458</v>
      </c>
      <c r="R510" s="21">
        <f t="shared" si="152"/>
        <v>6.3126441930529413</v>
      </c>
      <c r="S510" s="21">
        <f t="shared" si="153"/>
        <v>1.5348715177376035E-6</v>
      </c>
    </row>
    <row r="511" spans="15:19" x14ac:dyDescent="0.25">
      <c r="O511" s="43">
        <f t="shared" si="156"/>
        <v>58807</v>
      </c>
      <c r="P511" s="24">
        <f t="shared" si="154"/>
        <v>15341</v>
      </c>
      <c r="Q511" s="19">
        <f t="shared" si="155"/>
        <v>0.599827902188804</v>
      </c>
      <c r="R511" s="19">
        <f t="shared" si="152"/>
        <v>6.2795571817245213</v>
      </c>
      <c r="S511" s="19">
        <f t="shared" si="153"/>
        <v>1.4842269437727385E-6</v>
      </c>
    </row>
    <row r="512" spans="15:19" x14ac:dyDescent="0.25">
      <c r="O512" s="43">
        <f t="shared" si="156"/>
        <v>58838</v>
      </c>
      <c r="P512" s="24">
        <f t="shared" si="154"/>
        <v>15372</v>
      </c>
      <c r="Q512" s="19">
        <f t="shared" si="155"/>
        <v>0.59559509101757879</v>
      </c>
      <c r="R512" s="19">
        <f t="shared" si="152"/>
        <v>6.2466435922277732</v>
      </c>
      <c r="S512" s="19">
        <f t="shared" si="153"/>
        <v>1.4352615141831867E-6</v>
      </c>
    </row>
    <row r="513" spans="15:19" x14ac:dyDescent="0.25">
      <c r="O513" s="43">
        <f t="shared" si="156"/>
        <v>58866</v>
      </c>
      <c r="P513" s="24">
        <f t="shared" si="154"/>
        <v>15400</v>
      </c>
      <c r="Q513" s="19">
        <f t="shared" si="155"/>
        <v>0.59179758624945489</v>
      </c>
      <c r="R513" s="19">
        <f t="shared" si="152"/>
        <v>6.2170634924017811</v>
      </c>
      <c r="S513" s="19">
        <f t="shared" si="153"/>
        <v>1.3924313659479366E-6</v>
      </c>
    </row>
    <row r="514" spans="15:19" x14ac:dyDescent="0.25">
      <c r="O514" s="43">
        <f t="shared" si="156"/>
        <v>58897</v>
      </c>
      <c r="P514" s="24">
        <f t="shared" si="154"/>
        <v>15431</v>
      </c>
      <c r="Q514" s="19">
        <f t="shared" si="155"/>
        <v>0.58762144268387506</v>
      </c>
      <c r="R514" s="19">
        <f t="shared" si="152"/>
        <v>6.1844774565170129</v>
      </c>
      <c r="S514" s="19">
        <f t="shared" si="153"/>
        <v>1.3465087365754865E-6</v>
      </c>
    </row>
    <row r="515" spans="15:19" x14ac:dyDescent="0.25">
      <c r="O515" s="43">
        <f t="shared" si="156"/>
        <v>58927</v>
      </c>
      <c r="P515" s="24">
        <f t="shared" si="154"/>
        <v>15461</v>
      </c>
      <c r="Q515" s="19">
        <f t="shared" si="155"/>
        <v>0.58360807476454379</v>
      </c>
      <c r="R515" s="19">
        <f t="shared" si="152"/>
        <v>6.1531052128230614</v>
      </c>
      <c r="S515" s="19">
        <f t="shared" si="153"/>
        <v>1.3035170166272296E-6</v>
      </c>
    </row>
    <row r="516" spans="15:19" x14ac:dyDescent="0.25">
      <c r="O516" s="43">
        <f t="shared" si="156"/>
        <v>58958</v>
      </c>
      <c r="P516" s="24">
        <f t="shared" si="154"/>
        <v>15492</v>
      </c>
      <c r="Q516" s="19">
        <f t="shared" si="155"/>
        <v>0.57948972220130623</v>
      </c>
      <c r="R516" s="19">
        <f t="shared" si="152"/>
        <v>6.1208544070346287</v>
      </c>
      <c r="S516" s="19">
        <f t="shared" si="153"/>
        <v>1.2605407417440925E-6</v>
      </c>
    </row>
    <row r="517" spans="15:19" x14ac:dyDescent="0.25">
      <c r="O517" s="43">
        <f t="shared" si="156"/>
        <v>58988</v>
      </c>
      <c r="P517" s="24">
        <f t="shared" si="154"/>
        <v>15522</v>
      </c>
      <c r="Q517" s="19">
        <f t="shared" si="155"/>
        <v>0.57553189273537886</v>
      </c>
      <c r="R517" s="19">
        <f t="shared" si="152"/>
        <v>6.0898049065032094</v>
      </c>
      <c r="S517" s="19">
        <f t="shared" si="153"/>
        <v>1.2203068917050593E-6</v>
      </c>
    </row>
    <row r="518" spans="15:19" x14ac:dyDescent="0.25">
      <c r="O518" s="43">
        <f t="shared" si="156"/>
        <v>59019</v>
      </c>
      <c r="P518" s="24">
        <f t="shared" si="154"/>
        <v>15553</v>
      </c>
      <c r="Q518" s="19">
        <f t="shared" si="155"/>
        <v>0.57147053144145221</v>
      </c>
      <c r="R518" s="19">
        <f t="shared" si="152"/>
        <v>6.0578858821186135</v>
      </c>
      <c r="S518" s="19">
        <f t="shared" si="153"/>
        <v>1.1800870563317915E-6</v>
      </c>
    </row>
    <row r="519" spans="15:19" x14ac:dyDescent="0.25">
      <c r="O519" s="43">
        <f t="shared" si="156"/>
        <v>59050</v>
      </c>
      <c r="P519" s="24">
        <f t="shared" si="154"/>
        <v>15584</v>
      </c>
      <c r="Q519" s="19">
        <f t="shared" si="155"/>
        <v>0.5674378299937789</v>
      </c>
      <c r="R519" s="19">
        <f t="shared" ref="R519:R534" si="157">IF(days&lt;tlim_gas,
qi_gas/(1+b_gas*(d_gas/365)*days)^(1/b_gas),
qlim_gas * EXP((-dmin_gas/365)* ( days-tlim_gas)))</f>
        <v>6.0261341576940817</v>
      </c>
      <c r="S519" s="19">
        <f t="shared" ref="S519:S534" si="158">IF(days&lt;tlim_water,
qi_water/(1+b_water*(d_water/365)*days)^(1/b_water),
qlim_water * EXP((-dmin_water/365)* ( days-tlim_water)))</f>
        <v>1.1411992258398381E-6</v>
      </c>
    </row>
    <row r="520" spans="15:19" x14ac:dyDescent="0.25">
      <c r="O520" s="43">
        <f t="shared" si="156"/>
        <v>59080</v>
      </c>
      <c r="P520" s="24">
        <f t="shared" ref="P520:P534" si="159">O520-$O$7</f>
        <v>15614</v>
      </c>
      <c r="Q520" s="19">
        <f t="shared" ref="Q520:Q534" si="160">IF(days&lt;tlim_oil,
qi_oil/(1+b_oil*(d_oil)*(days/365.25))^(1/b_oil),
qlim_oil * EXP((-dmin_oil/365)* ( days-tlim_oil)))</f>
        <v>0.56356231317684546</v>
      </c>
      <c r="R520" s="19">
        <f t="shared" si="157"/>
        <v>5.9955651483223358</v>
      </c>
      <c r="S520" s="19">
        <f t="shared" si="158"/>
        <v>1.1047923261210322E-6</v>
      </c>
    </row>
    <row r="521" spans="15:19" x14ac:dyDescent="0.25">
      <c r="O521" s="43">
        <f t="shared" si="156"/>
        <v>59111</v>
      </c>
      <c r="P521" s="24">
        <f t="shared" si="159"/>
        <v>15645</v>
      </c>
      <c r="Q521" s="19">
        <f t="shared" si="160"/>
        <v>0.5595854177270142</v>
      </c>
      <c r="R521" s="19">
        <f t="shared" si="157"/>
        <v>5.9641400709829338</v>
      </c>
      <c r="S521" s="19">
        <f t="shared" si="158"/>
        <v>1.0683975085516904E-6</v>
      </c>
    </row>
    <row r="522" spans="15:19" x14ac:dyDescent="0.25">
      <c r="O522" s="44">
        <f t="shared" si="156"/>
        <v>59141</v>
      </c>
      <c r="P522" s="25">
        <f t="shared" si="159"/>
        <v>15675</v>
      </c>
      <c r="Q522" s="21">
        <f t="shared" si="160"/>
        <v>0.55576353172950221</v>
      </c>
      <c r="R522" s="21">
        <f t="shared" si="157"/>
        <v>5.9338855414697642</v>
      </c>
      <c r="S522" s="21">
        <f t="shared" si="158"/>
        <v>1.0343242026882832E-6</v>
      </c>
    </row>
    <row r="523" spans="15:19" x14ac:dyDescent="0.25">
      <c r="O523" s="43">
        <f t="shared" si="156"/>
        <v>59172</v>
      </c>
      <c r="P523" s="24">
        <f t="shared" si="159"/>
        <v>15706</v>
      </c>
      <c r="Q523" s="19">
        <f t="shared" si="160"/>
        <v>0.55184167001369977</v>
      </c>
      <c r="R523" s="19">
        <f t="shared" si="157"/>
        <v>5.9027837508210501</v>
      </c>
      <c r="S523" s="19">
        <f t="shared" si="158"/>
        <v>1.0002618328401902E-6</v>
      </c>
    </row>
    <row r="524" spans="15:19" x14ac:dyDescent="0.25">
      <c r="O524" s="43">
        <f t="shared" si="156"/>
        <v>59203</v>
      </c>
      <c r="P524" s="24">
        <f t="shared" si="159"/>
        <v>15737</v>
      </c>
      <c r="Q524" s="19">
        <f t="shared" si="160"/>
        <v>0.54794748373617252</v>
      </c>
      <c r="R524" s="19">
        <f t="shared" si="157"/>
        <v>5.8718449766941063</v>
      </c>
      <c r="S524" s="19">
        <f t="shared" si="158"/>
        <v>9.6732662773236053E-7</v>
      </c>
    </row>
    <row r="525" spans="15:19" x14ac:dyDescent="0.25">
      <c r="O525" s="43">
        <f t="shared" si="156"/>
        <v>59231</v>
      </c>
      <c r="P525" s="24">
        <f t="shared" si="159"/>
        <v>15765</v>
      </c>
      <c r="Q525" s="19">
        <f t="shared" si="160"/>
        <v>0.54445377934949857</v>
      </c>
      <c r="R525" s="19">
        <f t="shared" si="157"/>
        <v>5.8440396828576748</v>
      </c>
      <c r="S525" s="19">
        <f t="shared" si="158"/>
        <v>9.3851632277137481E-7</v>
      </c>
    </row>
    <row r="526" spans="15:19" x14ac:dyDescent="0.25">
      <c r="O526" s="43">
        <f t="shared" si="156"/>
        <v>59262</v>
      </c>
      <c r="P526" s="24">
        <f t="shared" si="159"/>
        <v>15796</v>
      </c>
      <c r="Q526" s="19">
        <f t="shared" si="160"/>
        <v>0.54061172726916518</v>
      </c>
      <c r="R526" s="19">
        <f t="shared" si="157"/>
        <v>5.8134088091259919</v>
      </c>
      <c r="S526" s="19">
        <f t="shared" si="158"/>
        <v>9.0762386511974077E-7</v>
      </c>
    </row>
    <row r="527" spans="15:19" x14ac:dyDescent="0.25">
      <c r="O527" s="43">
        <f t="shared" si="156"/>
        <v>59292</v>
      </c>
      <c r="P527" s="24">
        <f t="shared" si="159"/>
        <v>15826</v>
      </c>
      <c r="Q527" s="19">
        <f t="shared" si="160"/>
        <v>0.53691942878338028</v>
      </c>
      <c r="R527" s="19">
        <f t="shared" si="157"/>
        <v>5.7839189000536777</v>
      </c>
      <c r="S527" s="19">
        <f t="shared" si="158"/>
        <v>8.7870115991517253E-7</v>
      </c>
    </row>
    <row r="528" spans="15:19" x14ac:dyDescent="0.25">
      <c r="O528" s="43">
        <f t="shared" si="156"/>
        <v>59323</v>
      </c>
      <c r="P528" s="24">
        <f t="shared" si="159"/>
        <v>15857</v>
      </c>
      <c r="Q528" s="19">
        <f t="shared" si="160"/>
        <v>0.53313054442520158</v>
      </c>
      <c r="R528" s="19">
        <f t="shared" si="157"/>
        <v>5.7536031426125502</v>
      </c>
      <c r="S528" s="19">
        <f t="shared" si="158"/>
        <v>8.4978695747188292E-7</v>
      </c>
    </row>
    <row r="529" spans="15:19" x14ac:dyDescent="0.25">
      <c r="O529" s="43">
        <f t="shared" si="156"/>
        <v>59353</v>
      </c>
      <c r="P529" s="24">
        <f t="shared" si="159"/>
        <v>15887</v>
      </c>
      <c r="Q529" s="19">
        <f t="shared" si="160"/>
        <v>0.52948934131654846</v>
      </c>
      <c r="R529" s="19">
        <f t="shared" si="157"/>
        <v>5.724416612113016</v>
      </c>
      <c r="S529" s="19">
        <f t="shared" si="158"/>
        <v>8.2271607583006947E-7</v>
      </c>
    </row>
    <row r="530" spans="15:19" x14ac:dyDescent="0.25">
      <c r="O530" s="43">
        <f t="shared" si="156"/>
        <v>59384</v>
      </c>
      <c r="P530" s="24">
        <f t="shared" si="159"/>
        <v>15918</v>
      </c>
      <c r="Q530" s="19">
        <f t="shared" si="160"/>
        <v>0.52575288892613614</v>
      </c>
      <c r="R530" s="19">
        <f t="shared" si="157"/>
        <v>5.6944127291914954</v>
      </c>
      <c r="S530" s="19">
        <f t="shared" si="158"/>
        <v>7.9565285790052027E-7</v>
      </c>
    </row>
    <row r="531" spans="15:19" x14ac:dyDescent="0.25">
      <c r="O531" s="43">
        <f t="shared" si="156"/>
        <v>59415</v>
      </c>
      <c r="P531" s="24">
        <f t="shared" si="159"/>
        <v>15949</v>
      </c>
      <c r="Q531" s="19">
        <f t="shared" si="160"/>
        <v>0.52204280359427668</v>
      </c>
      <c r="R531" s="19">
        <f t="shared" si="157"/>
        <v>5.664566108232437</v>
      </c>
      <c r="S531" s="19">
        <f t="shared" si="158"/>
        <v>7.6948418731052411E-7</v>
      </c>
    </row>
    <row r="532" spans="15:19" x14ac:dyDescent="0.25">
      <c r="O532" s="43">
        <f t="shared" si="156"/>
        <v>59445</v>
      </c>
      <c r="P532" s="24">
        <f t="shared" si="159"/>
        <v>15979</v>
      </c>
      <c r="Q532" s="19">
        <f t="shared" si="160"/>
        <v>0.51847732812269798</v>
      </c>
      <c r="R532" s="19">
        <f t="shared" si="157"/>
        <v>5.6358312394229957</v>
      </c>
      <c r="S532" s="19">
        <f t="shared" si="158"/>
        <v>7.4498340377702017E-7</v>
      </c>
    </row>
    <row r="533" spans="15:19" x14ac:dyDescent="0.25">
      <c r="O533" s="43">
        <f t="shared" si="156"/>
        <v>59476</v>
      </c>
      <c r="P533" s="24">
        <f t="shared" si="159"/>
        <v>16010</v>
      </c>
      <c r="Q533" s="19">
        <f t="shared" si="160"/>
        <v>0.51481858430885308</v>
      </c>
      <c r="R533" s="19">
        <f t="shared" si="157"/>
        <v>5.6062916667239575</v>
      </c>
      <c r="S533" s="19">
        <f t="shared" si="158"/>
        <v>7.2048915449828266E-7</v>
      </c>
    </row>
    <row r="534" spans="15:19" x14ac:dyDescent="0.25">
      <c r="O534" s="44">
        <f t="shared" si="156"/>
        <v>59506</v>
      </c>
      <c r="P534" s="25">
        <f t="shared" si="159"/>
        <v>16040</v>
      </c>
      <c r="Q534" s="21">
        <f t="shared" si="160"/>
        <v>0.51130244919114221</v>
      </c>
      <c r="R534" s="21">
        <f t="shared" si="157"/>
        <v>5.5778524089815784</v>
      </c>
      <c r="S534" s="21">
        <f t="shared" si="158"/>
        <v>6.9755582187334416E-7</v>
      </c>
    </row>
    <row r="535" spans="15:19" x14ac:dyDescent="0.25">
      <c r="O535" s="43"/>
      <c r="P535" s="24"/>
      <c r="Q535" s="19"/>
      <c r="R535" s="19"/>
      <c r="S535" s="19"/>
    </row>
  </sheetData>
  <customSheetViews>
    <customSheetView guid="{67117C0F-1B5D-4D89-8B0C-855EE265FFB6}" scale="70" showPageBreaks="1" showGridLines="0" fitToPage="1">
      <pane xSplit="2" ySplit="6" topLeftCell="C7" activePane="bottomRight" state="frozen"/>
      <selection pane="bottomRight" activeCell="C7" sqref="C7"/>
      <pageMargins left="0.7" right="0.7" top="0.75" bottom="0.75" header="0.3" footer="0.3"/>
      <printOptions horizontalCentered="1"/>
      <pageSetup scale="10" orientation="landscape" verticalDpi="0" r:id="rId1"/>
      <headerFooter>
        <oddFooter>&amp;L&amp;K01+047&amp;D,  &amp;T&amp;R&amp;K01+045 © AAPL 2018</oddFooter>
      </headerFooter>
    </customSheetView>
  </customSheetViews>
  <hyperlinks>
    <hyperlink ref="C34" r:id="rId2" xr:uid="{BE8CD7E9-3F73-46A8-9DD6-0C7D41509EDF}"/>
  </hyperlinks>
  <printOptions horizontalCentered="1"/>
  <pageMargins left="0.7" right="0.7" top="0.75" bottom="0.75" header="0.3" footer="0.3"/>
  <pageSetup scale="10" orientation="landscape" verticalDpi="0" r:id="rId3"/>
  <headerFooter>
    <oddFooter>&amp;L&amp;K01+047&amp;D,  &amp;T&amp;R&amp;K01+045 © AAPL 2018</oddFooter>
  </headerFooter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34977-71BF-4428-90D2-D7782432CDC6}">
  <sheetPr>
    <tabColor theme="1" tint="0.499984740745262"/>
    <pageSetUpPr fitToPage="1"/>
  </sheetPr>
  <dimension ref="A1:AV393"/>
  <sheetViews>
    <sheetView showGridLines="0"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1.125" defaultRowHeight="15.75" x14ac:dyDescent="0.25"/>
  <cols>
    <col min="1" max="1" width="3" style="6" customWidth="1"/>
    <col min="2" max="2" width="16.125" style="2" customWidth="1"/>
    <col min="3" max="5" width="11" style="2" customWidth="1"/>
    <col min="6" max="14" width="11" style="6" customWidth="1"/>
    <col min="15" max="20" width="11.125" style="6"/>
    <col min="21" max="31" width="12.375" style="6" customWidth="1"/>
    <col min="32" max="34" width="14" style="6" customWidth="1"/>
    <col min="35" max="37" width="11.875" style="6" bestFit="1" customWidth="1"/>
    <col min="38" max="38" width="13" style="6" bestFit="1" customWidth="1"/>
    <col min="39" max="39" width="13" style="6" customWidth="1"/>
    <col min="40" max="40" width="17.625" style="6" customWidth="1"/>
    <col min="41" max="41" width="13" style="6" customWidth="1"/>
    <col min="42" max="42" width="11.125" style="6" customWidth="1"/>
    <col min="43" max="43" width="14.25" style="6" customWidth="1"/>
    <col min="44" max="16384" width="11.125" style="6"/>
  </cols>
  <sheetData>
    <row r="1" spans="2:48" ht="23.25" x14ac:dyDescent="0.35">
      <c r="B1" s="1" t="s">
        <v>230</v>
      </c>
      <c r="C1" s="1"/>
      <c r="D1" s="1"/>
    </row>
    <row r="2" spans="2:48" s="7" customFormat="1" ht="18.75" x14ac:dyDescent="0.3">
      <c r="B2" s="5" t="s">
        <v>49</v>
      </c>
      <c r="C2" s="5"/>
      <c r="D2" s="5"/>
      <c r="E2" s="3"/>
    </row>
    <row r="3" spans="2:48" x14ac:dyDescent="0.25">
      <c r="B3" s="4"/>
      <c r="C3" s="4"/>
      <c r="D3" s="4"/>
      <c r="AL3" s="13" t="s">
        <v>45</v>
      </c>
      <c r="AM3" s="13"/>
      <c r="AN3" s="13"/>
      <c r="AO3" s="13"/>
      <c r="AS3" s="13" t="s">
        <v>210</v>
      </c>
      <c r="AT3" s="13"/>
      <c r="AU3" s="13"/>
    </row>
    <row r="4" spans="2:48" x14ac:dyDescent="0.25">
      <c r="E4" s="13" t="s">
        <v>29</v>
      </c>
      <c r="I4" s="13" t="s">
        <v>218</v>
      </c>
      <c r="K4" s="13" t="s">
        <v>84</v>
      </c>
      <c r="O4" s="13" t="s">
        <v>30</v>
      </c>
      <c r="R4" s="13" t="s">
        <v>201</v>
      </c>
      <c r="U4" s="13" t="s">
        <v>34</v>
      </c>
      <c r="Y4" s="13" t="s">
        <v>32</v>
      </c>
      <c r="AF4" s="13" t="s">
        <v>33</v>
      </c>
      <c r="AG4" s="13"/>
      <c r="AH4" s="13"/>
      <c r="AI4" s="13" t="s">
        <v>41</v>
      </c>
      <c r="AL4" s="6" t="s">
        <v>46</v>
      </c>
      <c r="AP4" s="23"/>
      <c r="AQ4" s="23"/>
    </row>
    <row r="5" spans="2:48" ht="32.25" thickBot="1" x14ac:dyDescent="0.3">
      <c r="B5" s="8" t="s">
        <v>15</v>
      </c>
      <c r="C5" s="22" t="s">
        <v>88</v>
      </c>
      <c r="D5" s="22" t="s">
        <v>36</v>
      </c>
      <c r="E5" s="9" t="s">
        <v>7</v>
      </c>
      <c r="F5" s="9" t="s">
        <v>8</v>
      </c>
      <c r="G5" s="9" t="s">
        <v>13</v>
      </c>
      <c r="H5" s="9" t="s">
        <v>16</v>
      </c>
      <c r="I5" s="9" t="s">
        <v>161</v>
      </c>
      <c r="J5" s="9" t="s">
        <v>162</v>
      </c>
      <c r="K5" s="9" t="s">
        <v>7</v>
      </c>
      <c r="L5" s="9" t="s">
        <v>8</v>
      </c>
      <c r="M5" s="9" t="s">
        <v>13</v>
      </c>
      <c r="N5" s="9" t="s">
        <v>16</v>
      </c>
      <c r="O5" s="9" t="s">
        <v>7</v>
      </c>
      <c r="P5" s="9" t="s">
        <v>8</v>
      </c>
      <c r="Q5" s="9" t="s">
        <v>16</v>
      </c>
      <c r="R5" s="9" t="s">
        <v>7</v>
      </c>
      <c r="S5" s="9" t="s">
        <v>8</v>
      </c>
      <c r="T5" s="9" t="s">
        <v>16</v>
      </c>
      <c r="U5" s="9" t="s">
        <v>7</v>
      </c>
      <c r="V5" s="9" t="s">
        <v>8</v>
      </c>
      <c r="W5" s="9" t="s">
        <v>16</v>
      </c>
      <c r="X5" s="9" t="s">
        <v>35</v>
      </c>
      <c r="Y5" s="22" t="s">
        <v>37</v>
      </c>
      <c r="Z5" s="22" t="s">
        <v>38</v>
      </c>
      <c r="AA5" s="22" t="s">
        <v>257</v>
      </c>
      <c r="AB5" s="22" t="s">
        <v>39</v>
      </c>
      <c r="AC5" s="22" t="s">
        <v>40</v>
      </c>
      <c r="AD5" s="22" t="s">
        <v>51</v>
      </c>
      <c r="AE5" s="22" t="s">
        <v>256</v>
      </c>
      <c r="AF5" s="9" t="s">
        <v>126</v>
      </c>
      <c r="AG5" s="9" t="s">
        <v>127</v>
      </c>
      <c r="AH5" s="9" t="s">
        <v>129</v>
      </c>
      <c r="AI5" s="9" t="s">
        <v>42</v>
      </c>
      <c r="AJ5" s="9" t="s">
        <v>43</v>
      </c>
      <c r="AK5" s="9" t="s">
        <v>131</v>
      </c>
      <c r="AL5" s="9" t="s">
        <v>132</v>
      </c>
      <c r="AM5" s="9" t="s">
        <v>124</v>
      </c>
      <c r="AN5" s="15" t="s">
        <v>198</v>
      </c>
      <c r="AO5" s="15" t="s">
        <v>87</v>
      </c>
      <c r="AP5" s="15" t="str">
        <f>"Total Disc CF @ "&amp;TEXT(disc_1,"##%")</f>
        <v>Total Disc CF @ 10%</v>
      </c>
      <c r="AQ5" s="15" t="s">
        <v>138</v>
      </c>
      <c r="AS5" s="22" t="s">
        <v>214</v>
      </c>
      <c r="AT5" s="22" t="s">
        <v>217</v>
      </c>
      <c r="AU5" s="22" t="s">
        <v>215</v>
      </c>
      <c r="AV5" s="22" t="s">
        <v>216</v>
      </c>
    </row>
    <row r="6" spans="2:48" x14ac:dyDescent="0.25">
      <c r="B6" s="42">
        <f>as_of</f>
        <v>44197</v>
      </c>
      <c r="C6" s="79">
        <f>YEAR(B6)</f>
        <v>2021</v>
      </c>
      <c r="D6" s="64">
        <f ca="1">wellcount_base  +  SUM('forecast production'!I$7:I7)</f>
        <v>1</v>
      </c>
      <c r="E6" s="108">
        <f ca="1">'forecast production'!AE7</f>
        <v>999.65129029819309</v>
      </c>
      <c r="F6" s="97">
        <f ca="1">'forecast production'!AF7</f>
        <v>4160.524168653903</v>
      </c>
      <c r="G6" s="97">
        <f ca="1">'forecast production'!AG7</f>
        <v>655.31736389311311</v>
      </c>
      <c r="H6" s="98">
        <f ca="1">'forecast production'!AH7</f>
        <v>624.07862529808551</v>
      </c>
      <c r="I6" s="305">
        <f>WI</f>
        <v>1</v>
      </c>
      <c r="J6" s="306">
        <f>NRI</f>
        <v>0.75</v>
      </c>
      <c r="K6" s="111">
        <f t="shared" ref="K6:K69" ca="1" si="0">E6*NRI_current</f>
        <v>749.73846772364482</v>
      </c>
      <c r="L6" s="98">
        <f t="shared" ref="L6:L69" ca="1" si="1">F6 * NRI_current * ( 1-shrink_ngl-shrink_leaseuse) - vol_leaseuse</f>
        <v>2340.2948448678203</v>
      </c>
      <c r="M6" s="98">
        <f t="shared" ref="M6:M69" ca="1" si="2">G6*NRI_current</f>
        <v>491.48802291983486</v>
      </c>
      <c r="N6" s="98">
        <f t="shared" ref="N6:N69" ca="1" si="3">H6 * NRI_current</f>
        <v>468.05896897356411</v>
      </c>
      <c r="O6" s="67">
        <f>assumptions!M10</f>
        <v>55</v>
      </c>
      <c r="P6" s="68">
        <f>assumptions!N10</f>
        <v>3</v>
      </c>
      <c r="Q6" s="68">
        <f>assumptions!O10</f>
        <v>22</v>
      </c>
      <c r="R6" s="69">
        <f t="shared" ref="R6:R69" si="4" xml:space="preserve"> (O6*mult_oilprice )  *  (1+  pdiff_oil)   + diff_oil</f>
        <v>52.5</v>
      </c>
      <c r="S6" s="68">
        <f t="shared" ref="S6:S69" si="5" xml:space="preserve"> (  (P6*mult_gasprice )  * (1+   pdiff_gas)  +  diff_gas ) *  energy_residue/1000</f>
        <v>2.3275000000000001</v>
      </c>
      <c r="T6" s="68">
        <f t="shared" ref="T6:T69" si="6">mult_oilprice * (1+pdiff_ngl)*O6</f>
        <v>22</v>
      </c>
      <c r="U6" s="71">
        <f ca="1">K6*R6</f>
        <v>39361.269555491352</v>
      </c>
      <c r="V6" s="72">
        <f t="shared" ref="V6:V69" ca="1" si="7">L6*S6</f>
        <v>5447.0362514298522</v>
      </c>
      <c r="W6" s="72">
        <f t="shared" ref="W6:W69" ca="1" si="8">N6*T6</f>
        <v>10297.29731741841</v>
      </c>
      <c r="X6" s="72">
        <f ca="1">SUM(U6:W6)</f>
        <v>55105.603124339614</v>
      </c>
      <c r="Y6" s="71">
        <f>mult_opex * fixed_month</f>
        <v>1000</v>
      </c>
      <c r="Z6" s="72">
        <f ca="1">mult_opex * fixed_well *D6</f>
        <v>5000</v>
      </c>
      <c r="AA6" s="72">
        <f ca="1">(Z6+Y6)*WI_current_1</f>
        <v>6000</v>
      </c>
      <c r="AB6" s="72">
        <f ca="1">mult_opex * var_bo*E6</f>
        <v>0</v>
      </c>
      <c r="AC6" s="72">
        <f ca="1">mult_opex * var_mcf*F6</f>
        <v>0</v>
      </c>
      <c r="AD6" s="72">
        <f ca="1">mult_opex * var_bw * G6</f>
        <v>1310.6347277862262</v>
      </c>
      <c r="AE6" s="72">
        <f ca="1">SUM(AB6:AD6)*WI_current_1</f>
        <v>1310.6347277862262</v>
      </c>
      <c r="AF6" s="71">
        <f>initial_investment</f>
        <v>0</v>
      </c>
      <c r="AG6" s="144">
        <f>mult_capex * capex_new*WI_current_1 *'forecast production'!I7</f>
        <v>0</v>
      </c>
      <c r="AH6" s="145">
        <f>AG6+AF6</f>
        <v>0</v>
      </c>
      <c r="AI6" s="71">
        <f t="shared" ref="AI6:AI69" ca="1" si="9">U6*sev_oil   +  V6*sev_gas  +  W6*sev_ngl</f>
        <v>2991.4434172162219</v>
      </c>
      <c r="AJ6" s="72">
        <f t="shared" ref="AJ6:AJ69" ca="1" si="10">adval * X6</f>
        <v>1377.6400781084903</v>
      </c>
      <c r="AK6" s="72">
        <f ca="1">SUM(AI6:AJ6)</f>
        <v>4369.0834953247122</v>
      </c>
      <c r="AL6" s="71">
        <f t="shared" ref="AL6:AL69" ca="1" si="11">X6-AE6-AH6-AK6-AA6</f>
        <v>43425.884901228674</v>
      </c>
      <c r="AM6" s="132">
        <f ca="1">IF(X6*(lease_NRI/J6)  - (Z6+Y6+AB6+AC6+AD6)  - (AK6)*(lease_NRI/J6)&gt;0,1,0)</f>
        <v>1</v>
      </c>
      <c r="AN6" s="71">
        <f ca="1">AL6*AM6</f>
        <v>43425.884901228674</v>
      </c>
      <c r="AO6" s="75">
        <f ca="1">AL6</f>
        <v>43425.884901228674</v>
      </c>
      <c r="AP6" s="143">
        <f ca="1">AO6</f>
        <v>43425.884901228674</v>
      </c>
      <c r="AQ6" s="143">
        <f ca="1">AP6</f>
        <v>43425.884901228674</v>
      </c>
      <c r="AS6" s="302"/>
      <c r="AT6" s="296"/>
      <c r="AU6" s="297"/>
      <c r="AV6" s="302">
        <v>0</v>
      </c>
    </row>
    <row r="7" spans="2:48" x14ac:dyDescent="0.25">
      <c r="B7" s="42">
        <f>EOMONTH(B6,0)+1</f>
        <v>44228</v>
      </c>
      <c r="C7" s="79">
        <f t="shared" ref="C7:C70" si="12">YEAR(B7)</f>
        <v>2021</v>
      </c>
      <c r="D7" s="64">
        <f ca="1">wellcount_base  +  SUM('forecast production'!I$7:I8)</f>
        <v>1</v>
      </c>
      <c r="E7" s="108">
        <f ca="1">'forecast production'!AE8</f>
        <v>877.69250734629099</v>
      </c>
      <c r="F7" s="97">
        <f ca="1">'forecast production'!AF8</f>
        <v>3685.5041352782137</v>
      </c>
      <c r="G7" s="97">
        <f ca="1">'forecast production'!AG8</f>
        <v>570.72664971688664</v>
      </c>
      <c r="H7" s="98">
        <f ca="1">'forecast production'!AH8</f>
        <v>552.82562029173209</v>
      </c>
      <c r="I7" s="307">
        <f t="shared" ref="I7:I70" si="13">IF(AV6,WI_APO, WI)</f>
        <v>1</v>
      </c>
      <c r="J7" s="306">
        <f t="shared" ref="J7:J70" si="14">IF(AV6,NRI_APO, NRI)</f>
        <v>0.75</v>
      </c>
      <c r="K7" s="112">
        <f t="shared" ca="1" si="0"/>
        <v>658.2693805097183</v>
      </c>
      <c r="L7" s="98">
        <f t="shared" ca="1" si="1"/>
        <v>2073.0960760939952</v>
      </c>
      <c r="M7" s="98">
        <f t="shared" ca="1" si="2"/>
        <v>428.04498728766498</v>
      </c>
      <c r="N7" s="98">
        <f t="shared" ca="1" si="3"/>
        <v>414.61921521879907</v>
      </c>
      <c r="O7" s="67">
        <f>assumptions!M11</f>
        <v>55</v>
      </c>
      <c r="P7" s="68">
        <f>assumptions!N11</f>
        <v>3</v>
      </c>
      <c r="Q7" s="68">
        <f>assumptions!O11</f>
        <v>22</v>
      </c>
      <c r="R7" s="67">
        <f t="shared" si="4"/>
        <v>52.5</v>
      </c>
      <c r="S7" s="68">
        <f t="shared" si="5"/>
        <v>2.3275000000000001</v>
      </c>
      <c r="T7" s="68">
        <f t="shared" si="6"/>
        <v>22</v>
      </c>
      <c r="U7" s="73">
        <f t="shared" ref="U7:U69" ca="1" si="15">K7*R7</f>
        <v>34559.142476760208</v>
      </c>
      <c r="V7" s="72">
        <f t="shared" ca="1" si="7"/>
        <v>4825.1311171087737</v>
      </c>
      <c r="W7" s="72">
        <f t="shared" ca="1" si="8"/>
        <v>9121.6227348135799</v>
      </c>
      <c r="X7" s="72">
        <f t="shared" ref="X7:X70" ca="1" si="16">SUM(U7:W7)</f>
        <v>48505.89632868256</v>
      </c>
      <c r="Y7" s="347">
        <f>mult_opex * fixed_month</f>
        <v>1000</v>
      </c>
      <c r="Z7" s="348">
        <f ca="1">mult_opex * fixed_well *D7</f>
        <v>5000</v>
      </c>
      <c r="AA7" s="348">
        <f ca="1">(Z7+Y7)*WI_current_1</f>
        <v>6000</v>
      </c>
      <c r="AB7" s="348">
        <f ca="1">mult_opex * var_bo*E7</f>
        <v>0</v>
      </c>
      <c r="AC7" s="348">
        <f ca="1">mult_opex * var_mcf*F7</f>
        <v>0</v>
      </c>
      <c r="AD7" s="348">
        <f ca="1">mult_opex * var_bw * G7</f>
        <v>1141.4532994337733</v>
      </c>
      <c r="AE7" s="348">
        <f ca="1">SUM(AB7:AD7)*WI_current_1</f>
        <v>1141.4532994337733</v>
      </c>
      <c r="AF7" s="347">
        <f ca="1">mult_capex * IFERROR(OFFSET(assumptions!$F$39,MATCH(B7,assumptions!$E$39:$E$45,0)-1,0),0)</f>
        <v>0</v>
      </c>
      <c r="AG7" s="349">
        <f>mult_capex * capex_new*WI_current_1 *'forecast production'!I8</f>
        <v>0</v>
      </c>
      <c r="AH7" s="350">
        <f ca="1">AG7+AF7</f>
        <v>0</v>
      </c>
      <c r="AI7" s="347">
        <f t="shared" ca="1" si="9"/>
        <v>2635.727092825146</v>
      </c>
      <c r="AJ7" s="348">
        <f ca="1">adval * X7</f>
        <v>1212.6474082170641</v>
      </c>
      <c r="AK7" s="348">
        <f t="shared" ref="AK7:AK70" ca="1" si="17">SUM(AI7:AJ7)</f>
        <v>3848.3745010422099</v>
      </c>
      <c r="AL7" s="347">
        <f t="shared" ca="1" si="11"/>
        <v>37516.068528206582</v>
      </c>
      <c r="AM7" s="351">
        <f ca="1">IF(X7*(lease_NRI/J7)  - (Z7+Y7+AB7+AC7+AD7)  - (AK7)*(lease_NRI/J7)&gt;0,1,0)</f>
        <v>1</v>
      </c>
      <c r="AN7" s="73">
        <f t="shared" ref="AN7:AN70" ca="1" si="18">AL7*AM7</f>
        <v>37516.068528206582</v>
      </c>
      <c r="AO7" s="75">
        <f ca="1">AO6+AN7</f>
        <v>80941.953429435263</v>
      </c>
      <c r="AP7" s="72">
        <f ca="1">AL7  /  ( 1 + disc_1/12)^(COUNT($AL$6:AL7)-1)</f>
        <v>37206.018375080908</v>
      </c>
      <c r="AQ7" s="72">
        <f ca="1">AQ6+AP7*AM7</f>
        <v>80631.903276309575</v>
      </c>
      <c r="AS7" s="303">
        <f t="shared" ref="AS7:AS70" ca="1" si="19">IF(AO7&gt; (ROI_threshold-1)*initial_investment,1,0)</f>
        <v>1</v>
      </c>
      <c r="AT7" s="300">
        <f ca="1">IFERROR(IRR($AN$6:AN7)*12,0)</f>
        <v>0</v>
      </c>
      <c r="AU7" s="297">
        <f t="shared" ref="AU7:AU70" ca="1" si="20">IF(AT7&gt;ROR_threshold,1,0)</f>
        <v>0</v>
      </c>
      <c r="AV7" s="303">
        <f t="shared" ref="AV7:AV70" ca="1" si="21">IF(AND(AS7,AU7),1,0)</f>
        <v>0</v>
      </c>
    </row>
    <row r="8" spans="2:48" x14ac:dyDescent="0.25">
      <c r="B8" s="43">
        <f t="shared" ref="B8:B71" si="22">EOMONTH(B7,0)+1</f>
        <v>44256</v>
      </c>
      <c r="C8" s="79">
        <f t="shared" si="12"/>
        <v>2021</v>
      </c>
      <c r="D8" s="64">
        <f ca="1">wellcount_base  +  SUM('forecast production'!I$7:I9)</f>
        <v>1</v>
      </c>
      <c r="E8" s="108">
        <f ca="1">'forecast production'!AE9</f>
        <v>947.82020444049567</v>
      </c>
      <c r="F8" s="97">
        <f ca="1">'forecast production'!AF9</f>
        <v>4010.5994456525514</v>
      </c>
      <c r="G8" s="97">
        <f ca="1">'forecast production'!AG9</f>
        <v>611.42808582706505</v>
      </c>
      <c r="H8" s="98">
        <f ca="1">'forecast production'!AH9</f>
        <v>601.58991684788259</v>
      </c>
      <c r="I8" s="307">
        <f t="shared" ca="1" si="13"/>
        <v>1</v>
      </c>
      <c r="J8" s="306">
        <f t="shared" ca="1" si="14"/>
        <v>0.75</v>
      </c>
      <c r="K8" s="112">
        <f t="shared" ca="1" si="0"/>
        <v>710.86515333037175</v>
      </c>
      <c r="L8" s="98">
        <f t="shared" ca="1" si="1"/>
        <v>2255.9621881795601</v>
      </c>
      <c r="M8" s="98">
        <f t="shared" ca="1" si="2"/>
        <v>458.57106437029881</v>
      </c>
      <c r="N8" s="98">
        <f t="shared" ca="1" si="3"/>
        <v>451.19243763591192</v>
      </c>
      <c r="O8" s="67">
        <f>assumptions!M12</f>
        <v>55</v>
      </c>
      <c r="P8" s="68">
        <f>assumptions!N12</f>
        <v>3</v>
      </c>
      <c r="Q8" s="68">
        <f>assumptions!O12</f>
        <v>22</v>
      </c>
      <c r="R8" s="67">
        <f t="shared" si="4"/>
        <v>52.5</v>
      </c>
      <c r="S8" s="68">
        <f t="shared" si="5"/>
        <v>2.3275000000000001</v>
      </c>
      <c r="T8" s="68">
        <f t="shared" si="6"/>
        <v>22</v>
      </c>
      <c r="U8" s="73">
        <f t="shared" ca="1" si="15"/>
        <v>37320.420549844515</v>
      </c>
      <c r="V8" s="72">
        <f t="shared" ca="1" si="7"/>
        <v>5250.7519929879263</v>
      </c>
      <c r="W8" s="72">
        <f t="shared" ca="1" si="8"/>
        <v>9926.2336279900628</v>
      </c>
      <c r="X8" s="72">
        <f t="shared" ca="1" si="16"/>
        <v>52497.406170822505</v>
      </c>
      <c r="Y8" s="73">
        <f>mult_opex * fixed_month</f>
        <v>1000</v>
      </c>
      <c r="Z8" s="72">
        <f ca="1">mult_opex * fixed_well *D8</f>
        <v>5000</v>
      </c>
      <c r="AA8" s="72">
        <f ca="1">(Z8+Y8)*WI_current_1</f>
        <v>6000</v>
      </c>
      <c r="AB8" s="72">
        <f ca="1">mult_opex * var_bo*E8</f>
        <v>0</v>
      </c>
      <c r="AC8" s="72">
        <f ca="1">mult_opex * var_mcf*F8</f>
        <v>0</v>
      </c>
      <c r="AD8" s="72">
        <f ca="1">mult_opex * var_bw * G8</f>
        <v>1222.8561716541301</v>
      </c>
      <c r="AE8" s="72">
        <f ca="1">SUM(AB8:AD8)*WI_current_1</f>
        <v>1222.8561716541301</v>
      </c>
      <c r="AF8" s="73">
        <f ca="1">mult_capex * IFERROR(OFFSET(assumptions!$F$39,MATCH(B8,assumptions!$E$39:$E$45,0)-1,0),0)</f>
        <v>0</v>
      </c>
      <c r="AG8" s="75">
        <f ca="1">mult_capex * capex_new*WI_current_1 *'forecast production'!I9</f>
        <v>0</v>
      </c>
      <c r="AH8" s="146">
        <f t="shared" ref="AH8:AH70" ca="1" si="23">AG8+AF8</f>
        <v>0</v>
      </c>
      <c r="AI8" s="73">
        <f t="shared" ca="1" si="9"/>
        <v>2855.0132668661972</v>
      </c>
      <c r="AJ8" s="72">
        <f t="shared" ca="1" si="10"/>
        <v>1312.4351542705626</v>
      </c>
      <c r="AK8" s="72">
        <f t="shared" ca="1" si="17"/>
        <v>4167.4484211367599</v>
      </c>
      <c r="AL8" s="73">
        <f t="shared" ca="1" si="11"/>
        <v>41107.101578031616</v>
      </c>
      <c r="AM8" s="132">
        <f ca="1">IF(X8*(lease_NRI/J8)  - (Z8+Y8+AB8+AC8+AD8)  - (AK8)*(lease_NRI/J8)&gt;0,1,0)</f>
        <v>1</v>
      </c>
      <c r="AN8" s="73">
        <f t="shared" ca="1" si="18"/>
        <v>41107.101578031616</v>
      </c>
      <c r="AO8" s="75">
        <f t="shared" ref="AO8:AO71" ca="1" si="24">AO7+AN8</f>
        <v>122049.05500746687</v>
      </c>
      <c r="AP8" s="72">
        <f ca="1">AL8  /  ( 1 + disc_1/12)^(COUNT($AL$6:AL8)-1)</f>
        <v>40430.453023950227</v>
      </c>
      <c r="AQ8" s="72">
        <f t="shared" ref="AQ8:AQ71" ca="1" si="25">AQ7+AP8*AM8</f>
        <v>121062.35630025979</v>
      </c>
      <c r="AS8" s="303">
        <f t="shared" ca="1" si="19"/>
        <v>1</v>
      </c>
      <c r="AT8" s="300">
        <f ca="1">IFERROR(IRR($AN$6:AN8)*12,0)</f>
        <v>0</v>
      </c>
      <c r="AU8" s="297">
        <f t="shared" ca="1" si="20"/>
        <v>0</v>
      </c>
      <c r="AV8" s="303">
        <f t="shared" ca="1" si="21"/>
        <v>0</v>
      </c>
    </row>
    <row r="9" spans="2:48" x14ac:dyDescent="0.25">
      <c r="B9" s="43">
        <f t="shared" si="22"/>
        <v>44287</v>
      </c>
      <c r="C9" s="79">
        <f t="shared" si="12"/>
        <v>2021</v>
      </c>
      <c r="D9" s="64">
        <f ca="1">wellcount_base  +  SUM('forecast production'!I$7:I10)</f>
        <v>1</v>
      </c>
      <c r="E9" s="108">
        <f ca="1">'forecast production'!AE10</f>
        <v>892.91974108754789</v>
      </c>
      <c r="F9" s="97">
        <f ca="1">'forecast production'!AF10</f>
        <v>3809.1049203621878</v>
      </c>
      <c r="G9" s="97">
        <f ca="1">'forecast production'!AG10</f>
        <v>570.54586987632445</v>
      </c>
      <c r="H9" s="98">
        <f ca="1">'forecast production'!AH10</f>
        <v>571.36573805432818</v>
      </c>
      <c r="I9" s="307">
        <f t="shared" ca="1" si="13"/>
        <v>1</v>
      </c>
      <c r="J9" s="306">
        <f t="shared" ca="1" si="14"/>
        <v>0.75</v>
      </c>
      <c r="K9" s="112">
        <f t="shared" ca="1" si="0"/>
        <v>669.68980581566097</v>
      </c>
      <c r="L9" s="98">
        <f t="shared" ca="1" si="1"/>
        <v>2142.6215177037307</v>
      </c>
      <c r="M9" s="98">
        <f t="shared" ca="1" si="2"/>
        <v>427.90940240724331</v>
      </c>
      <c r="N9" s="98">
        <f t="shared" ca="1" si="3"/>
        <v>428.52430354074613</v>
      </c>
      <c r="O9" s="67">
        <f>assumptions!M13</f>
        <v>55</v>
      </c>
      <c r="P9" s="68">
        <f>assumptions!N13</f>
        <v>3</v>
      </c>
      <c r="Q9" s="68">
        <f>assumptions!O13</f>
        <v>22</v>
      </c>
      <c r="R9" s="67">
        <f t="shared" si="4"/>
        <v>52.5</v>
      </c>
      <c r="S9" s="68">
        <f t="shared" si="5"/>
        <v>2.3275000000000001</v>
      </c>
      <c r="T9" s="68">
        <f t="shared" si="6"/>
        <v>22</v>
      </c>
      <c r="U9" s="73">
        <f t="shared" ca="1" si="15"/>
        <v>35158.714805322204</v>
      </c>
      <c r="V9" s="72">
        <f t="shared" ca="1" si="7"/>
        <v>4986.9515824554337</v>
      </c>
      <c r="W9" s="72">
        <f t="shared" ca="1" si="8"/>
        <v>9427.5346778964158</v>
      </c>
      <c r="X9" s="72">
        <f t="shared" ca="1" si="16"/>
        <v>49573.201065674053</v>
      </c>
      <c r="Y9" s="73">
        <f>mult_opex * fixed_month</f>
        <v>1000</v>
      </c>
      <c r="Z9" s="72">
        <f ca="1">mult_opex * fixed_well *D9</f>
        <v>5000</v>
      </c>
      <c r="AA9" s="72">
        <f ca="1">(Z9+Y9)*WI_current_1</f>
        <v>6000</v>
      </c>
      <c r="AB9" s="72">
        <f ca="1">mult_opex * var_bo*E9</f>
        <v>0</v>
      </c>
      <c r="AC9" s="72">
        <f ca="1">mult_opex * var_mcf*F9</f>
        <v>0</v>
      </c>
      <c r="AD9" s="72">
        <f ca="1">mult_opex * var_bw * G9</f>
        <v>1141.0917397526489</v>
      </c>
      <c r="AE9" s="72">
        <f ca="1">SUM(AB9:AD9)*WI_current_1</f>
        <v>1141.0917397526489</v>
      </c>
      <c r="AF9" s="73">
        <f ca="1">mult_capex * IFERROR(OFFSET(assumptions!$F$39,MATCH(B9,assumptions!$E$39:$E$45,0)-1,0),0)</f>
        <v>0</v>
      </c>
      <c r="AG9" s="75">
        <f ca="1">mult_capex * capex_new*WI_current_1 *'forecast production'!I10</f>
        <v>0</v>
      </c>
      <c r="AH9" s="146">
        <f t="shared" ca="1" si="23"/>
        <v>0</v>
      </c>
      <c r="AI9" s="73">
        <f t="shared" ca="1" si="9"/>
        <v>2698.3873505712099</v>
      </c>
      <c r="AJ9" s="72">
        <f t="shared" ca="1" si="10"/>
        <v>1239.3300266418514</v>
      </c>
      <c r="AK9" s="72">
        <f t="shared" ca="1" si="17"/>
        <v>3937.7173772130614</v>
      </c>
      <c r="AL9" s="73">
        <f ca="1">X9-AE9-AH9-AK9-AA9</f>
        <v>38494.39194870834</v>
      </c>
      <c r="AM9" s="132">
        <f ca="1">IF(X9*(lease_NRI/J9)  - (Z9+Y9+AB9+AC9+AD9)  - (AK9)*(lease_NRI/J9)&gt;0,1,0)</f>
        <v>1</v>
      </c>
      <c r="AN9" s="73">
        <f t="shared" ca="1" si="18"/>
        <v>38494.39194870834</v>
      </c>
      <c r="AO9" s="75">
        <f t="shared" ca="1" si="24"/>
        <v>160543.4469561752</v>
      </c>
      <c r="AP9" s="72">
        <f ca="1">AL9  /  ( 1 + disc_1/12)^(COUNT($AL$6:AL9)-1)</f>
        <v>37547.851463973311</v>
      </c>
      <c r="AQ9" s="72">
        <f t="shared" ca="1" si="25"/>
        <v>158610.20776423311</v>
      </c>
      <c r="AS9" s="303">
        <f t="shared" ca="1" si="19"/>
        <v>1</v>
      </c>
      <c r="AT9" s="300">
        <f ca="1">IFERROR(IRR($AN$6:AN9)*12,0)</f>
        <v>0</v>
      </c>
      <c r="AU9" s="297">
        <f t="shared" ca="1" si="20"/>
        <v>0</v>
      </c>
      <c r="AV9" s="303">
        <f t="shared" ca="1" si="21"/>
        <v>0</v>
      </c>
    </row>
    <row r="10" spans="2:48" x14ac:dyDescent="0.25">
      <c r="B10" s="43">
        <f t="shared" si="22"/>
        <v>44317</v>
      </c>
      <c r="C10" s="79">
        <f t="shared" si="12"/>
        <v>2021</v>
      </c>
      <c r="D10" s="64">
        <f ca="1">wellcount_base  +  SUM('forecast production'!I$7:I11)</f>
        <v>1</v>
      </c>
      <c r="E10" s="108">
        <f ca="1">'forecast production'!AE11</f>
        <v>899.59578460402668</v>
      </c>
      <c r="F10" s="97">
        <f ca="1">'forecast production'!AF11</f>
        <v>3866.5451814011508</v>
      </c>
      <c r="G10" s="97">
        <f ca="1">'forecast production'!AG11</f>
        <v>569.15362757131334</v>
      </c>
      <c r="H10" s="98">
        <f ca="1">'forecast production'!AH11</f>
        <v>579.9817772101726</v>
      </c>
      <c r="I10" s="307">
        <f t="shared" ca="1" si="13"/>
        <v>1</v>
      </c>
      <c r="J10" s="306">
        <f t="shared" ca="1" si="14"/>
        <v>0.75</v>
      </c>
      <c r="K10" s="112">
        <f t="shared" ca="1" si="0"/>
        <v>674.69683845302006</v>
      </c>
      <c r="L10" s="98">
        <f t="shared" ca="1" si="1"/>
        <v>2174.9316645381473</v>
      </c>
      <c r="M10" s="98">
        <f t="shared" ca="1" si="2"/>
        <v>426.865220678485</v>
      </c>
      <c r="N10" s="98">
        <f t="shared" ca="1" si="3"/>
        <v>434.98633290762945</v>
      </c>
      <c r="O10" s="67">
        <f>assumptions!M14</f>
        <v>55</v>
      </c>
      <c r="P10" s="68">
        <f>assumptions!N14</f>
        <v>3</v>
      </c>
      <c r="Q10" s="68">
        <f>assumptions!O14</f>
        <v>22</v>
      </c>
      <c r="R10" s="67">
        <f t="shared" si="4"/>
        <v>52.5</v>
      </c>
      <c r="S10" s="68">
        <f t="shared" si="5"/>
        <v>2.3275000000000001</v>
      </c>
      <c r="T10" s="68">
        <f t="shared" si="6"/>
        <v>22</v>
      </c>
      <c r="U10" s="73">
        <f t="shared" ca="1" si="15"/>
        <v>35421.584018783557</v>
      </c>
      <c r="V10" s="72">
        <f t="shared" ca="1" si="7"/>
        <v>5062.1534492125384</v>
      </c>
      <c r="W10" s="72">
        <f t="shared" ca="1" si="8"/>
        <v>9569.6993239678486</v>
      </c>
      <c r="X10" s="72">
        <f t="shared" ca="1" si="16"/>
        <v>50053.436791963941</v>
      </c>
      <c r="Y10" s="73">
        <f>mult_opex * fixed_month</f>
        <v>1000</v>
      </c>
      <c r="Z10" s="72">
        <f ca="1">mult_opex * fixed_well *D10</f>
        <v>5000</v>
      </c>
      <c r="AA10" s="72">
        <f ca="1">(Z10+Y10)*WI_current_1</f>
        <v>6000</v>
      </c>
      <c r="AB10" s="72">
        <f ca="1">mult_opex * var_bo*E10</f>
        <v>0</v>
      </c>
      <c r="AC10" s="72">
        <f ca="1">mult_opex * var_mcf*F10</f>
        <v>0</v>
      </c>
      <c r="AD10" s="72">
        <f ca="1">mult_opex * var_bw * G10</f>
        <v>1138.3072551426267</v>
      </c>
      <c r="AE10" s="72">
        <f ca="1">SUM(AB10:AD10)*WI_current_1</f>
        <v>1138.3072551426267</v>
      </c>
      <c r="AF10" s="73">
        <f ca="1">mult_capex * IFERROR(OFFSET(assumptions!$F$39,MATCH(B10,assumptions!$E$39:$E$45,0)-1,0),0)</f>
        <v>0</v>
      </c>
      <c r="AG10" s="75">
        <f ca="1">mult_capex * capex_new*WI_current_1 *'forecast production'!I11</f>
        <v>0</v>
      </c>
      <c r="AH10" s="146">
        <f t="shared" ca="1" si="23"/>
        <v>0</v>
      </c>
      <c r="AI10" s="73">
        <f t="shared" ca="1" si="9"/>
        <v>2726.7818228525725</v>
      </c>
      <c r="AJ10" s="72">
        <f t="shared" ca="1" si="10"/>
        <v>1251.3359197990985</v>
      </c>
      <c r="AK10" s="72">
        <f t="shared" ca="1" si="17"/>
        <v>3978.1177426516711</v>
      </c>
      <c r="AL10" s="73">
        <f t="shared" ca="1" si="11"/>
        <v>38937.011794169644</v>
      </c>
      <c r="AM10" s="132">
        <f ca="1">IF(X10*(lease_NRI/J10)  - (Z10+Y10+AB10+AC10+AD10)  - (AK10)*(lease_NRI/J10)&gt;0,1,0)</f>
        <v>1</v>
      </c>
      <c r="AN10" s="73">
        <f t="shared" ca="1" si="18"/>
        <v>38937.011794169644</v>
      </c>
      <c r="AO10" s="75">
        <f t="shared" ca="1" si="24"/>
        <v>199480.45875034484</v>
      </c>
      <c r="AP10" s="72">
        <f ca="1">AL10  /  ( 1 + disc_1/12)^(COUNT($AL$6:AL10)-1)</f>
        <v>37665.70681827276</v>
      </c>
      <c r="AQ10" s="72">
        <f t="shared" ca="1" si="25"/>
        <v>196275.91458250588</v>
      </c>
      <c r="AS10" s="303">
        <f t="shared" ca="1" si="19"/>
        <v>1</v>
      </c>
      <c r="AT10" s="300">
        <f ca="1">IFERROR(IRR($AN$6:AN10)*12,0)</f>
        <v>0</v>
      </c>
      <c r="AU10" s="297">
        <f t="shared" ca="1" si="20"/>
        <v>0</v>
      </c>
      <c r="AV10" s="303">
        <f t="shared" ca="1" si="21"/>
        <v>0</v>
      </c>
    </row>
    <row r="11" spans="2:48" x14ac:dyDescent="0.25">
      <c r="B11" s="43">
        <f t="shared" si="22"/>
        <v>44348</v>
      </c>
      <c r="C11" s="79">
        <f t="shared" si="12"/>
        <v>2021</v>
      </c>
      <c r="D11" s="64">
        <f ca="1">wellcount_base  +  SUM('forecast production'!I$7:I12)</f>
        <v>1</v>
      </c>
      <c r="E11" s="108">
        <f ca="1">'forecast production'!AE12</f>
        <v>848.63370806597936</v>
      </c>
      <c r="F11" s="97">
        <f ca="1">'forecast production'!AF12</f>
        <v>3674.7406471061113</v>
      </c>
      <c r="G11" s="97">
        <f ca="1">'forecast production'!AG12</f>
        <v>531.10495566641066</v>
      </c>
      <c r="H11" s="98">
        <f ca="1">'forecast production'!AH12</f>
        <v>551.21109706591665</v>
      </c>
      <c r="I11" s="307">
        <f t="shared" ca="1" si="13"/>
        <v>1</v>
      </c>
      <c r="J11" s="306">
        <f t="shared" ca="1" si="14"/>
        <v>0.75</v>
      </c>
      <c r="K11" s="112">
        <f t="shared" ca="1" si="0"/>
        <v>636.47528104948447</v>
      </c>
      <c r="L11" s="98">
        <f t="shared" ca="1" si="1"/>
        <v>2067.0416139971876</v>
      </c>
      <c r="M11" s="98">
        <f t="shared" ca="1" si="2"/>
        <v>398.328716749808</v>
      </c>
      <c r="N11" s="98">
        <f t="shared" ca="1" si="3"/>
        <v>413.40832279943749</v>
      </c>
      <c r="O11" s="67">
        <f>assumptions!M15</f>
        <v>55</v>
      </c>
      <c r="P11" s="68">
        <f>assumptions!N15</f>
        <v>3</v>
      </c>
      <c r="Q11" s="68">
        <f>assumptions!O15</f>
        <v>22</v>
      </c>
      <c r="R11" s="67">
        <f t="shared" si="4"/>
        <v>52.5</v>
      </c>
      <c r="S11" s="68">
        <f t="shared" si="5"/>
        <v>2.3275000000000001</v>
      </c>
      <c r="T11" s="68">
        <f t="shared" si="6"/>
        <v>22</v>
      </c>
      <c r="U11" s="73">
        <f t="shared" ca="1" si="15"/>
        <v>33414.952255097931</v>
      </c>
      <c r="V11" s="72">
        <f t="shared" ca="1" si="7"/>
        <v>4811.0393565784543</v>
      </c>
      <c r="W11" s="72">
        <f t="shared" ca="1" si="8"/>
        <v>9094.9831015876243</v>
      </c>
      <c r="X11" s="72">
        <f t="shared" ca="1" si="16"/>
        <v>47320.974713264011</v>
      </c>
      <c r="Y11" s="73">
        <f>mult_opex * fixed_month</f>
        <v>1000</v>
      </c>
      <c r="Z11" s="72">
        <f ca="1">mult_opex * fixed_well *D11</f>
        <v>5000</v>
      </c>
      <c r="AA11" s="72">
        <f ca="1">(Z11+Y11)*WI_current_1</f>
        <v>6000</v>
      </c>
      <c r="AB11" s="72">
        <f ca="1">mult_opex * var_bo*E11</f>
        <v>0</v>
      </c>
      <c r="AC11" s="72">
        <f ca="1">mult_opex * var_mcf*F11</f>
        <v>0</v>
      </c>
      <c r="AD11" s="72">
        <f ca="1">mult_opex * var_bw * G11</f>
        <v>1062.2099113328213</v>
      </c>
      <c r="AE11" s="72">
        <f ca="1">SUM(AB11:AD11)*WI_current_1</f>
        <v>1062.2099113328213</v>
      </c>
      <c r="AF11" s="73">
        <f ca="1">mult_capex * IFERROR(OFFSET(assumptions!$F$39,MATCH(B11,assumptions!$E$39:$E$45,0)-1,0),0)</f>
        <v>0</v>
      </c>
      <c r="AG11" s="75">
        <f ca="1">mult_capex * capex_new*WI_current_1 *'forecast production'!I12</f>
        <v>0</v>
      </c>
      <c r="AH11" s="146">
        <f t="shared" ca="1" si="23"/>
        <v>0</v>
      </c>
      <c r="AI11" s="73">
        <f t="shared" ca="1" si="9"/>
        <v>2580.0394880969607</v>
      </c>
      <c r="AJ11" s="72">
        <f t="shared" ca="1" si="10"/>
        <v>1183.0243678316003</v>
      </c>
      <c r="AK11" s="72">
        <f t="shared" ca="1" si="17"/>
        <v>3763.0638559285608</v>
      </c>
      <c r="AL11" s="73">
        <f t="shared" ca="1" si="11"/>
        <v>36495.700946002631</v>
      </c>
      <c r="AM11" s="132">
        <f ca="1">IF(X11*(lease_NRI/J11)  - (Z11+Y11+AB11+AC11+AD11)  - (AK11)*(lease_NRI/J11)&gt;0,1,0)</f>
        <v>1</v>
      </c>
      <c r="AN11" s="73">
        <f t="shared" ca="1" si="18"/>
        <v>36495.700946002631</v>
      </c>
      <c r="AO11" s="75">
        <f t="shared" ca="1" si="24"/>
        <v>235976.15969634749</v>
      </c>
      <c r="AP11" s="72">
        <f ca="1">AL11  /  ( 1 + disc_1/12)^(COUNT($AL$6:AL11)-1)</f>
        <v>35012.33602601241</v>
      </c>
      <c r="AQ11" s="72">
        <f t="shared" ca="1" si="25"/>
        <v>231288.25060851828</v>
      </c>
      <c r="AS11" s="303">
        <f t="shared" ca="1" si="19"/>
        <v>1</v>
      </c>
      <c r="AT11" s="300">
        <f ca="1">IFERROR(IRR($AN$6:AN11)*12,0)</f>
        <v>0</v>
      </c>
      <c r="AU11" s="297">
        <f t="shared" ca="1" si="20"/>
        <v>0</v>
      </c>
      <c r="AV11" s="303">
        <f t="shared" ca="1" si="21"/>
        <v>0</v>
      </c>
    </row>
    <row r="12" spans="2:48" x14ac:dyDescent="0.25">
      <c r="B12" s="43">
        <f t="shared" si="22"/>
        <v>44378</v>
      </c>
      <c r="C12" s="79">
        <f t="shared" si="12"/>
        <v>2021</v>
      </c>
      <c r="D12" s="64">
        <f ca="1">wellcount_base  +  SUM('forecast production'!I$7:I13)</f>
        <v>1</v>
      </c>
      <c r="E12" s="108">
        <f ca="1">'forecast production'!AE13</f>
        <v>856.04102436288395</v>
      </c>
      <c r="F12" s="97">
        <f ca="1">'forecast production'!AF13</f>
        <v>3732.4805011189483</v>
      </c>
      <c r="G12" s="97">
        <f ca="1">'forecast production'!AG13</f>
        <v>529.8156409434788</v>
      </c>
      <c r="H12" s="98">
        <f ca="1">'forecast production'!AH13</f>
        <v>559.87207516784224</v>
      </c>
      <c r="I12" s="307">
        <f t="shared" ca="1" si="13"/>
        <v>1</v>
      </c>
      <c r="J12" s="306">
        <f t="shared" ca="1" si="14"/>
        <v>0.75</v>
      </c>
      <c r="K12" s="112">
        <f t="shared" ca="1" si="0"/>
        <v>642.03076827216296</v>
      </c>
      <c r="L12" s="98">
        <f t="shared" ca="1" si="1"/>
        <v>2099.5202818794082</v>
      </c>
      <c r="M12" s="98">
        <f t="shared" ca="1" si="2"/>
        <v>397.36173070760913</v>
      </c>
      <c r="N12" s="98">
        <f t="shared" ca="1" si="3"/>
        <v>419.90405637588168</v>
      </c>
      <c r="O12" s="67">
        <f>assumptions!M16</f>
        <v>55</v>
      </c>
      <c r="P12" s="68">
        <f>assumptions!N16</f>
        <v>3</v>
      </c>
      <c r="Q12" s="68">
        <f>assumptions!O16</f>
        <v>22</v>
      </c>
      <c r="R12" s="67">
        <f t="shared" si="4"/>
        <v>52.5</v>
      </c>
      <c r="S12" s="68">
        <f t="shared" si="5"/>
        <v>2.3275000000000001</v>
      </c>
      <c r="T12" s="68">
        <f t="shared" si="6"/>
        <v>22</v>
      </c>
      <c r="U12" s="73">
        <f t="shared" ca="1" si="15"/>
        <v>33706.615334288552</v>
      </c>
      <c r="V12" s="72">
        <f t="shared" ca="1" si="7"/>
        <v>4886.6334560743226</v>
      </c>
      <c r="W12" s="72">
        <f t="shared" ca="1" si="8"/>
        <v>9237.8892402693964</v>
      </c>
      <c r="X12" s="72">
        <f t="shared" ca="1" si="16"/>
        <v>47831.138030632268</v>
      </c>
      <c r="Y12" s="73">
        <f>mult_opex * fixed_month</f>
        <v>1000</v>
      </c>
      <c r="Z12" s="72">
        <f ca="1">mult_opex * fixed_well *D12</f>
        <v>5000</v>
      </c>
      <c r="AA12" s="72">
        <f ca="1">(Z12+Y12)*WI_current_1</f>
        <v>6000</v>
      </c>
      <c r="AB12" s="72">
        <f ca="1">mult_opex * var_bo*E12</f>
        <v>0</v>
      </c>
      <c r="AC12" s="72">
        <f ca="1">mult_opex * var_mcf*F12</f>
        <v>0</v>
      </c>
      <c r="AD12" s="72">
        <f ca="1">mult_opex * var_bw * G12</f>
        <v>1059.6312818869576</v>
      </c>
      <c r="AE12" s="72">
        <f ca="1">SUM(AB12:AD12)*WI_current_1</f>
        <v>1059.6312818869576</v>
      </c>
      <c r="AF12" s="73">
        <f ca="1">mult_capex * IFERROR(OFFSET(assumptions!$F$39,MATCH(B12,assumptions!$E$39:$E$45,0)-1,0),0)</f>
        <v>0</v>
      </c>
      <c r="AG12" s="75">
        <f ca="1">mult_capex * capex_new*WI_current_1 *'forecast production'!I13</f>
        <v>0</v>
      </c>
      <c r="AH12" s="146">
        <f t="shared" ca="1" si="23"/>
        <v>0</v>
      </c>
      <c r="AI12" s="73">
        <f t="shared" ca="1" si="9"/>
        <v>2609.8435076030523</v>
      </c>
      <c r="AJ12" s="72">
        <f t="shared" ca="1" si="10"/>
        <v>1195.7784507658068</v>
      </c>
      <c r="AK12" s="72">
        <f t="shared" ca="1" si="17"/>
        <v>3805.6219583688589</v>
      </c>
      <c r="AL12" s="73">
        <f t="shared" ca="1" si="11"/>
        <v>36965.884790376454</v>
      </c>
      <c r="AM12" s="132">
        <f ca="1">IF(X12*(lease_NRI/J12)  - (Z12+Y12+AB12+AC12+AD12)  - (AK12)*(lease_NRI/J12)&gt;0,1,0)</f>
        <v>1</v>
      </c>
      <c r="AN12" s="73">
        <f t="shared" ca="1" si="18"/>
        <v>36965.884790376454</v>
      </c>
      <c r="AO12" s="75">
        <f t="shared" ca="1" si="24"/>
        <v>272942.04448672396</v>
      </c>
      <c r="AP12" s="72">
        <f ca="1">AL12  /  ( 1 + disc_1/12)^(COUNT($AL$6:AL12)-1)</f>
        <v>35170.323257537886</v>
      </c>
      <c r="AQ12" s="72">
        <f t="shared" ca="1" si="25"/>
        <v>266458.57386605616</v>
      </c>
      <c r="AS12" s="303">
        <f t="shared" ca="1" si="19"/>
        <v>1</v>
      </c>
      <c r="AT12" s="300">
        <f ca="1">IFERROR(IRR($AN$6:AN12)*12,0)</f>
        <v>0</v>
      </c>
      <c r="AU12" s="297">
        <f t="shared" ca="1" si="20"/>
        <v>0</v>
      </c>
      <c r="AV12" s="303">
        <f t="shared" ca="1" si="21"/>
        <v>0</v>
      </c>
    </row>
    <row r="13" spans="2:48" x14ac:dyDescent="0.25">
      <c r="B13" s="43">
        <f t="shared" si="22"/>
        <v>44409</v>
      </c>
      <c r="C13" s="79">
        <f t="shared" si="12"/>
        <v>2021</v>
      </c>
      <c r="D13" s="64">
        <f ca="1">wellcount_base  +  SUM('forecast production'!I$7:I14)</f>
        <v>1</v>
      </c>
      <c r="E13" s="108">
        <f ca="1">'forecast production'!AE14</f>
        <v>835.48409418579763</v>
      </c>
      <c r="F13" s="97">
        <f ca="1">'forecast production'!AF14</f>
        <v>3667.8504110083995</v>
      </c>
      <c r="G13" s="97">
        <f ca="1">'forecast production'!AG14</f>
        <v>510.8833153222356</v>
      </c>
      <c r="H13" s="98">
        <f ca="1">'forecast production'!AH14</f>
        <v>550.17756165125991</v>
      </c>
      <c r="I13" s="307">
        <f t="shared" ca="1" si="13"/>
        <v>1</v>
      </c>
      <c r="J13" s="306">
        <f t="shared" ca="1" si="14"/>
        <v>0.75</v>
      </c>
      <c r="K13" s="112">
        <f t="shared" ca="1" si="0"/>
        <v>626.61307063934828</v>
      </c>
      <c r="L13" s="98">
        <f t="shared" ca="1" si="1"/>
        <v>2063.165856192225</v>
      </c>
      <c r="M13" s="98">
        <f t="shared" ca="1" si="2"/>
        <v>383.1624864916767</v>
      </c>
      <c r="N13" s="98">
        <f t="shared" ca="1" si="3"/>
        <v>412.6331712384449</v>
      </c>
      <c r="O13" s="67">
        <f>assumptions!M17</f>
        <v>55</v>
      </c>
      <c r="P13" s="68">
        <f>assumptions!N17</f>
        <v>3</v>
      </c>
      <c r="Q13" s="68">
        <f>assumptions!O17</f>
        <v>22</v>
      </c>
      <c r="R13" s="67">
        <f t="shared" si="4"/>
        <v>52.5</v>
      </c>
      <c r="S13" s="68">
        <f t="shared" si="5"/>
        <v>2.3275000000000001</v>
      </c>
      <c r="T13" s="68">
        <f t="shared" si="6"/>
        <v>22</v>
      </c>
      <c r="U13" s="73">
        <f t="shared" ca="1" si="15"/>
        <v>32897.186208565785</v>
      </c>
      <c r="V13" s="72">
        <f t="shared" ca="1" si="7"/>
        <v>4802.0185302874042</v>
      </c>
      <c r="W13" s="72">
        <f t="shared" ca="1" si="8"/>
        <v>9077.9297672457869</v>
      </c>
      <c r="X13" s="72">
        <f t="shared" ca="1" si="16"/>
        <v>46777.13450609897</v>
      </c>
      <c r="Y13" s="73">
        <f>mult_opex * fixed_month</f>
        <v>1000</v>
      </c>
      <c r="Z13" s="72">
        <f ca="1">mult_opex * fixed_well *D13</f>
        <v>5000</v>
      </c>
      <c r="AA13" s="72">
        <f ca="1">(Z13+Y13)*WI_current_1</f>
        <v>6000</v>
      </c>
      <c r="AB13" s="72">
        <f ca="1">mult_opex * var_bo*E13</f>
        <v>0</v>
      </c>
      <c r="AC13" s="72">
        <f ca="1">mult_opex * var_mcf*F13</f>
        <v>0</v>
      </c>
      <c r="AD13" s="72">
        <f ca="1">mult_opex * var_bw * G13</f>
        <v>1021.7666306444712</v>
      </c>
      <c r="AE13" s="72">
        <f ca="1">SUM(AB13:AD13)*WI_current_1</f>
        <v>1021.7666306444712</v>
      </c>
      <c r="AF13" s="73">
        <f ca="1">mult_capex * IFERROR(OFFSET(assumptions!$F$39,MATCH(B13,assumptions!$E$39:$E$45,0)-1,0),0)</f>
        <v>0</v>
      </c>
      <c r="AG13" s="75">
        <f ca="1">mult_capex * capex_new*WI_current_1 *'forecast production'!I14</f>
        <v>0</v>
      </c>
      <c r="AH13" s="146">
        <f t="shared" ca="1" si="23"/>
        <v>0</v>
      </c>
      <c r="AI13" s="73">
        <f t="shared" ca="1" si="9"/>
        <v>2554.2666879090157</v>
      </c>
      <c r="AJ13" s="72">
        <f t="shared" ca="1" si="10"/>
        <v>1169.4283626524743</v>
      </c>
      <c r="AK13" s="72">
        <f t="shared" ca="1" si="17"/>
        <v>3723.69505056149</v>
      </c>
      <c r="AL13" s="73">
        <f t="shared" ca="1" si="11"/>
        <v>36031.672824893009</v>
      </c>
      <c r="AM13" s="132">
        <f ca="1">IF(X13*(lease_NRI/J13)  - (Z13+Y13+AB13+AC13+AD13)  - (AK13)*(lease_NRI/J13)&gt;0,1,0)</f>
        <v>1</v>
      </c>
      <c r="AN13" s="73">
        <f t="shared" ca="1" si="18"/>
        <v>36031.672824893009</v>
      </c>
      <c r="AO13" s="75">
        <f t="shared" ca="1" si="24"/>
        <v>308973.71731161699</v>
      </c>
      <c r="AP13" s="72">
        <f ca="1">AL13  /  ( 1 + disc_1/12)^(COUNT($AL$6:AL13)-1)</f>
        <v>33998.171122236454</v>
      </c>
      <c r="AQ13" s="72">
        <f t="shared" ca="1" si="25"/>
        <v>300456.74498829263</v>
      </c>
      <c r="AS13" s="303">
        <f t="shared" ca="1" si="19"/>
        <v>1</v>
      </c>
      <c r="AT13" s="300">
        <f ca="1">IFERROR(IRR($AN$6:AN13)*12,0)</f>
        <v>0</v>
      </c>
      <c r="AU13" s="297">
        <f t="shared" ca="1" si="20"/>
        <v>0</v>
      </c>
      <c r="AV13" s="303">
        <f t="shared" ca="1" si="21"/>
        <v>0</v>
      </c>
    </row>
    <row r="14" spans="2:48" x14ac:dyDescent="0.25">
      <c r="B14" s="43">
        <f t="shared" si="22"/>
        <v>44440</v>
      </c>
      <c r="C14" s="79">
        <f t="shared" si="12"/>
        <v>2021</v>
      </c>
      <c r="D14" s="64">
        <f ca="1">wellcount_base  +  SUM('forecast production'!I$7:I15)</f>
        <v>1</v>
      </c>
      <c r="E14" s="108">
        <f ca="1">'forecast production'!AE15</f>
        <v>789.57224249716796</v>
      </c>
      <c r="F14" s="97">
        <f ca="1">'forecast production'!AF15</f>
        <v>3489.1165552339144</v>
      </c>
      <c r="G14" s="97">
        <f ca="1">'forecast production'!AG15</f>
        <v>476.73945911883038</v>
      </c>
      <c r="H14" s="98">
        <f ca="1">'forecast production'!AH15</f>
        <v>523.36748328508725</v>
      </c>
      <c r="I14" s="307">
        <f t="shared" ca="1" si="13"/>
        <v>1</v>
      </c>
      <c r="J14" s="306">
        <f t="shared" ca="1" si="14"/>
        <v>0.75</v>
      </c>
      <c r="K14" s="112">
        <f t="shared" ca="1" si="0"/>
        <v>592.17918187287592</v>
      </c>
      <c r="L14" s="98">
        <f t="shared" ca="1" si="1"/>
        <v>1962.6280623190767</v>
      </c>
      <c r="M14" s="98">
        <f t="shared" ca="1" si="2"/>
        <v>357.55459433912279</v>
      </c>
      <c r="N14" s="98">
        <f t="shared" ca="1" si="3"/>
        <v>392.52561246381543</v>
      </c>
      <c r="O14" s="67">
        <f>assumptions!M18</f>
        <v>55</v>
      </c>
      <c r="P14" s="68">
        <f>assumptions!N18</f>
        <v>3</v>
      </c>
      <c r="Q14" s="68">
        <f>assumptions!O18</f>
        <v>22</v>
      </c>
      <c r="R14" s="67">
        <f t="shared" si="4"/>
        <v>52.5</v>
      </c>
      <c r="S14" s="68">
        <f t="shared" si="5"/>
        <v>2.3275000000000001</v>
      </c>
      <c r="T14" s="68">
        <f t="shared" si="6"/>
        <v>22</v>
      </c>
      <c r="U14" s="73">
        <f t="shared" ca="1" si="15"/>
        <v>31089.407048325986</v>
      </c>
      <c r="V14" s="72">
        <f t="shared" ca="1" si="7"/>
        <v>4568.0168150476511</v>
      </c>
      <c r="W14" s="72">
        <f t="shared" ca="1" si="8"/>
        <v>8635.5634742039401</v>
      </c>
      <c r="X14" s="72">
        <f t="shared" ca="1" si="16"/>
        <v>44292.987337577579</v>
      </c>
      <c r="Y14" s="73">
        <f>mult_opex * fixed_month</f>
        <v>1000</v>
      </c>
      <c r="Z14" s="72">
        <f ca="1">mult_opex * fixed_well *D14</f>
        <v>5000</v>
      </c>
      <c r="AA14" s="72">
        <f ca="1">(Z14+Y14)*WI_current_1</f>
        <v>6000</v>
      </c>
      <c r="AB14" s="72">
        <f ca="1">mult_opex * var_bo*E14</f>
        <v>0</v>
      </c>
      <c r="AC14" s="72">
        <f ca="1">mult_opex * var_mcf*F14</f>
        <v>0</v>
      </c>
      <c r="AD14" s="72">
        <f ca="1">mult_opex * var_bw * G14</f>
        <v>953.47891823766076</v>
      </c>
      <c r="AE14" s="72">
        <f ca="1">SUM(AB14:AD14)*WI_current_1</f>
        <v>953.47891823766076</v>
      </c>
      <c r="AF14" s="73">
        <f ca="1">mult_capex * IFERROR(OFFSET(assumptions!$F$39,MATCH(B14,assumptions!$E$39:$E$45,0)-1,0),0)</f>
        <v>0</v>
      </c>
      <c r="AG14" s="75">
        <f ca="1">mult_capex * capex_new*WI_current_1 *'forecast production'!I15</f>
        <v>0</v>
      </c>
      <c r="AH14" s="146">
        <f t="shared" ca="1" si="23"/>
        <v>0</v>
      </c>
      <c r="AI14" s="73">
        <f t="shared" ca="1" si="9"/>
        <v>2420.3812459168648</v>
      </c>
      <c r="AJ14" s="72">
        <f t="shared" ca="1" si="10"/>
        <v>1107.3246834394395</v>
      </c>
      <c r="AK14" s="72">
        <f t="shared" ca="1" si="17"/>
        <v>3527.7059293563043</v>
      </c>
      <c r="AL14" s="73">
        <f t="shared" ca="1" si="11"/>
        <v>33811.802489983609</v>
      </c>
      <c r="AM14" s="132">
        <f ca="1">IF(X14*(lease_NRI/J14)  - (Z14+Y14+AB14+AC14+AD14)  - (AK14)*(lease_NRI/J14)&gt;0,1,0)</f>
        <v>1</v>
      </c>
      <c r="AN14" s="73">
        <f t="shared" ca="1" si="18"/>
        <v>33811.802489983609</v>
      </c>
      <c r="AO14" s="75">
        <f t="shared" ca="1" si="24"/>
        <v>342785.5198016006</v>
      </c>
      <c r="AP14" s="72">
        <f ca="1">AL14  /  ( 1 + disc_1/12)^(COUNT($AL$6:AL14)-1)</f>
        <v>31639.916540588667</v>
      </c>
      <c r="AQ14" s="72">
        <f t="shared" ca="1" si="25"/>
        <v>332096.66152888129</v>
      </c>
      <c r="AS14" s="303">
        <f t="shared" ca="1" si="19"/>
        <v>1</v>
      </c>
      <c r="AT14" s="300">
        <f ca="1">IFERROR(IRR($AN$6:AN14)*12,0)</f>
        <v>0</v>
      </c>
      <c r="AU14" s="297">
        <f t="shared" ca="1" si="20"/>
        <v>0</v>
      </c>
      <c r="AV14" s="303">
        <f t="shared" ca="1" si="21"/>
        <v>0</v>
      </c>
    </row>
    <row r="15" spans="2:48" x14ac:dyDescent="0.25">
      <c r="B15" s="43">
        <f t="shared" si="22"/>
        <v>44470</v>
      </c>
      <c r="C15" s="79">
        <f t="shared" si="12"/>
        <v>2021</v>
      </c>
      <c r="D15" s="64">
        <f ca="1">wellcount_base  +  SUM('forecast production'!I$7:I16)</f>
        <v>1</v>
      </c>
      <c r="E15" s="108">
        <f ca="1">'forecast production'!AE16</f>
        <v>797.78609618388373</v>
      </c>
      <c r="F15" s="97">
        <f ca="1">'forecast production'!AF16</f>
        <v>3546.9950453122378</v>
      </c>
      <c r="G15" s="97">
        <f ca="1">'forecast production'!AG16</f>
        <v>475.59116358989871</v>
      </c>
      <c r="H15" s="98">
        <f ca="1">'forecast production'!AH16</f>
        <v>532.04925679683561</v>
      </c>
      <c r="I15" s="307">
        <f t="shared" ca="1" si="13"/>
        <v>1</v>
      </c>
      <c r="J15" s="306">
        <f t="shared" ca="1" si="14"/>
        <v>0.75</v>
      </c>
      <c r="K15" s="112">
        <f t="shared" ca="1" si="0"/>
        <v>598.3395721379128</v>
      </c>
      <c r="L15" s="98">
        <f t="shared" ca="1" si="1"/>
        <v>1995.1847129881337</v>
      </c>
      <c r="M15" s="98">
        <f t="shared" ca="1" si="2"/>
        <v>356.69337269242402</v>
      </c>
      <c r="N15" s="98">
        <f t="shared" ca="1" si="3"/>
        <v>399.03694259762671</v>
      </c>
      <c r="O15" s="67">
        <f>assumptions!M19</f>
        <v>55</v>
      </c>
      <c r="P15" s="68">
        <f>assumptions!N19</f>
        <v>3</v>
      </c>
      <c r="Q15" s="68">
        <f>assumptions!O19</f>
        <v>22</v>
      </c>
      <c r="R15" s="67">
        <f t="shared" si="4"/>
        <v>52.5</v>
      </c>
      <c r="S15" s="68">
        <f t="shared" si="5"/>
        <v>2.3275000000000001</v>
      </c>
      <c r="T15" s="68">
        <f t="shared" si="6"/>
        <v>22</v>
      </c>
      <c r="U15" s="73">
        <f t="shared" ca="1" si="15"/>
        <v>31412.82753724042</v>
      </c>
      <c r="V15" s="72">
        <f t="shared" ca="1" si="7"/>
        <v>4643.7924194798816</v>
      </c>
      <c r="W15" s="72">
        <f t="shared" ca="1" si="8"/>
        <v>8778.8127371477876</v>
      </c>
      <c r="X15" s="72">
        <f ca="1">SUM(U15:W15)</f>
        <v>44835.43269386809</v>
      </c>
      <c r="Y15" s="73">
        <f>mult_opex * fixed_month</f>
        <v>1000</v>
      </c>
      <c r="Z15" s="72">
        <f ca="1">mult_opex * fixed_well *D15</f>
        <v>5000</v>
      </c>
      <c r="AA15" s="72">
        <f ca="1">(Z15+Y15)*WI_current_1</f>
        <v>6000</v>
      </c>
      <c r="AB15" s="72">
        <f ca="1">mult_opex * var_bo*E15</f>
        <v>0</v>
      </c>
      <c r="AC15" s="72">
        <f ca="1">mult_opex * var_mcf*F15</f>
        <v>0</v>
      </c>
      <c r="AD15" s="72">
        <f ca="1">mult_opex * var_bw * G15</f>
        <v>951.18232717979743</v>
      </c>
      <c r="AE15" s="72">
        <f ca="1">SUM(AB15:AD15)*WI_current_1</f>
        <v>951.18232717979743</v>
      </c>
      <c r="AF15" s="73">
        <f ca="1">mult_capex * IFERROR(OFFSET(assumptions!$F$39,MATCH(B15,assumptions!$E$39:$E$45,0)-1,0),0)</f>
        <v>0</v>
      </c>
      <c r="AG15" s="75">
        <f ca="1">mult_capex * capex_new*WI_current_1 *'forecast production'!I16</f>
        <v>0</v>
      </c>
      <c r="AH15" s="146">
        <f t="shared" ca="1" si="23"/>
        <v>0</v>
      </c>
      <c r="AI15" s="73">
        <f t="shared" ca="1" si="9"/>
        <v>2451.6854534601343</v>
      </c>
      <c r="AJ15" s="72">
        <f t="shared" ca="1" si="10"/>
        <v>1120.8858173467022</v>
      </c>
      <c r="AK15" s="72">
        <f t="shared" ca="1" si="17"/>
        <v>3572.5712708068368</v>
      </c>
      <c r="AL15" s="73">
        <f t="shared" ca="1" si="11"/>
        <v>34311.679095881453</v>
      </c>
      <c r="AM15" s="132">
        <f ca="1">IF(X15*(lease_NRI/J15)  - (Z15+Y15+AB15+AC15+AD15)  - (AK15)*(lease_NRI/J15)&gt;0,1,0)</f>
        <v>1</v>
      </c>
      <c r="AN15" s="73">
        <f t="shared" ca="1" si="18"/>
        <v>34311.679095881453</v>
      </c>
      <c r="AO15" s="75">
        <f t="shared" ca="1" si="24"/>
        <v>377097.19889748207</v>
      </c>
      <c r="AP15" s="72">
        <f ca="1">AL15  /  ( 1 + disc_1/12)^(COUNT($AL$6:AL15)-1)</f>
        <v>31842.331038527176</v>
      </c>
      <c r="AQ15" s="72">
        <f t="shared" ca="1" si="25"/>
        <v>363938.99256740848</v>
      </c>
      <c r="AS15" s="303">
        <f t="shared" ca="1" si="19"/>
        <v>1</v>
      </c>
      <c r="AT15" s="300">
        <f ca="1">IFERROR(IRR($AN$6:AN15)*12,0)</f>
        <v>0</v>
      </c>
      <c r="AU15" s="297">
        <f t="shared" ca="1" si="20"/>
        <v>0</v>
      </c>
      <c r="AV15" s="303">
        <f t="shared" ca="1" si="21"/>
        <v>0</v>
      </c>
    </row>
    <row r="16" spans="2:48" x14ac:dyDescent="0.25">
      <c r="B16" s="43">
        <f t="shared" si="22"/>
        <v>44501</v>
      </c>
      <c r="C16" s="79">
        <f t="shared" si="12"/>
        <v>2021</v>
      </c>
      <c r="D16" s="64">
        <f ca="1">wellcount_base  +  SUM('forecast production'!I$7:I17)</f>
        <v>1</v>
      </c>
      <c r="E16" s="108">
        <f ca="1">'forecast production'!AE17</f>
        <v>754.74445545287688</v>
      </c>
      <c r="F16" s="97">
        <f ca="1">'forecast production'!AF17</f>
        <v>3376.0438619397132</v>
      </c>
      <c r="G16" s="97">
        <f ca="1">'forecast production'!AG17</f>
        <v>443.8117646058169</v>
      </c>
      <c r="H16" s="98">
        <f ca="1">'forecast production'!AH17</f>
        <v>506.40657929095704</v>
      </c>
      <c r="I16" s="307">
        <f t="shared" ca="1" si="13"/>
        <v>1</v>
      </c>
      <c r="J16" s="306">
        <f t="shared" ca="1" si="14"/>
        <v>0.75</v>
      </c>
      <c r="K16" s="112">
        <f t="shared" ca="1" si="0"/>
        <v>566.05834158965763</v>
      </c>
      <c r="L16" s="98">
        <f t="shared" ca="1" si="1"/>
        <v>1899.0246723410887</v>
      </c>
      <c r="M16" s="98">
        <f t="shared" ca="1" si="2"/>
        <v>332.85882345436266</v>
      </c>
      <c r="N16" s="98">
        <f t="shared" ca="1" si="3"/>
        <v>379.80493446821777</v>
      </c>
      <c r="O16" s="67">
        <f>assumptions!M20</f>
        <v>55</v>
      </c>
      <c r="P16" s="68">
        <f>assumptions!N20</f>
        <v>3</v>
      </c>
      <c r="Q16" s="68">
        <f>assumptions!O20</f>
        <v>22</v>
      </c>
      <c r="R16" s="67">
        <f t="shared" si="4"/>
        <v>52.5</v>
      </c>
      <c r="S16" s="68">
        <f t="shared" si="5"/>
        <v>2.3275000000000001</v>
      </c>
      <c r="T16" s="68">
        <f t="shared" si="6"/>
        <v>22</v>
      </c>
      <c r="U16" s="73">
        <f t="shared" ca="1" si="15"/>
        <v>29718.062933457026</v>
      </c>
      <c r="V16" s="72">
        <f t="shared" ca="1" si="7"/>
        <v>4419.9799248738846</v>
      </c>
      <c r="W16" s="72">
        <f t="shared" ca="1" si="8"/>
        <v>8355.7085583007902</v>
      </c>
      <c r="X16" s="72">
        <f t="shared" ca="1" si="16"/>
        <v>42493.751416631698</v>
      </c>
      <c r="Y16" s="73">
        <f>mult_opex * fixed_month</f>
        <v>1000</v>
      </c>
      <c r="Z16" s="72">
        <f ca="1">mult_opex * fixed_well *D16</f>
        <v>5000</v>
      </c>
      <c r="AA16" s="72">
        <f ca="1">(Z16+Y16)*WI_current_1</f>
        <v>6000</v>
      </c>
      <c r="AB16" s="72">
        <f ca="1">mult_opex * var_bo*E16</f>
        <v>0</v>
      </c>
      <c r="AC16" s="72">
        <f ca="1">mult_opex * var_mcf*F16</f>
        <v>0</v>
      </c>
      <c r="AD16" s="72">
        <f ca="1">mult_opex * var_bw * G16</f>
        <v>887.62352921163381</v>
      </c>
      <c r="AE16" s="72">
        <f ca="1">SUM(AB16:AD16)*WI_current_1</f>
        <v>887.62352921163381</v>
      </c>
      <c r="AF16" s="73">
        <f ca="1">mult_capex * IFERROR(OFFSET(assumptions!$F$39,MATCH(B16,assumptions!$E$39:$E$45,0)-1,0),0)</f>
        <v>0</v>
      </c>
      <c r="AG16" s="75">
        <f ca="1">mult_capex * capex_new*WI_current_1 *'forecast production'!I17</f>
        <v>0</v>
      </c>
      <c r="AH16" s="146">
        <f t="shared" ca="1" si="23"/>
        <v>0</v>
      </c>
      <c r="AI16" s="73">
        <f t="shared" ca="1" si="9"/>
        <v>2325.2075311771237</v>
      </c>
      <c r="AJ16" s="72">
        <f t="shared" ca="1" si="10"/>
        <v>1062.3437854157926</v>
      </c>
      <c r="AK16" s="72">
        <f t="shared" ca="1" si="17"/>
        <v>3387.551316592916</v>
      </c>
      <c r="AL16" s="73">
        <f t="shared" ca="1" si="11"/>
        <v>32218.57657082715</v>
      </c>
      <c r="AM16" s="132">
        <f ca="1">IF(X16*(lease_NRI/J16)  - (Z16+Y16+AB16+AC16+AD16)  - (AK16)*(lease_NRI/J16)&gt;0,1,0)</f>
        <v>1</v>
      </c>
      <c r="AN16" s="73">
        <f t="shared" ca="1" si="18"/>
        <v>32218.57657082715</v>
      </c>
      <c r="AO16" s="75">
        <f t="shared" ca="1" si="24"/>
        <v>409315.77546830924</v>
      </c>
      <c r="AP16" s="72">
        <f ca="1">AL16  /  ( 1 + disc_1/12)^(COUNT($AL$6:AL16)-1)</f>
        <v>29652.758905107334</v>
      </c>
      <c r="AQ16" s="72">
        <f t="shared" ca="1" si="25"/>
        <v>393591.75147251581</v>
      </c>
      <c r="AS16" s="303">
        <f t="shared" ca="1" si="19"/>
        <v>1</v>
      </c>
      <c r="AT16" s="300">
        <f ca="1">IFERROR(IRR($AN$6:AN16)*12,0)</f>
        <v>0</v>
      </c>
      <c r="AU16" s="297">
        <f t="shared" ca="1" si="20"/>
        <v>0</v>
      </c>
      <c r="AV16" s="303">
        <f t="shared" ca="1" si="21"/>
        <v>0</v>
      </c>
    </row>
    <row r="17" spans="2:48" x14ac:dyDescent="0.25">
      <c r="B17" s="44">
        <f t="shared" si="22"/>
        <v>44531</v>
      </c>
      <c r="C17" s="100">
        <f t="shared" si="12"/>
        <v>2021</v>
      </c>
      <c r="D17" s="65">
        <f ca="1">wellcount_base  +  SUM('forecast production'!I$7:I18)</f>
        <v>1</v>
      </c>
      <c r="E17" s="109">
        <f ca="1">'forecast production'!AE18</f>
        <v>763.34317880276399</v>
      </c>
      <c r="F17" s="101">
        <f ca="1">'forecast production'!AF18</f>
        <v>3433.8499745180247</v>
      </c>
      <c r="G17" s="101">
        <f ca="1">'forecast production'!AG18</f>
        <v>442.74835582716042</v>
      </c>
      <c r="H17" s="102">
        <f ca="1">'forecast production'!AH18</f>
        <v>515.07749617770378</v>
      </c>
      <c r="I17" s="308">
        <f t="shared" ca="1" si="13"/>
        <v>1</v>
      </c>
      <c r="J17" s="309">
        <f t="shared" ca="1" si="14"/>
        <v>0.75</v>
      </c>
      <c r="K17" s="113">
        <f t="shared" ca="1" si="0"/>
        <v>572.50738410207305</v>
      </c>
      <c r="L17" s="102">
        <f t="shared" ca="1" si="1"/>
        <v>1931.5406106663888</v>
      </c>
      <c r="M17" s="102">
        <f t="shared" ca="1" si="2"/>
        <v>332.06126687037033</v>
      </c>
      <c r="N17" s="102">
        <f t="shared" ca="1" si="3"/>
        <v>386.30812213327783</v>
      </c>
      <c r="O17" s="103">
        <f>assumptions!M21</f>
        <v>55</v>
      </c>
      <c r="P17" s="104">
        <f>assumptions!N21</f>
        <v>3</v>
      </c>
      <c r="Q17" s="104">
        <f>assumptions!O21</f>
        <v>22</v>
      </c>
      <c r="R17" s="103">
        <f t="shared" si="4"/>
        <v>52.5</v>
      </c>
      <c r="S17" s="104">
        <f t="shared" si="5"/>
        <v>2.3275000000000001</v>
      </c>
      <c r="T17" s="104">
        <f t="shared" si="6"/>
        <v>22</v>
      </c>
      <c r="U17" s="105">
        <f t="shared" ca="1" si="15"/>
        <v>30056.637665358834</v>
      </c>
      <c r="V17" s="106">
        <f t="shared" ca="1" si="7"/>
        <v>4495.66077132602</v>
      </c>
      <c r="W17" s="106">
        <f t="shared" ca="1" si="8"/>
        <v>8498.7786869321117</v>
      </c>
      <c r="X17" s="106">
        <f t="shared" ca="1" si="16"/>
        <v>43051.077123616968</v>
      </c>
      <c r="Y17" s="105">
        <f>mult_opex * fixed_month</f>
        <v>1000</v>
      </c>
      <c r="Z17" s="106">
        <f ca="1">mult_opex * fixed_well *D17</f>
        <v>5000</v>
      </c>
      <c r="AA17" s="106">
        <f ca="1">(Z17+Y17)*WI_current_1</f>
        <v>6000</v>
      </c>
      <c r="AB17" s="106">
        <f ca="1">mult_opex * var_bo*E17</f>
        <v>0</v>
      </c>
      <c r="AC17" s="106">
        <f ca="1">mult_opex * var_mcf*F17</f>
        <v>0</v>
      </c>
      <c r="AD17" s="106">
        <f ca="1">mult_opex * var_bw * G17</f>
        <v>885.49671165432085</v>
      </c>
      <c r="AE17" s="106">
        <f ca="1">SUM(AB17:AD17)*WI_current_1</f>
        <v>885.49671165432085</v>
      </c>
      <c r="AF17" s="105">
        <f ca="1">mult_capex * IFERROR(OFFSET(assumptions!$F$39,MATCH(B17,assumptions!$E$39:$E$45,0)-1,0),0)</f>
        <v>0</v>
      </c>
      <c r="AG17" s="106">
        <f ca="1">mult_capex * capex_new*WI_current_1 *'forecast production'!I18</f>
        <v>0</v>
      </c>
      <c r="AH17" s="147">
        <f t="shared" ca="1" si="23"/>
        <v>0</v>
      </c>
      <c r="AI17" s="105">
        <f t="shared" ca="1" si="9"/>
        <v>2357.1882919758664</v>
      </c>
      <c r="AJ17" s="106">
        <f t="shared" ca="1" si="10"/>
        <v>1076.2769280904242</v>
      </c>
      <c r="AK17" s="106">
        <f t="shared" ca="1" si="17"/>
        <v>3433.4652200662904</v>
      </c>
      <c r="AL17" s="105">
        <f t="shared" ca="1" si="11"/>
        <v>32732.115191896359</v>
      </c>
      <c r="AM17" s="133">
        <f ca="1">IF(X17*(lease_NRI/J17)  - (Z17+Y17+AB17+AC17+AD17)  - (AK17)*(lease_NRI/J17)&gt;0,1,0)</f>
        <v>1</v>
      </c>
      <c r="AN17" s="105">
        <f t="shared" ca="1" si="18"/>
        <v>32732.115191896359</v>
      </c>
      <c r="AO17" s="106">
        <f t="shared" ca="1" si="24"/>
        <v>442047.89066020562</v>
      </c>
      <c r="AP17" s="106">
        <f ca="1">AL17  /  ( 1 + disc_1/12)^(COUNT($AL$6:AL17)-1)</f>
        <v>29876.430171085434</v>
      </c>
      <c r="AQ17" s="106">
        <f t="shared" ca="1" si="25"/>
        <v>423468.18164360127</v>
      </c>
      <c r="AS17" s="304">
        <f t="shared" ca="1" si="19"/>
        <v>1</v>
      </c>
      <c r="AT17" s="301">
        <f ca="1">IFERROR(IRR($AN$6:AN17)*12,0)</f>
        <v>0</v>
      </c>
      <c r="AU17" s="298">
        <f t="shared" ca="1" si="20"/>
        <v>0</v>
      </c>
      <c r="AV17" s="304">
        <f t="shared" ca="1" si="21"/>
        <v>0</v>
      </c>
    </row>
    <row r="18" spans="2:48" x14ac:dyDescent="0.25">
      <c r="B18" s="43">
        <f t="shared" si="22"/>
        <v>44562</v>
      </c>
      <c r="C18" s="79">
        <f t="shared" si="12"/>
        <v>2022</v>
      </c>
      <c r="D18" s="64">
        <f ca="1">wellcount_base  +  SUM('forecast production'!I$7:I19)</f>
        <v>1</v>
      </c>
      <c r="E18" s="108">
        <f ca="1">'forecast production'!AE19</f>
        <v>746.95466506337016</v>
      </c>
      <c r="F18" s="97">
        <f ca="1">'forecast production'!AF19</f>
        <v>3379.0721996425586</v>
      </c>
      <c r="G18" s="97">
        <f ca="1">'forecast production'!AG19</f>
        <v>426.94121255794425</v>
      </c>
      <c r="H18" s="98">
        <f ca="1">'forecast production'!AH19</f>
        <v>506.86082994638383</v>
      </c>
      <c r="I18" s="307">
        <f t="shared" ca="1" si="13"/>
        <v>1</v>
      </c>
      <c r="J18" s="306">
        <f t="shared" ca="1" si="14"/>
        <v>0.75</v>
      </c>
      <c r="K18" s="112">
        <f t="shared" ca="1" si="0"/>
        <v>560.21599879752762</v>
      </c>
      <c r="L18" s="98">
        <f t="shared" ca="1" si="1"/>
        <v>1900.7281122989393</v>
      </c>
      <c r="M18" s="98">
        <f t="shared" ca="1" si="2"/>
        <v>320.20590941845819</v>
      </c>
      <c r="N18" s="98">
        <f t="shared" ca="1" si="3"/>
        <v>380.14562245978789</v>
      </c>
      <c r="O18" s="67">
        <f>assumptions!M22</f>
        <v>55</v>
      </c>
      <c r="P18" s="68">
        <f>assumptions!N22</f>
        <v>3</v>
      </c>
      <c r="Q18" s="68">
        <f>assumptions!O22</f>
        <v>22</v>
      </c>
      <c r="R18" s="67">
        <f t="shared" si="4"/>
        <v>52.5</v>
      </c>
      <c r="S18" s="68">
        <f t="shared" si="5"/>
        <v>2.3275000000000001</v>
      </c>
      <c r="T18" s="68">
        <f t="shared" si="6"/>
        <v>22</v>
      </c>
      <c r="U18" s="73">
        <f t="shared" ca="1" si="15"/>
        <v>29411.339936870201</v>
      </c>
      <c r="V18" s="72">
        <f t="shared" ca="1" si="7"/>
        <v>4423.9446813757813</v>
      </c>
      <c r="W18" s="72">
        <f t="shared" ca="1" si="8"/>
        <v>8363.2036941153328</v>
      </c>
      <c r="X18" s="72">
        <f t="shared" ca="1" si="16"/>
        <v>42198.488312361318</v>
      </c>
      <c r="Y18" s="73">
        <f>mult_opex * fixed_month</f>
        <v>1000</v>
      </c>
      <c r="Z18" s="72">
        <f ca="1">mult_opex * fixed_well *D18</f>
        <v>5000</v>
      </c>
      <c r="AA18" s="72">
        <f ca="1">(Z18+Y18)*WI_current_1</f>
        <v>6000</v>
      </c>
      <c r="AB18" s="72">
        <f ca="1">mult_opex * var_bo*E18</f>
        <v>0</v>
      </c>
      <c r="AC18" s="72">
        <f ca="1">mult_opex * var_mcf*F18</f>
        <v>0</v>
      </c>
      <c r="AD18" s="72">
        <f ca="1">mult_opex * var_bw * G18</f>
        <v>853.88242511588851</v>
      </c>
      <c r="AE18" s="72">
        <f ca="1">SUM(AB18:AD18)*WI_current_1</f>
        <v>853.88242511588851</v>
      </c>
      <c r="AF18" s="73">
        <f ca="1">mult_capex * IFERROR(OFFSET(assumptions!$F$39,MATCH(B18,assumptions!$E$39:$E$45,0)-1,0),0)</f>
        <v>0</v>
      </c>
      <c r="AG18" s="75">
        <f ca="1">mult_capex * capex_new*WI_current_1 *'forecast production'!I19</f>
        <v>0</v>
      </c>
      <c r="AH18" s="146">
        <f t="shared" ca="1" si="23"/>
        <v>0</v>
      </c>
      <c r="AI18" s="73">
        <f t="shared" ca="1" si="9"/>
        <v>2311.9577652578628</v>
      </c>
      <c r="AJ18" s="72">
        <f t="shared" ca="1" si="10"/>
        <v>1054.9622078090331</v>
      </c>
      <c r="AK18" s="72">
        <f t="shared" ca="1" si="17"/>
        <v>3366.9199730668961</v>
      </c>
      <c r="AL18" s="73">
        <f t="shared" ca="1" si="11"/>
        <v>31977.685914178532</v>
      </c>
      <c r="AM18" s="132">
        <f ca="1">IF(X18*(lease_NRI/J18)  - (Z18+Y18+AB18+AC18+AD18)  - (AK18)*(lease_NRI/J18)&gt;0,1,0)</f>
        <v>1</v>
      </c>
      <c r="AN18" s="73">
        <f t="shared" ca="1" si="18"/>
        <v>31977.685914178532</v>
      </c>
      <c r="AO18" s="75">
        <f t="shared" ca="1" si="24"/>
        <v>474025.57657438418</v>
      </c>
      <c r="AP18" s="72">
        <f ca="1">AL18  /  ( 1 + disc_1/12)^(COUNT($AL$6:AL18)-1)</f>
        <v>28946.598765455255</v>
      </c>
      <c r="AQ18" s="72">
        <f t="shared" ca="1" si="25"/>
        <v>452414.78040905652</v>
      </c>
      <c r="AS18" s="303">
        <f t="shared" ca="1" si="19"/>
        <v>1</v>
      </c>
      <c r="AT18" s="300">
        <f ca="1">IFERROR(IRR($AN$6:AN18)*12,0)</f>
        <v>0</v>
      </c>
      <c r="AU18" s="297">
        <f t="shared" ca="1" si="20"/>
        <v>0</v>
      </c>
      <c r="AV18" s="303">
        <f t="shared" ca="1" si="21"/>
        <v>0</v>
      </c>
    </row>
    <row r="19" spans="2:48" x14ac:dyDescent="0.25">
      <c r="B19" s="43">
        <f t="shared" si="22"/>
        <v>44593</v>
      </c>
      <c r="C19" s="79">
        <f t="shared" si="12"/>
        <v>2022</v>
      </c>
      <c r="D19" s="64">
        <f ca="1">wellcount_base  +  SUM('forecast production'!I$7:I20)</f>
        <v>1</v>
      </c>
      <c r="E19" s="108">
        <f ca="1">'forecast production'!AE20</f>
        <v>660.48844457689052</v>
      </c>
      <c r="F19" s="97">
        <f ca="1">'forecast production'!AF20</f>
        <v>3004.1422603109536</v>
      </c>
      <c r="G19" s="97">
        <f ca="1">'forecast production'!AG20</f>
        <v>371.85909527598579</v>
      </c>
      <c r="H19" s="98">
        <f ca="1">'forecast production'!AH20</f>
        <v>450.62133904664307</v>
      </c>
      <c r="I19" s="307">
        <f t="shared" ca="1" si="13"/>
        <v>1</v>
      </c>
      <c r="J19" s="306">
        <f t="shared" ca="1" si="14"/>
        <v>0.75</v>
      </c>
      <c r="K19" s="112">
        <f t="shared" ca="1" si="0"/>
        <v>495.36633343266789</v>
      </c>
      <c r="L19" s="98">
        <f t="shared" ca="1" si="1"/>
        <v>1689.8300214249116</v>
      </c>
      <c r="M19" s="98">
        <f t="shared" ca="1" si="2"/>
        <v>278.89432145698936</v>
      </c>
      <c r="N19" s="98">
        <f t="shared" ca="1" si="3"/>
        <v>337.96600428498232</v>
      </c>
      <c r="O19" s="67">
        <f>assumptions!M23</f>
        <v>55</v>
      </c>
      <c r="P19" s="68">
        <f>assumptions!N23</f>
        <v>3</v>
      </c>
      <c r="Q19" s="68">
        <f>assumptions!O23</f>
        <v>22</v>
      </c>
      <c r="R19" s="67">
        <f t="shared" si="4"/>
        <v>52.5</v>
      </c>
      <c r="S19" s="68">
        <f t="shared" si="5"/>
        <v>2.3275000000000001</v>
      </c>
      <c r="T19" s="68">
        <f t="shared" si="6"/>
        <v>22</v>
      </c>
      <c r="U19" s="73">
        <f t="shared" ca="1" si="15"/>
        <v>26006.732505215063</v>
      </c>
      <c r="V19" s="72">
        <f t="shared" ca="1" si="7"/>
        <v>3933.0793748664819</v>
      </c>
      <c r="W19" s="72">
        <f t="shared" ca="1" si="8"/>
        <v>7435.252094269611</v>
      </c>
      <c r="X19" s="72">
        <f t="shared" ca="1" si="16"/>
        <v>37375.063974351157</v>
      </c>
      <c r="Y19" s="73">
        <f>mult_opex * fixed_month</f>
        <v>1000</v>
      </c>
      <c r="Z19" s="72">
        <f ca="1">mult_opex * fixed_well *D19</f>
        <v>5000</v>
      </c>
      <c r="AA19" s="72">
        <f ca="1">(Z19+Y19)*WI_current_1</f>
        <v>6000</v>
      </c>
      <c r="AB19" s="72">
        <f ca="1">mult_opex * var_bo*E19</f>
        <v>0</v>
      </c>
      <c r="AC19" s="72">
        <f ca="1">mult_opex * var_mcf*F19</f>
        <v>0</v>
      </c>
      <c r="AD19" s="72">
        <f ca="1">mult_opex * var_bw * G19</f>
        <v>743.71819055197159</v>
      </c>
      <c r="AE19" s="72">
        <f ca="1">SUM(AB19:AD19)*WI_current_1</f>
        <v>743.71819055197159</v>
      </c>
      <c r="AF19" s="73">
        <f ca="1">mult_capex * IFERROR(OFFSET(assumptions!$F$39,MATCH(B19,assumptions!$E$39:$E$45,0)-1,0),0)</f>
        <v>0</v>
      </c>
      <c r="AG19" s="75">
        <f ca="1">mult_capex * capex_new*WI_current_1 *'forecast production'!I20</f>
        <v>0</v>
      </c>
      <c r="AH19" s="146">
        <f t="shared" ca="1" si="23"/>
        <v>0</v>
      </c>
      <c r="AI19" s="73">
        <f t="shared" ca="1" si="9"/>
        <v>2048.9345554250995</v>
      </c>
      <c r="AJ19" s="72">
        <f t="shared" ca="1" si="10"/>
        <v>934.376599358779</v>
      </c>
      <c r="AK19" s="72">
        <f t="shared" ca="1" si="17"/>
        <v>2983.3111547838785</v>
      </c>
      <c r="AL19" s="73">
        <f t="shared" ca="1" si="11"/>
        <v>27648.03462901531</v>
      </c>
      <c r="AM19" s="132">
        <f ca="1">IF(X19*(lease_NRI/J19)  - (Z19+Y19+AB19+AC19+AD19)  - (AK19)*(lease_NRI/J19)&gt;0,1,0)</f>
        <v>1</v>
      </c>
      <c r="AN19" s="73">
        <f t="shared" ca="1" si="18"/>
        <v>27648.03462901531</v>
      </c>
      <c r="AO19" s="75">
        <f t="shared" ca="1" si="24"/>
        <v>501673.61120339949</v>
      </c>
      <c r="AP19" s="72">
        <f ca="1">AL19  /  ( 1 + disc_1/12)^(COUNT($AL$6:AL19)-1)</f>
        <v>24820.50704674366</v>
      </c>
      <c r="AQ19" s="72">
        <f t="shared" ca="1" si="25"/>
        <v>477235.28745580016</v>
      </c>
      <c r="AS19" s="303">
        <f t="shared" ca="1" si="19"/>
        <v>1</v>
      </c>
      <c r="AT19" s="300">
        <f ca="1">IFERROR(IRR($AN$6:AN19)*12,0)</f>
        <v>0</v>
      </c>
      <c r="AU19" s="297">
        <f t="shared" ca="1" si="20"/>
        <v>0</v>
      </c>
      <c r="AV19" s="303">
        <f t="shared" ca="1" si="21"/>
        <v>0</v>
      </c>
    </row>
    <row r="20" spans="2:48" x14ac:dyDescent="0.25">
      <c r="B20" s="43">
        <f t="shared" si="22"/>
        <v>44621</v>
      </c>
      <c r="C20" s="79">
        <f t="shared" si="12"/>
        <v>2022</v>
      </c>
      <c r="D20" s="64">
        <f ca="1">wellcount_base  +  SUM('forecast production'!I$7:I21)</f>
        <v>1</v>
      </c>
      <c r="E20" s="108">
        <f ca="1">'forecast production'!AE21</f>
        <v>717.63145415598649</v>
      </c>
      <c r="F20" s="97">
        <f ca="1">'forecast production'!AF21</f>
        <v>3279.5038001196112</v>
      </c>
      <c r="G20" s="97">
        <f ca="1">'forecast production'!AG21</f>
        <v>398.40630818595969</v>
      </c>
      <c r="H20" s="98">
        <f ca="1">'forecast production'!AH21</f>
        <v>491.92557001794171</v>
      </c>
      <c r="I20" s="307">
        <f t="shared" ca="1" si="13"/>
        <v>1</v>
      </c>
      <c r="J20" s="306">
        <f t="shared" ca="1" si="14"/>
        <v>0.75</v>
      </c>
      <c r="K20" s="112">
        <f t="shared" ca="1" si="0"/>
        <v>538.2235906169899</v>
      </c>
      <c r="L20" s="98">
        <f t="shared" ca="1" si="1"/>
        <v>1844.7208875672814</v>
      </c>
      <c r="M20" s="98">
        <f t="shared" ca="1" si="2"/>
        <v>298.80473113946977</v>
      </c>
      <c r="N20" s="98">
        <f t="shared" ca="1" si="3"/>
        <v>368.94417751345628</v>
      </c>
      <c r="O20" s="67">
        <f>assumptions!M24</f>
        <v>55</v>
      </c>
      <c r="P20" s="68">
        <f>assumptions!N24</f>
        <v>3</v>
      </c>
      <c r="Q20" s="68">
        <f>assumptions!O24</f>
        <v>22</v>
      </c>
      <c r="R20" s="67">
        <f t="shared" si="4"/>
        <v>52.5</v>
      </c>
      <c r="S20" s="68">
        <f t="shared" si="5"/>
        <v>2.3275000000000001</v>
      </c>
      <c r="T20" s="68">
        <f t="shared" si="6"/>
        <v>22</v>
      </c>
      <c r="U20" s="73">
        <f t="shared" ca="1" si="15"/>
        <v>28256.738507391969</v>
      </c>
      <c r="V20" s="72">
        <f t="shared" ca="1" si="7"/>
        <v>4293.5878658128477</v>
      </c>
      <c r="W20" s="72">
        <f t="shared" ca="1" si="8"/>
        <v>8116.7719052960383</v>
      </c>
      <c r="X20" s="72">
        <f t="shared" ca="1" si="16"/>
        <v>40667.098278500853</v>
      </c>
      <c r="Y20" s="73">
        <f>mult_opex * fixed_month</f>
        <v>1000</v>
      </c>
      <c r="Z20" s="72">
        <f ca="1">mult_opex * fixed_well *D20</f>
        <v>5000</v>
      </c>
      <c r="AA20" s="72">
        <f ca="1">(Z20+Y20)*WI_current_1</f>
        <v>6000</v>
      </c>
      <c r="AB20" s="72">
        <f ca="1">mult_opex * var_bo*E20</f>
        <v>0</v>
      </c>
      <c r="AC20" s="72">
        <f ca="1">mult_opex * var_mcf*F20</f>
        <v>0</v>
      </c>
      <c r="AD20" s="72">
        <f ca="1">mult_opex * var_bw * G20</f>
        <v>796.81261637191938</v>
      </c>
      <c r="AE20" s="72">
        <f ca="1">SUM(AB20:AD20)*WI_current_1</f>
        <v>796.81261637191938</v>
      </c>
      <c r="AF20" s="73">
        <f ca="1">mult_capex * IFERROR(OFFSET(assumptions!$F$39,MATCH(B20,assumptions!$E$39:$E$45,0)-1,0),0)</f>
        <v>0</v>
      </c>
      <c r="AG20" s="75">
        <f ca="1">mult_capex * capex_new*WI_current_1 *'forecast production'!I21</f>
        <v>0</v>
      </c>
      <c r="AH20" s="146">
        <f t="shared" ca="1" si="23"/>
        <v>0</v>
      </c>
      <c r="AI20" s="73">
        <f t="shared" ca="1" si="9"/>
        <v>2230.5869541731972</v>
      </c>
      <c r="AJ20" s="72">
        <f t="shared" ca="1" si="10"/>
        <v>1016.6774569625213</v>
      </c>
      <c r="AK20" s="72">
        <f t="shared" ca="1" si="17"/>
        <v>3247.2644111357185</v>
      </c>
      <c r="AL20" s="73">
        <f t="shared" ca="1" si="11"/>
        <v>30623.021250993217</v>
      </c>
      <c r="AM20" s="132">
        <f ca="1">IF(X20*(lease_NRI/J20)  - (Z20+Y20+AB20+AC20+AD20)  - (AK20)*(lease_NRI/J20)&gt;0,1,0)</f>
        <v>1</v>
      </c>
      <c r="AN20" s="73">
        <f t="shared" ca="1" si="18"/>
        <v>30623.021250993217</v>
      </c>
      <c r="AO20" s="75">
        <f t="shared" ca="1" si="24"/>
        <v>532296.63245439273</v>
      </c>
      <c r="AP20" s="72">
        <f ca="1">AL20  /  ( 1 + disc_1/12)^(COUNT($AL$6:AL20)-1)</f>
        <v>27264.045381301927</v>
      </c>
      <c r="AQ20" s="72">
        <f t="shared" ca="1" si="25"/>
        <v>504499.33283710212</v>
      </c>
      <c r="AS20" s="303">
        <f t="shared" ca="1" si="19"/>
        <v>1</v>
      </c>
      <c r="AT20" s="300">
        <f ca="1">IFERROR(IRR($AN$6:AN20)*12,0)</f>
        <v>0</v>
      </c>
      <c r="AU20" s="297">
        <f t="shared" ca="1" si="20"/>
        <v>0</v>
      </c>
      <c r="AV20" s="303">
        <f t="shared" ca="1" si="21"/>
        <v>0</v>
      </c>
    </row>
    <row r="21" spans="2:48" x14ac:dyDescent="0.25">
      <c r="B21" s="43">
        <f t="shared" si="22"/>
        <v>44652</v>
      </c>
      <c r="C21" s="79">
        <f t="shared" si="12"/>
        <v>2022</v>
      </c>
      <c r="D21" s="64">
        <f ca="1">wellcount_base  +  SUM('forecast production'!I$7:I22)</f>
        <v>1</v>
      </c>
      <c r="E21" s="108">
        <f ca="1">'forecast production'!AE22</f>
        <v>680.44677115600484</v>
      </c>
      <c r="F21" s="97">
        <f ca="1">'forecast production'!AF22</f>
        <v>3125.3263094487415</v>
      </c>
      <c r="G21" s="97">
        <f ca="1">'forecast production'!AG22</f>
        <v>371.79643159251623</v>
      </c>
      <c r="H21" s="98">
        <f ca="1">'forecast production'!AH22</f>
        <v>468.79894641731124</v>
      </c>
      <c r="I21" s="307">
        <f t="shared" ca="1" si="13"/>
        <v>1</v>
      </c>
      <c r="J21" s="306">
        <f t="shared" ca="1" si="14"/>
        <v>0.75</v>
      </c>
      <c r="K21" s="112">
        <f t="shared" ca="1" si="0"/>
        <v>510.33507836700363</v>
      </c>
      <c r="L21" s="98">
        <f t="shared" ca="1" si="1"/>
        <v>1757.9960490649173</v>
      </c>
      <c r="M21" s="98">
        <f t="shared" ca="1" si="2"/>
        <v>278.84732369438717</v>
      </c>
      <c r="N21" s="98">
        <f t="shared" ca="1" si="3"/>
        <v>351.59920981298342</v>
      </c>
      <c r="O21" s="67">
        <f>assumptions!M25</f>
        <v>55</v>
      </c>
      <c r="P21" s="68">
        <f>assumptions!N25</f>
        <v>3</v>
      </c>
      <c r="Q21" s="68">
        <f>assumptions!O25</f>
        <v>22</v>
      </c>
      <c r="R21" s="67">
        <f t="shared" si="4"/>
        <v>52.5</v>
      </c>
      <c r="S21" s="68">
        <f t="shared" si="5"/>
        <v>2.3275000000000001</v>
      </c>
      <c r="T21" s="68">
        <f t="shared" si="6"/>
        <v>22</v>
      </c>
      <c r="U21" s="73">
        <f t="shared" ca="1" si="15"/>
        <v>26792.591614267691</v>
      </c>
      <c r="V21" s="72">
        <f t="shared" ca="1" si="7"/>
        <v>4091.7358041985954</v>
      </c>
      <c r="W21" s="72">
        <f t="shared" ca="1" si="8"/>
        <v>7735.1826158856347</v>
      </c>
      <c r="X21" s="72">
        <f t="shared" ca="1" si="16"/>
        <v>38619.510034351923</v>
      </c>
      <c r="Y21" s="73">
        <f>mult_opex * fixed_month</f>
        <v>1000</v>
      </c>
      <c r="Z21" s="72">
        <f ca="1">mult_opex * fixed_well *D21</f>
        <v>5000</v>
      </c>
      <c r="AA21" s="72">
        <f ca="1">(Z21+Y21)*WI_current_1</f>
        <v>6000</v>
      </c>
      <c r="AB21" s="72">
        <f ca="1">mult_opex * var_bo*E21</f>
        <v>0</v>
      </c>
      <c r="AC21" s="72">
        <f ca="1">mult_opex * var_mcf*F21</f>
        <v>0</v>
      </c>
      <c r="AD21" s="72">
        <f ca="1">mult_opex * var_bw * G21</f>
        <v>743.59286318503246</v>
      </c>
      <c r="AE21" s="72">
        <f ca="1">SUM(AB21:AD21)*WI_current_1</f>
        <v>743.59286318503246</v>
      </c>
      <c r="AF21" s="73">
        <f ca="1">mult_capex * IFERROR(OFFSET(assumptions!$F$39,MATCH(B21,assumptions!$E$39:$E$45,0)-1,0),0)</f>
        <v>0</v>
      </c>
      <c r="AG21" s="75">
        <f ca="1">mult_capex * capex_new*WI_current_1 *'forecast production'!I22</f>
        <v>0</v>
      </c>
      <c r="AH21" s="146">
        <f t="shared" ca="1" si="23"/>
        <v>0</v>
      </c>
      <c r="AI21" s="73">
        <f t="shared" ca="1" si="9"/>
        <v>2119.4780957626308</v>
      </c>
      <c r="AJ21" s="72">
        <f t="shared" ca="1" si="10"/>
        <v>965.48775085879811</v>
      </c>
      <c r="AK21" s="72">
        <f t="shared" ca="1" si="17"/>
        <v>3084.9658466214287</v>
      </c>
      <c r="AL21" s="73">
        <f t="shared" ca="1" si="11"/>
        <v>28790.951324545458</v>
      </c>
      <c r="AM21" s="132">
        <f ca="1">IF(X21*(lease_NRI/J21)  - (Z21+Y21+AB21+AC21+AD21)  - (AK21)*(lease_NRI/J21)&gt;0,1,0)</f>
        <v>1</v>
      </c>
      <c r="AN21" s="73">
        <f t="shared" ca="1" si="18"/>
        <v>28790.951324545458</v>
      </c>
      <c r="AO21" s="75">
        <f t="shared" ca="1" si="24"/>
        <v>561087.58377893816</v>
      </c>
      <c r="AP21" s="72">
        <f ca="1">AL21  /  ( 1 + disc_1/12)^(COUNT($AL$6:AL21)-1)</f>
        <v>25421.089007792518</v>
      </c>
      <c r="AQ21" s="72">
        <f t="shared" ca="1" si="25"/>
        <v>529920.42184489465</v>
      </c>
      <c r="AS21" s="303">
        <f t="shared" ca="1" si="19"/>
        <v>1</v>
      </c>
      <c r="AT21" s="300">
        <f ca="1">IFERROR(IRR($AN$6:AN21)*12,0)</f>
        <v>0</v>
      </c>
      <c r="AU21" s="297">
        <f t="shared" ca="1" si="20"/>
        <v>0</v>
      </c>
      <c r="AV21" s="303">
        <f t="shared" ca="1" si="21"/>
        <v>0</v>
      </c>
    </row>
    <row r="22" spans="2:48" x14ac:dyDescent="0.25">
      <c r="B22" s="43">
        <f t="shared" si="22"/>
        <v>44682</v>
      </c>
      <c r="C22" s="79">
        <f t="shared" si="12"/>
        <v>2022</v>
      </c>
      <c r="D22" s="64">
        <f ca="1">wellcount_base  +  SUM('forecast production'!I$7:I23)</f>
        <v>1</v>
      </c>
      <c r="E22" s="108">
        <f ca="1">'forecast production'!AE23</f>
        <v>689.64049017988134</v>
      </c>
      <c r="F22" s="97">
        <f ca="1">'forecast production'!AF23</f>
        <v>3182.5473400533056</v>
      </c>
      <c r="G22" s="97">
        <f ca="1">'forecast production'!AG23</f>
        <v>370.91712570506274</v>
      </c>
      <c r="H22" s="98">
        <f ca="1">'forecast production'!AH23</f>
        <v>477.3821010079958</v>
      </c>
      <c r="I22" s="307">
        <f t="shared" ca="1" si="13"/>
        <v>1</v>
      </c>
      <c r="J22" s="306">
        <f t="shared" ca="1" si="14"/>
        <v>0.75</v>
      </c>
      <c r="K22" s="112">
        <f t="shared" ca="1" si="0"/>
        <v>517.23036763491098</v>
      </c>
      <c r="L22" s="98">
        <f t="shared" ca="1" si="1"/>
        <v>1790.1828787799845</v>
      </c>
      <c r="M22" s="98">
        <f t="shared" ca="1" si="2"/>
        <v>278.18784427879706</v>
      </c>
      <c r="N22" s="98">
        <f t="shared" ca="1" si="3"/>
        <v>358.03657575599686</v>
      </c>
      <c r="O22" s="67">
        <f>assumptions!M26</f>
        <v>55</v>
      </c>
      <c r="P22" s="68">
        <f>assumptions!N26</f>
        <v>3</v>
      </c>
      <c r="Q22" s="68">
        <f>assumptions!O26</f>
        <v>22</v>
      </c>
      <c r="R22" s="67">
        <f t="shared" si="4"/>
        <v>52.5</v>
      </c>
      <c r="S22" s="68">
        <f t="shared" si="5"/>
        <v>2.3275000000000001</v>
      </c>
      <c r="T22" s="68">
        <f t="shared" si="6"/>
        <v>22</v>
      </c>
      <c r="U22" s="73">
        <f t="shared" ca="1" si="15"/>
        <v>27154.594300832825</v>
      </c>
      <c r="V22" s="72">
        <f t="shared" ca="1" si="7"/>
        <v>4166.6506503604141</v>
      </c>
      <c r="W22" s="72">
        <f t="shared" ca="1" si="8"/>
        <v>7876.8046666319315</v>
      </c>
      <c r="X22" s="72">
        <f t="shared" ca="1" si="16"/>
        <v>39198.049617825171</v>
      </c>
      <c r="Y22" s="73">
        <f>mult_opex * fixed_month</f>
        <v>1000</v>
      </c>
      <c r="Z22" s="72">
        <f ca="1">mult_opex * fixed_well *D22</f>
        <v>5000</v>
      </c>
      <c r="AA22" s="72">
        <f ca="1">(Z22+Y22)*WI_current_1</f>
        <v>6000</v>
      </c>
      <c r="AB22" s="72">
        <f ca="1">mult_opex * var_bo*E22</f>
        <v>0</v>
      </c>
      <c r="AC22" s="72">
        <f ca="1">mult_opex * var_mcf*F22</f>
        <v>0</v>
      </c>
      <c r="AD22" s="72">
        <f ca="1">mult_opex * var_bw * G22</f>
        <v>741.83425141012549</v>
      </c>
      <c r="AE22" s="72">
        <f ca="1">SUM(AB22:AD22)*WI_current_1</f>
        <v>741.83425141012549</v>
      </c>
      <c r="AF22" s="73">
        <f ca="1">mult_capex * IFERROR(OFFSET(assumptions!$F$39,MATCH(B22,assumptions!$E$39:$E$45,0)-1,0),0)</f>
        <v>0</v>
      </c>
      <c r="AG22" s="75">
        <f ca="1">mult_capex * capex_new*WI_current_1 *'forecast production'!I23</f>
        <v>0</v>
      </c>
      <c r="AH22" s="146">
        <f t="shared" ca="1" si="23"/>
        <v>0</v>
      </c>
      <c r="AI22" s="73">
        <f t="shared" ca="1" si="9"/>
        <v>2152.3704866127359</v>
      </c>
      <c r="AJ22" s="72">
        <f t="shared" ca="1" si="10"/>
        <v>979.95124044562931</v>
      </c>
      <c r="AK22" s="72">
        <f t="shared" ca="1" si="17"/>
        <v>3132.3217270583655</v>
      </c>
      <c r="AL22" s="73">
        <f t="shared" ca="1" si="11"/>
        <v>29323.893639356684</v>
      </c>
      <c r="AM22" s="132">
        <f ca="1">IF(X22*(lease_NRI/J22)  - (Z22+Y22+AB22+AC22+AD22)  - (AK22)*(lease_NRI/J22)&gt;0,1,0)</f>
        <v>1</v>
      </c>
      <c r="AN22" s="73">
        <f t="shared" ca="1" si="18"/>
        <v>29323.893639356684</v>
      </c>
      <c r="AO22" s="75">
        <f t="shared" ca="1" si="24"/>
        <v>590411.47741829487</v>
      </c>
      <c r="AP22" s="72">
        <f ca="1">AL22  /  ( 1 + disc_1/12)^(COUNT($AL$6:AL22)-1)</f>
        <v>25677.672018686531</v>
      </c>
      <c r="AQ22" s="72">
        <f t="shared" ca="1" si="25"/>
        <v>555598.09386358119</v>
      </c>
      <c r="AS22" s="303">
        <f t="shared" ca="1" si="19"/>
        <v>1</v>
      </c>
      <c r="AT22" s="300">
        <f ca="1">IFERROR(IRR($AN$6:AN22)*12,0)</f>
        <v>0</v>
      </c>
      <c r="AU22" s="297">
        <f t="shared" ca="1" si="20"/>
        <v>0</v>
      </c>
      <c r="AV22" s="303">
        <f t="shared" ca="1" si="21"/>
        <v>0</v>
      </c>
    </row>
    <row r="23" spans="2:48" x14ac:dyDescent="0.25">
      <c r="B23" s="43">
        <f t="shared" si="22"/>
        <v>44713</v>
      </c>
      <c r="C23" s="79">
        <f t="shared" si="12"/>
        <v>2022</v>
      </c>
      <c r="D23" s="64">
        <f ca="1">wellcount_base  +  SUM('forecast production'!I$7:I24)</f>
        <v>1</v>
      </c>
      <c r="E23" s="108">
        <f ca="1">'forecast production'!AE24</f>
        <v>654.42204576907068</v>
      </c>
      <c r="F23" s="97">
        <f ca="1">'forecast production'!AF24</f>
        <v>3034.2957003699958</v>
      </c>
      <c r="G23" s="97">
        <f ca="1">'forecast production'!AG24</f>
        <v>346.14776850987255</v>
      </c>
      <c r="H23" s="98">
        <f ca="1">'forecast production'!AH24</f>
        <v>455.14435505549937</v>
      </c>
      <c r="I23" s="307">
        <f t="shared" ca="1" si="13"/>
        <v>1</v>
      </c>
      <c r="J23" s="306">
        <f t="shared" ca="1" si="14"/>
        <v>0.75</v>
      </c>
      <c r="K23" s="112">
        <f t="shared" ca="1" si="0"/>
        <v>490.81653432680298</v>
      </c>
      <c r="L23" s="98">
        <f t="shared" ca="1" si="1"/>
        <v>1706.7913314581226</v>
      </c>
      <c r="M23" s="98">
        <f t="shared" ca="1" si="2"/>
        <v>259.61082638240441</v>
      </c>
      <c r="N23" s="98">
        <f t="shared" ca="1" si="3"/>
        <v>341.35826629162455</v>
      </c>
      <c r="O23" s="67">
        <f>assumptions!M27</f>
        <v>55</v>
      </c>
      <c r="P23" s="68">
        <f>assumptions!N27</f>
        <v>3</v>
      </c>
      <c r="Q23" s="68">
        <f>assumptions!O27</f>
        <v>22</v>
      </c>
      <c r="R23" s="67">
        <f t="shared" si="4"/>
        <v>52.5</v>
      </c>
      <c r="S23" s="68">
        <f t="shared" si="5"/>
        <v>2.3275000000000001</v>
      </c>
      <c r="T23" s="68">
        <f t="shared" si="6"/>
        <v>22</v>
      </c>
      <c r="U23" s="73">
        <f t="shared" ca="1" si="15"/>
        <v>25767.868052157155</v>
      </c>
      <c r="V23" s="72">
        <f t="shared" ca="1" si="7"/>
        <v>3972.5568239687805</v>
      </c>
      <c r="W23" s="72">
        <f t="shared" ca="1" si="8"/>
        <v>7509.8818584157398</v>
      </c>
      <c r="X23" s="72">
        <f t="shared" ca="1" si="16"/>
        <v>37250.306734541678</v>
      </c>
      <c r="Y23" s="73">
        <f>mult_opex * fixed_month</f>
        <v>1000</v>
      </c>
      <c r="Z23" s="72">
        <f ca="1">mult_opex * fixed_well *D23</f>
        <v>5000</v>
      </c>
      <c r="AA23" s="72">
        <f ca="1">(Z23+Y23)*WI_current_1</f>
        <v>6000</v>
      </c>
      <c r="AB23" s="72">
        <f ca="1">mult_opex * var_bo*E23</f>
        <v>0</v>
      </c>
      <c r="AC23" s="72">
        <f ca="1">mult_opex * var_mcf*F23</f>
        <v>0</v>
      </c>
      <c r="AD23" s="72">
        <f ca="1">mult_opex * var_bw * G23</f>
        <v>692.2955370197451</v>
      </c>
      <c r="AE23" s="72">
        <f ca="1">SUM(AB23:AD23)*WI_current_1</f>
        <v>692.2955370197451</v>
      </c>
      <c r="AF23" s="73">
        <f ca="1">mult_capex * IFERROR(OFFSET(assumptions!$F$39,MATCH(B23,assumptions!$E$39:$E$45,0)-1,0),0)</f>
        <v>0</v>
      </c>
      <c r="AG23" s="75">
        <f ca="1">mult_capex * capex_new*WI_current_1 *'forecast production'!I24</f>
        <v>0</v>
      </c>
      <c r="AH23" s="146">
        <f t="shared" ca="1" si="23"/>
        <v>0</v>
      </c>
      <c r="AI23" s="73">
        <f t="shared" ca="1" si="9"/>
        <v>2046.5048315780682</v>
      </c>
      <c r="AJ23" s="72">
        <f t="shared" ca="1" si="10"/>
        <v>931.25766836354205</v>
      </c>
      <c r="AK23" s="72">
        <f t="shared" ca="1" si="17"/>
        <v>2977.7624999416103</v>
      </c>
      <c r="AL23" s="73">
        <f t="shared" ca="1" si="11"/>
        <v>27580.248697580326</v>
      </c>
      <c r="AM23" s="132">
        <f ca="1">IF(X23*(lease_NRI/J23)  - (Z23+Y23+AB23+AC23+AD23)  - (AK23)*(lease_NRI/J23)&gt;0,1,0)</f>
        <v>1</v>
      </c>
      <c r="AN23" s="73">
        <f t="shared" ca="1" si="18"/>
        <v>27580.248697580326</v>
      </c>
      <c r="AO23" s="75">
        <f t="shared" ca="1" si="24"/>
        <v>617991.72611587518</v>
      </c>
      <c r="AP23" s="72">
        <f ca="1">AL23  /  ( 1 + disc_1/12)^(COUNT($AL$6:AL23)-1)</f>
        <v>23951.243466796765</v>
      </c>
      <c r="AQ23" s="72">
        <f t="shared" ca="1" si="25"/>
        <v>579549.33733037801</v>
      </c>
      <c r="AS23" s="303">
        <f t="shared" ca="1" si="19"/>
        <v>1</v>
      </c>
      <c r="AT23" s="300">
        <f ca="1">IFERROR(IRR($AN$6:AN23)*12,0)</f>
        <v>0</v>
      </c>
      <c r="AU23" s="297">
        <f t="shared" ca="1" si="20"/>
        <v>0</v>
      </c>
      <c r="AV23" s="303">
        <f t="shared" ca="1" si="21"/>
        <v>0</v>
      </c>
    </row>
    <row r="24" spans="2:48" x14ac:dyDescent="0.25">
      <c r="B24" s="43">
        <f t="shared" si="22"/>
        <v>44743</v>
      </c>
      <c r="C24" s="79">
        <f t="shared" si="12"/>
        <v>2022</v>
      </c>
      <c r="D24" s="64">
        <f ca="1">wellcount_base  +  SUM('forecast production'!I$7:I25)</f>
        <v>1</v>
      </c>
      <c r="E24" s="108">
        <f ca="1">'forecast production'!AE25</f>
        <v>663.75111018316989</v>
      </c>
      <c r="F24" s="97">
        <f ca="1">'forecast production'!AF25</f>
        <v>3091.1591701039843</v>
      </c>
      <c r="G24" s="97">
        <f ca="1">'forecast production'!AG25</f>
        <v>345.33346030879238</v>
      </c>
      <c r="H24" s="98">
        <f ca="1">'forecast production'!AH25</f>
        <v>463.67387551559767</v>
      </c>
      <c r="I24" s="307">
        <f t="shared" ca="1" si="13"/>
        <v>1</v>
      </c>
      <c r="J24" s="306">
        <f t="shared" ca="1" si="14"/>
        <v>0.75</v>
      </c>
      <c r="K24" s="112">
        <f t="shared" ca="1" si="0"/>
        <v>497.81333263737741</v>
      </c>
      <c r="L24" s="98">
        <f t="shared" ca="1" si="1"/>
        <v>1738.7770331834913</v>
      </c>
      <c r="M24" s="98">
        <f t="shared" ca="1" si="2"/>
        <v>259.00009523159429</v>
      </c>
      <c r="N24" s="98">
        <f t="shared" ca="1" si="3"/>
        <v>347.75540663669824</v>
      </c>
      <c r="O24" s="67">
        <f>assumptions!M28</f>
        <v>55</v>
      </c>
      <c r="P24" s="68">
        <f>assumptions!N28</f>
        <v>3</v>
      </c>
      <c r="Q24" s="68">
        <f>assumptions!O28</f>
        <v>22</v>
      </c>
      <c r="R24" s="67">
        <f t="shared" si="4"/>
        <v>52.5</v>
      </c>
      <c r="S24" s="68">
        <f t="shared" si="5"/>
        <v>2.3275000000000001</v>
      </c>
      <c r="T24" s="68">
        <f t="shared" si="6"/>
        <v>22</v>
      </c>
      <c r="U24" s="73">
        <f t="shared" ca="1" si="15"/>
        <v>26135.199963462313</v>
      </c>
      <c r="V24" s="72">
        <f t="shared" ca="1" si="7"/>
        <v>4047.0035447345763</v>
      </c>
      <c r="W24" s="72">
        <f t="shared" ca="1" si="8"/>
        <v>7650.618946007361</v>
      </c>
      <c r="X24" s="72">
        <f t="shared" ca="1" si="16"/>
        <v>37832.822454204252</v>
      </c>
      <c r="Y24" s="73">
        <f>mult_opex * fixed_month</f>
        <v>1000</v>
      </c>
      <c r="Z24" s="72">
        <f ca="1">mult_opex * fixed_well *D24</f>
        <v>5000</v>
      </c>
      <c r="AA24" s="72">
        <f ca="1">(Z24+Y24)*WI_current_1</f>
        <v>6000</v>
      </c>
      <c r="AB24" s="72">
        <f ca="1">mult_opex * var_bo*E24</f>
        <v>0</v>
      </c>
      <c r="AC24" s="72">
        <f ca="1">mult_opex * var_mcf*F24</f>
        <v>0</v>
      </c>
      <c r="AD24" s="72">
        <f ca="1">mult_opex * var_bw * G24</f>
        <v>690.66692061758476</v>
      </c>
      <c r="AE24" s="72">
        <f ca="1">SUM(AB24:AD24)*WI_current_1</f>
        <v>690.66692061758476</v>
      </c>
      <c r="AF24" s="73">
        <f ca="1">mult_capex * IFERROR(OFFSET(assumptions!$F$39,MATCH(B24,assumptions!$E$39:$E$45,0)-1,0),0)</f>
        <v>0</v>
      </c>
      <c r="AG24" s="75">
        <f ca="1">mult_capex * capex_new*WI_current_1 *'forecast production'!I25</f>
        <v>0</v>
      </c>
      <c r="AH24" s="146">
        <f t="shared" ca="1" si="23"/>
        <v>0</v>
      </c>
      <c r="AI24" s="73">
        <f t="shared" ca="1" si="9"/>
        <v>2079.5408851249117</v>
      </c>
      <c r="AJ24" s="72">
        <f t="shared" ca="1" si="10"/>
        <v>945.82056135510629</v>
      </c>
      <c r="AK24" s="72">
        <f t="shared" ca="1" si="17"/>
        <v>3025.361446480018</v>
      </c>
      <c r="AL24" s="73">
        <f t="shared" ca="1" si="11"/>
        <v>28116.794087106646</v>
      </c>
      <c r="AM24" s="132">
        <f ca="1">IF(X24*(lease_NRI/J24)  - (Z24+Y24+AB24+AC24+AD24)  - (AK24)*(lease_NRI/J24)&gt;0,1,0)</f>
        <v>1</v>
      </c>
      <c r="AN24" s="73">
        <f t="shared" ca="1" si="18"/>
        <v>28116.794087106646</v>
      </c>
      <c r="AO24" s="75">
        <f t="shared" ca="1" si="24"/>
        <v>646108.52020298177</v>
      </c>
      <c r="AP24" s="72">
        <f ca="1">AL24  /  ( 1 + disc_1/12)^(COUNT($AL$6:AL24)-1)</f>
        <v>24215.395328628583</v>
      </c>
      <c r="AQ24" s="72">
        <f t="shared" ca="1" si="25"/>
        <v>603764.73265900661</v>
      </c>
      <c r="AS24" s="303">
        <f t="shared" ca="1" si="19"/>
        <v>1</v>
      </c>
      <c r="AT24" s="300">
        <f ca="1">IFERROR(IRR($AN$6:AN24)*12,0)</f>
        <v>0</v>
      </c>
      <c r="AU24" s="297">
        <f t="shared" ca="1" si="20"/>
        <v>0</v>
      </c>
      <c r="AV24" s="303">
        <f t="shared" ca="1" si="21"/>
        <v>0</v>
      </c>
    </row>
    <row r="25" spans="2:48" x14ac:dyDescent="0.25">
      <c r="B25" s="43">
        <f t="shared" si="22"/>
        <v>44774</v>
      </c>
      <c r="C25" s="79">
        <f t="shared" si="12"/>
        <v>2022</v>
      </c>
      <c r="D25" s="64">
        <f ca="1">wellcount_base  +  SUM('forecast production'!I$7:I26)</f>
        <v>1</v>
      </c>
      <c r="E25" s="108">
        <f ca="1">'forecast production'!AE26</f>
        <v>651.32518797399678</v>
      </c>
      <c r="F25" s="97">
        <f ca="1">'forecast production'!AF26</f>
        <v>3046.6984554273172</v>
      </c>
      <c r="G25" s="97">
        <f ca="1">'forecast production'!AG26</f>
        <v>333.01928612063358</v>
      </c>
      <c r="H25" s="98">
        <f ca="1">'forecast production'!AH26</f>
        <v>457.00476831409759</v>
      </c>
      <c r="I25" s="307">
        <f t="shared" ca="1" si="13"/>
        <v>1</v>
      </c>
      <c r="J25" s="306">
        <f t="shared" ca="1" si="14"/>
        <v>0.75</v>
      </c>
      <c r="K25" s="112">
        <f t="shared" ca="1" si="0"/>
        <v>488.49389098049755</v>
      </c>
      <c r="L25" s="98">
        <f t="shared" ca="1" si="1"/>
        <v>1713.767881177866</v>
      </c>
      <c r="M25" s="98">
        <f t="shared" ca="1" si="2"/>
        <v>249.7644645904752</v>
      </c>
      <c r="N25" s="98">
        <f t="shared" ca="1" si="3"/>
        <v>342.75357623557318</v>
      </c>
      <c r="O25" s="67">
        <f>assumptions!M29</f>
        <v>55</v>
      </c>
      <c r="P25" s="68">
        <f>assumptions!N29</f>
        <v>3</v>
      </c>
      <c r="Q25" s="68">
        <f>assumptions!O29</f>
        <v>22</v>
      </c>
      <c r="R25" s="67">
        <f t="shared" si="4"/>
        <v>52.5</v>
      </c>
      <c r="S25" s="68">
        <f t="shared" si="5"/>
        <v>2.3275000000000001</v>
      </c>
      <c r="T25" s="68">
        <f t="shared" si="6"/>
        <v>22</v>
      </c>
      <c r="U25" s="73">
        <f t="shared" ca="1" si="15"/>
        <v>25645.929276476123</v>
      </c>
      <c r="V25" s="72">
        <f t="shared" ca="1" si="7"/>
        <v>3988.7947434414832</v>
      </c>
      <c r="W25" s="72">
        <f t="shared" ca="1" si="8"/>
        <v>7540.5786771826097</v>
      </c>
      <c r="X25" s="72">
        <f t="shared" ca="1" si="16"/>
        <v>37175.302697100211</v>
      </c>
      <c r="Y25" s="73">
        <f>mult_opex * fixed_month</f>
        <v>1000</v>
      </c>
      <c r="Z25" s="72">
        <f ca="1">mult_opex * fixed_well *D25</f>
        <v>5000</v>
      </c>
      <c r="AA25" s="72">
        <f ca="1">(Z25+Y25)*WI_current_1</f>
        <v>6000</v>
      </c>
      <c r="AB25" s="72">
        <f ca="1">mult_opex * var_bo*E25</f>
        <v>0</v>
      </c>
      <c r="AC25" s="72">
        <f ca="1">mult_opex * var_mcf*F25</f>
        <v>0</v>
      </c>
      <c r="AD25" s="72">
        <f ca="1">mult_opex * var_bw * G25</f>
        <v>666.03857224126716</v>
      </c>
      <c r="AE25" s="72">
        <f ca="1">SUM(AB25:AD25)*WI_current_1</f>
        <v>666.03857224126716</v>
      </c>
      <c r="AF25" s="73">
        <f ca="1">mult_capex * IFERROR(OFFSET(assumptions!$F$39,MATCH(B25,assumptions!$E$39:$E$45,0)-1,0),0)</f>
        <v>0</v>
      </c>
      <c r="AG25" s="75">
        <f ca="1">mult_capex * capex_new*WI_current_1 *'forecast production'!I26</f>
        <v>0</v>
      </c>
      <c r="AH25" s="146">
        <f t="shared" ca="1" si="23"/>
        <v>0</v>
      </c>
      <c r="AI25" s="73">
        <f t="shared" ca="1" si="9"/>
        <v>2044.4157532647087</v>
      </c>
      <c r="AJ25" s="72">
        <f t="shared" ca="1" si="10"/>
        <v>929.38256742750536</v>
      </c>
      <c r="AK25" s="72">
        <f t="shared" ca="1" si="17"/>
        <v>2973.798320692214</v>
      </c>
      <c r="AL25" s="73">
        <f t="shared" ca="1" si="11"/>
        <v>27535.465804166728</v>
      </c>
      <c r="AM25" s="132">
        <f ca="1">IF(X25*(lease_NRI/J25)  - (Z25+Y25+AB25+AC25+AD25)  - (AK25)*(lease_NRI/J25)&gt;0,1,0)</f>
        <v>1</v>
      </c>
      <c r="AN25" s="73">
        <f t="shared" ca="1" si="18"/>
        <v>27535.465804166728</v>
      </c>
      <c r="AO25" s="75">
        <f t="shared" ca="1" si="24"/>
        <v>673643.98600714852</v>
      </c>
      <c r="AP25" s="72">
        <f ca="1">AL25  /  ( 1 + disc_1/12)^(COUNT($AL$6:AL25)-1)</f>
        <v>23518.740840281225</v>
      </c>
      <c r="AQ25" s="72">
        <f t="shared" ca="1" si="25"/>
        <v>627283.47349928785</v>
      </c>
      <c r="AS25" s="303">
        <f t="shared" ca="1" si="19"/>
        <v>1</v>
      </c>
      <c r="AT25" s="300">
        <f ca="1">IFERROR(IRR($AN$6:AN25)*12,0)</f>
        <v>0</v>
      </c>
      <c r="AU25" s="297">
        <f t="shared" ca="1" si="20"/>
        <v>0</v>
      </c>
      <c r="AV25" s="303">
        <f t="shared" ca="1" si="21"/>
        <v>0</v>
      </c>
    </row>
    <row r="26" spans="2:48" x14ac:dyDescent="0.25">
      <c r="B26" s="43">
        <f t="shared" si="22"/>
        <v>44805</v>
      </c>
      <c r="C26" s="79">
        <f t="shared" si="12"/>
        <v>2022</v>
      </c>
      <c r="D26" s="64">
        <f ca="1">wellcount_base  +  SUM('forecast production'!I$7:I27)</f>
        <v>1</v>
      </c>
      <c r="E26" s="108">
        <f ca="1">'forecast production'!AE27</f>
        <v>618.73157552863211</v>
      </c>
      <c r="F26" s="97">
        <f ca="1">'forecast production'!AF27</f>
        <v>2906.6115283154209</v>
      </c>
      <c r="G26" s="97">
        <f ca="1">'forecast production'!AG27</f>
        <v>310.78677789356834</v>
      </c>
      <c r="H26" s="98">
        <f ca="1">'forecast production'!AH27</f>
        <v>435.99172924731306</v>
      </c>
      <c r="I26" s="307">
        <f t="shared" ca="1" si="13"/>
        <v>1</v>
      </c>
      <c r="J26" s="306">
        <f t="shared" ca="1" si="14"/>
        <v>0.75</v>
      </c>
      <c r="K26" s="112">
        <f t="shared" ca="1" si="0"/>
        <v>464.04868164647405</v>
      </c>
      <c r="L26" s="98">
        <f t="shared" ca="1" si="1"/>
        <v>1634.968984677424</v>
      </c>
      <c r="M26" s="98">
        <f t="shared" ca="1" si="2"/>
        <v>233.09008342017626</v>
      </c>
      <c r="N26" s="98">
        <f t="shared" ca="1" si="3"/>
        <v>326.9937969354848</v>
      </c>
      <c r="O26" s="67">
        <f>assumptions!M30</f>
        <v>55</v>
      </c>
      <c r="P26" s="68">
        <f>assumptions!N30</f>
        <v>3</v>
      </c>
      <c r="Q26" s="68">
        <f>assumptions!O30</f>
        <v>22</v>
      </c>
      <c r="R26" s="67">
        <f t="shared" si="4"/>
        <v>52.5</v>
      </c>
      <c r="S26" s="68">
        <f t="shared" si="5"/>
        <v>2.3275000000000001</v>
      </c>
      <c r="T26" s="68">
        <f t="shared" si="6"/>
        <v>22</v>
      </c>
      <c r="U26" s="73">
        <f t="shared" ca="1" si="15"/>
        <v>24362.555786439887</v>
      </c>
      <c r="V26" s="72">
        <f t="shared" ca="1" si="7"/>
        <v>3805.3903118367048</v>
      </c>
      <c r="W26" s="72">
        <f t="shared" ca="1" si="8"/>
        <v>7193.8635325806654</v>
      </c>
      <c r="X26" s="72">
        <f t="shared" ca="1" si="16"/>
        <v>35361.809630857257</v>
      </c>
      <c r="Y26" s="73">
        <f>mult_opex * fixed_month</f>
        <v>1000</v>
      </c>
      <c r="Z26" s="72">
        <f ca="1">mult_opex * fixed_well *D26</f>
        <v>5000</v>
      </c>
      <c r="AA26" s="72">
        <f ca="1">(Z26+Y26)*WI_current_1</f>
        <v>6000</v>
      </c>
      <c r="AB26" s="72">
        <f ca="1">mult_opex * var_bo*E26</f>
        <v>0</v>
      </c>
      <c r="AC26" s="72">
        <f ca="1">mult_opex * var_mcf*F26</f>
        <v>0</v>
      </c>
      <c r="AD26" s="72">
        <f ca="1">mult_opex * var_bw * G26</f>
        <v>621.57355578713668</v>
      </c>
      <c r="AE26" s="72">
        <f ca="1">SUM(AB26:AD26)*WI_current_1</f>
        <v>621.57355578713668</v>
      </c>
      <c r="AF26" s="73">
        <f ca="1">mult_capex * IFERROR(OFFSET(assumptions!$F$39,MATCH(B26,assumptions!$E$39:$E$45,0)-1,0),0)</f>
        <v>0</v>
      </c>
      <c r="AG26" s="75">
        <f ca="1">mult_capex * capex_new*WI_current_1 *'forecast production'!I27</f>
        <v>0</v>
      </c>
      <c r="AH26" s="146">
        <f t="shared" ca="1" si="23"/>
        <v>0</v>
      </c>
      <c r="AI26" s="73">
        <f t="shared" ca="1" si="9"/>
        <v>1945.6216045075375</v>
      </c>
      <c r="AJ26" s="72">
        <f t="shared" ca="1" si="10"/>
        <v>884.04524077143151</v>
      </c>
      <c r="AK26" s="72">
        <f t="shared" ca="1" si="17"/>
        <v>2829.666845278969</v>
      </c>
      <c r="AL26" s="73">
        <f t="shared" ca="1" si="11"/>
        <v>25910.569229791152</v>
      </c>
      <c r="AM26" s="132">
        <f ca="1">IF(X26*(lease_NRI/J26)  - (Z26+Y26+AB26+AC26+AD26)  - (AK26)*(lease_NRI/J26)&gt;0,1,0)</f>
        <v>1</v>
      </c>
      <c r="AN26" s="73">
        <f t="shared" ca="1" si="18"/>
        <v>25910.569229791152</v>
      </c>
      <c r="AO26" s="75">
        <f t="shared" ca="1" si="24"/>
        <v>699554.55523693969</v>
      </c>
      <c r="AP26" s="72">
        <f ca="1">AL26  /  ( 1 + disc_1/12)^(COUNT($AL$6:AL26)-1)</f>
        <v>21947.975601384245</v>
      </c>
      <c r="AQ26" s="72">
        <f t="shared" ca="1" si="25"/>
        <v>649231.44910067215</v>
      </c>
      <c r="AS26" s="303">
        <f t="shared" ca="1" si="19"/>
        <v>1</v>
      </c>
      <c r="AT26" s="300">
        <f ca="1">IFERROR(IRR($AN$6:AN26)*12,0)</f>
        <v>0</v>
      </c>
      <c r="AU26" s="297">
        <f t="shared" ca="1" si="20"/>
        <v>0</v>
      </c>
      <c r="AV26" s="303">
        <f t="shared" ca="1" si="21"/>
        <v>0</v>
      </c>
    </row>
    <row r="27" spans="2:48" x14ac:dyDescent="0.25">
      <c r="B27" s="43">
        <f t="shared" si="22"/>
        <v>44835</v>
      </c>
      <c r="C27" s="79">
        <f t="shared" si="12"/>
        <v>2022</v>
      </c>
      <c r="D27" s="64">
        <f ca="1">wellcount_base  +  SUM('forecast production'!I$7:I28)</f>
        <v>1</v>
      </c>
      <c r="E27" s="108">
        <f ca="1">'forecast production'!AE28</f>
        <v>628.18437352725812</v>
      </c>
      <c r="F27" s="97">
        <f ca="1">'forecast production'!AF28</f>
        <v>2962.8429006240508</v>
      </c>
      <c r="G27" s="97">
        <f ca="1">'forecast production'!AG28</f>
        <v>310.06152512460267</v>
      </c>
      <c r="H27" s="98">
        <f ca="1">'forecast production'!AH28</f>
        <v>444.42643509360761</v>
      </c>
      <c r="I27" s="307">
        <f t="shared" ca="1" si="13"/>
        <v>1</v>
      </c>
      <c r="J27" s="306">
        <f t="shared" ca="1" si="14"/>
        <v>0.75</v>
      </c>
      <c r="K27" s="112">
        <f t="shared" ca="1" si="0"/>
        <v>471.13828014544356</v>
      </c>
      <c r="L27" s="98">
        <f t="shared" ca="1" si="1"/>
        <v>1666.5991316010286</v>
      </c>
      <c r="M27" s="98">
        <f t="shared" ca="1" si="2"/>
        <v>232.546143843452</v>
      </c>
      <c r="N27" s="98">
        <f t="shared" ca="1" si="3"/>
        <v>333.31982632020572</v>
      </c>
      <c r="O27" s="67">
        <f>assumptions!M31</f>
        <v>55</v>
      </c>
      <c r="P27" s="68">
        <f>assumptions!N31</f>
        <v>3</v>
      </c>
      <c r="Q27" s="68">
        <f>assumptions!O31</f>
        <v>22</v>
      </c>
      <c r="R27" s="67">
        <f t="shared" si="4"/>
        <v>52.5</v>
      </c>
      <c r="S27" s="68">
        <f t="shared" si="5"/>
        <v>2.3275000000000001</v>
      </c>
      <c r="T27" s="68">
        <f t="shared" si="6"/>
        <v>22</v>
      </c>
      <c r="U27" s="73">
        <f t="shared" ca="1" si="15"/>
        <v>24734.759707635785</v>
      </c>
      <c r="V27" s="72">
        <f t="shared" ca="1" si="7"/>
        <v>3879.0094788013944</v>
      </c>
      <c r="W27" s="72">
        <f t="shared" ca="1" si="8"/>
        <v>7333.0361790445259</v>
      </c>
      <c r="X27" s="72">
        <f t="shared" ca="1" si="16"/>
        <v>35946.805365481705</v>
      </c>
      <c r="Y27" s="73">
        <f>mult_opex * fixed_month</f>
        <v>1000</v>
      </c>
      <c r="Z27" s="72">
        <f ca="1">mult_opex * fixed_well *D27</f>
        <v>5000</v>
      </c>
      <c r="AA27" s="72">
        <f ca="1">(Z27+Y27)*WI_current_1</f>
        <v>6000</v>
      </c>
      <c r="AB27" s="72">
        <f ca="1">mult_opex * var_bo*E27</f>
        <v>0</v>
      </c>
      <c r="AC27" s="72">
        <f ca="1">mult_opex * var_mcf*F27</f>
        <v>0</v>
      </c>
      <c r="AD27" s="72">
        <f ca="1">mult_opex * var_bw * G27</f>
        <v>620.12305024920533</v>
      </c>
      <c r="AE27" s="72">
        <f ca="1">SUM(AB27:AD27)*WI_current_1</f>
        <v>620.12305024920533</v>
      </c>
      <c r="AF27" s="73">
        <f ca="1">mult_capex * IFERROR(OFFSET(assumptions!$F$39,MATCH(B27,assumptions!$E$39:$E$45,0)-1,0),0)</f>
        <v>0</v>
      </c>
      <c r="AG27" s="75">
        <f ca="1">mult_capex * capex_new*WI_current_1 *'forecast production'!I28</f>
        <v>0</v>
      </c>
      <c r="AH27" s="146">
        <f t="shared" ca="1" si="23"/>
        <v>0</v>
      </c>
      <c r="AI27" s="73">
        <f t="shared" ca="1" si="9"/>
        <v>1978.70237088969</v>
      </c>
      <c r="AJ27" s="72">
        <f t="shared" ca="1" si="10"/>
        <v>898.67013413704262</v>
      </c>
      <c r="AK27" s="72">
        <f t="shared" ca="1" si="17"/>
        <v>2877.3725050267326</v>
      </c>
      <c r="AL27" s="73">
        <f t="shared" ca="1" si="11"/>
        <v>26449.30981020577</v>
      </c>
      <c r="AM27" s="132">
        <f ca="1">IF(X27*(lease_NRI/J27)  - (Z27+Y27+AB27+AC27+AD27)  - (AK27)*(lease_NRI/J27)&gt;0,1,0)</f>
        <v>1</v>
      </c>
      <c r="AN27" s="73">
        <f t="shared" ca="1" si="18"/>
        <v>26449.30981020577</v>
      </c>
      <c r="AO27" s="75">
        <f t="shared" ca="1" si="24"/>
        <v>726003.8650471454</v>
      </c>
      <c r="AP27" s="72">
        <f ca="1">AL27  /  ( 1 + disc_1/12)^(COUNT($AL$6:AL27)-1)</f>
        <v>22219.16499945871</v>
      </c>
      <c r="AQ27" s="72">
        <f t="shared" ca="1" si="25"/>
        <v>671450.61410013086</v>
      </c>
      <c r="AS27" s="303">
        <f t="shared" ca="1" si="19"/>
        <v>1</v>
      </c>
      <c r="AT27" s="300">
        <f ca="1">IFERROR(IRR($AN$6:AN27)*12,0)</f>
        <v>0</v>
      </c>
      <c r="AU27" s="297">
        <f t="shared" ca="1" si="20"/>
        <v>0</v>
      </c>
      <c r="AV27" s="303">
        <f t="shared" ca="1" si="21"/>
        <v>0</v>
      </c>
    </row>
    <row r="28" spans="2:48" x14ac:dyDescent="0.25">
      <c r="B28" s="43">
        <f t="shared" si="22"/>
        <v>44866</v>
      </c>
      <c r="C28" s="79">
        <f t="shared" si="12"/>
        <v>2022</v>
      </c>
      <c r="D28" s="64">
        <f ca="1">wellcount_base  +  SUM('forecast production'!I$7:I29)</f>
        <v>1</v>
      </c>
      <c r="E28" s="108">
        <f ca="1">'forecast production'!AE29</f>
        <v>597.13864752529764</v>
      </c>
      <c r="F28" s="97">
        <f ca="1">'forecast production'!AF29</f>
        <v>2827.7151921196455</v>
      </c>
      <c r="G28" s="97">
        <f ca="1">'forecast production'!AG29</f>
        <v>289.36543752141017</v>
      </c>
      <c r="H28" s="98">
        <f ca="1">'forecast production'!AH29</f>
        <v>424.15727881794686</v>
      </c>
      <c r="I28" s="307">
        <f t="shared" ca="1" si="13"/>
        <v>1</v>
      </c>
      <c r="J28" s="306">
        <f t="shared" ca="1" si="14"/>
        <v>0.75</v>
      </c>
      <c r="K28" s="112">
        <f t="shared" ca="1" si="0"/>
        <v>447.85398564397326</v>
      </c>
      <c r="L28" s="98">
        <f t="shared" ca="1" si="1"/>
        <v>1590.5897955673006</v>
      </c>
      <c r="M28" s="98">
        <f t="shared" ca="1" si="2"/>
        <v>217.02407814105763</v>
      </c>
      <c r="N28" s="98">
        <f t="shared" ca="1" si="3"/>
        <v>318.11795911346013</v>
      </c>
      <c r="O28" s="67">
        <f>assumptions!M32</f>
        <v>55</v>
      </c>
      <c r="P28" s="68">
        <f>assumptions!N32</f>
        <v>3</v>
      </c>
      <c r="Q28" s="68">
        <f>assumptions!O32</f>
        <v>22</v>
      </c>
      <c r="R28" s="67">
        <f t="shared" si="4"/>
        <v>52.5</v>
      </c>
      <c r="S28" s="68">
        <f t="shared" si="5"/>
        <v>2.3275000000000001</v>
      </c>
      <c r="T28" s="68">
        <f t="shared" si="6"/>
        <v>22</v>
      </c>
      <c r="U28" s="73">
        <f t="shared" ca="1" si="15"/>
        <v>23512.334246308597</v>
      </c>
      <c r="V28" s="72">
        <f t="shared" ca="1" si="7"/>
        <v>3702.0977491828921</v>
      </c>
      <c r="W28" s="72">
        <f t="shared" ca="1" si="8"/>
        <v>6998.5951004961225</v>
      </c>
      <c r="X28" s="72">
        <f t="shared" ca="1" si="16"/>
        <v>34213.027095987614</v>
      </c>
      <c r="Y28" s="73">
        <f>mult_opex * fixed_month</f>
        <v>1000</v>
      </c>
      <c r="Z28" s="72">
        <f ca="1">mult_opex * fixed_well *D28</f>
        <v>5000</v>
      </c>
      <c r="AA28" s="72">
        <f ca="1">(Z28+Y28)*WI_current_1</f>
        <v>6000</v>
      </c>
      <c r="AB28" s="72">
        <f ca="1">mult_opex * var_bo*E28</f>
        <v>0</v>
      </c>
      <c r="AC28" s="72">
        <f ca="1">mult_opex * var_mcf*F28</f>
        <v>0</v>
      </c>
      <c r="AD28" s="72">
        <f ca="1">mult_opex * var_bw * G28</f>
        <v>578.73087504282034</v>
      </c>
      <c r="AE28" s="72">
        <f ca="1">SUM(AB28:AD28)*WI_current_1</f>
        <v>578.73087504282034</v>
      </c>
      <c r="AF28" s="73">
        <f ca="1">mult_capex * IFERROR(OFFSET(assumptions!$F$39,MATCH(B28,assumptions!$E$39:$E$45,0)-1,0),0)</f>
        <v>0</v>
      </c>
      <c r="AG28" s="75">
        <f ca="1">mult_capex * capex_new*WI_current_1 *'forecast production'!I29</f>
        <v>0</v>
      </c>
      <c r="AH28" s="146">
        <f t="shared" ca="1" si="23"/>
        <v>0</v>
      </c>
      <c r="AI28" s="73">
        <f t="shared" ca="1" si="9"/>
        <v>1884.1193390561216</v>
      </c>
      <c r="AJ28" s="72">
        <f t="shared" ca="1" si="10"/>
        <v>855.32567739969045</v>
      </c>
      <c r="AK28" s="72">
        <f t="shared" ca="1" si="17"/>
        <v>2739.445016455812</v>
      </c>
      <c r="AL28" s="73">
        <f t="shared" ca="1" si="11"/>
        <v>24894.851204488983</v>
      </c>
      <c r="AM28" s="132">
        <f ca="1">IF(X28*(lease_NRI/J28)  - (Z28+Y28+AB28+AC28+AD28)  - (AK28)*(lease_NRI/J28)&gt;0,1,0)</f>
        <v>1</v>
      </c>
      <c r="AN28" s="73">
        <f t="shared" ca="1" si="18"/>
        <v>24894.851204488983</v>
      </c>
      <c r="AO28" s="75">
        <f t="shared" ca="1" si="24"/>
        <v>750898.71625163441</v>
      </c>
      <c r="AP28" s="72">
        <f ca="1">AL28  /  ( 1 + disc_1/12)^(COUNT($AL$6:AL28)-1)</f>
        <v>20740.479896550634</v>
      </c>
      <c r="AQ28" s="72">
        <f t="shared" ca="1" si="25"/>
        <v>692191.09399668151</v>
      </c>
      <c r="AS28" s="303">
        <f t="shared" ca="1" si="19"/>
        <v>1</v>
      </c>
      <c r="AT28" s="300">
        <f ca="1">IFERROR(IRR($AN$6:AN28)*12,0)</f>
        <v>0</v>
      </c>
      <c r="AU28" s="297">
        <f t="shared" ca="1" si="20"/>
        <v>0</v>
      </c>
      <c r="AV28" s="303">
        <f t="shared" ca="1" si="21"/>
        <v>0</v>
      </c>
    </row>
    <row r="29" spans="2:48" x14ac:dyDescent="0.25">
      <c r="B29" s="44">
        <f t="shared" si="22"/>
        <v>44896</v>
      </c>
      <c r="C29" s="100">
        <f t="shared" si="12"/>
        <v>2022</v>
      </c>
      <c r="D29" s="65">
        <f ca="1">wellcount_base  +  SUM('forecast production'!I$7:I30)</f>
        <v>1</v>
      </c>
      <c r="E29" s="109">
        <f ca="1">'forecast production'!AE30</f>
        <v>606.63147393860379</v>
      </c>
      <c r="F29" s="101">
        <f ca="1">'forecast production'!AF30</f>
        <v>2883.4796842684741</v>
      </c>
      <c r="G29" s="101">
        <f ca="1">'forecast production'!AG30</f>
        <v>288.69379373393645</v>
      </c>
      <c r="H29" s="102">
        <f ca="1">'forecast production'!AH30</f>
        <v>432.52195264027114</v>
      </c>
      <c r="I29" s="308">
        <f t="shared" ca="1" si="13"/>
        <v>1</v>
      </c>
      <c r="J29" s="309">
        <f t="shared" ca="1" si="14"/>
        <v>0.75</v>
      </c>
      <c r="K29" s="113">
        <f t="shared" ca="1" si="0"/>
        <v>454.97360545395281</v>
      </c>
      <c r="L29" s="102">
        <f t="shared" ca="1" si="1"/>
        <v>1621.9573224010169</v>
      </c>
      <c r="M29" s="102">
        <f t="shared" ca="1" si="2"/>
        <v>216.52034530045233</v>
      </c>
      <c r="N29" s="102">
        <f t="shared" ca="1" si="3"/>
        <v>324.39146448020335</v>
      </c>
      <c r="O29" s="103">
        <f>assumptions!M33</f>
        <v>55</v>
      </c>
      <c r="P29" s="104">
        <f>assumptions!N33</f>
        <v>3</v>
      </c>
      <c r="Q29" s="104">
        <f>assumptions!O33</f>
        <v>22</v>
      </c>
      <c r="R29" s="103">
        <f t="shared" si="4"/>
        <v>52.5</v>
      </c>
      <c r="S29" s="104">
        <f t="shared" si="5"/>
        <v>2.3275000000000001</v>
      </c>
      <c r="T29" s="104">
        <f t="shared" si="6"/>
        <v>22</v>
      </c>
      <c r="U29" s="105">
        <f t="shared" ca="1" si="15"/>
        <v>23886.114286332522</v>
      </c>
      <c r="V29" s="106">
        <f t="shared" ca="1" si="7"/>
        <v>3775.105667888367</v>
      </c>
      <c r="W29" s="106">
        <f t="shared" ca="1" si="8"/>
        <v>7136.6122185644736</v>
      </c>
      <c r="X29" s="106">
        <f t="shared" ca="1" si="16"/>
        <v>34797.832172785362</v>
      </c>
      <c r="Y29" s="105">
        <f>mult_opex * fixed_month</f>
        <v>1000</v>
      </c>
      <c r="Z29" s="106">
        <f ca="1">mult_opex * fixed_well *D29</f>
        <v>5000</v>
      </c>
      <c r="AA29" s="106">
        <f ca="1">(Z29+Y29)*WI_current_1</f>
        <v>6000</v>
      </c>
      <c r="AB29" s="106">
        <f ca="1">mult_opex * var_bo*E29</f>
        <v>0</v>
      </c>
      <c r="AC29" s="106">
        <f ca="1">mult_opex * var_mcf*F29</f>
        <v>0</v>
      </c>
      <c r="AD29" s="106">
        <f ca="1">mult_opex * var_bw * G29</f>
        <v>577.38758746787289</v>
      </c>
      <c r="AE29" s="106">
        <f ca="1">SUM(AB29:AD29)*WI_current_1</f>
        <v>577.38758746787289</v>
      </c>
      <c r="AF29" s="105">
        <f ca="1">mult_capex * IFERROR(OFFSET(assumptions!$F$39,MATCH(B29,assumptions!$E$39:$E$45,0)-1,0),0)</f>
        <v>0</v>
      </c>
      <c r="AG29" s="106">
        <f ca="1">mult_capex * capex_new*WI_current_1 *'forecast production'!I30</f>
        <v>0</v>
      </c>
      <c r="AH29" s="147">
        <f t="shared" ca="1" si="23"/>
        <v>0</v>
      </c>
      <c r="AI29" s="105">
        <f t="shared" ca="1" si="9"/>
        <v>1917.140098655259</v>
      </c>
      <c r="AJ29" s="106">
        <f t="shared" ca="1" si="10"/>
        <v>869.94580431963414</v>
      </c>
      <c r="AK29" s="106">
        <f t="shared" ca="1" si="17"/>
        <v>2787.0859029748931</v>
      </c>
      <c r="AL29" s="105">
        <f t="shared" ca="1" si="11"/>
        <v>25433.358682342598</v>
      </c>
      <c r="AM29" s="133">
        <f ca="1">IF(X29*(lease_NRI/J29)  - (Z29+Y29+AB29+AC29+AD29)  - (AK29)*(lease_NRI/J29)&gt;0,1,0)</f>
        <v>1</v>
      </c>
      <c r="AN29" s="105">
        <f t="shared" ca="1" si="18"/>
        <v>25433.358682342598</v>
      </c>
      <c r="AO29" s="106">
        <f t="shared" ca="1" si="24"/>
        <v>776332.07493397698</v>
      </c>
      <c r="AP29" s="106">
        <f ca="1">AL29  /  ( 1 + disc_1/12)^(COUNT($AL$6:AL29)-1)</f>
        <v>21014.006289527726</v>
      </c>
      <c r="AQ29" s="106">
        <f t="shared" ca="1" si="25"/>
        <v>713205.10028620926</v>
      </c>
      <c r="AS29" s="304">
        <f t="shared" ca="1" si="19"/>
        <v>1</v>
      </c>
      <c r="AT29" s="301">
        <f ca="1">IFERROR(IRR($AN$6:AN29)*12,0)</f>
        <v>0</v>
      </c>
      <c r="AU29" s="298">
        <f t="shared" ca="1" si="20"/>
        <v>0</v>
      </c>
      <c r="AV29" s="304">
        <f t="shared" ca="1" si="21"/>
        <v>0</v>
      </c>
    </row>
    <row r="30" spans="2:48" x14ac:dyDescent="0.25">
      <c r="B30" s="43">
        <f t="shared" si="22"/>
        <v>44927</v>
      </c>
      <c r="C30" s="79">
        <f t="shared" si="12"/>
        <v>2023</v>
      </c>
      <c r="D30" s="64">
        <f ca="1">wellcount_base  +  SUM('forecast production'!I$7:I31)</f>
        <v>1</v>
      </c>
      <c r="E30" s="108">
        <f ca="1">'forecast production'!AE31</f>
        <v>596.23542744274027</v>
      </c>
      <c r="F30" s="97">
        <f ca="1">'forecast production'!AF31</f>
        <v>2844.7550458795163</v>
      </c>
      <c r="G30" s="97">
        <f ca="1">'forecast production'!AG31</f>
        <v>278.40837149924312</v>
      </c>
      <c r="H30" s="98">
        <f ca="1">'forecast production'!AH31</f>
        <v>426.71325688192741</v>
      </c>
      <c r="I30" s="307">
        <f t="shared" ca="1" si="13"/>
        <v>1</v>
      </c>
      <c r="J30" s="306">
        <f t="shared" ca="1" si="14"/>
        <v>0.75</v>
      </c>
      <c r="K30" s="112">
        <f t="shared" ca="1" si="0"/>
        <v>447.17657058205521</v>
      </c>
      <c r="L30" s="98">
        <f t="shared" ca="1" si="1"/>
        <v>1600.1747133072281</v>
      </c>
      <c r="M30" s="98">
        <f t="shared" ca="1" si="2"/>
        <v>208.80627862443234</v>
      </c>
      <c r="N30" s="98">
        <f t="shared" ca="1" si="3"/>
        <v>320.03494266144554</v>
      </c>
      <c r="O30" s="67">
        <f>assumptions!M34</f>
        <v>55</v>
      </c>
      <c r="P30" s="68">
        <f>assumptions!N34</f>
        <v>3</v>
      </c>
      <c r="Q30" s="68">
        <f>assumptions!O34</f>
        <v>22</v>
      </c>
      <c r="R30" s="67">
        <f t="shared" si="4"/>
        <v>52.5</v>
      </c>
      <c r="S30" s="68">
        <f t="shared" si="5"/>
        <v>2.3275000000000001</v>
      </c>
      <c r="T30" s="68">
        <f t="shared" si="6"/>
        <v>22</v>
      </c>
      <c r="U30" s="73">
        <f t="shared" ca="1" si="15"/>
        <v>23476.769955557898</v>
      </c>
      <c r="V30" s="72">
        <f t="shared" ca="1" si="7"/>
        <v>3724.4066452225734</v>
      </c>
      <c r="W30" s="72">
        <f t="shared" ca="1" si="8"/>
        <v>7040.768738551802</v>
      </c>
      <c r="X30" s="72">
        <f t="shared" ca="1" si="16"/>
        <v>34241.945339332276</v>
      </c>
      <c r="Y30" s="73">
        <f>mult_opex * fixed_month</f>
        <v>1000</v>
      </c>
      <c r="Z30" s="72">
        <f ca="1">mult_opex * fixed_well *D30</f>
        <v>5000</v>
      </c>
      <c r="AA30" s="72">
        <f ca="1">(Z30+Y30)*WI_current_1</f>
        <v>6000</v>
      </c>
      <c r="AB30" s="72">
        <f ca="1">mult_opex * var_bo*E30</f>
        <v>0</v>
      </c>
      <c r="AC30" s="72">
        <f ca="1">mult_opex * var_mcf*F30</f>
        <v>0</v>
      </c>
      <c r="AD30" s="72">
        <f ca="1">mult_opex * var_bw * G30</f>
        <v>556.81674299848623</v>
      </c>
      <c r="AE30" s="72">
        <f ca="1">SUM(AB30:AD30)*WI_current_1</f>
        <v>556.81674299848623</v>
      </c>
      <c r="AF30" s="73">
        <f ca="1">mult_capex * IFERROR(OFFSET(assumptions!$F$39,MATCH(B30,assumptions!$E$39:$E$45,0)-1,0),0)</f>
        <v>0</v>
      </c>
      <c r="AG30" s="75">
        <f ca="1">mult_capex * capex_new*WI_current_1 *'forecast production'!I31</f>
        <v>0</v>
      </c>
      <c r="AH30" s="146">
        <f t="shared" ca="1" si="23"/>
        <v>0</v>
      </c>
      <c r="AI30" s="73">
        <f t="shared" ca="1" si="9"/>
        <v>1887.3195717387416</v>
      </c>
      <c r="AJ30" s="72">
        <f t="shared" ca="1" si="10"/>
        <v>856.04863348330696</v>
      </c>
      <c r="AK30" s="72">
        <f t="shared" ca="1" si="17"/>
        <v>2743.3682052220483</v>
      </c>
      <c r="AL30" s="73">
        <f t="shared" ca="1" si="11"/>
        <v>24941.76039111174</v>
      </c>
      <c r="AM30" s="132">
        <f ca="1">IF(X30*(lease_NRI/J30)  - (Z30+Y30+AB30+AC30+AD30)  - (AK30)*(lease_NRI/J30)&gt;0,1,0)</f>
        <v>1</v>
      </c>
      <c r="AN30" s="73">
        <f t="shared" ca="1" si="18"/>
        <v>24941.76039111174</v>
      </c>
      <c r="AO30" s="75">
        <f t="shared" ca="1" si="24"/>
        <v>801273.8353250887</v>
      </c>
      <c r="AP30" s="72">
        <f ca="1">AL30  /  ( 1 + disc_1/12)^(COUNT($AL$6:AL30)-1)</f>
        <v>20437.516484880165</v>
      </c>
      <c r="AQ30" s="72">
        <f t="shared" ca="1" si="25"/>
        <v>733642.61677108938</v>
      </c>
      <c r="AS30" s="303">
        <f t="shared" ca="1" si="19"/>
        <v>1</v>
      </c>
      <c r="AT30" s="300">
        <f ca="1">IFERROR(IRR($AN$6:AN30)*12,0)</f>
        <v>0</v>
      </c>
      <c r="AU30" s="297">
        <f t="shared" ca="1" si="20"/>
        <v>0</v>
      </c>
      <c r="AV30" s="303">
        <f t="shared" ca="1" si="21"/>
        <v>0</v>
      </c>
    </row>
    <row r="31" spans="2:48" x14ac:dyDescent="0.25">
      <c r="B31" s="43">
        <f t="shared" si="22"/>
        <v>44958</v>
      </c>
      <c r="C31" s="79">
        <f t="shared" si="12"/>
        <v>2023</v>
      </c>
      <c r="D31" s="64">
        <f ca="1">wellcount_base  +  SUM('forecast production'!I$7:I32)</f>
        <v>1</v>
      </c>
      <c r="E31" s="108">
        <f ca="1">'forecast production'!AE32</f>
        <v>529.4616631529758</v>
      </c>
      <c r="F31" s="97">
        <f ca="1">'forecast production'!AF32</f>
        <v>2535.4061007055457</v>
      </c>
      <c r="G31" s="97">
        <f ca="1">'forecast production'!AG32</f>
        <v>242.50814362164977</v>
      </c>
      <c r="H31" s="98">
        <f ca="1">'forecast production'!AH32</f>
        <v>380.31091510583178</v>
      </c>
      <c r="I31" s="307">
        <f t="shared" ca="1" si="13"/>
        <v>1</v>
      </c>
      <c r="J31" s="306">
        <f t="shared" ca="1" si="14"/>
        <v>0.75</v>
      </c>
      <c r="K31" s="112">
        <f t="shared" ca="1" si="0"/>
        <v>397.09624736473188</v>
      </c>
      <c r="L31" s="98">
        <f t="shared" ca="1" si="1"/>
        <v>1426.1659316468695</v>
      </c>
      <c r="M31" s="98">
        <f t="shared" ca="1" si="2"/>
        <v>181.88110771623732</v>
      </c>
      <c r="N31" s="98">
        <f t="shared" ca="1" si="3"/>
        <v>285.23318632937384</v>
      </c>
      <c r="O31" s="67">
        <f>assumptions!M35</f>
        <v>55</v>
      </c>
      <c r="P31" s="68">
        <f>assumptions!N35</f>
        <v>3</v>
      </c>
      <c r="Q31" s="68">
        <f>assumptions!O35</f>
        <v>22</v>
      </c>
      <c r="R31" s="67">
        <f t="shared" si="4"/>
        <v>52.5</v>
      </c>
      <c r="S31" s="68">
        <f t="shared" si="5"/>
        <v>2.3275000000000001</v>
      </c>
      <c r="T31" s="68">
        <f t="shared" si="6"/>
        <v>22</v>
      </c>
      <c r="U31" s="73">
        <f t="shared" ca="1" si="15"/>
        <v>20847.552986648425</v>
      </c>
      <c r="V31" s="72">
        <f t="shared" ca="1" si="7"/>
        <v>3319.4012059080887</v>
      </c>
      <c r="W31" s="72">
        <f t="shared" ca="1" si="8"/>
        <v>6275.1300992462247</v>
      </c>
      <c r="X31" s="72">
        <f t="shared" ca="1" si="16"/>
        <v>30442.084291802737</v>
      </c>
      <c r="Y31" s="73">
        <f>mult_opex * fixed_month</f>
        <v>1000</v>
      </c>
      <c r="Z31" s="72">
        <f ca="1">mult_opex * fixed_well *D31</f>
        <v>5000</v>
      </c>
      <c r="AA31" s="72">
        <f ca="1">(Z31+Y31)*WI_current_1</f>
        <v>6000</v>
      </c>
      <c r="AB31" s="72">
        <f ca="1">mult_opex * var_bo*E31</f>
        <v>0</v>
      </c>
      <c r="AC31" s="72">
        <f ca="1">mult_opex * var_mcf*F31</f>
        <v>0</v>
      </c>
      <c r="AD31" s="72">
        <f ca="1">mult_opex * var_bw * G31</f>
        <v>485.01628724329953</v>
      </c>
      <c r="AE31" s="72">
        <f ca="1">SUM(AB31:AD31)*WI_current_1</f>
        <v>485.01628724329953</v>
      </c>
      <c r="AF31" s="73">
        <f ca="1">mult_capex * IFERROR(OFFSET(assumptions!$F$39,MATCH(B31,assumptions!$E$39:$E$45,0)-1,0),0)</f>
        <v>0</v>
      </c>
      <c r="AG31" s="75">
        <f ca="1">mult_capex * capex_new*WI_current_1 *'forecast production'!I32</f>
        <v>0</v>
      </c>
      <c r="AH31" s="146">
        <f t="shared" ca="1" si="23"/>
        <v>0</v>
      </c>
      <c r="AI31" s="73">
        <f t="shared" ca="1" si="9"/>
        <v>1678.5772852724008</v>
      </c>
      <c r="AJ31" s="72">
        <f t="shared" ca="1" si="10"/>
        <v>761.05210729506848</v>
      </c>
      <c r="AK31" s="72">
        <f t="shared" ca="1" si="17"/>
        <v>2439.629392567469</v>
      </c>
      <c r="AL31" s="73">
        <f t="shared" ca="1" si="11"/>
        <v>21517.438611991969</v>
      </c>
      <c r="AM31" s="132">
        <f ca="1">IF(X31*(lease_NRI/J31)  - (Z31+Y31+AB31+AC31+AD31)  - (AK31)*(lease_NRI/J31)&gt;0,1,0)</f>
        <v>1</v>
      </c>
      <c r="AN31" s="73">
        <f t="shared" ca="1" si="18"/>
        <v>21517.438611991969</v>
      </c>
      <c r="AO31" s="75">
        <f t="shared" ca="1" si="24"/>
        <v>822791.27393708064</v>
      </c>
      <c r="AP31" s="72">
        <f ca="1">AL31  /  ( 1 + disc_1/12)^(COUNT($AL$6:AL31)-1)</f>
        <v>17485.878883243797</v>
      </c>
      <c r="AQ31" s="72">
        <f t="shared" ca="1" si="25"/>
        <v>751128.49565433315</v>
      </c>
      <c r="AS31" s="303">
        <f t="shared" ca="1" si="19"/>
        <v>1</v>
      </c>
      <c r="AT31" s="300">
        <f ca="1">IFERROR(IRR($AN$6:AN31)*12,0)</f>
        <v>0</v>
      </c>
      <c r="AU31" s="297">
        <f t="shared" ca="1" si="20"/>
        <v>0</v>
      </c>
      <c r="AV31" s="303">
        <f t="shared" ca="1" si="21"/>
        <v>0</v>
      </c>
    </row>
    <row r="32" spans="2:48" x14ac:dyDescent="0.25">
      <c r="B32" s="43">
        <f t="shared" si="22"/>
        <v>44986</v>
      </c>
      <c r="C32" s="79">
        <f t="shared" si="12"/>
        <v>2023</v>
      </c>
      <c r="D32" s="64">
        <f ca="1">wellcount_base  +  SUM('forecast production'!I$7:I33)</f>
        <v>1</v>
      </c>
      <c r="E32" s="108">
        <f ca="1">'forecast production'!AE33</f>
        <v>577.40273438739723</v>
      </c>
      <c r="F32" s="97">
        <f ca="1">'forecast production'!AF33</f>
        <v>2773.8553133088044</v>
      </c>
      <c r="G32" s="97">
        <f ca="1">'forecast production'!AG33</f>
        <v>259.83913420477114</v>
      </c>
      <c r="H32" s="98">
        <f ca="1">'forecast production'!AH33</f>
        <v>416.0782969963206</v>
      </c>
      <c r="I32" s="307">
        <f t="shared" ca="1" si="13"/>
        <v>1</v>
      </c>
      <c r="J32" s="306">
        <f t="shared" ca="1" si="14"/>
        <v>0.75</v>
      </c>
      <c r="K32" s="112">
        <f t="shared" ca="1" si="0"/>
        <v>433.05205079054792</v>
      </c>
      <c r="L32" s="98">
        <f t="shared" ca="1" si="1"/>
        <v>1560.2936137362026</v>
      </c>
      <c r="M32" s="98">
        <f t="shared" ca="1" si="2"/>
        <v>194.87935065357834</v>
      </c>
      <c r="N32" s="98">
        <f t="shared" ca="1" si="3"/>
        <v>312.05872274724044</v>
      </c>
      <c r="O32" s="67">
        <f>assumptions!M36</f>
        <v>55</v>
      </c>
      <c r="P32" s="68">
        <f>assumptions!N36</f>
        <v>3</v>
      </c>
      <c r="Q32" s="68">
        <f>assumptions!O36</f>
        <v>22</v>
      </c>
      <c r="R32" s="67">
        <f t="shared" si="4"/>
        <v>52.5</v>
      </c>
      <c r="S32" s="68">
        <f t="shared" si="5"/>
        <v>2.3275000000000001</v>
      </c>
      <c r="T32" s="68">
        <f t="shared" si="6"/>
        <v>22</v>
      </c>
      <c r="U32" s="73">
        <f t="shared" ca="1" si="15"/>
        <v>22735.232666503765</v>
      </c>
      <c r="V32" s="72">
        <f t="shared" ca="1" si="7"/>
        <v>3631.5833859710119</v>
      </c>
      <c r="W32" s="72">
        <f t="shared" ca="1" si="8"/>
        <v>6865.2919004392897</v>
      </c>
      <c r="X32" s="72">
        <f t="shared" ca="1" si="16"/>
        <v>33232.10795291407</v>
      </c>
      <c r="Y32" s="73">
        <f>mult_opex * fixed_month</f>
        <v>1000</v>
      </c>
      <c r="Z32" s="72">
        <f ca="1">mult_opex * fixed_well *D32</f>
        <v>5000</v>
      </c>
      <c r="AA32" s="72">
        <f ca="1">(Z32+Y32)*WI_current_1</f>
        <v>6000</v>
      </c>
      <c r="AB32" s="72">
        <f ca="1">mult_opex * var_bo*E32</f>
        <v>0</v>
      </c>
      <c r="AC32" s="72">
        <f ca="1">mult_opex * var_mcf*F32</f>
        <v>0</v>
      </c>
      <c r="AD32" s="72">
        <f ca="1">mult_opex * var_bw * G32</f>
        <v>519.67826840954228</v>
      </c>
      <c r="AE32" s="72">
        <f ca="1">SUM(AB32:AD32)*WI_current_1</f>
        <v>519.67826840954228</v>
      </c>
      <c r="AF32" s="73">
        <f ca="1">mult_capex * IFERROR(OFFSET(assumptions!$F$39,MATCH(B32,assumptions!$E$39:$E$45,0)-1,0),0)</f>
        <v>0</v>
      </c>
      <c r="AG32" s="75">
        <f ca="1">mult_capex * capex_new*WI_current_1 *'forecast production'!I33</f>
        <v>0</v>
      </c>
      <c r="AH32" s="146">
        <f t="shared" ca="1" si="23"/>
        <v>0</v>
      </c>
      <c r="AI32" s="73">
        <f t="shared" ca="1" si="9"/>
        <v>1833.0863491399459</v>
      </c>
      <c r="AJ32" s="72">
        <f t="shared" ca="1" si="10"/>
        <v>830.80269882285177</v>
      </c>
      <c r="AK32" s="72">
        <f t="shared" ca="1" si="17"/>
        <v>2663.8890479627976</v>
      </c>
      <c r="AL32" s="73">
        <f t="shared" ca="1" si="11"/>
        <v>24048.540636541729</v>
      </c>
      <c r="AM32" s="132">
        <f ca="1">IF(X32*(lease_NRI/J32)  - (Z32+Y32+AB32+AC32+AD32)  - (AK32)*(lease_NRI/J32)&gt;0,1,0)</f>
        <v>1</v>
      </c>
      <c r="AN32" s="73">
        <f t="shared" ca="1" si="18"/>
        <v>24048.540636541729</v>
      </c>
      <c r="AO32" s="75">
        <f t="shared" ca="1" si="24"/>
        <v>846839.81457362231</v>
      </c>
      <c r="AP32" s="72">
        <f ca="1">AL32  /  ( 1 + disc_1/12)^(COUNT($AL$6:AL32)-1)</f>
        <v>19381.237155442705</v>
      </c>
      <c r="AQ32" s="72">
        <f t="shared" ca="1" si="25"/>
        <v>770509.73280977586</v>
      </c>
      <c r="AS32" s="303">
        <f t="shared" ca="1" si="19"/>
        <v>1</v>
      </c>
      <c r="AT32" s="300">
        <f ca="1">IFERROR(IRR($AN$6:AN32)*12,0)</f>
        <v>0</v>
      </c>
      <c r="AU32" s="297">
        <f t="shared" ca="1" si="20"/>
        <v>0</v>
      </c>
      <c r="AV32" s="303">
        <f t="shared" ca="1" si="21"/>
        <v>0</v>
      </c>
    </row>
    <row r="33" spans="2:48" x14ac:dyDescent="0.25">
      <c r="B33" s="43">
        <f t="shared" si="22"/>
        <v>45017</v>
      </c>
      <c r="C33" s="79">
        <f t="shared" si="12"/>
        <v>2023</v>
      </c>
      <c r="D33" s="64">
        <f ca="1">wellcount_base  +  SUM('forecast production'!I$7:I34)</f>
        <v>1</v>
      </c>
      <c r="E33" s="108">
        <f ca="1">'forecast production'!AE34</f>
        <v>549.65475045002734</v>
      </c>
      <c r="F33" s="97">
        <f ca="1">'forecast production'!AF34</f>
        <v>2649.6782612298389</v>
      </c>
      <c r="G33" s="97">
        <f ca="1">'forecast production'!AG34</f>
        <v>242.50307849025634</v>
      </c>
      <c r="H33" s="98">
        <f ca="1">'forecast production'!AH34</f>
        <v>397.45173918447585</v>
      </c>
      <c r="I33" s="307">
        <f t="shared" ca="1" si="13"/>
        <v>1</v>
      </c>
      <c r="J33" s="306">
        <f t="shared" ca="1" si="14"/>
        <v>0.75</v>
      </c>
      <c r="K33" s="112">
        <f t="shared" ca="1" si="0"/>
        <v>412.24106283752053</v>
      </c>
      <c r="L33" s="98">
        <f t="shared" ca="1" si="1"/>
        <v>1490.4440219417843</v>
      </c>
      <c r="M33" s="98">
        <f t="shared" ca="1" si="2"/>
        <v>181.87730886769225</v>
      </c>
      <c r="N33" s="98">
        <f t="shared" ca="1" si="3"/>
        <v>298.08880438835689</v>
      </c>
      <c r="O33" s="67">
        <f>assumptions!M37</f>
        <v>55</v>
      </c>
      <c r="P33" s="68">
        <f>assumptions!N37</f>
        <v>3</v>
      </c>
      <c r="Q33" s="68">
        <f>assumptions!O37</f>
        <v>22</v>
      </c>
      <c r="R33" s="67">
        <f t="shared" si="4"/>
        <v>52.5</v>
      </c>
      <c r="S33" s="68">
        <f t="shared" si="5"/>
        <v>2.3275000000000001</v>
      </c>
      <c r="T33" s="68">
        <f t="shared" si="6"/>
        <v>22</v>
      </c>
      <c r="U33" s="73">
        <f t="shared" ca="1" si="15"/>
        <v>21642.655798969827</v>
      </c>
      <c r="V33" s="72">
        <f t="shared" ca="1" si="7"/>
        <v>3469.008461069503</v>
      </c>
      <c r="W33" s="72">
        <f t="shared" ca="1" si="8"/>
        <v>6557.9536965438519</v>
      </c>
      <c r="X33" s="72">
        <f t="shared" ca="1" si="16"/>
        <v>31669.617956583184</v>
      </c>
      <c r="Y33" s="73">
        <f>mult_opex * fixed_month</f>
        <v>1000</v>
      </c>
      <c r="Z33" s="72">
        <f ca="1">mult_opex * fixed_well *D33</f>
        <v>5000</v>
      </c>
      <c r="AA33" s="72">
        <f ca="1">(Z33+Y33)*WI_current_1</f>
        <v>6000</v>
      </c>
      <c r="AB33" s="72">
        <f ca="1">mult_opex * var_bo*E33</f>
        <v>0</v>
      </c>
      <c r="AC33" s="72">
        <f ca="1">mult_opex * var_mcf*F33</f>
        <v>0</v>
      </c>
      <c r="AD33" s="72">
        <f ca="1">mult_opex * var_bw * G33</f>
        <v>485.00615698051269</v>
      </c>
      <c r="AE33" s="72">
        <f ca="1">SUM(AB33:AD33)*WI_current_1</f>
        <v>485.00615698051269</v>
      </c>
      <c r="AF33" s="73">
        <f ca="1">mult_capex * IFERROR(OFFSET(assumptions!$F$39,MATCH(B33,assumptions!$E$39:$E$45,0)-1,0),0)</f>
        <v>0</v>
      </c>
      <c r="AG33" s="75">
        <f ca="1">mult_capex * capex_new*WI_current_1 *'forecast production'!I34</f>
        <v>0</v>
      </c>
      <c r="AH33" s="146">
        <f t="shared" ca="1" si="23"/>
        <v>0</v>
      </c>
      <c r="AI33" s="73">
        <f t="shared" ca="1" si="9"/>
        <v>1747.5843285736137</v>
      </c>
      <c r="AJ33" s="72">
        <f t="shared" ca="1" si="10"/>
        <v>791.7404489145797</v>
      </c>
      <c r="AK33" s="72">
        <f t="shared" ca="1" si="17"/>
        <v>2539.3247774881934</v>
      </c>
      <c r="AL33" s="73">
        <f t="shared" ca="1" si="11"/>
        <v>22645.28702211448</v>
      </c>
      <c r="AM33" s="132">
        <f ca="1">IF(X33*(lease_NRI/J33)  - (Z33+Y33+AB33+AC33+AD33)  - (AK33)*(lease_NRI/J33)&gt;0,1,0)</f>
        <v>1</v>
      </c>
      <c r="AN33" s="73">
        <f t="shared" ca="1" si="18"/>
        <v>22645.28702211448</v>
      </c>
      <c r="AO33" s="75">
        <f t="shared" ca="1" si="24"/>
        <v>869485.10159573681</v>
      </c>
      <c r="AP33" s="72">
        <f ca="1">AL33  /  ( 1 + disc_1/12)^(COUNT($AL$6:AL33)-1)</f>
        <v>18099.495696052927</v>
      </c>
      <c r="AQ33" s="72">
        <f t="shared" ca="1" si="25"/>
        <v>788609.22850582877</v>
      </c>
      <c r="AS33" s="303">
        <f t="shared" ca="1" si="19"/>
        <v>1</v>
      </c>
      <c r="AT33" s="300">
        <f ca="1">IFERROR(IRR($AN$6:AN33)*12,0)</f>
        <v>0</v>
      </c>
      <c r="AU33" s="297">
        <f t="shared" ca="1" si="20"/>
        <v>0</v>
      </c>
      <c r="AV33" s="303">
        <f t="shared" ca="1" si="21"/>
        <v>0</v>
      </c>
    </row>
    <row r="34" spans="2:48" x14ac:dyDescent="0.25">
      <c r="B34" s="43">
        <f t="shared" si="22"/>
        <v>45047</v>
      </c>
      <c r="C34" s="79">
        <f t="shared" si="12"/>
        <v>2023</v>
      </c>
      <c r="D34" s="64">
        <f ca="1">wellcount_base  +  SUM('forecast production'!I$7:I35)</f>
        <v>1</v>
      </c>
      <c r="E34" s="108">
        <f ca="1">'forecast production'!AE35</f>
        <v>559.14296293728682</v>
      </c>
      <c r="F34" s="97">
        <f ca="1">'forecast production'!AF35</f>
        <v>2704.1746492115126</v>
      </c>
      <c r="G34" s="97">
        <f ca="1">'forecast production'!AG35</f>
        <v>241.94770735236548</v>
      </c>
      <c r="H34" s="98">
        <f ca="1">'forecast production'!AH35</f>
        <v>405.62619738172685</v>
      </c>
      <c r="I34" s="307">
        <f t="shared" ca="1" si="13"/>
        <v>1</v>
      </c>
      <c r="J34" s="306">
        <f t="shared" ca="1" si="14"/>
        <v>0.75</v>
      </c>
      <c r="K34" s="112">
        <f t="shared" ca="1" si="0"/>
        <v>419.35722220296509</v>
      </c>
      <c r="L34" s="98">
        <f t="shared" ca="1" si="1"/>
        <v>1521.0982401814758</v>
      </c>
      <c r="M34" s="98">
        <f t="shared" ca="1" si="2"/>
        <v>181.46078051427412</v>
      </c>
      <c r="N34" s="98">
        <f t="shared" ca="1" si="3"/>
        <v>304.21964803629515</v>
      </c>
      <c r="O34" s="67">
        <f>assumptions!M38</f>
        <v>55</v>
      </c>
      <c r="P34" s="68">
        <f>assumptions!N38</f>
        <v>3</v>
      </c>
      <c r="Q34" s="68">
        <f>assumptions!O38</f>
        <v>22</v>
      </c>
      <c r="R34" s="67">
        <f t="shared" si="4"/>
        <v>52.5</v>
      </c>
      <c r="S34" s="68">
        <f t="shared" si="5"/>
        <v>2.3275000000000001</v>
      </c>
      <c r="T34" s="68">
        <f t="shared" si="6"/>
        <v>22</v>
      </c>
      <c r="U34" s="73">
        <f t="shared" ca="1" si="15"/>
        <v>22016.254165655668</v>
      </c>
      <c r="V34" s="72">
        <f t="shared" ca="1" si="7"/>
        <v>3540.356154022385</v>
      </c>
      <c r="W34" s="72">
        <f t="shared" ca="1" si="8"/>
        <v>6692.8322567984933</v>
      </c>
      <c r="X34" s="72">
        <f t="shared" ca="1" si="16"/>
        <v>32249.442576476547</v>
      </c>
      <c r="Y34" s="73">
        <f>mult_opex * fixed_month</f>
        <v>1000</v>
      </c>
      <c r="Z34" s="72">
        <f ca="1">mult_opex * fixed_well *D34</f>
        <v>5000</v>
      </c>
      <c r="AA34" s="72">
        <f ca="1">(Z34+Y34)*WI_current_1</f>
        <v>6000</v>
      </c>
      <c r="AB34" s="72">
        <f ca="1">mult_opex * var_bo*E34</f>
        <v>0</v>
      </c>
      <c r="AC34" s="72">
        <f ca="1">mult_opex * var_mcf*F34</f>
        <v>0</v>
      </c>
      <c r="AD34" s="72">
        <f ca="1">mult_opex * var_bw * G34</f>
        <v>483.89541470473097</v>
      </c>
      <c r="AE34" s="72">
        <f ca="1">SUM(AB34:AD34)*WI_current_1</f>
        <v>483.89541470473097</v>
      </c>
      <c r="AF34" s="73">
        <f ca="1">mult_capex * IFERROR(OFFSET(assumptions!$F$39,MATCH(B34,assumptions!$E$39:$E$45,0)-1,0),0)</f>
        <v>0</v>
      </c>
      <c r="AG34" s="75">
        <f ca="1">mult_capex * capex_new*WI_current_1 *'forecast production'!I35</f>
        <v>0</v>
      </c>
      <c r="AH34" s="146">
        <f t="shared" ca="1" si="23"/>
        <v>0</v>
      </c>
      <c r="AI34" s="73">
        <f t="shared" ca="1" si="9"/>
        <v>1780.2368224317265</v>
      </c>
      <c r="AJ34" s="72">
        <f t="shared" ca="1" si="10"/>
        <v>806.23606441191373</v>
      </c>
      <c r="AK34" s="72">
        <f t="shared" ca="1" si="17"/>
        <v>2586.4728868436405</v>
      </c>
      <c r="AL34" s="73">
        <f t="shared" ca="1" si="11"/>
        <v>23179.074274928178</v>
      </c>
      <c r="AM34" s="132">
        <f ca="1">IF(X34*(lease_NRI/J34)  - (Z34+Y34+AB34+AC34+AD34)  - (AK34)*(lease_NRI/J34)&gt;0,1,0)</f>
        <v>1</v>
      </c>
      <c r="AN34" s="73">
        <f t="shared" ca="1" si="18"/>
        <v>23179.074274928178</v>
      </c>
      <c r="AO34" s="75">
        <f t="shared" ca="1" si="24"/>
        <v>892664.175870665</v>
      </c>
      <c r="AP34" s="72">
        <f ca="1">AL34  /  ( 1 + disc_1/12)^(COUNT($AL$6:AL34)-1)</f>
        <v>18373.022530721035</v>
      </c>
      <c r="AQ34" s="72">
        <f t="shared" ca="1" si="25"/>
        <v>806982.2510365498</v>
      </c>
      <c r="AS34" s="303">
        <f t="shared" ca="1" si="19"/>
        <v>1</v>
      </c>
      <c r="AT34" s="300">
        <f ca="1">IFERROR(IRR($AN$6:AN34)*12,0)</f>
        <v>0</v>
      </c>
      <c r="AU34" s="297">
        <f t="shared" ca="1" si="20"/>
        <v>0</v>
      </c>
      <c r="AV34" s="303">
        <f t="shared" ca="1" si="21"/>
        <v>0</v>
      </c>
    </row>
    <row r="35" spans="2:48" x14ac:dyDescent="0.25">
      <c r="B35" s="43">
        <f t="shared" si="22"/>
        <v>45078</v>
      </c>
      <c r="C35" s="79">
        <f t="shared" si="12"/>
        <v>2023</v>
      </c>
      <c r="D35" s="64">
        <f ca="1">wellcount_base  +  SUM('forecast production'!I$7:I36)</f>
        <v>1</v>
      </c>
      <c r="E35" s="108">
        <f ca="1">'forecast production'!AE36</f>
        <v>532.54741606406674</v>
      </c>
      <c r="F35" s="97">
        <f ca="1">'forecast production'!AF36</f>
        <v>2583.9560090764917</v>
      </c>
      <c r="G35" s="97">
        <f ca="1">'forecast production'!AG36</f>
        <v>225.80825902664037</v>
      </c>
      <c r="H35" s="98">
        <f ca="1">'forecast production'!AH36</f>
        <v>387.59340136147375</v>
      </c>
      <c r="I35" s="307">
        <f t="shared" ca="1" si="13"/>
        <v>1</v>
      </c>
      <c r="J35" s="306">
        <f t="shared" ca="1" si="14"/>
        <v>0.75</v>
      </c>
      <c r="K35" s="112">
        <f t="shared" ca="1" si="0"/>
        <v>399.41056204805005</v>
      </c>
      <c r="L35" s="98">
        <f t="shared" ca="1" si="1"/>
        <v>1453.4752551055267</v>
      </c>
      <c r="M35" s="98">
        <f t="shared" ca="1" si="2"/>
        <v>169.35619426998028</v>
      </c>
      <c r="N35" s="98">
        <f t="shared" ca="1" si="3"/>
        <v>290.69505102110531</v>
      </c>
      <c r="O35" s="67">
        <f>assumptions!M39</f>
        <v>55</v>
      </c>
      <c r="P35" s="68">
        <f>assumptions!N39</f>
        <v>3</v>
      </c>
      <c r="Q35" s="68">
        <f>assumptions!O39</f>
        <v>22</v>
      </c>
      <c r="R35" s="67">
        <f t="shared" si="4"/>
        <v>52.5</v>
      </c>
      <c r="S35" s="68">
        <f t="shared" si="5"/>
        <v>2.3275000000000001</v>
      </c>
      <c r="T35" s="68">
        <f t="shared" si="6"/>
        <v>22</v>
      </c>
      <c r="U35" s="73">
        <f t="shared" ca="1" si="15"/>
        <v>20969.054507522629</v>
      </c>
      <c r="V35" s="72">
        <f t="shared" ca="1" si="7"/>
        <v>3382.9636562581136</v>
      </c>
      <c r="W35" s="72">
        <f t="shared" ca="1" si="8"/>
        <v>6395.2911224643167</v>
      </c>
      <c r="X35" s="72">
        <f t="shared" ca="1" si="16"/>
        <v>30747.309286245061</v>
      </c>
      <c r="Y35" s="73">
        <f>mult_opex * fixed_month</f>
        <v>1000</v>
      </c>
      <c r="Z35" s="72">
        <f ca="1">mult_opex * fixed_well *D35</f>
        <v>5000</v>
      </c>
      <c r="AA35" s="72">
        <f ca="1">(Z35+Y35)*WI_current_1</f>
        <v>6000</v>
      </c>
      <c r="AB35" s="72">
        <f ca="1">mult_opex * var_bo*E35</f>
        <v>0</v>
      </c>
      <c r="AC35" s="72">
        <f ca="1">mult_opex * var_mcf*F35</f>
        <v>0</v>
      </c>
      <c r="AD35" s="72">
        <f ca="1">mult_opex * var_bw * G35</f>
        <v>451.61651805328074</v>
      </c>
      <c r="AE35" s="72">
        <f ca="1">SUM(AB35:AD35)*WI_current_1</f>
        <v>451.61651805328074</v>
      </c>
      <c r="AF35" s="73">
        <f ca="1">mult_capex * IFERROR(OFFSET(assumptions!$F$39,MATCH(B35,assumptions!$E$39:$E$45,0)-1,0),0)</f>
        <v>0</v>
      </c>
      <c r="AG35" s="75">
        <f ca="1">mult_capex * capex_new*WI_current_1 *'forecast production'!I36</f>
        <v>0</v>
      </c>
      <c r="AH35" s="146">
        <f t="shared" ca="1" si="23"/>
        <v>0</v>
      </c>
      <c r="AI35" s="73">
        <f t="shared" ca="1" si="9"/>
        <v>1697.9456157502232</v>
      </c>
      <c r="AJ35" s="72">
        <f t="shared" ca="1" si="10"/>
        <v>768.68273215612658</v>
      </c>
      <c r="AK35" s="72">
        <f t="shared" ca="1" si="17"/>
        <v>2466.6283479063495</v>
      </c>
      <c r="AL35" s="73">
        <f t="shared" ca="1" si="11"/>
        <v>21829.064420285431</v>
      </c>
      <c r="AM35" s="132">
        <f ca="1">IF(X35*(lease_NRI/J35)  - (Z35+Y35+AB35+AC35+AD35)  - (AK35)*(lease_NRI/J35)&gt;0,1,0)</f>
        <v>1</v>
      </c>
      <c r="AN35" s="73">
        <f t="shared" ca="1" si="18"/>
        <v>21829.064420285431</v>
      </c>
      <c r="AO35" s="75">
        <f t="shared" ca="1" si="24"/>
        <v>914493.2402909504</v>
      </c>
      <c r="AP35" s="72">
        <f ca="1">AL35  /  ( 1 + disc_1/12)^(COUNT($AL$6:AL35)-1)</f>
        <v>17159.930269367025</v>
      </c>
      <c r="AQ35" s="72">
        <f t="shared" ca="1" si="25"/>
        <v>824142.18130591686</v>
      </c>
      <c r="AS35" s="303">
        <f t="shared" ca="1" si="19"/>
        <v>1</v>
      </c>
      <c r="AT35" s="300">
        <f ca="1">IFERROR(IRR($AN$6:AN35)*12,0)</f>
        <v>0</v>
      </c>
      <c r="AU35" s="297">
        <f t="shared" ca="1" si="20"/>
        <v>0</v>
      </c>
      <c r="AV35" s="303">
        <f t="shared" ca="1" si="21"/>
        <v>0</v>
      </c>
    </row>
    <row r="36" spans="2:48" x14ac:dyDescent="0.25">
      <c r="B36" s="43">
        <f t="shared" si="22"/>
        <v>45108</v>
      </c>
      <c r="C36" s="79">
        <f t="shared" si="12"/>
        <v>2023</v>
      </c>
      <c r="D36" s="64">
        <f ca="1">wellcount_base  +  SUM('forecast production'!I$7:I37)</f>
        <v>1</v>
      </c>
      <c r="E36" s="108">
        <f ca="1">'forecast production'!AE37</f>
        <v>542.00268197094124</v>
      </c>
      <c r="F36" s="97">
        <f ca="1">'forecast production'!AF37</f>
        <v>2637.9090253933805</v>
      </c>
      <c r="G36" s="97">
        <f ca="1">'forecast production'!AG37</f>
        <v>225.2939398027188</v>
      </c>
      <c r="H36" s="98">
        <f ca="1">'forecast production'!AH37</f>
        <v>395.68635380900702</v>
      </c>
      <c r="I36" s="307">
        <f t="shared" ca="1" si="13"/>
        <v>1</v>
      </c>
      <c r="J36" s="306">
        <f t="shared" ca="1" si="14"/>
        <v>0.75</v>
      </c>
      <c r="K36" s="112">
        <f t="shared" ca="1" si="0"/>
        <v>406.50201147820593</v>
      </c>
      <c r="L36" s="98">
        <f t="shared" ca="1" si="1"/>
        <v>1483.8238267837764</v>
      </c>
      <c r="M36" s="98">
        <f t="shared" ca="1" si="2"/>
        <v>168.9704548520391</v>
      </c>
      <c r="N36" s="98">
        <f t="shared" ca="1" si="3"/>
        <v>296.76476535675528</v>
      </c>
      <c r="O36" s="67">
        <f>assumptions!M40</f>
        <v>55</v>
      </c>
      <c r="P36" s="68">
        <f>assumptions!N40</f>
        <v>3</v>
      </c>
      <c r="Q36" s="68">
        <f>assumptions!O40</f>
        <v>22</v>
      </c>
      <c r="R36" s="67">
        <f t="shared" si="4"/>
        <v>52.5</v>
      </c>
      <c r="S36" s="68">
        <f t="shared" si="5"/>
        <v>2.3275000000000001</v>
      </c>
      <c r="T36" s="68">
        <f t="shared" si="6"/>
        <v>22</v>
      </c>
      <c r="U36" s="73">
        <f t="shared" ca="1" si="15"/>
        <v>21341.35560260581</v>
      </c>
      <c r="V36" s="72">
        <f t="shared" ca="1" si="7"/>
        <v>3453.5999568392399</v>
      </c>
      <c r="W36" s="72">
        <f t="shared" ca="1" si="8"/>
        <v>6528.824837848616</v>
      </c>
      <c r="X36" s="72">
        <f t="shared" ca="1" si="16"/>
        <v>31323.780397293667</v>
      </c>
      <c r="Y36" s="73">
        <f>mult_opex * fixed_month</f>
        <v>1000</v>
      </c>
      <c r="Z36" s="72">
        <f ca="1">mult_opex * fixed_well *D36</f>
        <v>5000</v>
      </c>
      <c r="AA36" s="72">
        <f ca="1">(Z36+Y36)*WI_current_1</f>
        <v>6000</v>
      </c>
      <c r="AB36" s="72">
        <f ca="1">mult_opex * var_bo*E36</f>
        <v>0</v>
      </c>
      <c r="AC36" s="72">
        <f ca="1">mult_opex * var_mcf*F36</f>
        <v>0</v>
      </c>
      <c r="AD36" s="72">
        <f ca="1">mult_opex * var_bw * G36</f>
        <v>450.58787960543759</v>
      </c>
      <c r="AE36" s="72">
        <f ca="1">SUM(AB36:AD36)*WI_current_1</f>
        <v>450.58787960543759</v>
      </c>
      <c r="AF36" s="73">
        <f ca="1">mult_capex * IFERROR(OFFSET(assumptions!$F$39,MATCH(B36,assumptions!$E$39:$E$45,0)-1,0),0)</f>
        <v>0</v>
      </c>
      <c r="AG36" s="75">
        <f ca="1">mult_capex * capex_new*WI_current_1 *'forecast production'!I37</f>
        <v>0</v>
      </c>
      <c r="AH36" s="146">
        <f t="shared" ca="1" si="23"/>
        <v>0</v>
      </c>
      <c r="AI36" s="73">
        <f t="shared" ca="1" si="9"/>
        <v>1730.3842173214564</v>
      </c>
      <c r="AJ36" s="72">
        <f t="shared" ca="1" si="10"/>
        <v>783.09450993234168</v>
      </c>
      <c r="AK36" s="72">
        <f t="shared" ca="1" si="17"/>
        <v>2513.4787272537978</v>
      </c>
      <c r="AL36" s="73">
        <f t="shared" ca="1" si="11"/>
        <v>22359.713790434431</v>
      </c>
      <c r="AM36" s="132">
        <f ca="1">IF(X36*(lease_NRI/J36)  - (Z36+Y36+AB36+AC36+AD36)  - (AK36)*(lease_NRI/J36)&gt;0,1,0)</f>
        <v>1</v>
      </c>
      <c r="AN36" s="73">
        <f t="shared" ca="1" si="18"/>
        <v>22359.713790434431</v>
      </c>
      <c r="AO36" s="75">
        <f t="shared" ca="1" si="24"/>
        <v>936852.95408138481</v>
      </c>
      <c r="AP36" s="72">
        <f ca="1">AL36  /  ( 1 + disc_1/12)^(COUNT($AL$6:AL36)-1)</f>
        <v>17431.811143637831</v>
      </c>
      <c r="AQ36" s="72">
        <f t="shared" ca="1" si="25"/>
        <v>841573.99244955473</v>
      </c>
      <c r="AS36" s="303">
        <f t="shared" ca="1" si="19"/>
        <v>1</v>
      </c>
      <c r="AT36" s="300">
        <f ca="1">IFERROR(IRR($AN$6:AN36)*12,0)</f>
        <v>0</v>
      </c>
      <c r="AU36" s="297">
        <f t="shared" ca="1" si="20"/>
        <v>0</v>
      </c>
      <c r="AV36" s="303">
        <f t="shared" ca="1" si="21"/>
        <v>0</v>
      </c>
    </row>
    <row r="37" spans="2:48" x14ac:dyDescent="0.25">
      <c r="B37" s="43">
        <f t="shared" si="22"/>
        <v>45139</v>
      </c>
      <c r="C37" s="79">
        <f t="shared" si="12"/>
        <v>2023</v>
      </c>
      <c r="D37" s="64">
        <f ca="1">wellcount_base  +  SUM('forecast production'!I$7:I38)</f>
        <v>1</v>
      </c>
      <c r="E37" s="108">
        <f ca="1">'forecast production'!AE38</f>
        <v>533.68858951873881</v>
      </c>
      <c r="F37" s="97">
        <f ca="1">'forecast production'!AF38</f>
        <v>2605.4623492417695</v>
      </c>
      <c r="G37" s="97">
        <f ca="1">'forecast production'!AG38</f>
        <v>217.27705769850982</v>
      </c>
      <c r="H37" s="98">
        <f ca="1">'forecast production'!AH38</f>
        <v>390.81935238626545</v>
      </c>
      <c r="I37" s="307">
        <f t="shared" ca="1" si="13"/>
        <v>1</v>
      </c>
      <c r="J37" s="306">
        <f t="shared" ca="1" si="14"/>
        <v>0.75</v>
      </c>
      <c r="K37" s="112">
        <f t="shared" ca="1" si="0"/>
        <v>400.26644213905411</v>
      </c>
      <c r="L37" s="98">
        <f t="shared" ca="1" si="1"/>
        <v>1465.5725714484954</v>
      </c>
      <c r="M37" s="98">
        <f t="shared" ca="1" si="2"/>
        <v>162.95779327388237</v>
      </c>
      <c r="N37" s="98">
        <f t="shared" ca="1" si="3"/>
        <v>293.11451428969906</v>
      </c>
      <c r="O37" s="67">
        <f>assumptions!M41</f>
        <v>55</v>
      </c>
      <c r="P37" s="68">
        <f>assumptions!N41</f>
        <v>3</v>
      </c>
      <c r="Q37" s="68">
        <f>assumptions!O41</f>
        <v>22</v>
      </c>
      <c r="R37" s="67">
        <f t="shared" si="4"/>
        <v>52.5</v>
      </c>
      <c r="S37" s="68">
        <f t="shared" si="5"/>
        <v>2.3275000000000001</v>
      </c>
      <c r="T37" s="68">
        <f t="shared" si="6"/>
        <v>22</v>
      </c>
      <c r="U37" s="73">
        <f t="shared" ca="1" si="15"/>
        <v>21013.988212300341</v>
      </c>
      <c r="V37" s="72">
        <f t="shared" ca="1" si="7"/>
        <v>3411.1201600463733</v>
      </c>
      <c r="W37" s="72">
        <f t="shared" ca="1" si="8"/>
        <v>6448.5193143733795</v>
      </c>
      <c r="X37" s="72">
        <f t="shared" ca="1" si="16"/>
        <v>30873.627686720094</v>
      </c>
      <c r="Y37" s="73">
        <f>mult_opex * fixed_month</f>
        <v>1000</v>
      </c>
      <c r="Z37" s="72">
        <f ca="1">mult_opex * fixed_well *D37</f>
        <v>5000</v>
      </c>
      <c r="AA37" s="72">
        <f ca="1">(Z37+Y37)*WI_current_1</f>
        <v>6000</v>
      </c>
      <c r="AB37" s="72">
        <f ca="1">mult_opex * var_bo*E37</f>
        <v>0</v>
      </c>
      <c r="AC37" s="72">
        <f ca="1">mult_opex * var_mcf*F37</f>
        <v>0</v>
      </c>
      <c r="AD37" s="72">
        <f ca="1">mult_opex * var_bw * G37</f>
        <v>434.55411539701964</v>
      </c>
      <c r="AE37" s="72">
        <f ca="1">SUM(AB37:AD37)*WI_current_1</f>
        <v>434.55411539701964</v>
      </c>
      <c r="AF37" s="73">
        <f ca="1">mult_capex * IFERROR(OFFSET(assumptions!$F$39,MATCH(B37,assumptions!$E$39:$E$45,0)-1,0),0)</f>
        <v>0</v>
      </c>
      <c r="AG37" s="75">
        <f ca="1">mult_capex * capex_new*WI_current_1 *'forecast production'!I38</f>
        <v>0</v>
      </c>
      <c r="AH37" s="146">
        <f t="shared" ca="1" si="23"/>
        <v>0</v>
      </c>
      <c r="AI37" s="73">
        <f t="shared" ca="1" si="9"/>
        <v>1706.1164183472972</v>
      </c>
      <c r="AJ37" s="72">
        <f t="shared" ca="1" si="10"/>
        <v>771.84069216800242</v>
      </c>
      <c r="AK37" s="72">
        <f t="shared" ca="1" si="17"/>
        <v>2477.9571105152995</v>
      </c>
      <c r="AL37" s="73">
        <f t="shared" ca="1" si="11"/>
        <v>21961.116460807774</v>
      </c>
      <c r="AM37" s="132">
        <f ca="1">IF(X37*(lease_NRI/J37)  - (Z37+Y37+AB37+AC37+AD37)  - (AK37)*(lease_NRI/J37)&gt;0,1,0)</f>
        <v>1</v>
      </c>
      <c r="AN37" s="73">
        <f t="shared" ca="1" si="18"/>
        <v>21961.116460807774</v>
      </c>
      <c r="AO37" s="75">
        <f t="shared" ca="1" si="24"/>
        <v>958814.07054219255</v>
      </c>
      <c r="AP37" s="72">
        <f ca="1">AL37  /  ( 1 + disc_1/12)^(COUNT($AL$6:AL37)-1)</f>
        <v>16979.565111539541</v>
      </c>
      <c r="AQ37" s="72">
        <f t="shared" ca="1" si="25"/>
        <v>858553.55756109429</v>
      </c>
      <c r="AS37" s="303">
        <f t="shared" ca="1" si="19"/>
        <v>1</v>
      </c>
      <c r="AT37" s="300">
        <f ca="1">IFERROR(IRR($AN$6:AN37)*12,0)</f>
        <v>0</v>
      </c>
      <c r="AU37" s="297">
        <f t="shared" ca="1" si="20"/>
        <v>0</v>
      </c>
      <c r="AV37" s="303">
        <f t="shared" ca="1" si="21"/>
        <v>0</v>
      </c>
    </row>
    <row r="38" spans="2:48" x14ac:dyDescent="0.25">
      <c r="B38" s="43">
        <f t="shared" si="22"/>
        <v>45170</v>
      </c>
      <c r="C38" s="79">
        <f t="shared" si="12"/>
        <v>2023</v>
      </c>
      <c r="D38" s="64">
        <f ca="1">wellcount_base  +  SUM('forecast production'!I$7:I39)</f>
        <v>1</v>
      </c>
      <c r="E38" s="108">
        <f ca="1">'forecast production'!AE39</f>
        <v>508.67004470580105</v>
      </c>
      <c r="F38" s="97">
        <f ca="1">'forecast production'!AF39</f>
        <v>2490.7782313399352</v>
      </c>
      <c r="G38" s="97">
        <f ca="1">'forecast production'!AG39</f>
        <v>202.78724936717524</v>
      </c>
      <c r="H38" s="98">
        <f ca="1">'forecast production'!AH39</f>
        <v>373.61673470099021</v>
      </c>
      <c r="I38" s="307">
        <f t="shared" ca="1" si="13"/>
        <v>1</v>
      </c>
      <c r="J38" s="306">
        <f t="shared" ca="1" si="14"/>
        <v>0.75</v>
      </c>
      <c r="K38" s="112">
        <f t="shared" ca="1" si="0"/>
        <v>381.50253352935079</v>
      </c>
      <c r="L38" s="98">
        <f t="shared" ca="1" si="1"/>
        <v>1401.0627551287137</v>
      </c>
      <c r="M38" s="98">
        <f t="shared" ca="1" si="2"/>
        <v>152.09043702538142</v>
      </c>
      <c r="N38" s="98">
        <f t="shared" ca="1" si="3"/>
        <v>280.21255102574264</v>
      </c>
      <c r="O38" s="67">
        <f>assumptions!M42</f>
        <v>55</v>
      </c>
      <c r="P38" s="68">
        <f>assumptions!N42</f>
        <v>3</v>
      </c>
      <c r="Q38" s="68">
        <f>assumptions!O42</f>
        <v>22</v>
      </c>
      <c r="R38" s="67">
        <f t="shared" si="4"/>
        <v>52.5</v>
      </c>
      <c r="S38" s="68">
        <f t="shared" si="5"/>
        <v>2.3275000000000001</v>
      </c>
      <c r="T38" s="68">
        <f t="shared" si="6"/>
        <v>22</v>
      </c>
      <c r="U38" s="73">
        <f t="shared" ca="1" si="15"/>
        <v>20028.883010290916</v>
      </c>
      <c r="V38" s="72">
        <f t="shared" ca="1" si="7"/>
        <v>3260.973562562081</v>
      </c>
      <c r="W38" s="72">
        <f t="shared" ca="1" si="8"/>
        <v>6164.6761225663377</v>
      </c>
      <c r="X38" s="72">
        <f t="shared" ca="1" si="16"/>
        <v>29454.532695419337</v>
      </c>
      <c r="Y38" s="73">
        <f>mult_opex * fixed_month</f>
        <v>1000</v>
      </c>
      <c r="Z38" s="72">
        <f ca="1">mult_opex * fixed_well *D38</f>
        <v>5000</v>
      </c>
      <c r="AA38" s="72">
        <f ca="1">(Z38+Y38)*WI_current_1</f>
        <v>6000</v>
      </c>
      <c r="AB38" s="72">
        <f ca="1">mult_opex * var_bo*E38</f>
        <v>0</v>
      </c>
      <c r="AC38" s="72">
        <f ca="1">mult_opex * var_mcf*F38</f>
        <v>0</v>
      </c>
      <c r="AD38" s="72">
        <f ca="1">mult_opex * var_bw * G38</f>
        <v>405.57449873435047</v>
      </c>
      <c r="AE38" s="72">
        <f ca="1">SUM(AB38:AD38)*WI_current_1</f>
        <v>405.57449873435047</v>
      </c>
      <c r="AF38" s="73">
        <f ca="1">mult_capex * IFERROR(OFFSET(assumptions!$F$39,MATCH(B38,assumptions!$E$39:$E$45,0)-1,0),0)</f>
        <v>0</v>
      </c>
      <c r="AG38" s="75">
        <f ca="1">mult_capex * capex_new*WI_current_1 *'forecast production'!I39</f>
        <v>0</v>
      </c>
      <c r="AH38" s="146">
        <f t="shared" ca="1" si="23"/>
        <v>0</v>
      </c>
      <c r="AI38" s="73">
        <f t="shared" ca="1" si="9"/>
        <v>1628.2523448580134</v>
      </c>
      <c r="AJ38" s="72">
        <f t="shared" ca="1" si="10"/>
        <v>736.36331738548347</v>
      </c>
      <c r="AK38" s="72">
        <f t="shared" ca="1" si="17"/>
        <v>2364.6156622434969</v>
      </c>
      <c r="AL38" s="73">
        <f t="shared" ca="1" si="11"/>
        <v>20684.34253444149</v>
      </c>
      <c r="AM38" s="132">
        <f ca="1">IF(X38*(lease_NRI/J38)  - (Z38+Y38+AB38+AC38+AD38)  - (AK38)*(lease_NRI/J38)&gt;0,1,0)</f>
        <v>1</v>
      </c>
      <c r="AN38" s="73">
        <f t="shared" ca="1" si="18"/>
        <v>20684.34253444149</v>
      </c>
      <c r="AO38" s="75">
        <f t="shared" ca="1" si="24"/>
        <v>979498.41307663405</v>
      </c>
      <c r="AP38" s="72">
        <f ca="1">AL38  /  ( 1 + disc_1/12)^(COUNT($AL$6:AL38)-1)</f>
        <v>15860.23962226722</v>
      </c>
      <c r="AQ38" s="72">
        <f t="shared" ca="1" si="25"/>
        <v>874413.79718336149</v>
      </c>
      <c r="AS38" s="303">
        <f t="shared" ca="1" si="19"/>
        <v>1</v>
      </c>
      <c r="AT38" s="300">
        <f ca="1">IFERROR(IRR($AN$6:AN38)*12,0)</f>
        <v>0</v>
      </c>
      <c r="AU38" s="297">
        <f t="shared" ca="1" si="20"/>
        <v>0</v>
      </c>
      <c r="AV38" s="303">
        <f t="shared" ca="1" si="21"/>
        <v>0</v>
      </c>
    </row>
    <row r="39" spans="2:48" x14ac:dyDescent="0.25">
      <c r="B39" s="43">
        <f t="shared" si="22"/>
        <v>45200</v>
      </c>
      <c r="C39" s="79">
        <f t="shared" si="12"/>
        <v>2023</v>
      </c>
      <c r="D39" s="64">
        <f ca="1">wellcount_base  +  SUM('forecast production'!I$7:I40)</f>
        <v>1</v>
      </c>
      <c r="E39" s="108">
        <f ca="1">'forecast production'!AE40</f>
        <v>518.05155003988557</v>
      </c>
      <c r="F39" s="97">
        <f ca="1">'forecast production'!AF40</f>
        <v>2543.8912256600001</v>
      </c>
      <c r="G39" s="97">
        <f ca="1">'forecast production'!AG40</f>
        <v>202.32917823268625</v>
      </c>
      <c r="H39" s="98">
        <f ca="1">'forecast production'!AH40</f>
        <v>381.58368384899995</v>
      </c>
      <c r="I39" s="307">
        <f t="shared" ca="1" si="13"/>
        <v>1</v>
      </c>
      <c r="J39" s="306">
        <f t="shared" ca="1" si="14"/>
        <v>0.75</v>
      </c>
      <c r="K39" s="112">
        <f t="shared" ca="1" si="0"/>
        <v>388.53866252991418</v>
      </c>
      <c r="L39" s="98">
        <f t="shared" ca="1" si="1"/>
        <v>1430.9388144337502</v>
      </c>
      <c r="M39" s="98">
        <f t="shared" ca="1" si="2"/>
        <v>151.74688367451469</v>
      </c>
      <c r="N39" s="98">
        <f t="shared" ca="1" si="3"/>
        <v>286.18776288674997</v>
      </c>
      <c r="O39" s="67">
        <f>assumptions!M43</f>
        <v>55</v>
      </c>
      <c r="P39" s="68">
        <f>assumptions!N43</f>
        <v>3</v>
      </c>
      <c r="Q39" s="68">
        <f>assumptions!O43</f>
        <v>22</v>
      </c>
      <c r="R39" s="67">
        <f t="shared" si="4"/>
        <v>52.5</v>
      </c>
      <c r="S39" s="68">
        <f t="shared" si="5"/>
        <v>2.3275000000000001</v>
      </c>
      <c r="T39" s="68">
        <f t="shared" si="6"/>
        <v>22</v>
      </c>
      <c r="U39" s="73">
        <f t="shared" ca="1" si="15"/>
        <v>20398.279782820493</v>
      </c>
      <c r="V39" s="72">
        <f t="shared" ca="1" si="7"/>
        <v>3330.5100905945537</v>
      </c>
      <c r="W39" s="72">
        <f t="shared" ca="1" si="8"/>
        <v>6296.130783508499</v>
      </c>
      <c r="X39" s="72">
        <f t="shared" ca="1" si="16"/>
        <v>30024.920656923547</v>
      </c>
      <c r="Y39" s="73">
        <f>mult_opex * fixed_month</f>
        <v>1000</v>
      </c>
      <c r="Z39" s="72">
        <f ca="1">mult_opex * fixed_well *D39</f>
        <v>5000</v>
      </c>
      <c r="AA39" s="72">
        <f ca="1">(Z39+Y39)*WI_current_1</f>
        <v>6000</v>
      </c>
      <c r="AB39" s="72">
        <f ca="1">mult_opex * var_bo*E39</f>
        <v>0</v>
      </c>
      <c r="AC39" s="72">
        <f ca="1">mult_opex * var_mcf*F39</f>
        <v>0</v>
      </c>
      <c r="AD39" s="72">
        <f ca="1">mult_opex * var_bw * G39</f>
        <v>404.65835646537249</v>
      </c>
      <c r="AE39" s="72">
        <f ca="1">SUM(AB39:AD39)*WI_current_1</f>
        <v>404.65835646537249</v>
      </c>
      <c r="AF39" s="73">
        <f ca="1">mult_capex * IFERROR(OFFSET(assumptions!$F$39,MATCH(B39,assumptions!$E$39:$E$45,0)-1,0),0)</f>
        <v>0</v>
      </c>
      <c r="AG39" s="75">
        <f ca="1">mult_capex * capex_new*WI_current_1 *'forecast production'!I40</f>
        <v>0</v>
      </c>
      <c r="AH39" s="146">
        <f t="shared" ca="1" si="23"/>
        <v>0</v>
      </c>
      <c r="AI39" s="73">
        <f t="shared" ca="1" si="9"/>
        <v>1660.3189355674717</v>
      </c>
      <c r="AJ39" s="72">
        <f t="shared" ca="1" si="10"/>
        <v>750.62301642308876</v>
      </c>
      <c r="AK39" s="72">
        <f t="shared" ca="1" si="17"/>
        <v>2410.9419519905605</v>
      </c>
      <c r="AL39" s="73">
        <f t="shared" ca="1" si="11"/>
        <v>21209.320348467612</v>
      </c>
      <c r="AM39" s="132">
        <f ca="1">IF(X39*(lease_NRI/J39)  - (Z39+Y39+AB39+AC39+AD39)  - (AK39)*(lease_NRI/J39)&gt;0,1,0)</f>
        <v>1</v>
      </c>
      <c r="AN39" s="73">
        <f t="shared" ca="1" si="18"/>
        <v>21209.320348467612</v>
      </c>
      <c r="AO39" s="75">
        <f t="shared" ca="1" si="24"/>
        <v>1000707.7334251016</v>
      </c>
      <c r="AP39" s="72">
        <f ca="1">AL39  /  ( 1 + disc_1/12)^(COUNT($AL$6:AL39)-1)</f>
        <v>16128.376421748655</v>
      </c>
      <c r="AQ39" s="72">
        <f t="shared" ca="1" si="25"/>
        <v>890542.17360511015</v>
      </c>
      <c r="AS39" s="303">
        <f t="shared" ca="1" si="19"/>
        <v>1</v>
      </c>
      <c r="AT39" s="300">
        <f ca="1">IFERROR(IRR($AN$6:AN39)*12,0)</f>
        <v>0</v>
      </c>
      <c r="AU39" s="297">
        <f t="shared" ca="1" si="20"/>
        <v>0</v>
      </c>
      <c r="AV39" s="303">
        <f t="shared" ca="1" si="21"/>
        <v>0</v>
      </c>
    </row>
    <row r="40" spans="2:48" x14ac:dyDescent="0.25">
      <c r="B40" s="43">
        <f t="shared" si="22"/>
        <v>45231</v>
      </c>
      <c r="C40" s="79">
        <f t="shared" si="12"/>
        <v>2023</v>
      </c>
      <c r="D40" s="64">
        <f ca="1">wellcount_base  +  SUM('forecast production'!I$7:I41)</f>
        <v>1</v>
      </c>
      <c r="E40" s="108">
        <f ca="1">'forecast production'!AE41</f>
        <v>493.98471337801163</v>
      </c>
      <c r="F40" s="97">
        <f ca="1">'forecast production'!AF41</f>
        <v>2432.6157724349214</v>
      </c>
      <c r="G40" s="97">
        <f ca="1">'forecast production'!AG41</f>
        <v>188.83865388692729</v>
      </c>
      <c r="H40" s="98">
        <f ca="1">'forecast production'!AH41</f>
        <v>364.89236586523822</v>
      </c>
      <c r="I40" s="307">
        <f t="shared" ca="1" si="13"/>
        <v>1</v>
      </c>
      <c r="J40" s="306">
        <f t="shared" ca="1" si="14"/>
        <v>0.75</v>
      </c>
      <c r="K40" s="112">
        <f t="shared" ca="1" si="0"/>
        <v>370.4885350335087</v>
      </c>
      <c r="L40" s="98">
        <f t="shared" ca="1" si="1"/>
        <v>1368.3463719946433</v>
      </c>
      <c r="M40" s="98">
        <f t="shared" ca="1" si="2"/>
        <v>141.62899041519546</v>
      </c>
      <c r="N40" s="98">
        <f t="shared" ca="1" si="3"/>
        <v>273.66927439892868</v>
      </c>
      <c r="O40" s="67">
        <f>assumptions!M44</f>
        <v>55</v>
      </c>
      <c r="P40" s="68">
        <f>assumptions!N44</f>
        <v>3</v>
      </c>
      <c r="Q40" s="68">
        <f>assumptions!O44</f>
        <v>22</v>
      </c>
      <c r="R40" s="67">
        <f t="shared" si="4"/>
        <v>52.5</v>
      </c>
      <c r="S40" s="68">
        <f t="shared" si="5"/>
        <v>2.3275000000000001</v>
      </c>
      <c r="T40" s="68">
        <f t="shared" si="6"/>
        <v>22</v>
      </c>
      <c r="U40" s="73">
        <f t="shared" ca="1" si="15"/>
        <v>19450.648089259208</v>
      </c>
      <c r="V40" s="72">
        <f t="shared" ca="1" si="7"/>
        <v>3184.8261808175325</v>
      </c>
      <c r="W40" s="72">
        <f t="shared" ca="1" si="8"/>
        <v>6020.7240367764307</v>
      </c>
      <c r="X40" s="72">
        <f t="shared" ca="1" si="16"/>
        <v>28656.198306853174</v>
      </c>
      <c r="Y40" s="73">
        <f>mult_opex * fixed_month</f>
        <v>1000</v>
      </c>
      <c r="Z40" s="72">
        <f ca="1">mult_opex * fixed_well *D40</f>
        <v>5000</v>
      </c>
      <c r="AA40" s="72">
        <f ca="1">(Z40+Y40)*WI_current_1</f>
        <v>6000</v>
      </c>
      <c r="AB40" s="72">
        <f ca="1">mult_opex * var_bo*E40</f>
        <v>0</v>
      </c>
      <c r="AC40" s="72">
        <f ca="1">mult_opex * var_mcf*F40</f>
        <v>0</v>
      </c>
      <c r="AD40" s="72">
        <f ca="1">mult_opex * var_bw * G40</f>
        <v>377.67730777385458</v>
      </c>
      <c r="AE40" s="72">
        <f ca="1">SUM(AB40:AD40)*WI_current_1</f>
        <v>377.67730777385458</v>
      </c>
      <c r="AF40" s="73">
        <f ca="1">mult_capex * IFERROR(OFFSET(assumptions!$F$39,MATCH(B40,assumptions!$E$39:$E$45,0)-1,0),0)</f>
        <v>0</v>
      </c>
      <c r="AG40" s="75">
        <f ca="1">mult_capex * capex_new*WI_current_1 *'forecast production'!I41</f>
        <v>0</v>
      </c>
      <c r="AH40" s="146">
        <f t="shared" ca="1" si="23"/>
        <v>0</v>
      </c>
      <c r="AI40" s="73">
        <f t="shared" ca="1" si="9"/>
        <v>1585.1460784254707</v>
      </c>
      <c r="AJ40" s="72">
        <f t="shared" ca="1" si="10"/>
        <v>716.40495767132938</v>
      </c>
      <c r="AK40" s="72">
        <f t="shared" ca="1" si="17"/>
        <v>2301.5510360968001</v>
      </c>
      <c r="AL40" s="73">
        <f t="shared" ca="1" si="11"/>
        <v>19976.969962982519</v>
      </c>
      <c r="AM40" s="132">
        <f ca="1">IF(X40*(lease_NRI/J40)  - (Z40+Y40+AB40+AC40+AD40)  - (AK40)*(lease_NRI/J40)&gt;0,1,0)</f>
        <v>1</v>
      </c>
      <c r="AN40" s="73">
        <f t="shared" ca="1" si="18"/>
        <v>19976.969962982519</v>
      </c>
      <c r="AO40" s="75">
        <f t="shared" ca="1" si="24"/>
        <v>1020684.7033880842</v>
      </c>
      <c r="AP40" s="72">
        <f ca="1">AL40  /  ( 1 + disc_1/12)^(COUNT($AL$6:AL40)-1)</f>
        <v>15065.702646984915</v>
      </c>
      <c r="AQ40" s="72">
        <f t="shared" ca="1" si="25"/>
        <v>905607.8762520951</v>
      </c>
      <c r="AS40" s="303">
        <f t="shared" ca="1" si="19"/>
        <v>1</v>
      </c>
      <c r="AT40" s="300">
        <f ca="1">IFERROR(IRR($AN$6:AN40)*12,0)</f>
        <v>0</v>
      </c>
      <c r="AU40" s="297">
        <f t="shared" ca="1" si="20"/>
        <v>0</v>
      </c>
      <c r="AV40" s="303">
        <f t="shared" ca="1" si="21"/>
        <v>0</v>
      </c>
    </row>
    <row r="41" spans="2:48" x14ac:dyDescent="0.25">
      <c r="B41" s="44">
        <f t="shared" si="22"/>
        <v>45261</v>
      </c>
      <c r="C41" s="100">
        <f t="shared" si="12"/>
        <v>2023</v>
      </c>
      <c r="D41" s="65">
        <f ca="1">wellcount_base  +  SUM('forecast production'!I$7:I42)</f>
        <v>1</v>
      </c>
      <c r="E41" s="109">
        <f ca="1">'forecast production'!AE42</f>
        <v>503.30475485605785</v>
      </c>
      <c r="F41" s="101">
        <f ca="1">'forecast production'!AF42</f>
        <v>2485.1629634804226</v>
      </c>
      <c r="G41" s="101">
        <f ca="1">'forecast production'!AG42</f>
        <v>188.41444346136191</v>
      </c>
      <c r="H41" s="102">
        <f ca="1">'forecast production'!AH42</f>
        <v>372.77444452206333</v>
      </c>
      <c r="I41" s="308">
        <f t="shared" ca="1" si="13"/>
        <v>1</v>
      </c>
      <c r="J41" s="309">
        <f t="shared" ca="1" si="14"/>
        <v>0.75</v>
      </c>
      <c r="K41" s="113">
        <f t="shared" ca="1" si="0"/>
        <v>377.47856614204341</v>
      </c>
      <c r="L41" s="102">
        <f t="shared" ca="1" si="1"/>
        <v>1397.9041669577377</v>
      </c>
      <c r="M41" s="102">
        <f t="shared" ca="1" si="2"/>
        <v>141.31083259602144</v>
      </c>
      <c r="N41" s="102">
        <f t="shared" ca="1" si="3"/>
        <v>279.58083339154751</v>
      </c>
      <c r="O41" s="103">
        <f>assumptions!M45</f>
        <v>55</v>
      </c>
      <c r="P41" s="104">
        <f>assumptions!N45</f>
        <v>3</v>
      </c>
      <c r="Q41" s="104">
        <f>assumptions!O45</f>
        <v>22</v>
      </c>
      <c r="R41" s="103">
        <f t="shared" si="4"/>
        <v>52.5</v>
      </c>
      <c r="S41" s="104">
        <f t="shared" si="5"/>
        <v>2.3275000000000001</v>
      </c>
      <c r="T41" s="104">
        <f t="shared" si="6"/>
        <v>22</v>
      </c>
      <c r="U41" s="105">
        <f t="shared" ca="1" si="15"/>
        <v>19817.62472245728</v>
      </c>
      <c r="V41" s="106">
        <f t="shared" ca="1" si="7"/>
        <v>3253.6219485941347</v>
      </c>
      <c r="W41" s="106">
        <f t="shared" ca="1" si="8"/>
        <v>6150.778334614045</v>
      </c>
      <c r="X41" s="106">
        <f t="shared" ca="1" si="16"/>
        <v>29222.025005665459</v>
      </c>
      <c r="Y41" s="105">
        <f>mult_opex * fixed_month</f>
        <v>1000</v>
      </c>
      <c r="Z41" s="106">
        <f ca="1">mult_opex * fixed_well *D41</f>
        <v>5000</v>
      </c>
      <c r="AA41" s="106">
        <f ca="1">(Z41+Y41)*WI_current_1</f>
        <v>6000</v>
      </c>
      <c r="AB41" s="106">
        <f ca="1">mult_opex * var_bo*E41</f>
        <v>0</v>
      </c>
      <c r="AC41" s="106">
        <f ca="1">mult_opex * var_mcf*F41</f>
        <v>0</v>
      </c>
      <c r="AD41" s="106">
        <f ca="1">mult_opex * var_bw * G41</f>
        <v>376.82888692272383</v>
      </c>
      <c r="AE41" s="106">
        <f ca="1">SUM(AB41:AD41)*WI_current_1</f>
        <v>376.82888692272383</v>
      </c>
      <c r="AF41" s="105">
        <f ca="1">mult_capex * IFERROR(OFFSET(assumptions!$F$39,MATCH(B41,assumptions!$E$39:$E$45,0)-1,0),0)</f>
        <v>0</v>
      </c>
      <c r="AG41" s="106">
        <f ca="1">mult_capex * capex_new*WI_current_1 *'forecast production'!I42</f>
        <v>0</v>
      </c>
      <c r="AH41" s="147">
        <f t="shared" ca="1" si="23"/>
        <v>0</v>
      </c>
      <c r="AI41" s="105">
        <f t="shared" ca="1" si="9"/>
        <v>1616.9407584736484</v>
      </c>
      <c r="AJ41" s="106">
        <f t="shared" ca="1" si="10"/>
        <v>730.55062514163649</v>
      </c>
      <c r="AK41" s="106">
        <f t="shared" ca="1" si="17"/>
        <v>2347.491383615285</v>
      </c>
      <c r="AL41" s="105">
        <f t="shared" ca="1" si="11"/>
        <v>20497.704735127449</v>
      </c>
      <c r="AM41" s="133">
        <f ca="1">IF(X41*(lease_NRI/J41)  - (Z41+Y41+AB41+AC41+AD41)  - (AK41)*(lease_NRI/J41)&gt;0,1,0)</f>
        <v>1</v>
      </c>
      <c r="AN41" s="105">
        <f t="shared" ca="1" si="18"/>
        <v>20497.704735127449</v>
      </c>
      <c r="AO41" s="106">
        <f t="shared" ca="1" si="24"/>
        <v>1041182.4081232116</v>
      </c>
      <c r="AP41" s="106">
        <f ca="1">AL41  /  ( 1 + disc_1/12)^(COUNT($AL$6:AL41)-1)</f>
        <v>15330.661110352366</v>
      </c>
      <c r="AQ41" s="106">
        <f t="shared" ca="1" si="25"/>
        <v>920938.53736244747</v>
      </c>
      <c r="AS41" s="304">
        <f t="shared" ca="1" si="19"/>
        <v>1</v>
      </c>
      <c r="AT41" s="301">
        <f ca="1">IFERROR(IRR($AN$6:AN41)*12,0)</f>
        <v>0</v>
      </c>
      <c r="AU41" s="298">
        <f t="shared" ca="1" si="20"/>
        <v>0</v>
      </c>
      <c r="AV41" s="304">
        <f t="shared" ca="1" si="21"/>
        <v>0</v>
      </c>
    </row>
    <row r="42" spans="2:48" x14ac:dyDescent="0.25">
      <c r="B42" s="43">
        <f t="shared" si="22"/>
        <v>45292</v>
      </c>
      <c r="C42" s="79">
        <f t="shared" si="12"/>
        <v>2024</v>
      </c>
      <c r="D42" s="64">
        <f ca="1">wellcount_base  +  SUM('forecast production'!I$7:I43)</f>
        <v>1</v>
      </c>
      <c r="E42" s="108">
        <f ca="1">'forecast production'!AE43</f>
        <v>496.12763908230022</v>
      </c>
      <c r="F42" s="97">
        <f ca="1">'forecast production'!AF43</f>
        <v>2456.3445704575838</v>
      </c>
      <c r="G42" s="97">
        <f ca="1">'forecast production'!AG43</f>
        <v>181.71576667068669</v>
      </c>
      <c r="H42" s="98">
        <f ca="1">'forecast production'!AH43</f>
        <v>368.45168556863757</v>
      </c>
      <c r="I42" s="307">
        <f t="shared" ca="1" si="13"/>
        <v>1</v>
      </c>
      <c r="J42" s="306">
        <f t="shared" ca="1" si="14"/>
        <v>0.75</v>
      </c>
      <c r="K42" s="112">
        <f t="shared" ca="1" si="0"/>
        <v>372.09572931172517</v>
      </c>
      <c r="L42" s="98">
        <f t="shared" ca="1" si="1"/>
        <v>1381.6938208823908</v>
      </c>
      <c r="M42" s="98">
        <f t="shared" ca="1" si="2"/>
        <v>136.28682500301503</v>
      </c>
      <c r="N42" s="98">
        <f t="shared" ca="1" si="3"/>
        <v>276.33876417647821</v>
      </c>
      <c r="O42" s="67">
        <f>assumptions!M46</f>
        <v>55</v>
      </c>
      <c r="P42" s="68">
        <f>assumptions!N46</f>
        <v>3</v>
      </c>
      <c r="Q42" s="68">
        <f>assumptions!O46</f>
        <v>22</v>
      </c>
      <c r="R42" s="67">
        <f t="shared" si="4"/>
        <v>52.5</v>
      </c>
      <c r="S42" s="68">
        <f t="shared" si="5"/>
        <v>2.3275000000000001</v>
      </c>
      <c r="T42" s="68">
        <f t="shared" si="6"/>
        <v>22</v>
      </c>
      <c r="U42" s="73">
        <f t="shared" ca="1" si="15"/>
        <v>19535.025788865572</v>
      </c>
      <c r="V42" s="72">
        <f t="shared" ca="1" si="7"/>
        <v>3215.892368103765</v>
      </c>
      <c r="W42" s="72">
        <f t="shared" ca="1" si="8"/>
        <v>6079.4528118825201</v>
      </c>
      <c r="X42" s="72">
        <f t="shared" ca="1" si="16"/>
        <v>28830.370968851857</v>
      </c>
      <c r="Y42" s="73">
        <f>mult_opex * fixed_month</f>
        <v>1000</v>
      </c>
      <c r="Z42" s="72">
        <f ca="1">mult_opex * fixed_well *D42</f>
        <v>5000</v>
      </c>
      <c r="AA42" s="72">
        <f ca="1">(Z42+Y42)*WI_current_1</f>
        <v>6000</v>
      </c>
      <c r="AB42" s="72">
        <f ca="1">mult_opex * var_bo*E42</f>
        <v>0</v>
      </c>
      <c r="AC42" s="72">
        <f ca="1">mult_opex * var_mcf*F42</f>
        <v>0</v>
      </c>
      <c r="AD42" s="72">
        <f ca="1">mult_opex * var_bw * G42</f>
        <v>363.43153334137338</v>
      </c>
      <c r="AE42" s="72">
        <f ca="1">SUM(AB42:AD42)*WI_current_1</f>
        <v>363.43153334137338</v>
      </c>
      <c r="AF42" s="73">
        <f ca="1">mult_capex * IFERROR(OFFSET(assumptions!$F$39,MATCH(B42,assumptions!$E$39:$E$45,0)-1,0),0)</f>
        <v>0</v>
      </c>
      <c r="AG42" s="75">
        <f ca="1">mult_capex * capex_new*WI_current_1 *'forecast production'!I43</f>
        <v>0</v>
      </c>
      <c r="AH42" s="146">
        <f t="shared" ca="1" si="23"/>
        <v>0</v>
      </c>
      <c r="AI42" s="73">
        <f t="shared" ca="1" si="9"/>
        <v>1595.7620747867877</v>
      </c>
      <c r="AJ42" s="72">
        <f t="shared" ca="1" si="10"/>
        <v>720.75927422129644</v>
      </c>
      <c r="AK42" s="72">
        <f t="shared" ca="1" si="17"/>
        <v>2316.5213490080841</v>
      </c>
      <c r="AL42" s="73">
        <f t="shared" ca="1" si="11"/>
        <v>20150.418086502403</v>
      </c>
      <c r="AM42" s="132">
        <f ca="1">IF(X42*(lease_NRI/J42)  - (Z42+Y42+AB42+AC42+AD42)  - (AK42)*(lease_NRI/J42)&gt;0,1,0)</f>
        <v>1</v>
      </c>
      <c r="AN42" s="73">
        <f t="shared" ca="1" si="18"/>
        <v>20150.418086502403</v>
      </c>
      <c r="AO42" s="75">
        <f t="shared" ca="1" si="24"/>
        <v>1061332.8262097139</v>
      </c>
      <c r="AP42" s="72">
        <f ca="1">AL42  /  ( 1 + disc_1/12)^(COUNT($AL$6:AL42)-1)</f>
        <v>14946.365135989174</v>
      </c>
      <c r="AQ42" s="72">
        <f t="shared" ca="1" si="25"/>
        <v>935884.90249843663</v>
      </c>
      <c r="AS42" s="303">
        <f t="shared" ca="1" si="19"/>
        <v>1</v>
      </c>
      <c r="AT42" s="300">
        <f ca="1">IFERROR(IRR($AN$6:AN42)*12,0)</f>
        <v>0</v>
      </c>
      <c r="AU42" s="297">
        <f t="shared" ca="1" si="20"/>
        <v>0</v>
      </c>
      <c r="AV42" s="303">
        <f t="shared" ca="1" si="21"/>
        <v>0</v>
      </c>
    </row>
    <row r="43" spans="2:48" x14ac:dyDescent="0.25">
      <c r="B43" s="43">
        <f t="shared" si="22"/>
        <v>45323</v>
      </c>
      <c r="C43" s="79">
        <f t="shared" si="12"/>
        <v>2024</v>
      </c>
      <c r="D43" s="64">
        <f ca="1">wellcount_base  +  SUM('forecast production'!I$7:I44)</f>
        <v>1</v>
      </c>
      <c r="E43" s="108">
        <f ca="1">'forecast production'!AE44</f>
        <v>457.59412125323661</v>
      </c>
      <c r="F43" s="97">
        <f ca="1">'forecast production'!AF44</f>
        <v>2271.5296640273486</v>
      </c>
      <c r="G43" s="97">
        <f ca="1">'forecast production'!AG44</f>
        <v>163.94953106628816</v>
      </c>
      <c r="H43" s="98">
        <f ca="1">'forecast production'!AH44</f>
        <v>340.72944960410234</v>
      </c>
      <c r="I43" s="307">
        <f t="shared" ca="1" si="13"/>
        <v>1</v>
      </c>
      <c r="J43" s="306">
        <f t="shared" ca="1" si="14"/>
        <v>0.75</v>
      </c>
      <c r="K43" s="112">
        <f t="shared" ca="1" si="0"/>
        <v>343.19559093992746</v>
      </c>
      <c r="L43" s="98">
        <f t="shared" ca="1" si="1"/>
        <v>1277.7354360153836</v>
      </c>
      <c r="M43" s="98">
        <f t="shared" ca="1" si="2"/>
        <v>122.96214829971612</v>
      </c>
      <c r="N43" s="98">
        <f t="shared" ca="1" si="3"/>
        <v>255.54708720307676</v>
      </c>
      <c r="O43" s="67">
        <f>assumptions!M47</f>
        <v>55</v>
      </c>
      <c r="P43" s="68">
        <f>assumptions!N47</f>
        <v>3</v>
      </c>
      <c r="Q43" s="68">
        <f>assumptions!O47</f>
        <v>22</v>
      </c>
      <c r="R43" s="67">
        <f t="shared" si="4"/>
        <v>52.5</v>
      </c>
      <c r="S43" s="68">
        <f t="shared" si="5"/>
        <v>2.3275000000000001</v>
      </c>
      <c r="T43" s="68">
        <f t="shared" si="6"/>
        <v>22</v>
      </c>
      <c r="U43" s="73">
        <f t="shared" ca="1" si="15"/>
        <v>18017.768524346193</v>
      </c>
      <c r="V43" s="72">
        <f t="shared" ca="1" si="7"/>
        <v>2973.9292273258056</v>
      </c>
      <c r="W43" s="72">
        <f t="shared" ca="1" si="8"/>
        <v>5622.035918467689</v>
      </c>
      <c r="X43" s="72">
        <f t="shared" ca="1" si="16"/>
        <v>26613.733670139689</v>
      </c>
      <c r="Y43" s="73">
        <f>mult_opex * fixed_month</f>
        <v>1000</v>
      </c>
      <c r="Z43" s="72">
        <f ca="1">mult_opex * fixed_well *D43</f>
        <v>5000</v>
      </c>
      <c r="AA43" s="72">
        <f ca="1">(Z43+Y43)*WI_current_1</f>
        <v>6000</v>
      </c>
      <c r="AB43" s="72">
        <f ca="1">mult_opex * var_bo*E43</f>
        <v>0</v>
      </c>
      <c r="AC43" s="72">
        <f ca="1">mult_opex * var_mcf*F43</f>
        <v>0</v>
      </c>
      <c r="AD43" s="72">
        <f ca="1">mult_opex * var_bw * G43</f>
        <v>327.89906213257632</v>
      </c>
      <c r="AE43" s="72">
        <f ca="1">SUM(AB43:AD43)*WI_current_1</f>
        <v>327.89906213257632</v>
      </c>
      <c r="AF43" s="73">
        <f ca="1">mult_capex * IFERROR(OFFSET(assumptions!$F$39,MATCH(B43,assumptions!$E$39:$E$45,0)-1,0),0)</f>
        <v>0</v>
      </c>
      <c r="AG43" s="75">
        <f ca="1">mult_capex * capex_new*WI_current_1 *'forecast production'!I44</f>
        <v>0</v>
      </c>
      <c r="AH43" s="146">
        <f t="shared" ca="1" si="23"/>
        <v>0</v>
      </c>
      <c r="AI43" s="73">
        <f t="shared" ca="1" si="9"/>
        <v>1473.5147380544367</v>
      </c>
      <c r="AJ43" s="72">
        <f t="shared" ca="1" si="10"/>
        <v>665.34334175349227</v>
      </c>
      <c r="AK43" s="72">
        <f t="shared" ca="1" si="17"/>
        <v>2138.8580798079292</v>
      </c>
      <c r="AL43" s="73">
        <f t="shared" ca="1" si="11"/>
        <v>18146.976528199186</v>
      </c>
      <c r="AM43" s="132">
        <f ca="1">IF(X43*(lease_NRI/J43)  - (Z43+Y43+AB43+AC43+AD43)  - (AK43)*(lease_NRI/J43)&gt;0,1,0)</f>
        <v>1</v>
      </c>
      <c r="AN43" s="73">
        <f t="shared" ca="1" si="18"/>
        <v>18146.976528199186</v>
      </c>
      <c r="AO43" s="75">
        <f t="shared" ca="1" si="24"/>
        <v>1079479.8027379131</v>
      </c>
      <c r="AP43" s="72">
        <f ca="1">AL43  /  ( 1 + disc_1/12)^(COUNT($AL$6:AL43)-1)</f>
        <v>13349.090567248928</v>
      </c>
      <c r="AQ43" s="72">
        <f t="shared" ca="1" si="25"/>
        <v>949233.9930656855</v>
      </c>
      <c r="AS43" s="303">
        <f t="shared" ca="1" si="19"/>
        <v>1</v>
      </c>
      <c r="AT43" s="300">
        <f ca="1">IFERROR(IRR($AN$6:AN43)*12,0)</f>
        <v>0</v>
      </c>
      <c r="AU43" s="297">
        <f t="shared" ca="1" si="20"/>
        <v>0</v>
      </c>
      <c r="AV43" s="303">
        <f t="shared" ca="1" si="21"/>
        <v>0</v>
      </c>
    </row>
    <row r="44" spans="2:48" x14ac:dyDescent="0.25">
      <c r="B44" s="43">
        <f t="shared" si="22"/>
        <v>45352</v>
      </c>
      <c r="C44" s="79">
        <f t="shared" si="12"/>
        <v>2024</v>
      </c>
      <c r="D44" s="64">
        <f ca="1">wellcount_base  +  SUM('forecast production'!I$7:I45)</f>
        <v>1</v>
      </c>
      <c r="E44" s="108">
        <f ca="1">'forecast production'!AE45</f>
        <v>482.80231384324219</v>
      </c>
      <c r="F44" s="97">
        <f ca="1">'forecast production'!AF45</f>
        <v>2402.4240457340011</v>
      </c>
      <c r="G44" s="97">
        <f ca="1">'forecast production'!AG45</f>
        <v>169.42278854612087</v>
      </c>
      <c r="H44" s="98">
        <f ca="1">'forecast production'!AH45</f>
        <v>360.36360686010016</v>
      </c>
      <c r="I44" s="307">
        <f t="shared" ca="1" si="13"/>
        <v>1</v>
      </c>
      <c r="J44" s="306">
        <f t="shared" ca="1" si="14"/>
        <v>0.75</v>
      </c>
      <c r="K44" s="112">
        <f t="shared" ca="1" si="0"/>
        <v>362.10173538243163</v>
      </c>
      <c r="L44" s="98">
        <f t="shared" ca="1" si="1"/>
        <v>1351.3635257253757</v>
      </c>
      <c r="M44" s="98">
        <f t="shared" ca="1" si="2"/>
        <v>127.06709140959066</v>
      </c>
      <c r="N44" s="98">
        <f t="shared" ca="1" si="3"/>
        <v>270.27270514507512</v>
      </c>
      <c r="O44" s="67">
        <f>assumptions!M48</f>
        <v>55</v>
      </c>
      <c r="P44" s="68">
        <f>assumptions!N48</f>
        <v>3</v>
      </c>
      <c r="Q44" s="68">
        <f>assumptions!O48</f>
        <v>22</v>
      </c>
      <c r="R44" s="67">
        <f t="shared" si="4"/>
        <v>52.5</v>
      </c>
      <c r="S44" s="68">
        <f t="shared" si="5"/>
        <v>2.3275000000000001</v>
      </c>
      <c r="T44" s="68">
        <f t="shared" si="6"/>
        <v>22</v>
      </c>
      <c r="U44" s="73">
        <f t="shared" ca="1" si="15"/>
        <v>19010.34110757766</v>
      </c>
      <c r="V44" s="72">
        <f t="shared" ca="1" si="7"/>
        <v>3145.2986061258121</v>
      </c>
      <c r="W44" s="72">
        <f t="shared" ca="1" si="8"/>
        <v>5945.999513191653</v>
      </c>
      <c r="X44" s="72">
        <f t="shared" ca="1" si="16"/>
        <v>28101.639226895124</v>
      </c>
      <c r="Y44" s="73">
        <f>mult_opex * fixed_month</f>
        <v>1000</v>
      </c>
      <c r="Z44" s="72">
        <f ca="1">mult_opex * fixed_well *D44</f>
        <v>5000</v>
      </c>
      <c r="AA44" s="72">
        <f ca="1">(Z44+Y44)*WI_current_1</f>
        <v>6000</v>
      </c>
      <c r="AB44" s="72">
        <f ca="1">mult_opex * var_bo*E44</f>
        <v>0</v>
      </c>
      <c r="AC44" s="72">
        <f ca="1">mult_opex * var_mcf*F44</f>
        <v>0</v>
      </c>
      <c r="AD44" s="72">
        <f ca="1">mult_opex * var_bw * G44</f>
        <v>338.84557709224174</v>
      </c>
      <c r="AE44" s="72">
        <f ca="1">SUM(AB44:AD44)*WI_current_1</f>
        <v>338.84557709224174</v>
      </c>
      <c r="AF44" s="73">
        <f ca="1">mult_capex * IFERROR(OFFSET(assumptions!$F$39,MATCH(B44,assumptions!$E$39:$E$45,0)-1,0),0)</f>
        <v>0</v>
      </c>
      <c r="AG44" s="75">
        <f ca="1">mult_capex * capex_new*WI_current_1 *'forecast production'!I45</f>
        <v>0</v>
      </c>
      <c r="AH44" s="146">
        <f t="shared" ca="1" si="23"/>
        <v>0</v>
      </c>
      <c r="AI44" s="73">
        <f t="shared" ca="1" si="9"/>
        <v>1556.3230498973821</v>
      </c>
      <c r="AJ44" s="72">
        <f t="shared" ca="1" si="10"/>
        <v>702.54098067237817</v>
      </c>
      <c r="AK44" s="72">
        <f t="shared" ca="1" si="17"/>
        <v>2258.8640305697604</v>
      </c>
      <c r="AL44" s="73">
        <f t="shared" ca="1" si="11"/>
        <v>19503.929619233124</v>
      </c>
      <c r="AM44" s="132">
        <f ca="1">IF(X44*(lease_NRI/J44)  - (Z44+Y44+AB44+AC44+AD44)  - (AK44)*(lease_NRI/J44)&gt;0,1,0)</f>
        <v>1</v>
      </c>
      <c r="AN44" s="73">
        <f t="shared" ca="1" si="18"/>
        <v>19503.929619233124</v>
      </c>
      <c r="AO44" s="75">
        <f t="shared" ca="1" si="24"/>
        <v>1098983.7323571462</v>
      </c>
      <c r="AP44" s="72">
        <f ca="1">AL44  /  ( 1 + disc_1/12)^(COUNT($AL$6:AL44)-1)</f>
        <v>14228.705771234683</v>
      </c>
      <c r="AQ44" s="72">
        <f t="shared" ca="1" si="25"/>
        <v>963462.6988369202</v>
      </c>
      <c r="AS44" s="303">
        <f t="shared" ca="1" si="19"/>
        <v>1</v>
      </c>
      <c r="AT44" s="300">
        <f ca="1">IFERROR(IRR($AN$6:AN44)*12,0)</f>
        <v>0</v>
      </c>
      <c r="AU44" s="297">
        <f t="shared" ca="1" si="20"/>
        <v>0</v>
      </c>
      <c r="AV44" s="303">
        <f t="shared" ca="1" si="21"/>
        <v>0</v>
      </c>
    </row>
    <row r="45" spans="2:48" x14ac:dyDescent="0.25">
      <c r="B45" s="43">
        <f t="shared" si="22"/>
        <v>45383</v>
      </c>
      <c r="C45" s="79">
        <f t="shared" si="12"/>
        <v>2024</v>
      </c>
      <c r="D45" s="64">
        <f ca="1">wellcount_base  +  SUM('forecast production'!I$7:I46)</f>
        <v>1</v>
      </c>
      <c r="E45" s="108">
        <f ca="1">'forecast production'!AE46</f>
        <v>460.83307608720054</v>
      </c>
      <c r="F45" s="97">
        <f ca="1">'forecast production'!AF46</f>
        <v>2298.8537597360078</v>
      </c>
      <c r="G45" s="97">
        <f ca="1">'forecast production'!AG46</f>
        <v>158.13141393428572</v>
      </c>
      <c r="H45" s="98">
        <f ca="1">'forecast production'!AH46</f>
        <v>344.82806396040121</v>
      </c>
      <c r="I45" s="307">
        <f t="shared" ca="1" si="13"/>
        <v>1</v>
      </c>
      <c r="J45" s="306">
        <f t="shared" ca="1" si="14"/>
        <v>0.75</v>
      </c>
      <c r="K45" s="112">
        <f t="shared" ca="1" si="0"/>
        <v>345.62480706540043</v>
      </c>
      <c r="L45" s="98">
        <f t="shared" ca="1" si="1"/>
        <v>1293.1052398515044</v>
      </c>
      <c r="M45" s="98">
        <f t="shared" ca="1" si="2"/>
        <v>118.59856045071429</v>
      </c>
      <c r="N45" s="98">
        <f t="shared" ca="1" si="3"/>
        <v>258.62104797030088</v>
      </c>
      <c r="O45" s="67">
        <f>assumptions!M49</f>
        <v>55</v>
      </c>
      <c r="P45" s="68">
        <f>assumptions!N49</f>
        <v>3</v>
      </c>
      <c r="Q45" s="68">
        <f>assumptions!O49</f>
        <v>22</v>
      </c>
      <c r="R45" s="67">
        <f t="shared" si="4"/>
        <v>52.5</v>
      </c>
      <c r="S45" s="68">
        <f t="shared" si="5"/>
        <v>2.3275000000000001</v>
      </c>
      <c r="T45" s="68">
        <f t="shared" si="6"/>
        <v>22</v>
      </c>
      <c r="U45" s="73">
        <f t="shared" ca="1" si="15"/>
        <v>18145.302370933521</v>
      </c>
      <c r="V45" s="72">
        <f t="shared" ca="1" si="7"/>
        <v>3009.7024457543766</v>
      </c>
      <c r="W45" s="72">
        <f t="shared" ca="1" si="8"/>
        <v>5689.6630553466193</v>
      </c>
      <c r="X45" s="72">
        <f t="shared" ca="1" si="16"/>
        <v>26844.667872034519</v>
      </c>
      <c r="Y45" s="73">
        <f>mult_opex * fixed_month</f>
        <v>1000</v>
      </c>
      <c r="Z45" s="72">
        <f ca="1">mult_opex * fixed_well *D45</f>
        <v>5000</v>
      </c>
      <c r="AA45" s="72">
        <f ca="1">(Z45+Y45)*WI_current_1</f>
        <v>6000</v>
      </c>
      <c r="AB45" s="72">
        <f ca="1">mult_opex * var_bo*E45</f>
        <v>0</v>
      </c>
      <c r="AC45" s="72">
        <f ca="1">mult_opex * var_mcf*F45</f>
        <v>0</v>
      </c>
      <c r="AD45" s="72">
        <f ca="1">mult_opex * var_bw * G45</f>
        <v>316.26282786857143</v>
      </c>
      <c r="AE45" s="72">
        <f ca="1">SUM(AB45:AD45)*WI_current_1</f>
        <v>316.26282786857143</v>
      </c>
      <c r="AF45" s="73">
        <f ca="1">mult_capex * IFERROR(OFFSET(assumptions!$F$39,MATCH(B45,assumptions!$E$39:$E$45,0)-1,0),0)</f>
        <v>0</v>
      </c>
      <c r="AG45" s="75">
        <f ca="1">mult_capex * capex_new*WI_current_1 *'forecast production'!I46</f>
        <v>0</v>
      </c>
      <c r="AH45" s="146">
        <f t="shared" ca="1" si="23"/>
        <v>0</v>
      </c>
      <c r="AI45" s="73">
        <f t="shared" ca="1" si="9"/>
        <v>1487.1363216455165</v>
      </c>
      <c r="AJ45" s="72">
        <f t="shared" ca="1" si="10"/>
        <v>671.116696800863</v>
      </c>
      <c r="AK45" s="72">
        <f t="shared" ca="1" si="17"/>
        <v>2158.2530184463794</v>
      </c>
      <c r="AL45" s="73">
        <f t="shared" ca="1" si="11"/>
        <v>18370.15202571957</v>
      </c>
      <c r="AM45" s="132">
        <f ca="1">IF(X45*(lease_NRI/J45)  - (Z45+Y45+AB45+AC45+AD45)  - (AK45)*(lease_NRI/J45)&gt;0,1,0)</f>
        <v>1</v>
      </c>
      <c r="AN45" s="73">
        <f t="shared" ca="1" si="18"/>
        <v>18370.15202571957</v>
      </c>
      <c r="AO45" s="75">
        <f t="shared" ca="1" si="24"/>
        <v>1117353.8843828659</v>
      </c>
      <c r="AP45" s="72">
        <f ca="1">AL45  /  ( 1 + disc_1/12)^(COUNT($AL$6:AL45)-1)</f>
        <v>13290.823905264442</v>
      </c>
      <c r="AQ45" s="72">
        <f t="shared" ca="1" si="25"/>
        <v>976753.52274218469</v>
      </c>
      <c r="AS45" s="303">
        <f t="shared" ca="1" si="19"/>
        <v>1</v>
      </c>
      <c r="AT45" s="300">
        <f ca="1">IFERROR(IRR($AN$6:AN45)*12,0)</f>
        <v>0</v>
      </c>
      <c r="AU45" s="297">
        <f t="shared" ca="1" si="20"/>
        <v>0</v>
      </c>
      <c r="AV45" s="303">
        <f t="shared" ca="1" si="21"/>
        <v>0</v>
      </c>
    </row>
    <row r="46" spans="2:48" x14ac:dyDescent="0.25">
      <c r="B46" s="43">
        <f t="shared" si="22"/>
        <v>45413</v>
      </c>
      <c r="C46" s="79">
        <f t="shared" si="12"/>
        <v>2024</v>
      </c>
      <c r="D46" s="64">
        <f ca="1">wellcount_base  +  SUM('forecast production'!I$7:I47)</f>
        <v>1</v>
      </c>
      <c r="E46" s="108">
        <f ca="1">'forecast production'!AE47</f>
        <v>469.96919049736346</v>
      </c>
      <c r="F46" s="97">
        <f ca="1">'forecast production'!AF47</f>
        <v>2349.9786552278056</v>
      </c>
      <c r="G46" s="97">
        <f ca="1">'forecast production'!AG47</f>
        <v>157.78108768263712</v>
      </c>
      <c r="H46" s="98">
        <f ca="1">'forecast production'!AH47</f>
        <v>352.49679828417078</v>
      </c>
      <c r="I46" s="307">
        <f t="shared" ca="1" si="13"/>
        <v>1</v>
      </c>
      <c r="J46" s="306">
        <f t="shared" ca="1" si="14"/>
        <v>0.75</v>
      </c>
      <c r="K46" s="112">
        <f t="shared" ca="1" si="0"/>
        <v>352.47689287302262</v>
      </c>
      <c r="L46" s="98">
        <f t="shared" ca="1" si="1"/>
        <v>1321.8629935656406</v>
      </c>
      <c r="M46" s="98">
        <f t="shared" ca="1" si="2"/>
        <v>118.33581576197784</v>
      </c>
      <c r="N46" s="98">
        <f t="shared" ca="1" si="3"/>
        <v>264.37259871312807</v>
      </c>
      <c r="O46" s="67">
        <f>assumptions!M50</f>
        <v>55</v>
      </c>
      <c r="P46" s="68">
        <f>assumptions!N50</f>
        <v>3</v>
      </c>
      <c r="Q46" s="68">
        <f>assumptions!O50</f>
        <v>22</v>
      </c>
      <c r="R46" s="67">
        <f t="shared" si="4"/>
        <v>52.5</v>
      </c>
      <c r="S46" s="68">
        <f t="shared" si="5"/>
        <v>2.3275000000000001</v>
      </c>
      <c r="T46" s="68">
        <f t="shared" si="6"/>
        <v>22</v>
      </c>
      <c r="U46" s="73">
        <f t="shared" ca="1" si="15"/>
        <v>18505.036875833688</v>
      </c>
      <c r="V46" s="72">
        <f t="shared" ca="1" si="7"/>
        <v>3076.6361175240286</v>
      </c>
      <c r="W46" s="72">
        <f t="shared" ca="1" si="8"/>
        <v>5816.1971716888174</v>
      </c>
      <c r="X46" s="72">
        <f t="shared" ca="1" si="16"/>
        <v>27397.870165046534</v>
      </c>
      <c r="Y46" s="73">
        <f>mult_opex * fixed_month</f>
        <v>1000</v>
      </c>
      <c r="Z46" s="72">
        <f ca="1">mult_opex * fixed_well *D46</f>
        <v>5000</v>
      </c>
      <c r="AA46" s="72">
        <f ca="1">(Z46+Y46)*WI_current_1</f>
        <v>6000</v>
      </c>
      <c r="AB46" s="72">
        <f ca="1">mult_opex * var_bo*E46</f>
        <v>0</v>
      </c>
      <c r="AC46" s="72">
        <f ca="1">mult_opex * var_mcf*F46</f>
        <v>0</v>
      </c>
      <c r="AD46" s="72">
        <f ca="1">mult_opex * var_bw * G46</f>
        <v>315.56217536527424</v>
      </c>
      <c r="AE46" s="72">
        <f ca="1">SUM(AB46:AD46)*WI_current_1</f>
        <v>315.56217536527424</v>
      </c>
      <c r="AF46" s="73">
        <f ca="1">mult_capex * IFERROR(OFFSET(assumptions!$F$39,MATCH(B46,assumptions!$E$39:$E$45,0)-1,0),0)</f>
        <v>0</v>
      </c>
      <c r="AG46" s="75">
        <f ca="1">mult_capex * capex_new*WI_current_1 *'forecast production'!I47</f>
        <v>0</v>
      </c>
      <c r="AH46" s="146">
        <f t="shared" ca="1" si="23"/>
        <v>0</v>
      </c>
      <c r="AI46" s="73">
        <f t="shared" ca="1" si="9"/>
        <v>1518.1941929793131</v>
      </c>
      <c r="AJ46" s="72">
        <f t="shared" ca="1" si="10"/>
        <v>684.94675412616334</v>
      </c>
      <c r="AK46" s="72">
        <f t="shared" ca="1" si="17"/>
        <v>2203.1409471054767</v>
      </c>
      <c r="AL46" s="73">
        <f t="shared" ca="1" si="11"/>
        <v>18879.167042575784</v>
      </c>
      <c r="AM46" s="132">
        <f ca="1">IF(X46*(lease_NRI/J46)  - (Z46+Y46+AB46+AC46+AD46)  - (AK46)*(lease_NRI/J46)&gt;0,1,0)</f>
        <v>1</v>
      </c>
      <c r="AN46" s="73">
        <f t="shared" ca="1" si="18"/>
        <v>18879.167042575784</v>
      </c>
      <c r="AO46" s="75">
        <f t="shared" ca="1" si="24"/>
        <v>1136233.0514254416</v>
      </c>
      <c r="AP46" s="72">
        <f ca="1">AL46  /  ( 1 + disc_1/12)^(COUNT($AL$6:AL46)-1)</f>
        <v>13546.211696590903</v>
      </c>
      <c r="AQ46" s="72">
        <f t="shared" ca="1" si="25"/>
        <v>990299.73443877557</v>
      </c>
      <c r="AS46" s="303">
        <f t="shared" ca="1" si="19"/>
        <v>1</v>
      </c>
      <c r="AT46" s="300">
        <f ca="1">IFERROR(IRR($AN$6:AN46)*12,0)</f>
        <v>0</v>
      </c>
      <c r="AU46" s="297">
        <f t="shared" ca="1" si="20"/>
        <v>0</v>
      </c>
      <c r="AV46" s="303">
        <f t="shared" ca="1" si="21"/>
        <v>0</v>
      </c>
    </row>
    <row r="47" spans="2:48" x14ac:dyDescent="0.25">
      <c r="B47" s="43">
        <f t="shared" si="22"/>
        <v>45444</v>
      </c>
      <c r="C47" s="79">
        <f t="shared" si="12"/>
        <v>2024</v>
      </c>
      <c r="D47" s="64">
        <f ca="1">wellcount_base  +  SUM('forecast production'!I$7:I48)</f>
        <v>1</v>
      </c>
      <c r="E47" s="108">
        <f ca="1">'forecast production'!AE48</f>
        <v>448.74716384689077</v>
      </c>
      <c r="F47" s="97">
        <f ca="1">'forecast production'!AF48</f>
        <v>2249.2199679931246</v>
      </c>
      <c r="G47" s="97">
        <f ca="1">'forecast production'!AG48</f>
        <v>147.267483528936</v>
      </c>
      <c r="H47" s="98">
        <f ca="1">'forecast production'!AH48</f>
        <v>337.38299519896867</v>
      </c>
      <c r="I47" s="307">
        <f t="shared" ca="1" si="13"/>
        <v>1</v>
      </c>
      <c r="J47" s="306">
        <f t="shared" ca="1" si="14"/>
        <v>0.75</v>
      </c>
      <c r="K47" s="112">
        <f t="shared" ca="1" si="0"/>
        <v>336.56037288516808</v>
      </c>
      <c r="L47" s="98">
        <f t="shared" ca="1" si="1"/>
        <v>1265.1862319961326</v>
      </c>
      <c r="M47" s="98">
        <f t="shared" ca="1" si="2"/>
        <v>110.450612646702</v>
      </c>
      <c r="N47" s="98">
        <f t="shared" ca="1" si="3"/>
        <v>253.03724639922649</v>
      </c>
      <c r="O47" s="67">
        <f>assumptions!M51</f>
        <v>55</v>
      </c>
      <c r="P47" s="68">
        <f>assumptions!N51</f>
        <v>3</v>
      </c>
      <c r="Q47" s="68">
        <f>assumptions!O51</f>
        <v>22</v>
      </c>
      <c r="R47" s="67">
        <f t="shared" si="4"/>
        <v>52.5</v>
      </c>
      <c r="S47" s="68">
        <f t="shared" si="5"/>
        <v>2.3275000000000001</v>
      </c>
      <c r="T47" s="68">
        <f t="shared" si="6"/>
        <v>22</v>
      </c>
      <c r="U47" s="73">
        <f t="shared" ca="1" si="15"/>
        <v>17669.419576471326</v>
      </c>
      <c r="V47" s="72">
        <f t="shared" ca="1" si="7"/>
        <v>2944.7209549709987</v>
      </c>
      <c r="W47" s="72">
        <f t="shared" ca="1" si="8"/>
        <v>5566.8194207829829</v>
      </c>
      <c r="X47" s="72">
        <f t="shared" ca="1" si="16"/>
        <v>26180.959952225308</v>
      </c>
      <c r="Y47" s="73">
        <f>mult_opex * fixed_month</f>
        <v>1000</v>
      </c>
      <c r="Z47" s="72">
        <f ca="1">mult_opex * fixed_well *D47</f>
        <v>5000</v>
      </c>
      <c r="AA47" s="72">
        <f ca="1">(Z47+Y47)*WI_current_1</f>
        <v>6000</v>
      </c>
      <c r="AB47" s="72">
        <f ca="1">mult_opex * var_bo*E47</f>
        <v>0</v>
      </c>
      <c r="AC47" s="72">
        <f ca="1">mult_opex * var_mcf*F47</f>
        <v>0</v>
      </c>
      <c r="AD47" s="72">
        <f ca="1">mult_opex * var_bw * G47</f>
        <v>294.534967057872</v>
      </c>
      <c r="AE47" s="72">
        <f ca="1">SUM(AB47:AD47)*WI_current_1</f>
        <v>294.534967057872</v>
      </c>
      <c r="AF47" s="73">
        <f ca="1">mult_capex * IFERROR(OFFSET(assumptions!$F$39,MATCH(B47,assumptions!$E$39:$E$45,0)-1,0),0)</f>
        <v>0</v>
      </c>
      <c r="AG47" s="75">
        <f ca="1">mult_capex * capex_new*WI_current_1 *'forecast production'!I48</f>
        <v>0</v>
      </c>
      <c r="AH47" s="146">
        <f t="shared" ca="1" si="23"/>
        <v>0</v>
      </c>
      <c r="AI47" s="73">
        <f t="shared" ca="1" si="9"/>
        <v>1451.1588286992296</v>
      </c>
      <c r="AJ47" s="72">
        <f t="shared" ca="1" si="10"/>
        <v>654.5239988056328</v>
      </c>
      <c r="AK47" s="72">
        <f t="shared" ca="1" si="17"/>
        <v>2105.6828275048624</v>
      </c>
      <c r="AL47" s="73">
        <f t="shared" ca="1" si="11"/>
        <v>17780.742157662575</v>
      </c>
      <c r="AM47" s="132">
        <f ca="1">IF(X47*(lease_NRI/J47)  - (Z47+Y47+AB47+AC47+AD47)  - (AK47)*(lease_NRI/J47)&gt;0,1,0)</f>
        <v>1</v>
      </c>
      <c r="AN47" s="73">
        <f t="shared" ca="1" si="18"/>
        <v>17780.742157662575</v>
      </c>
      <c r="AO47" s="75">
        <f t="shared" ca="1" si="24"/>
        <v>1154013.7935831042</v>
      </c>
      <c r="AP47" s="72">
        <f ca="1">AL47  /  ( 1 + disc_1/12)^(COUNT($AL$6:AL47)-1)</f>
        <v>12652.629446579147</v>
      </c>
      <c r="AQ47" s="72">
        <f t="shared" ca="1" si="25"/>
        <v>1002952.3638853547</v>
      </c>
      <c r="AS47" s="303">
        <f t="shared" ca="1" si="19"/>
        <v>1</v>
      </c>
      <c r="AT47" s="300">
        <f ca="1">IFERROR(IRR($AN$6:AN47)*12,0)</f>
        <v>0</v>
      </c>
      <c r="AU47" s="297">
        <f t="shared" ca="1" si="20"/>
        <v>0</v>
      </c>
      <c r="AV47" s="303">
        <f t="shared" ca="1" si="21"/>
        <v>0</v>
      </c>
    </row>
    <row r="48" spans="2:48" x14ac:dyDescent="0.25">
      <c r="B48" s="43">
        <f t="shared" si="22"/>
        <v>45474</v>
      </c>
      <c r="C48" s="79">
        <f t="shared" si="12"/>
        <v>2024</v>
      </c>
      <c r="D48" s="64">
        <f ca="1">wellcount_base  +  SUM('forecast production'!I$7:I49)</f>
        <v>1</v>
      </c>
      <c r="E48" s="108">
        <f ca="1">'forecast production'!AE49</f>
        <v>457.80062437420685</v>
      </c>
      <c r="F48" s="97">
        <f ca="1">'forecast production'!AF49</f>
        <v>2299.774132561457</v>
      </c>
      <c r="G48" s="97">
        <f ca="1">'forecast production'!AG49</f>
        <v>146.94305555548669</v>
      </c>
      <c r="H48" s="98">
        <f ca="1">'forecast production'!AH49</f>
        <v>344.96611988421864</v>
      </c>
      <c r="I48" s="307">
        <f t="shared" ca="1" si="13"/>
        <v>1</v>
      </c>
      <c r="J48" s="306">
        <f t="shared" ca="1" si="14"/>
        <v>0.75</v>
      </c>
      <c r="K48" s="112">
        <f t="shared" ca="1" si="0"/>
        <v>343.35046828065515</v>
      </c>
      <c r="L48" s="98">
        <f t="shared" ca="1" si="1"/>
        <v>1293.6229495658195</v>
      </c>
      <c r="M48" s="98">
        <f t="shared" ca="1" si="2"/>
        <v>110.20729166661502</v>
      </c>
      <c r="N48" s="98">
        <f t="shared" ca="1" si="3"/>
        <v>258.72458991316398</v>
      </c>
      <c r="O48" s="67">
        <f>assumptions!M52</f>
        <v>55</v>
      </c>
      <c r="P48" s="68">
        <f>assumptions!N52</f>
        <v>3</v>
      </c>
      <c r="Q48" s="68">
        <f>assumptions!O52</f>
        <v>22</v>
      </c>
      <c r="R48" s="67">
        <f t="shared" si="4"/>
        <v>52.5</v>
      </c>
      <c r="S48" s="68">
        <f t="shared" si="5"/>
        <v>2.3275000000000001</v>
      </c>
      <c r="T48" s="68">
        <f t="shared" si="6"/>
        <v>22</v>
      </c>
      <c r="U48" s="73">
        <f t="shared" ca="1" si="15"/>
        <v>18025.899584734394</v>
      </c>
      <c r="V48" s="72">
        <f t="shared" ca="1" si="7"/>
        <v>3010.907415114445</v>
      </c>
      <c r="W48" s="72">
        <f t="shared" ca="1" si="8"/>
        <v>5691.9409780896076</v>
      </c>
      <c r="X48" s="72">
        <f t="shared" ca="1" si="16"/>
        <v>26728.747977938445</v>
      </c>
      <c r="Y48" s="73">
        <f>mult_opex * fixed_month</f>
        <v>1000</v>
      </c>
      <c r="Z48" s="72">
        <f ca="1">mult_opex * fixed_well *D48</f>
        <v>5000</v>
      </c>
      <c r="AA48" s="72">
        <f ca="1">(Z48+Y48)*WI_current_1</f>
        <v>6000</v>
      </c>
      <c r="AB48" s="72">
        <f ca="1">mult_opex * var_bo*E48</f>
        <v>0</v>
      </c>
      <c r="AC48" s="72">
        <f ca="1">mult_opex * var_mcf*F48</f>
        <v>0</v>
      </c>
      <c r="AD48" s="72">
        <f ca="1">mult_opex * var_bw * G48</f>
        <v>293.88611111097339</v>
      </c>
      <c r="AE48" s="72">
        <f ca="1">SUM(AB48:AD48)*WI_current_1</f>
        <v>293.88611111097339</v>
      </c>
      <c r="AF48" s="73">
        <f ca="1">mult_capex * IFERROR(OFFSET(assumptions!$F$39,MATCH(B48,assumptions!$E$39:$E$45,0)-1,0),0)</f>
        <v>0</v>
      </c>
      <c r="AG48" s="75">
        <f ca="1">mult_capex * capex_new*WI_current_1 *'forecast production'!I49</f>
        <v>0</v>
      </c>
      <c r="AH48" s="146">
        <f t="shared" ca="1" si="23"/>
        <v>0</v>
      </c>
      <c r="AI48" s="73">
        <f t="shared" ca="1" si="9"/>
        <v>1481.9050103880859</v>
      </c>
      <c r="AJ48" s="72">
        <f t="shared" ca="1" si="10"/>
        <v>668.21869944846117</v>
      </c>
      <c r="AK48" s="72">
        <f t="shared" ca="1" si="17"/>
        <v>2150.1237098365473</v>
      </c>
      <c r="AL48" s="73">
        <f t="shared" ca="1" si="11"/>
        <v>18284.738156990927</v>
      </c>
      <c r="AM48" s="132">
        <f ca="1">IF(X48*(lease_NRI/J48)  - (Z48+Y48+AB48+AC48+AD48)  - (AK48)*(lease_NRI/J48)&gt;0,1,0)</f>
        <v>1</v>
      </c>
      <c r="AN48" s="73">
        <f t="shared" ca="1" si="18"/>
        <v>18284.738156990927</v>
      </c>
      <c r="AO48" s="75">
        <f t="shared" ca="1" si="24"/>
        <v>1172298.531740095</v>
      </c>
      <c r="AP48" s="72">
        <f ca="1">AL48  /  ( 1 + disc_1/12)^(COUNT($AL$6:AL48)-1)</f>
        <v>12903.737694796546</v>
      </c>
      <c r="AQ48" s="72">
        <f t="shared" ca="1" si="25"/>
        <v>1015856.1015801512</v>
      </c>
      <c r="AS48" s="303">
        <f t="shared" ca="1" si="19"/>
        <v>1</v>
      </c>
      <c r="AT48" s="300">
        <f ca="1">IFERROR(IRR($AN$6:AN48)*12,0)</f>
        <v>0</v>
      </c>
      <c r="AU48" s="297">
        <f t="shared" ca="1" si="20"/>
        <v>0</v>
      </c>
      <c r="AV48" s="303">
        <f t="shared" ca="1" si="21"/>
        <v>0</v>
      </c>
    </row>
    <row r="49" spans="2:48" x14ac:dyDescent="0.25">
      <c r="B49" s="43">
        <f t="shared" si="22"/>
        <v>45505</v>
      </c>
      <c r="C49" s="79">
        <f t="shared" si="12"/>
        <v>2024</v>
      </c>
      <c r="D49" s="64">
        <f ca="1">wellcount_base  +  SUM('forecast production'!I$7:I50)</f>
        <v>1</v>
      </c>
      <c r="E49" s="108">
        <f ca="1">'forecast production'!AE50</f>
        <v>451.85495269156212</v>
      </c>
      <c r="F49" s="97">
        <f ca="1">'forecast production'!AF50</f>
        <v>2275.0736046522884</v>
      </c>
      <c r="G49" s="97">
        <f ca="1">'forecast production'!AG50</f>
        <v>141.72517868542209</v>
      </c>
      <c r="H49" s="98">
        <f ca="1">'forecast production'!AH50</f>
        <v>341.26104069784327</v>
      </c>
      <c r="I49" s="307">
        <f t="shared" ca="1" si="13"/>
        <v>1</v>
      </c>
      <c r="J49" s="306">
        <f t="shared" ca="1" si="14"/>
        <v>0.75</v>
      </c>
      <c r="K49" s="112">
        <f t="shared" ca="1" si="0"/>
        <v>338.89121451867157</v>
      </c>
      <c r="L49" s="98">
        <f t="shared" ca="1" si="1"/>
        <v>1279.7289026169121</v>
      </c>
      <c r="M49" s="98">
        <f t="shared" ca="1" si="2"/>
        <v>106.29388401406658</v>
      </c>
      <c r="N49" s="98">
        <f t="shared" ca="1" si="3"/>
        <v>255.94578052338244</v>
      </c>
      <c r="O49" s="67">
        <f>assumptions!M53</f>
        <v>55</v>
      </c>
      <c r="P49" s="68">
        <f>assumptions!N53</f>
        <v>3</v>
      </c>
      <c r="Q49" s="68">
        <f>assumptions!O53</f>
        <v>22</v>
      </c>
      <c r="R49" s="67">
        <f t="shared" si="4"/>
        <v>52.5</v>
      </c>
      <c r="S49" s="68">
        <f t="shared" si="5"/>
        <v>2.3275000000000001</v>
      </c>
      <c r="T49" s="68">
        <f t="shared" si="6"/>
        <v>22</v>
      </c>
      <c r="U49" s="73">
        <f t="shared" ca="1" si="15"/>
        <v>17791.788762230259</v>
      </c>
      <c r="V49" s="72">
        <f t="shared" ca="1" si="7"/>
        <v>2978.5690208408632</v>
      </c>
      <c r="W49" s="72">
        <f t="shared" ca="1" si="8"/>
        <v>5630.8071715144133</v>
      </c>
      <c r="X49" s="72">
        <f t="shared" ca="1" si="16"/>
        <v>26401.164954585536</v>
      </c>
      <c r="Y49" s="73">
        <f>mult_opex * fixed_month</f>
        <v>1000</v>
      </c>
      <c r="Z49" s="72">
        <f ca="1">mult_opex * fixed_well *D49</f>
        <v>5000</v>
      </c>
      <c r="AA49" s="72">
        <f ca="1">(Z49+Y49)*WI_current_1</f>
        <v>6000</v>
      </c>
      <c r="AB49" s="72">
        <f ca="1">mult_opex * var_bo*E49</f>
        <v>0</v>
      </c>
      <c r="AC49" s="72">
        <f ca="1">mult_opex * var_mcf*F49</f>
        <v>0</v>
      </c>
      <c r="AD49" s="72">
        <f ca="1">mult_opex * var_bw * G49</f>
        <v>283.45035737084419</v>
      </c>
      <c r="AE49" s="72">
        <f ca="1">SUM(AB49:AD49)*WI_current_1</f>
        <v>283.45035737084419</v>
      </c>
      <c r="AF49" s="73">
        <f ca="1">mult_capex * IFERROR(OFFSET(assumptions!$F$39,MATCH(B49,assumptions!$E$39:$E$45,0)-1,0),0)</f>
        <v>0</v>
      </c>
      <c r="AG49" s="75">
        <f ca="1">mult_capex * capex_new*WI_current_1 *'forecast production'!I50</f>
        <v>0</v>
      </c>
      <c r="AH49" s="146">
        <f t="shared" ca="1" si="23"/>
        <v>0</v>
      </c>
      <c r="AI49" s="73">
        <f t="shared" ca="1" si="9"/>
        <v>1464.1254974892377</v>
      </c>
      <c r="AJ49" s="72">
        <f t="shared" ca="1" si="10"/>
        <v>660.02912386463845</v>
      </c>
      <c r="AK49" s="72">
        <f t="shared" ca="1" si="17"/>
        <v>2124.1546213538759</v>
      </c>
      <c r="AL49" s="73">
        <f t="shared" ca="1" si="11"/>
        <v>17993.559975860819</v>
      </c>
      <c r="AM49" s="132">
        <f ca="1">IF(X49*(lease_NRI/J49)  - (Z49+Y49+AB49+AC49+AD49)  - (AK49)*(lease_NRI/J49)&gt;0,1,0)</f>
        <v>1</v>
      </c>
      <c r="AN49" s="73">
        <f t="shared" ca="1" si="18"/>
        <v>17993.559975860819</v>
      </c>
      <c r="AO49" s="75">
        <f t="shared" ca="1" si="24"/>
        <v>1190292.0917159559</v>
      </c>
      <c r="AP49" s="72">
        <f ca="1">AL49  /  ( 1 + disc_1/12)^(COUNT($AL$6:AL49)-1)</f>
        <v>12593.305883951147</v>
      </c>
      <c r="AQ49" s="72">
        <f t="shared" ca="1" si="25"/>
        <v>1028449.4074641024</v>
      </c>
      <c r="AS49" s="303">
        <f t="shared" ca="1" si="19"/>
        <v>1</v>
      </c>
      <c r="AT49" s="300">
        <f ca="1">IFERROR(IRR($AN$6:AN49)*12,0)</f>
        <v>0</v>
      </c>
      <c r="AU49" s="297">
        <f t="shared" ca="1" si="20"/>
        <v>0</v>
      </c>
      <c r="AV49" s="303">
        <f t="shared" ca="1" si="21"/>
        <v>0</v>
      </c>
    </row>
    <row r="50" spans="2:48" x14ac:dyDescent="0.25">
      <c r="B50" s="43">
        <f t="shared" si="22"/>
        <v>45536</v>
      </c>
      <c r="C50" s="79">
        <f t="shared" si="12"/>
        <v>2024</v>
      </c>
      <c r="D50" s="64">
        <f ca="1">wellcount_base  +  SUM('forecast production'!I$7:I51)</f>
        <v>1</v>
      </c>
      <c r="E50" s="110">
        <f ca="1">'forecast production'!AE51</f>
        <v>431.67265105176585</v>
      </c>
      <c r="F50" s="98">
        <f ca="1">'forecast production'!AF51</f>
        <v>2178.2884126378935</v>
      </c>
      <c r="G50" s="98">
        <f ca="1">'forecast production'!AG51</f>
        <v>132.28401229299769</v>
      </c>
      <c r="H50" s="98">
        <f ca="1">'forecast production'!AH51</f>
        <v>326.7432618956841</v>
      </c>
      <c r="I50" s="307">
        <f t="shared" ca="1" si="13"/>
        <v>1</v>
      </c>
      <c r="J50" s="306">
        <f t="shared" ca="1" si="14"/>
        <v>0.75</v>
      </c>
      <c r="K50" s="112">
        <f t="shared" ca="1" si="0"/>
        <v>323.7544882888244</v>
      </c>
      <c r="L50" s="98">
        <f t="shared" ca="1" si="1"/>
        <v>1225.287232108815</v>
      </c>
      <c r="M50" s="98">
        <f t="shared" ca="1" si="2"/>
        <v>99.213009219748272</v>
      </c>
      <c r="N50" s="98">
        <f t="shared" ca="1" si="3"/>
        <v>245.05744642176307</v>
      </c>
      <c r="O50" s="67">
        <f>assumptions!M54</f>
        <v>55</v>
      </c>
      <c r="P50" s="68">
        <f>assumptions!N54</f>
        <v>3</v>
      </c>
      <c r="Q50" s="68">
        <f>assumptions!O54</f>
        <v>22</v>
      </c>
      <c r="R50" s="67">
        <f t="shared" si="4"/>
        <v>52.5</v>
      </c>
      <c r="S50" s="68">
        <f t="shared" si="5"/>
        <v>2.3275000000000001</v>
      </c>
      <c r="T50" s="68">
        <f t="shared" si="6"/>
        <v>22</v>
      </c>
      <c r="U50" s="73">
        <f t="shared" ca="1" si="15"/>
        <v>16997.110635163281</v>
      </c>
      <c r="V50" s="72">
        <f t="shared" ca="1" si="7"/>
        <v>2851.8560327332671</v>
      </c>
      <c r="W50" s="72">
        <f t="shared" ca="1" si="8"/>
        <v>5391.2638212787879</v>
      </c>
      <c r="X50" s="72">
        <f t="shared" ca="1" si="16"/>
        <v>25240.230489175337</v>
      </c>
      <c r="Y50" s="73">
        <f>mult_opex * fixed_month</f>
        <v>1000</v>
      </c>
      <c r="Z50" s="72">
        <f ca="1">mult_opex * fixed_well *D50</f>
        <v>5000</v>
      </c>
      <c r="AA50" s="72">
        <f ca="1">(Z50+Y50)*WI_current_1</f>
        <v>6000</v>
      </c>
      <c r="AB50" s="72">
        <f ca="1">mult_opex * var_bo*E50</f>
        <v>0</v>
      </c>
      <c r="AC50" s="72">
        <f ca="1">mult_opex * var_mcf*F50</f>
        <v>0</v>
      </c>
      <c r="AD50" s="72">
        <f ca="1">mult_opex * var_bw * G50</f>
        <v>264.56802458599537</v>
      </c>
      <c r="AE50" s="72">
        <f ca="1">SUM(AB50:AD50)*WI_current_1</f>
        <v>264.56802458599537</v>
      </c>
      <c r="AF50" s="73">
        <f ca="1">mult_capex * IFERROR(OFFSET(assumptions!$F$39,MATCH(B50,assumptions!$E$39:$E$45,0)-1,0),0)</f>
        <v>0</v>
      </c>
      <c r="AG50" s="75">
        <f ca="1">mult_capex * capex_new*WI_current_1 *'forecast production'!I51</f>
        <v>0</v>
      </c>
      <c r="AH50" s="146">
        <f t="shared" ca="1" si="23"/>
        <v>0</v>
      </c>
      <c r="AI50" s="73">
        <f t="shared" ca="1" si="9"/>
        <v>1400.101078268415</v>
      </c>
      <c r="AJ50" s="72">
        <f t="shared" ca="1" si="10"/>
        <v>631.00576222938344</v>
      </c>
      <c r="AK50" s="72">
        <f t="shared" ca="1" si="17"/>
        <v>2031.1068404977984</v>
      </c>
      <c r="AL50" s="73">
        <f t="shared" ca="1" si="11"/>
        <v>16944.555624091543</v>
      </c>
      <c r="AM50" s="132">
        <f ca="1">IF(X50*(lease_NRI/J50)  - (Z50+Y50+AB50+AC50+AD50)  - (AK50)*(lease_NRI/J50)&gt;0,1,0)</f>
        <v>1</v>
      </c>
      <c r="AN50" s="73">
        <f t="shared" ca="1" si="18"/>
        <v>16944.555624091543</v>
      </c>
      <c r="AO50" s="75">
        <f t="shared" ca="1" si="24"/>
        <v>1207236.6473400474</v>
      </c>
      <c r="AP50" s="72">
        <f ca="1">AL50  /  ( 1 + disc_1/12)^(COUNT($AL$6:AL50)-1)</f>
        <v>11761.12094364262</v>
      </c>
      <c r="AQ50" s="72">
        <f t="shared" ca="1" si="25"/>
        <v>1040210.5284077449</v>
      </c>
      <c r="AS50" s="303">
        <f t="shared" ca="1" si="19"/>
        <v>1</v>
      </c>
      <c r="AT50" s="300">
        <f ca="1">IFERROR(IRR($AN$6:AN50)*12,0)</f>
        <v>0</v>
      </c>
      <c r="AU50" s="297">
        <f t="shared" ca="1" si="20"/>
        <v>0</v>
      </c>
      <c r="AV50" s="303">
        <f t="shared" ca="1" si="21"/>
        <v>0</v>
      </c>
    </row>
    <row r="51" spans="2:48" x14ac:dyDescent="0.25">
      <c r="B51" s="43">
        <f t="shared" si="22"/>
        <v>45566</v>
      </c>
      <c r="C51" s="79">
        <f t="shared" si="12"/>
        <v>2024</v>
      </c>
      <c r="D51" s="64">
        <f ca="1">wellcount_base  +  SUM('forecast production'!I$7:I52)</f>
        <v>1</v>
      </c>
      <c r="E51" s="110">
        <f ca="1">'forecast production'!AE52</f>
        <v>440.59510913702076</v>
      </c>
      <c r="F51" s="98">
        <f ca="1">'forecast production'!AF52</f>
        <v>2227.9865255050181</v>
      </c>
      <c r="G51" s="98">
        <f ca="1">'forecast production'!AG52</f>
        <v>131.99506995356907</v>
      </c>
      <c r="H51" s="98">
        <f ca="1">'forecast production'!AH52</f>
        <v>334.19797882575273</v>
      </c>
      <c r="I51" s="307">
        <f t="shared" ca="1" si="13"/>
        <v>1</v>
      </c>
      <c r="J51" s="306">
        <f ca="1">IF(AV50,NRI_APO, NRI)</f>
        <v>0.75</v>
      </c>
      <c r="K51" s="112">
        <f t="shared" ca="1" si="0"/>
        <v>330.44633185276558</v>
      </c>
      <c r="L51" s="98">
        <f t="shared" ca="1" si="1"/>
        <v>1253.2424205965726</v>
      </c>
      <c r="M51" s="98">
        <f t="shared" ca="1" si="2"/>
        <v>98.996302465176797</v>
      </c>
      <c r="N51" s="98">
        <f t="shared" ca="1" si="3"/>
        <v>250.64848411931456</v>
      </c>
      <c r="O51" s="67">
        <f>assumptions!M55</f>
        <v>55</v>
      </c>
      <c r="P51" s="68">
        <f>assumptions!N55</f>
        <v>3</v>
      </c>
      <c r="Q51" s="68">
        <f>assumptions!O55</f>
        <v>22</v>
      </c>
      <c r="R51" s="67">
        <f t="shared" si="4"/>
        <v>52.5</v>
      </c>
      <c r="S51" s="68">
        <f t="shared" si="5"/>
        <v>2.3275000000000001</v>
      </c>
      <c r="T51" s="68">
        <f t="shared" si="6"/>
        <v>22</v>
      </c>
      <c r="U51" s="73">
        <f t="shared" ca="1" si="15"/>
        <v>17348.432422270194</v>
      </c>
      <c r="V51" s="72">
        <f t="shared" ca="1" si="7"/>
        <v>2916.9217339385232</v>
      </c>
      <c r="W51" s="72">
        <f t="shared" ca="1" si="8"/>
        <v>5514.2666506249207</v>
      </c>
      <c r="X51" s="72">
        <f t="shared" ca="1" si="16"/>
        <v>25779.620806833642</v>
      </c>
      <c r="Y51" s="73">
        <f>mult_opex * fixed_month</f>
        <v>1000</v>
      </c>
      <c r="Z51" s="72">
        <f ca="1">mult_opex * fixed_well *D51</f>
        <v>5000</v>
      </c>
      <c r="AA51" s="72">
        <f ca="1">(Z51+Y51)*WI_current_1</f>
        <v>6000</v>
      </c>
      <c r="AB51" s="72">
        <f ca="1">mult_opex * var_bo*E51</f>
        <v>0</v>
      </c>
      <c r="AC51" s="72">
        <f ca="1">mult_opex * var_mcf*F51</f>
        <v>0</v>
      </c>
      <c r="AD51" s="72">
        <f ca="1">mult_opex * var_bw * G51</f>
        <v>263.99013990713814</v>
      </c>
      <c r="AE51" s="72">
        <f ca="1">SUM(AB51:AD51)*WI_current_1</f>
        <v>263.99013990713814</v>
      </c>
      <c r="AF51" s="73">
        <f ca="1">mult_capex * IFERROR(OFFSET(assumptions!$F$39,MATCH(B51,assumptions!$E$39:$E$45,0)-1,0),0)</f>
        <v>0</v>
      </c>
      <c r="AG51" s="75">
        <f ca="1">mult_capex * capex_new*WI_current_1 *'forecast production'!I52</f>
        <v>0</v>
      </c>
      <c r="AH51" s="146">
        <f t="shared" ca="1" si="23"/>
        <v>0</v>
      </c>
      <c r="AI51" s="73">
        <f t="shared" ca="1" si="9"/>
        <v>1430.3670202666872</v>
      </c>
      <c r="AJ51" s="72">
        <f t="shared" ca="1" si="10"/>
        <v>644.49052017084114</v>
      </c>
      <c r="AK51" s="72">
        <f t="shared" ca="1" si="17"/>
        <v>2074.8575404375283</v>
      </c>
      <c r="AL51" s="73">
        <f t="shared" ca="1" si="11"/>
        <v>17440.773126488974</v>
      </c>
      <c r="AM51" s="132">
        <f ca="1">IF(X51*(lease_NRI/J51)  - (Z51+Y51+AB51+AC51+AD51)  - (AK51)*(lease_NRI/J51)&gt;0,1,0)</f>
        <v>1</v>
      </c>
      <c r="AN51" s="73">
        <f t="shared" ca="1" si="18"/>
        <v>17440.773126488974</v>
      </c>
      <c r="AO51" s="75">
        <f t="shared" ca="1" si="24"/>
        <v>1224677.4204665364</v>
      </c>
      <c r="AP51" s="72">
        <f ca="1">AL51  /  ( 1 + disc_1/12)^(COUNT($AL$6:AL51)-1)</f>
        <v>12005.496918976001</v>
      </c>
      <c r="AQ51" s="72">
        <f t="shared" ca="1" si="25"/>
        <v>1052216.0253267209</v>
      </c>
      <c r="AS51" s="303">
        <f t="shared" ca="1" si="19"/>
        <v>1</v>
      </c>
      <c r="AT51" s="300">
        <f ca="1">IFERROR(IRR($AN$6:AN51)*12,0)</f>
        <v>0</v>
      </c>
      <c r="AU51" s="297">
        <f t="shared" ca="1" si="20"/>
        <v>0</v>
      </c>
      <c r="AV51" s="303">
        <f t="shared" ca="1" si="21"/>
        <v>0</v>
      </c>
    </row>
    <row r="52" spans="2:48" x14ac:dyDescent="0.25">
      <c r="B52" s="43">
        <f t="shared" si="22"/>
        <v>45597</v>
      </c>
      <c r="C52" s="79">
        <f t="shared" si="12"/>
        <v>2024</v>
      </c>
      <c r="D52" s="64">
        <f ca="1">wellcount_base  +  SUM('forecast production'!I$7:I53)</f>
        <v>1</v>
      </c>
      <c r="E52" s="110">
        <f ca="1">'forecast production'!AE53</f>
        <v>421.05025366246844</v>
      </c>
      <c r="F52" s="98">
        <f ca="1">'forecast production'!AF53</f>
        <v>2133.6737539113074</v>
      </c>
      <c r="G52" s="98">
        <f ca="1">'forecast production'!AG53</f>
        <v>123.20366801842329</v>
      </c>
      <c r="H52" s="98">
        <f ca="1">'forecast production'!AH53</f>
        <v>320.0510630866961</v>
      </c>
      <c r="I52" s="307">
        <f t="shared" ca="1" si="13"/>
        <v>1</v>
      </c>
      <c r="J52" s="306">
        <f t="shared" ca="1" si="14"/>
        <v>0.75</v>
      </c>
      <c r="K52" s="112">
        <f t="shared" ca="1" si="0"/>
        <v>315.7876902468513</v>
      </c>
      <c r="L52" s="98">
        <f t="shared" ca="1" si="1"/>
        <v>1200.1914865751105</v>
      </c>
      <c r="M52" s="98">
        <f t="shared" ca="1" si="2"/>
        <v>92.402751013817465</v>
      </c>
      <c r="N52" s="98">
        <f t="shared" ca="1" si="3"/>
        <v>240.03829731502208</v>
      </c>
      <c r="O52" s="67">
        <f>assumptions!M56</f>
        <v>55</v>
      </c>
      <c r="P52" s="68">
        <f>assumptions!N56</f>
        <v>3</v>
      </c>
      <c r="Q52" s="68">
        <f>assumptions!O56</f>
        <v>22</v>
      </c>
      <c r="R52" s="67">
        <f t="shared" si="4"/>
        <v>52.5</v>
      </c>
      <c r="S52" s="68">
        <f t="shared" si="5"/>
        <v>2.3275000000000001</v>
      </c>
      <c r="T52" s="68">
        <f t="shared" si="6"/>
        <v>22</v>
      </c>
      <c r="U52" s="73">
        <f t="shared" ca="1" si="15"/>
        <v>16578.853737959693</v>
      </c>
      <c r="V52" s="72">
        <f t="shared" ca="1" si="7"/>
        <v>2793.4456850035699</v>
      </c>
      <c r="W52" s="72">
        <f t="shared" ca="1" si="8"/>
        <v>5280.8425409304855</v>
      </c>
      <c r="X52" s="72">
        <f t="shared" ca="1" si="16"/>
        <v>24653.141963893751</v>
      </c>
      <c r="Y52" s="73">
        <f>mult_opex * fixed_month</f>
        <v>1000</v>
      </c>
      <c r="Z52" s="72">
        <f ca="1">mult_opex * fixed_well *D52</f>
        <v>5000</v>
      </c>
      <c r="AA52" s="72">
        <f ca="1">(Z52+Y52)*WI_current_1</f>
        <v>6000</v>
      </c>
      <c r="AB52" s="72">
        <f ca="1">mult_opex * var_bo*E52</f>
        <v>0</v>
      </c>
      <c r="AC52" s="72">
        <f ca="1">mult_opex * var_mcf*F52</f>
        <v>0</v>
      </c>
      <c r="AD52" s="72">
        <f ca="1">mult_opex * var_bw * G52</f>
        <v>246.40733603684657</v>
      </c>
      <c r="AE52" s="72">
        <f ca="1">SUM(AB52:AD52)*WI_current_1</f>
        <v>246.40733603684657</v>
      </c>
      <c r="AF52" s="73">
        <f ca="1">mult_capex * IFERROR(OFFSET(assumptions!$F$39,MATCH(B52,assumptions!$E$39:$E$45,0)-1,0),0)</f>
        <v>0</v>
      </c>
      <c r="AG52" s="75">
        <f ca="1">mult_capex * capex_new*WI_current_1 *'forecast production'!I53</f>
        <v>0</v>
      </c>
      <c r="AH52" s="146">
        <f t="shared" ca="1" si="23"/>
        <v>0</v>
      </c>
      <c r="AI52" s="73">
        <f t="shared" ca="1" si="9"/>
        <v>1368.1988888911999</v>
      </c>
      <c r="AJ52" s="72">
        <f t="shared" ca="1" si="10"/>
        <v>616.32854909734385</v>
      </c>
      <c r="AK52" s="72">
        <f t="shared" ca="1" si="17"/>
        <v>1984.5274379885436</v>
      </c>
      <c r="AL52" s="73">
        <f t="shared" ca="1" si="11"/>
        <v>16422.207189868361</v>
      </c>
      <c r="AM52" s="132">
        <f ca="1">IF(X52*(lease_NRI/J52)  - (Z52+Y52+AB52+AC52+AD52)  - (AK52)*(lease_NRI/J52)&gt;0,1,0)</f>
        <v>1</v>
      </c>
      <c r="AN52" s="73">
        <f t="shared" ca="1" si="18"/>
        <v>16422.207189868361</v>
      </c>
      <c r="AO52" s="75">
        <f t="shared" ca="1" si="24"/>
        <v>1241099.6276564049</v>
      </c>
      <c r="AP52" s="72">
        <f ca="1">AL52  /  ( 1 + disc_1/12)^(COUNT($AL$6:AL52)-1)</f>
        <v>11210.934384041182</v>
      </c>
      <c r="AQ52" s="72">
        <f t="shared" ca="1" si="25"/>
        <v>1063426.9597107621</v>
      </c>
      <c r="AS52" s="303">
        <f t="shared" ca="1" si="19"/>
        <v>1</v>
      </c>
      <c r="AT52" s="300">
        <f ca="1">IFERROR(IRR($AN$6:AN52)*12,0)</f>
        <v>0</v>
      </c>
      <c r="AU52" s="297">
        <f t="shared" ca="1" si="20"/>
        <v>0</v>
      </c>
      <c r="AV52" s="303">
        <f t="shared" ca="1" si="21"/>
        <v>0</v>
      </c>
    </row>
    <row r="53" spans="2:48" x14ac:dyDescent="0.25">
      <c r="B53" s="44">
        <f t="shared" si="22"/>
        <v>45627</v>
      </c>
      <c r="C53" s="100">
        <f t="shared" si="12"/>
        <v>2024</v>
      </c>
      <c r="D53" s="65">
        <f ca="1">wellcount_base  +  SUM('forecast production'!I$7:I54)</f>
        <v>1</v>
      </c>
      <c r="E53" s="109">
        <f ca="1">'forecast production'!AE54</f>
        <v>429.88279322746251</v>
      </c>
      <c r="F53" s="101">
        <f ca="1">'forecast production'!AF54</f>
        <v>2182.8090411916364</v>
      </c>
      <c r="G53" s="101">
        <f ca="1">'forecast production'!AG54</f>
        <v>122.9360879441407</v>
      </c>
      <c r="H53" s="102">
        <f ca="1">'forecast production'!AH54</f>
        <v>327.42135617874544</v>
      </c>
      <c r="I53" s="308">
        <f t="shared" ca="1" si="13"/>
        <v>1</v>
      </c>
      <c r="J53" s="309">
        <f t="shared" ca="1" si="14"/>
        <v>0.75</v>
      </c>
      <c r="K53" s="113">
        <f t="shared" ca="1" si="0"/>
        <v>322.41209492059687</v>
      </c>
      <c r="L53" s="102">
        <f t="shared" ca="1" si="1"/>
        <v>1227.8300856702954</v>
      </c>
      <c r="M53" s="102">
        <f t="shared" ca="1" si="2"/>
        <v>92.202065958105521</v>
      </c>
      <c r="N53" s="102">
        <f t="shared" ca="1" si="3"/>
        <v>245.56601713405908</v>
      </c>
      <c r="O53" s="103">
        <f>assumptions!M57</f>
        <v>55</v>
      </c>
      <c r="P53" s="104">
        <f>assumptions!N57</f>
        <v>3</v>
      </c>
      <c r="Q53" s="104">
        <f>assumptions!O57</f>
        <v>22</v>
      </c>
      <c r="R53" s="103">
        <f t="shared" si="4"/>
        <v>52.5</v>
      </c>
      <c r="S53" s="104">
        <f t="shared" si="5"/>
        <v>2.3275000000000001</v>
      </c>
      <c r="T53" s="104">
        <f t="shared" si="6"/>
        <v>22</v>
      </c>
      <c r="U53" s="105">
        <f t="shared" ca="1" si="15"/>
        <v>16926.634983331336</v>
      </c>
      <c r="V53" s="106">
        <f t="shared" ca="1" si="7"/>
        <v>2857.7745243976128</v>
      </c>
      <c r="W53" s="106">
        <f t="shared" ca="1" si="8"/>
        <v>5402.4523769492998</v>
      </c>
      <c r="X53" s="106">
        <f t="shared" ca="1" si="16"/>
        <v>25186.861884678248</v>
      </c>
      <c r="Y53" s="105">
        <f>mult_opex * fixed_month</f>
        <v>1000</v>
      </c>
      <c r="Z53" s="106">
        <f ca="1">mult_opex * fixed_well *D53</f>
        <v>5000</v>
      </c>
      <c r="AA53" s="106">
        <f ca="1">(Z53+Y53)*WI_current_1</f>
        <v>6000</v>
      </c>
      <c r="AB53" s="106">
        <f ca="1">mult_opex * var_bo*E53</f>
        <v>0</v>
      </c>
      <c r="AC53" s="106">
        <f ca="1">mult_opex * var_mcf*F53</f>
        <v>0</v>
      </c>
      <c r="AD53" s="106">
        <f ca="1">mult_opex * var_bw * G53</f>
        <v>245.87217588828139</v>
      </c>
      <c r="AE53" s="106">
        <f ca="1">SUM(AB53:AD53)*WI_current_1</f>
        <v>245.87217588828139</v>
      </c>
      <c r="AF53" s="105">
        <f ca="1">mult_capex * IFERROR(OFFSET(assumptions!$F$39,MATCH(B53,assumptions!$E$39:$E$45,0)-1,0),0)</f>
        <v>0</v>
      </c>
      <c r="AG53" s="106">
        <f ca="1">mult_capex * capex_new*WI_current_1 *'forecast production'!I54</f>
        <v>0</v>
      </c>
      <c r="AH53" s="147">
        <f t="shared" ca="1" si="23"/>
        <v>0</v>
      </c>
      <c r="AI53" s="105">
        <f t="shared" ca="1" si="9"/>
        <v>1398.1422268342599</v>
      </c>
      <c r="AJ53" s="106">
        <f t="shared" ca="1" si="10"/>
        <v>629.67154711695628</v>
      </c>
      <c r="AK53" s="106">
        <f t="shared" ca="1" si="17"/>
        <v>2027.8137739512163</v>
      </c>
      <c r="AL53" s="105">
        <f t="shared" ca="1" si="11"/>
        <v>16913.17593483875</v>
      </c>
      <c r="AM53" s="133">
        <f ca="1">IF(X53*(lease_NRI/J53)  - (Z53+Y53+AB53+AC53+AD53)  - (AK53)*(lease_NRI/J53)&gt;0,1,0)</f>
        <v>1</v>
      </c>
      <c r="AN53" s="105">
        <f t="shared" ca="1" si="18"/>
        <v>16913.17593483875</v>
      </c>
      <c r="AO53" s="106">
        <f t="shared" ca="1" si="24"/>
        <v>1258012.8035912437</v>
      </c>
      <c r="AP53" s="106">
        <f ca="1">AL53  /  ( 1 + disc_1/12)^(COUNT($AL$6:AL53)-1)</f>
        <v>11450.681260808309</v>
      </c>
      <c r="AQ53" s="106">
        <f t="shared" ca="1" si="25"/>
        <v>1074877.6409715705</v>
      </c>
      <c r="AS53" s="304">
        <f t="shared" ca="1" si="19"/>
        <v>1</v>
      </c>
      <c r="AT53" s="301">
        <f ca="1">IFERROR(IRR($AN$6:AN53)*12,0)</f>
        <v>0</v>
      </c>
      <c r="AU53" s="298">
        <f t="shared" ca="1" si="20"/>
        <v>0</v>
      </c>
      <c r="AV53" s="304">
        <f t="shared" ca="1" si="21"/>
        <v>0</v>
      </c>
    </row>
    <row r="54" spans="2:48" x14ac:dyDescent="0.25">
      <c r="B54" s="43">
        <f t="shared" si="22"/>
        <v>45658</v>
      </c>
      <c r="C54" s="79">
        <f t="shared" si="12"/>
        <v>2025</v>
      </c>
      <c r="D54" s="64">
        <f ca="1">wellcount_base  +  SUM('forecast production'!I$7:I55)</f>
        <v>1</v>
      </c>
      <c r="E54" s="110">
        <f ca="1">'forecast production'!AE55</f>
        <v>424.63601886107489</v>
      </c>
      <c r="F54" s="98">
        <f ca="1">'forecast production'!AF55</f>
        <v>2160.5449664057537</v>
      </c>
      <c r="G54" s="98">
        <f ca="1">'forecast production'!AG55</f>
        <v>118.5745084519509</v>
      </c>
      <c r="H54" s="98">
        <f ca="1">'forecast production'!AH55</f>
        <v>324.08174496086303</v>
      </c>
      <c r="I54" s="307">
        <f t="shared" ca="1" si="13"/>
        <v>1</v>
      </c>
      <c r="J54" s="306">
        <f t="shared" ca="1" si="14"/>
        <v>0.75</v>
      </c>
      <c r="K54" s="112">
        <f t="shared" ca="1" si="0"/>
        <v>318.47701414580615</v>
      </c>
      <c r="L54" s="98">
        <f t="shared" ca="1" si="1"/>
        <v>1215.3065436032364</v>
      </c>
      <c r="M54" s="98">
        <f t="shared" ca="1" si="2"/>
        <v>88.930881338963175</v>
      </c>
      <c r="N54" s="98">
        <f t="shared" ca="1" si="3"/>
        <v>243.06130872064728</v>
      </c>
      <c r="O54" s="67">
        <f>assumptions!M58</f>
        <v>55</v>
      </c>
      <c r="P54" s="68">
        <f>assumptions!N58</f>
        <v>3</v>
      </c>
      <c r="Q54" s="68">
        <f>assumptions!O58</f>
        <v>22</v>
      </c>
      <c r="R54" s="67">
        <f t="shared" si="4"/>
        <v>52.5</v>
      </c>
      <c r="S54" s="68">
        <f t="shared" si="5"/>
        <v>2.3275000000000001</v>
      </c>
      <c r="T54" s="68">
        <f t="shared" si="6"/>
        <v>22</v>
      </c>
      <c r="U54" s="73">
        <f t="shared" ca="1" si="15"/>
        <v>16720.043242654821</v>
      </c>
      <c r="V54" s="72">
        <f t="shared" ca="1" si="7"/>
        <v>2828.625980236533</v>
      </c>
      <c r="W54" s="72">
        <f t="shared" ca="1" si="8"/>
        <v>5347.3487918542396</v>
      </c>
      <c r="X54" s="72">
        <f t="shared" ca="1" si="16"/>
        <v>24896.01801474559</v>
      </c>
      <c r="Y54" s="73">
        <f>mult_opex * fixed_month</f>
        <v>1000</v>
      </c>
      <c r="Z54" s="72">
        <f ca="1">mult_opex * fixed_well *D54</f>
        <v>5000</v>
      </c>
      <c r="AA54" s="72">
        <f ca="1">(Z54+Y54)*WI_current_1</f>
        <v>6000</v>
      </c>
      <c r="AB54" s="72">
        <f ca="1">mult_opex * var_bo*E54</f>
        <v>0</v>
      </c>
      <c r="AC54" s="72">
        <f ca="1">mult_opex * var_mcf*F54</f>
        <v>0</v>
      </c>
      <c r="AD54" s="72">
        <f ca="1">mult_opex * var_bw * G54</f>
        <v>237.14901690390181</v>
      </c>
      <c r="AE54" s="72">
        <f ca="1">SUM(AB54:AD54)*WI_current_1</f>
        <v>237.14901690390181</v>
      </c>
      <c r="AF54" s="73">
        <f ca="1">mult_capex * IFERROR(OFFSET(assumptions!$F$39,MATCH(B54,assumptions!$E$39:$E$45,0)-1,0),0)</f>
        <v>0</v>
      </c>
      <c r="AG54" s="75">
        <f ca="1">mult_capex * capex_new*WI_current_1 *'forecast production'!I55</f>
        <v>0</v>
      </c>
      <c r="AH54" s="146">
        <f t="shared" ca="1" si="23"/>
        <v>0</v>
      </c>
      <c r="AI54" s="73">
        <f t="shared" ca="1" si="9"/>
        <v>1382.3200970689295</v>
      </c>
      <c r="AJ54" s="72">
        <f t="shared" ca="1" si="10"/>
        <v>622.40045036863978</v>
      </c>
      <c r="AK54" s="72">
        <f t="shared" ca="1" si="17"/>
        <v>2004.7205474375692</v>
      </c>
      <c r="AL54" s="73">
        <f t="shared" ca="1" si="11"/>
        <v>16654.148450404118</v>
      </c>
      <c r="AM54" s="132">
        <f ca="1">IF(X54*(lease_NRI/J54)  - (Z54+Y54+AB54+AC54+AD54)  - (AK54)*(lease_NRI/J54)&gt;0,1,0)</f>
        <v>1</v>
      </c>
      <c r="AN54" s="73">
        <f t="shared" ca="1" si="18"/>
        <v>16654.148450404118</v>
      </c>
      <c r="AO54" s="75">
        <f t="shared" ca="1" si="24"/>
        <v>1274666.9520416479</v>
      </c>
      <c r="AP54" s="72">
        <f ca="1">AL54  /  ( 1 + disc_1/12)^(COUNT($AL$6:AL54)-1)</f>
        <v>11182.128189648802</v>
      </c>
      <c r="AQ54" s="72">
        <f t="shared" ca="1" si="25"/>
        <v>1086059.7691612192</v>
      </c>
      <c r="AS54" s="303">
        <f t="shared" ca="1" si="19"/>
        <v>1</v>
      </c>
      <c r="AT54" s="300">
        <f ca="1">IFERROR(IRR($AN$6:AN54)*12,0)</f>
        <v>0</v>
      </c>
      <c r="AU54" s="297">
        <f t="shared" ca="1" si="20"/>
        <v>0</v>
      </c>
      <c r="AV54" s="303">
        <f t="shared" ca="1" si="21"/>
        <v>0</v>
      </c>
    </row>
    <row r="55" spans="2:48" x14ac:dyDescent="0.25">
      <c r="B55" s="43">
        <f t="shared" si="22"/>
        <v>45689</v>
      </c>
      <c r="C55" s="79">
        <f t="shared" si="12"/>
        <v>2025</v>
      </c>
      <c r="D55" s="64">
        <f ca="1">wellcount_base  +  SUM('forecast production'!I$7:I56)</f>
        <v>1</v>
      </c>
      <c r="E55" s="110">
        <f ca="1">'forecast production'!AE56</f>
        <v>378.91747443940062</v>
      </c>
      <c r="F55" s="98">
        <f ca="1">'forecast production'!AF56</f>
        <v>1931.7565637283244</v>
      </c>
      <c r="G55" s="98">
        <f ca="1">'forecast production'!AG56</f>
        <v>103.30050567975606</v>
      </c>
      <c r="H55" s="98">
        <f ca="1">'forecast production'!AH56</f>
        <v>289.76348455924864</v>
      </c>
      <c r="I55" s="307">
        <f t="shared" ca="1" si="13"/>
        <v>1</v>
      </c>
      <c r="J55" s="306">
        <f t="shared" ca="1" si="14"/>
        <v>0.75</v>
      </c>
      <c r="K55" s="112">
        <f t="shared" ca="1" si="0"/>
        <v>284.18810582955047</v>
      </c>
      <c r="L55" s="98">
        <f t="shared" ca="1" si="1"/>
        <v>1086.6130670971825</v>
      </c>
      <c r="M55" s="98">
        <f t="shared" ca="1" si="2"/>
        <v>77.475379259817046</v>
      </c>
      <c r="N55" s="98">
        <f t="shared" ca="1" si="3"/>
        <v>217.32261341943649</v>
      </c>
      <c r="O55" s="67">
        <f>assumptions!M59</f>
        <v>55</v>
      </c>
      <c r="P55" s="68">
        <f>assumptions!N59</f>
        <v>3</v>
      </c>
      <c r="Q55" s="68">
        <f>assumptions!O59</f>
        <v>22</v>
      </c>
      <c r="R55" s="67">
        <f t="shared" si="4"/>
        <v>52.5</v>
      </c>
      <c r="S55" s="68">
        <f t="shared" si="5"/>
        <v>2.3275000000000001</v>
      </c>
      <c r="T55" s="68">
        <f t="shared" si="6"/>
        <v>22</v>
      </c>
      <c r="U55" s="73">
        <f t="shared" ca="1" si="15"/>
        <v>14919.8755560514</v>
      </c>
      <c r="V55" s="72">
        <f t="shared" ca="1" si="7"/>
        <v>2529.0919136686925</v>
      </c>
      <c r="W55" s="72">
        <f t="shared" ca="1" si="8"/>
        <v>4781.0974952276028</v>
      </c>
      <c r="X55" s="72">
        <f t="shared" ca="1" si="16"/>
        <v>22230.064964947698</v>
      </c>
      <c r="Y55" s="73">
        <f>mult_opex * fixed_month</f>
        <v>1000</v>
      </c>
      <c r="Z55" s="72">
        <f ca="1">mult_opex * fixed_well *D55</f>
        <v>5000</v>
      </c>
      <c r="AA55" s="72">
        <f ca="1">(Z55+Y55)*WI_current_1</f>
        <v>6000</v>
      </c>
      <c r="AB55" s="72">
        <f ca="1">mult_opex * var_bo*E55</f>
        <v>0</v>
      </c>
      <c r="AC55" s="72">
        <f ca="1">mult_opex * var_mcf*F55</f>
        <v>0</v>
      </c>
      <c r="AD55" s="72">
        <f ca="1">mult_opex * var_bw * G55</f>
        <v>206.60101135951211</v>
      </c>
      <c r="AE55" s="72">
        <f ca="1">SUM(AB55:AD55)*WI_current_1</f>
        <v>206.60101135951211</v>
      </c>
      <c r="AF55" s="73">
        <f ca="1">mult_capex * IFERROR(OFFSET(assumptions!$F$39,MATCH(B55,assumptions!$E$39:$E$45,0)-1,0),0)</f>
        <v>0</v>
      </c>
      <c r="AG55" s="75">
        <f ca="1">mult_capex * capex_new*WI_current_1 *'forecast production'!I56</f>
        <v>0</v>
      </c>
      <c r="AH55" s="146">
        <f t="shared" ca="1" si="23"/>
        <v>0</v>
      </c>
      <c r="AI55" s="73">
        <f t="shared" ca="1" si="9"/>
        <v>1234.5784812455865</v>
      </c>
      <c r="AJ55" s="72">
        <f t="shared" ca="1" si="10"/>
        <v>555.75162412369252</v>
      </c>
      <c r="AK55" s="72">
        <f t="shared" ca="1" si="17"/>
        <v>1790.330105369279</v>
      </c>
      <c r="AL55" s="73">
        <f t="shared" ca="1" si="11"/>
        <v>14233.133848218909</v>
      </c>
      <c r="AM55" s="132">
        <f ca="1">IF(X55*(lease_NRI/J55)  - (Z55+Y55+AB55+AC55+AD55)  - (AK55)*(lease_NRI/J55)&gt;0,1,0)</f>
        <v>1</v>
      </c>
      <c r="AN55" s="73">
        <f t="shared" ca="1" si="18"/>
        <v>14233.133848218909</v>
      </c>
      <c r="AO55" s="75">
        <f t="shared" ca="1" si="24"/>
        <v>1288900.0858898668</v>
      </c>
      <c r="AP55" s="72">
        <f ca="1">AL55  /  ( 1 + disc_1/12)^(COUNT($AL$6:AL55)-1)</f>
        <v>9477.6015025993474</v>
      </c>
      <c r="AQ55" s="72">
        <f t="shared" ca="1" si="25"/>
        <v>1095537.3706638187</v>
      </c>
      <c r="AS55" s="303">
        <f t="shared" ca="1" si="19"/>
        <v>1</v>
      </c>
      <c r="AT55" s="300">
        <f ca="1">IFERROR(IRR($AN$6:AN55)*12,0)</f>
        <v>0</v>
      </c>
      <c r="AU55" s="297">
        <f t="shared" ca="1" si="20"/>
        <v>0</v>
      </c>
      <c r="AV55" s="303">
        <f t="shared" ca="1" si="21"/>
        <v>0</v>
      </c>
    </row>
    <row r="56" spans="2:48" x14ac:dyDescent="0.25">
      <c r="B56" s="43">
        <f t="shared" si="22"/>
        <v>45717</v>
      </c>
      <c r="C56" s="79">
        <f t="shared" si="12"/>
        <v>2025</v>
      </c>
      <c r="D56" s="64">
        <f ca="1">wellcount_base  +  SUM('forecast production'!I$7:I57)</f>
        <v>1</v>
      </c>
      <c r="E56" s="110">
        <f ca="1">'forecast production'!AE57</f>
        <v>414.9960288323241</v>
      </c>
      <c r="F56" s="98">
        <f ca="1">'forecast production'!AF57</f>
        <v>2119.4022820714945</v>
      </c>
      <c r="G56" s="98">
        <f ca="1">'forecast production'!AG57</f>
        <v>110.69837507442101</v>
      </c>
      <c r="H56" s="98">
        <f ca="1">'forecast production'!AH57</f>
        <v>317.91034231072416</v>
      </c>
      <c r="I56" s="307">
        <f t="shared" ca="1" si="13"/>
        <v>1</v>
      </c>
      <c r="J56" s="306">
        <f t="shared" ca="1" si="14"/>
        <v>0.75</v>
      </c>
      <c r="K56" s="112">
        <f t="shared" ca="1" si="0"/>
        <v>311.24702162424308</v>
      </c>
      <c r="L56" s="98">
        <f t="shared" ca="1" si="1"/>
        <v>1192.1637836652158</v>
      </c>
      <c r="M56" s="98">
        <f t="shared" ca="1" si="2"/>
        <v>83.02378130581576</v>
      </c>
      <c r="N56" s="98">
        <f t="shared" ca="1" si="3"/>
        <v>238.43275673304311</v>
      </c>
      <c r="O56" s="67">
        <f>assumptions!M60</f>
        <v>55</v>
      </c>
      <c r="P56" s="68">
        <f>assumptions!N60</f>
        <v>3</v>
      </c>
      <c r="Q56" s="68">
        <f>assumptions!O60</f>
        <v>22</v>
      </c>
      <c r="R56" s="67">
        <f t="shared" si="4"/>
        <v>52.5</v>
      </c>
      <c r="S56" s="68">
        <f t="shared" si="5"/>
        <v>2.3275000000000001</v>
      </c>
      <c r="T56" s="68">
        <f t="shared" si="6"/>
        <v>22</v>
      </c>
      <c r="U56" s="73">
        <f t="shared" ca="1" si="15"/>
        <v>16340.468635272762</v>
      </c>
      <c r="V56" s="72">
        <f t="shared" ca="1" si="7"/>
        <v>2774.76120648079</v>
      </c>
      <c r="W56" s="72">
        <f t="shared" ca="1" si="8"/>
        <v>5245.5206481269488</v>
      </c>
      <c r="X56" s="72">
        <f t="shared" ca="1" si="16"/>
        <v>24360.750489880502</v>
      </c>
      <c r="Y56" s="73">
        <f>mult_opex * fixed_month</f>
        <v>1000</v>
      </c>
      <c r="Z56" s="72">
        <f ca="1">mult_opex * fixed_well *D56</f>
        <v>5000</v>
      </c>
      <c r="AA56" s="72">
        <f ca="1">(Z56+Y56)*WI_current_1</f>
        <v>6000</v>
      </c>
      <c r="AB56" s="72">
        <f ca="1">mult_opex * var_bo*E56</f>
        <v>0</v>
      </c>
      <c r="AC56" s="72">
        <f ca="1">mult_opex * var_mcf*F56</f>
        <v>0</v>
      </c>
      <c r="AD56" s="72">
        <f ca="1">mult_opex * var_bw * G56</f>
        <v>221.39675014884202</v>
      </c>
      <c r="AE56" s="72">
        <f ca="1">SUM(AB56:AD56)*WI_current_1</f>
        <v>221.39675014884202</v>
      </c>
      <c r="AF56" s="73">
        <f ca="1">mult_capex * IFERROR(OFFSET(assumptions!$F$39,MATCH(B56,assumptions!$E$39:$E$45,0)-1,0),0)</f>
        <v>0</v>
      </c>
      <c r="AG56" s="75">
        <f ca="1">mult_capex * capex_new*WI_current_1 *'forecast production'!I57</f>
        <v>0</v>
      </c>
      <c r="AH56" s="146">
        <f t="shared" ca="1" si="23"/>
        <v>0</v>
      </c>
      <c r="AI56" s="73">
        <f t="shared" ca="1" si="9"/>
        <v>1353.1826963181275</v>
      </c>
      <c r="AJ56" s="72">
        <f t="shared" ca="1" si="10"/>
        <v>609.01876224701255</v>
      </c>
      <c r="AK56" s="72">
        <f t="shared" ca="1" si="17"/>
        <v>1962.20145856514</v>
      </c>
      <c r="AL56" s="73">
        <f t="shared" ca="1" si="11"/>
        <v>16177.15228116652</v>
      </c>
      <c r="AM56" s="132">
        <f ca="1">IF(X56*(lease_NRI/J56)  - (Z56+Y56+AB56+AC56+AD56)  - (AK56)*(lease_NRI/J56)&gt;0,1,0)</f>
        <v>1</v>
      </c>
      <c r="AN56" s="73">
        <f t="shared" ca="1" si="18"/>
        <v>16177.15228116652</v>
      </c>
      <c r="AO56" s="75">
        <f t="shared" ca="1" si="24"/>
        <v>1305077.2381710333</v>
      </c>
      <c r="AP56" s="72">
        <f ca="1">AL56  /  ( 1 + disc_1/12)^(COUNT($AL$6:AL56)-1)</f>
        <v>10683.064739619624</v>
      </c>
      <c r="AQ56" s="72">
        <f t="shared" ca="1" si="25"/>
        <v>1106220.4354034383</v>
      </c>
      <c r="AS56" s="303">
        <f t="shared" ca="1" si="19"/>
        <v>1</v>
      </c>
      <c r="AT56" s="300">
        <f ca="1">IFERROR(IRR($AN$6:AN56)*12,0)</f>
        <v>0</v>
      </c>
      <c r="AU56" s="297">
        <f t="shared" ca="1" si="20"/>
        <v>0</v>
      </c>
      <c r="AV56" s="303">
        <f t="shared" ca="1" si="21"/>
        <v>0</v>
      </c>
    </row>
    <row r="57" spans="2:48" x14ac:dyDescent="0.25">
      <c r="B57" s="43">
        <f t="shared" si="22"/>
        <v>45748</v>
      </c>
      <c r="C57" s="79">
        <f t="shared" si="12"/>
        <v>2025</v>
      </c>
      <c r="D57" s="64">
        <f ca="1">wellcount_base  +  SUM('forecast production'!I$7:I58)</f>
        <v>1</v>
      </c>
      <c r="E57" s="110">
        <f ca="1">'forecast production'!AE58</f>
        <v>396.87511410333855</v>
      </c>
      <c r="F57" s="98">
        <f ca="1">'forecast production'!AF58</f>
        <v>2030.7161269558108</v>
      </c>
      <c r="G57" s="98">
        <f ca="1">'forecast production'!AG58</f>
        <v>103.32870176288621</v>
      </c>
      <c r="H57" s="98">
        <f ca="1">'forecast production'!AH58</f>
        <v>304.60741904337164</v>
      </c>
      <c r="I57" s="307">
        <f t="shared" ca="1" si="13"/>
        <v>1</v>
      </c>
      <c r="J57" s="306">
        <f t="shared" ca="1" si="14"/>
        <v>0.75</v>
      </c>
      <c r="K57" s="112">
        <f t="shared" ca="1" si="0"/>
        <v>297.65633557750391</v>
      </c>
      <c r="L57" s="98">
        <f t="shared" ca="1" si="1"/>
        <v>1142.2778214126436</v>
      </c>
      <c r="M57" s="98">
        <f t="shared" ca="1" si="2"/>
        <v>77.496526322164655</v>
      </c>
      <c r="N57" s="98">
        <f t="shared" ca="1" si="3"/>
        <v>228.45556428252871</v>
      </c>
      <c r="O57" s="67">
        <f>assumptions!M61</f>
        <v>55</v>
      </c>
      <c r="P57" s="68">
        <f>assumptions!N61</f>
        <v>3</v>
      </c>
      <c r="Q57" s="68">
        <f>assumptions!O61</f>
        <v>22</v>
      </c>
      <c r="R57" s="67">
        <f t="shared" si="4"/>
        <v>52.5</v>
      </c>
      <c r="S57" s="68">
        <f t="shared" si="5"/>
        <v>2.3275000000000001</v>
      </c>
      <c r="T57" s="68">
        <f t="shared" si="6"/>
        <v>22</v>
      </c>
      <c r="U57" s="73">
        <f t="shared" ca="1" si="15"/>
        <v>15626.957617818955</v>
      </c>
      <c r="V57" s="72">
        <f t="shared" ca="1" si="7"/>
        <v>2658.6516293379282</v>
      </c>
      <c r="W57" s="72">
        <f t="shared" ca="1" si="8"/>
        <v>5026.0224142156312</v>
      </c>
      <c r="X57" s="72">
        <f t="shared" ca="1" si="16"/>
        <v>23311.631661372514</v>
      </c>
      <c r="Y57" s="73">
        <f>mult_opex * fixed_month</f>
        <v>1000</v>
      </c>
      <c r="Z57" s="72">
        <f ca="1">mult_opex * fixed_well *D57</f>
        <v>5000</v>
      </c>
      <c r="AA57" s="72">
        <f ca="1">(Z57+Y57)*WI_current_1</f>
        <v>6000</v>
      </c>
      <c r="AB57" s="72">
        <f ca="1">mult_opex * var_bo*E57</f>
        <v>0</v>
      </c>
      <c r="AC57" s="72">
        <f ca="1">mult_opex * var_mcf*F57</f>
        <v>0</v>
      </c>
      <c r="AD57" s="72">
        <f ca="1">mult_opex * var_bw * G57</f>
        <v>206.65740352577242</v>
      </c>
      <c r="AE57" s="72">
        <f ca="1">SUM(AB57:AD57)*WI_current_1</f>
        <v>206.65740352577242</v>
      </c>
      <c r="AF57" s="73">
        <f ca="1">mult_capex * IFERROR(OFFSET(assumptions!$F$39,MATCH(B57,assumptions!$E$39:$E$45,0)-1,0),0)</f>
        <v>0</v>
      </c>
      <c r="AG57" s="75">
        <f ca="1">mult_capex * capex_new*WI_current_1 *'forecast production'!I58</f>
        <v>0</v>
      </c>
      <c r="AH57" s="146">
        <f t="shared" ca="1" si="23"/>
        <v>0</v>
      </c>
      <c r="AI57" s="73">
        <f t="shared" ca="1" si="9"/>
        <v>1295.1906036861888</v>
      </c>
      <c r="AJ57" s="72">
        <f t="shared" ca="1" si="10"/>
        <v>582.79079153431292</v>
      </c>
      <c r="AK57" s="72">
        <f t="shared" ca="1" si="17"/>
        <v>1877.9813952205018</v>
      </c>
      <c r="AL57" s="73">
        <f t="shared" ca="1" si="11"/>
        <v>15226.992862626241</v>
      </c>
      <c r="AM57" s="132">
        <f ca="1">IF(X57*(lease_NRI/J57)  - (Z57+Y57+AB57+AC57+AD57)  - (AK57)*(lease_NRI/J57)&gt;0,1,0)</f>
        <v>1</v>
      </c>
      <c r="AN57" s="73">
        <f t="shared" ca="1" si="18"/>
        <v>15226.992862626241</v>
      </c>
      <c r="AO57" s="75">
        <f t="shared" ca="1" si="24"/>
        <v>1320304.2310336595</v>
      </c>
      <c r="AP57" s="72">
        <f ca="1">AL57  /  ( 1 + disc_1/12)^(COUNT($AL$6:AL57)-1)</f>
        <v>9972.494522906698</v>
      </c>
      <c r="AQ57" s="72">
        <f t="shared" ca="1" si="25"/>
        <v>1116192.9299263449</v>
      </c>
      <c r="AS57" s="303">
        <f t="shared" ca="1" si="19"/>
        <v>1</v>
      </c>
      <c r="AT57" s="300">
        <f ca="1">IFERROR(IRR($AN$6:AN57)*12,0)</f>
        <v>0</v>
      </c>
      <c r="AU57" s="297">
        <f t="shared" ca="1" si="20"/>
        <v>0</v>
      </c>
      <c r="AV57" s="303">
        <f t="shared" ca="1" si="21"/>
        <v>0</v>
      </c>
    </row>
    <row r="58" spans="2:48" x14ac:dyDescent="0.25">
      <c r="B58" s="43">
        <f t="shared" si="22"/>
        <v>45778</v>
      </c>
      <c r="C58" s="79">
        <f t="shared" si="12"/>
        <v>2025</v>
      </c>
      <c r="D58" s="64">
        <f ca="1">wellcount_base  +  SUM('forecast production'!I$7:I59)</f>
        <v>1</v>
      </c>
      <c r="E58" s="110">
        <f ca="1">'forecast production'!AE59</f>
        <v>405.47890235856971</v>
      </c>
      <c r="F58" s="98">
        <f ca="1">'forecast production'!AF59</f>
        <v>2078.4806336532147</v>
      </c>
      <c r="G58" s="98">
        <f ca="1">'forecast production'!AG59</f>
        <v>103.10745651465403</v>
      </c>
      <c r="H58" s="98">
        <f ca="1">'forecast production'!AH59</f>
        <v>311.77209504798219</v>
      </c>
      <c r="I58" s="307">
        <f t="shared" ca="1" si="13"/>
        <v>1</v>
      </c>
      <c r="J58" s="306">
        <f t="shared" ca="1" si="14"/>
        <v>0.75</v>
      </c>
      <c r="K58" s="112">
        <f t="shared" ca="1" si="0"/>
        <v>304.10917676892728</v>
      </c>
      <c r="L58" s="98">
        <f t="shared" ca="1" si="1"/>
        <v>1169.1453564299331</v>
      </c>
      <c r="M58" s="98">
        <f t="shared" ca="1" si="2"/>
        <v>77.330592385990528</v>
      </c>
      <c r="N58" s="98">
        <f t="shared" ca="1" si="3"/>
        <v>233.82907128598663</v>
      </c>
      <c r="O58" s="67">
        <f>assumptions!M62</f>
        <v>55</v>
      </c>
      <c r="P58" s="68">
        <f>assumptions!N62</f>
        <v>3</v>
      </c>
      <c r="Q58" s="68">
        <f>assumptions!O62</f>
        <v>22</v>
      </c>
      <c r="R58" s="67">
        <f t="shared" si="4"/>
        <v>52.5</v>
      </c>
      <c r="S58" s="68">
        <f t="shared" si="5"/>
        <v>2.3275000000000001</v>
      </c>
      <c r="T58" s="68">
        <f t="shared" si="6"/>
        <v>22</v>
      </c>
      <c r="U58" s="73">
        <f t="shared" ca="1" si="15"/>
        <v>15965.731780368682</v>
      </c>
      <c r="V58" s="72">
        <f t="shared" ca="1" si="7"/>
        <v>2721.1858170906694</v>
      </c>
      <c r="W58" s="72">
        <f t="shared" ca="1" si="8"/>
        <v>5144.2395682917058</v>
      </c>
      <c r="X58" s="72">
        <f t="shared" ca="1" si="16"/>
        <v>23831.157165751058</v>
      </c>
      <c r="Y58" s="73">
        <f>mult_opex * fixed_month</f>
        <v>1000</v>
      </c>
      <c r="Z58" s="72">
        <f ca="1">mult_opex * fixed_well *D58</f>
        <v>5000</v>
      </c>
      <c r="AA58" s="72">
        <f ca="1">(Z58+Y58)*WI_current_1</f>
        <v>6000</v>
      </c>
      <c r="AB58" s="72">
        <f ca="1">mult_opex * var_bo*E58</f>
        <v>0</v>
      </c>
      <c r="AC58" s="72">
        <f ca="1">mult_opex * var_mcf*F58</f>
        <v>0</v>
      </c>
      <c r="AD58" s="72">
        <f ca="1">mult_opex * var_bw * G58</f>
        <v>206.21491302930806</v>
      </c>
      <c r="AE58" s="72">
        <f ca="1">SUM(AB58:AD58)*WI_current_1</f>
        <v>206.21491302930806</v>
      </c>
      <c r="AF58" s="73">
        <f ca="1">mult_capex * IFERROR(OFFSET(assumptions!$F$39,MATCH(B58,assumptions!$E$39:$E$45,0)-1,0),0)</f>
        <v>0</v>
      </c>
      <c r="AG58" s="75">
        <f ca="1">mult_capex * capex_new*WI_current_1 *'forecast production'!I59</f>
        <v>0</v>
      </c>
      <c r="AH58" s="146">
        <f t="shared" ca="1" si="23"/>
        <v>0</v>
      </c>
      <c r="AI58" s="73">
        <f t="shared" ca="1" si="9"/>
        <v>1324.3305658006375</v>
      </c>
      <c r="AJ58" s="72">
        <f t="shared" ca="1" si="10"/>
        <v>595.77892914377651</v>
      </c>
      <c r="AK58" s="72">
        <f t="shared" ca="1" si="17"/>
        <v>1920.1094949444141</v>
      </c>
      <c r="AL58" s="73">
        <f t="shared" ca="1" si="11"/>
        <v>15704.832757777338</v>
      </c>
      <c r="AM58" s="132">
        <f ca="1">IF(X58*(lease_NRI/J58)  - (Z58+Y58+AB58+AC58+AD58)  - (AK58)*(lease_NRI/J58)&gt;0,1,0)</f>
        <v>1</v>
      </c>
      <c r="AN58" s="73">
        <f t="shared" ca="1" si="18"/>
        <v>15704.832757777338</v>
      </c>
      <c r="AO58" s="75">
        <f t="shared" ca="1" si="24"/>
        <v>1336009.0637914368</v>
      </c>
      <c r="AP58" s="72">
        <f ca="1">AL58  /  ( 1 + disc_1/12)^(COUNT($AL$6:AL58)-1)</f>
        <v>10200.438785898292</v>
      </c>
      <c r="AQ58" s="72">
        <f t="shared" ca="1" si="25"/>
        <v>1126393.3687122432</v>
      </c>
      <c r="AS58" s="303">
        <f t="shared" ca="1" si="19"/>
        <v>1</v>
      </c>
      <c r="AT58" s="300">
        <f ca="1">IFERROR(IRR($AN$6:AN58)*12,0)</f>
        <v>0</v>
      </c>
      <c r="AU58" s="297">
        <f t="shared" ca="1" si="20"/>
        <v>0</v>
      </c>
      <c r="AV58" s="303">
        <f t="shared" ca="1" si="21"/>
        <v>0</v>
      </c>
    </row>
    <row r="59" spans="2:48" x14ac:dyDescent="0.25">
      <c r="B59" s="43">
        <f t="shared" si="22"/>
        <v>45809</v>
      </c>
      <c r="C59" s="79">
        <f t="shared" si="12"/>
        <v>2025</v>
      </c>
      <c r="D59" s="64">
        <f ca="1">wellcount_base  +  SUM('forecast production'!I$7:I60)</f>
        <v>1</v>
      </c>
      <c r="E59" s="110">
        <f ca="1">'forecast production'!AE60</f>
        <v>387.87840769347872</v>
      </c>
      <c r="F59" s="98">
        <f ca="1">'forecast production'!AF60</f>
        <v>1991.8878359191622</v>
      </c>
      <c r="G59" s="98">
        <f ca="1">'forecast production'!AG60</f>
        <v>96.244377610858137</v>
      </c>
      <c r="H59" s="98">
        <f ca="1">'forecast production'!AH60</f>
        <v>298.78317538787434</v>
      </c>
      <c r="I59" s="307">
        <f t="shared" ca="1" si="13"/>
        <v>1</v>
      </c>
      <c r="J59" s="306">
        <f t="shared" ca="1" si="14"/>
        <v>0.75</v>
      </c>
      <c r="K59" s="112">
        <f t="shared" ca="1" si="0"/>
        <v>290.90880577010904</v>
      </c>
      <c r="L59" s="98">
        <f t="shared" ca="1" si="1"/>
        <v>1120.4369077045287</v>
      </c>
      <c r="M59" s="98">
        <f t="shared" ca="1" si="2"/>
        <v>72.183283208143607</v>
      </c>
      <c r="N59" s="98">
        <f t="shared" ca="1" si="3"/>
        <v>224.08738154090577</v>
      </c>
      <c r="O59" s="67">
        <f>assumptions!M63</f>
        <v>55</v>
      </c>
      <c r="P59" s="68">
        <f>assumptions!N63</f>
        <v>3</v>
      </c>
      <c r="Q59" s="68">
        <f>assumptions!O63</f>
        <v>22</v>
      </c>
      <c r="R59" s="67">
        <f t="shared" si="4"/>
        <v>52.5</v>
      </c>
      <c r="S59" s="68">
        <f t="shared" si="5"/>
        <v>2.3275000000000001</v>
      </c>
      <c r="T59" s="68">
        <f t="shared" si="6"/>
        <v>22</v>
      </c>
      <c r="U59" s="73">
        <f t="shared" ca="1" si="15"/>
        <v>15272.712302930724</v>
      </c>
      <c r="V59" s="72">
        <f t="shared" ca="1" si="7"/>
        <v>2607.8169026822907</v>
      </c>
      <c r="W59" s="72">
        <f t="shared" ca="1" si="8"/>
        <v>4929.9223938999266</v>
      </c>
      <c r="X59" s="72">
        <f t="shared" ca="1" si="16"/>
        <v>22810.45159951294</v>
      </c>
      <c r="Y59" s="73">
        <f>mult_opex * fixed_month</f>
        <v>1000</v>
      </c>
      <c r="Z59" s="72">
        <f ca="1">mult_opex * fixed_well *D59</f>
        <v>5000</v>
      </c>
      <c r="AA59" s="72">
        <f ca="1">(Z59+Y59)*WI_current_1</f>
        <v>6000</v>
      </c>
      <c r="AB59" s="72">
        <f ca="1">mult_opex * var_bo*E59</f>
        <v>0</v>
      </c>
      <c r="AC59" s="72">
        <f ca="1">mult_opex * var_mcf*F59</f>
        <v>0</v>
      </c>
      <c r="AD59" s="72">
        <f ca="1">mult_opex * var_bw * G59</f>
        <v>192.48875522171627</v>
      </c>
      <c r="AE59" s="72">
        <f ca="1">SUM(AB59:AD59)*WI_current_1</f>
        <v>192.48875522171627</v>
      </c>
      <c r="AF59" s="73">
        <f ca="1">mult_capex * IFERROR(OFFSET(assumptions!$F$39,MATCH(B59,assumptions!$E$39:$E$45,0)-1,0),0)</f>
        <v>0</v>
      </c>
      <c r="AG59" s="75">
        <f ca="1">mult_capex * capex_new*WI_current_1 *'forecast production'!I60</f>
        <v>0</v>
      </c>
      <c r="AH59" s="146">
        <f t="shared" ca="1" si="23"/>
        <v>0</v>
      </c>
      <c r="AI59" s="73">
        <f t="shared" ca="1" si="9"/>
        <v>1267.8752131784795</v>
      </c>
      <c r="AJ59" s="72">
        <f t="shared" ca="1" si="10"/>
        <v>570.26128998782349</v>
      </c>
      <c r="AK59" s="72">
        <f t="shared" ca="1" si="17"/>
        <v>1838.1365031663031</v>
      </c>
      <c r="AL59" s="73">
        <f t="shared" ca="1" si="11"/>
        <v>14779.826341124921</v>
      </c>
      <c r="AM59" s="132">
        <f ca="1">IF(X59*(lease_NRI/J59)  - (Z59+Y59+AB59+AC59+AD59)  - (AK59)*(lease_NRI/J59)&gt;0,1,0)</f>
        <v>1</v>
      </c>
      <c r="AN59" s="73">
        <f t="shared" ca="1" si="18"/>
        <v>14779.826341124921</v>
      </c>
      <c r="AO59" s="75">
        <f t="shared" ca="1" si="24"/>
        <v>1350788.8901325618</v>
      </c>
      <c r="AP59" s="72">
        <f ca="1">AL59  /  ( 1 + disc_1/12)^(COUNT($AL$6:AL59)-1)</f>
        <v>9520.3024350530704</v>
      </c>
      <c r="AQ59" s="72">
        <f t="shared" ca="1" si="25"/>
        <v>1135913.6711472962</v>
      </c>
      <c r="AS59" s="303">
        <f t="shared" ca="1" si="19"/>
        <v>1</v>
      </c>
      <c r="AT59" s="300">
        <f ca="1">IFERROR(IRR($AN$6:AN59)*12,0)</f>
        <v>0</v>
      </c>
      <c r="AU59" s="297">
        <f t="shared" ca="1" si="20"/>
        <v>0</v>
      </c>
      <c r="AV59" s="303">
        <f t="shared" ca="1" si="21"/>
        <v>0</v>
      </c>
    </row>
    <row r="60" spans="2:48" x14ac:dyDescent="0.25">
      <c r="B60" s="43">
        <f t="shared" si="22"/>
        <v>45839</v>
      </c>
      <c r="C60" s="79">
        <f t="shared" si="12"/>
        <v>2025</v>
      </c>
      <c r="D60" s="64">
        <f ca="1">wellcount_base  +  SUM('forecast production'!I$7:I61)</f>
        <v>1</v>
      </c>
      <c r="E60" s="110">
        <f ca="1">'forecast production'!AE61</f>
        <v>396.3885032791743</v>
      </c>
      <c r="F60" s="98">
        <f ca="1">'forecast production'!AF61</f>
        <v>2039.1092909882855</v>
      </c>
      <c r="G60" s="98">
        <f ca="1">'forecast production'!AG61</f>
        <v>96.039492275645529</v>
      </c>
      <c r="H60" s="98">
        <f ca="1">'forecast production'!AH61</f>
        <v>305.86639364824282</v>
      </c>
      <c r="I60" s="307">
        <f t="shared" ca="1" si="13"/>
        <v>1</v>
      </c>
      <c r="J60" s="306">
        <f t="shared" ca="1" si="14"/>
        <v>0.75</v>
      </c>
      <c r="K60" s="112">
        <f t="shared" ca="1" si="0"/>
        <v>297.29137745938073</v>
      </c>
      <c r="L60" s="98">
        <f t="shared" ca="1" si="1"/>
        <v>1146.9989761809106</v>
      </c>
      <c r="M60" s="98">
        <f t="shared" ca="1" si="2"/>
        <v>72.029619206734139</v>
      </c>
      <c r="N60" s="98">
        <f t="shared" ca="1" si="3"/>
        <v>229.39979523618211</v>
      </c>
      <c r="O60" s="67">
        <f>assumptions!M64</f>
        <v>55</v>
      </c>
      <c r="P60" s="68">
        <f>assumptions!N64</f>
        <v>3</v>
      </c>
      <c r="Q60" s="68">
        <f>assumptions!O64</f>
        <v>22</v>
      </c>
      <c r="R60" s="67">
        <f t="shared" si="4"/>
        <v>52.5</v>
      </c>
      <c r="S60" s="68">
        <f t="shared" si="5"/>
        <v>2.3275000000000001</v>
      </c>
      <c r="T60" s="68">
        <f t="shared" si="6"/>
        <v>22</v>
      </c>
      <c r="U60" s="73">
        <f t="shared" ca="1" si="15"/>
        <v>15607.797316617489</v>
      </c>
      <c r="V60" s="72">
        <f t="shared" ca="1" si="7"/>
        <v>2669.6401170610698</v>
      </c>
      <c r="W60" s="72">
        <f t="shared" ca="1" si="8"/>
        <v>5046.7954951960064</v>
      </c>
      <c r="X60" s="72">
        <f t="shared" ca="1" si="16"/>
        <v>23324.232928874564</v>
      </c>
      <c r="Y60" s="73">
        <f>mult_opex * fixed_month</f>
        <v>1000</v>
      </c>
      <c r="Z60" s="72">
        <f ca="1">mult_opex * fixed_well *D60</f>
        <v>5000</v>
      </c>
      <c r="AA60" s="72">
        <f ca="1">(Z60+Y60)*WI_current_1</f>
        <v>6000</v>
      </c>
      <c r="AB60" s="72">
        <f ca="1">mult_opex * var_bo*E60</f>
        <v>0</v>
      </c>
      <c r="AC60" s="72">
        <f ca="1">mult_opex * var_mcf*F60</f>
        <v>0</v>
      </c>
      <c r="AD60" s="72">
        <f ca="1">mult_opex * var_bw * G60</f>
        <v>192.07898455129106</v>
      </c>
      <c r="AE60" s="72">
        <f ca="1">SUM(AB60:AD60)*WI_current_1</f>
        <v>192.07898455129106</v>
      </c>
      <c r="AF60" s="73">
        <f ca="1">mult_capex * IFERROR(OFFSET(assumptions!$F$39,MATCH(B60,assumptions!$E$39:$E$45,0)-1,0),0)</f>
        <v>0</v>
      </c>
      <c r="AG60" s="75">
        <f ca="1">mult_capex * capex_new*WI_current_1 *'forecast production'!I61</f>
        <v>0</v>
      </c>
      <c r="AH60" s="146">
        <f t="shared" ca="1" si="23"/>
        <v>0</v>
      </c>
      <c r="AI60" s="73">
        <f t="shared" ca="1" si="9"/>
        <v>1296.6913474836851</v>
      </c>
      <c r="AJ60" s="72">
        <f t="shared" ca="1" si="10"/>
        <v>583.10582322186417</v>
      </c>
      <c r="AK60" s="72">
        <f t="shared" ca="1" si="17"/>
        <v>1879.7971707055494</v>
      </c>
      <c r="AL60" s="73">
        <f t="shared" ca="1" si="11"/>
        <v>15252.356773617721</v>
      </c>
      <c r="AM60" s="132">
        <f ca="1">IF(X60*(lease_NRI/J60)  - (Z60+Y60+AB60+AC60+AD60)  - (AK60)*(lease_NRI/J60)&gt;0,1,0)</f>
        <v>1</v>
      </c>
      <c r="AN60" s="73">
        <f t="shared" ca="1" si="18"/>
        <v>15252.356773617721</v>
      </c>
      <c r="AO60" s="75">
        <f t="shared" ca="1" si="24"/>
        <v>1366041.2469061795</v>
      </c>
      <c r="AP60" s="72">
        <f ca="1">AL60  /  ( 1 + disc_1/12)^(COUNT($AL$6:AL60)-1)</f>
        <v>9743.4832960470849</v>
      </c>
      <c r="AQ60" s="72">
        <f t="shared" ca="1" si="25"/>
        <v>1145657.1544433434</v>
      </c>
      <c r="AS60" s="303">
        <f t="shared" ca="1" si="19"/>
        <v>1</v>
      </c>
      <c r="AT60" s="300">
        <f ca="1">IFERROR(IRR($AN$6:AN60)*12,0)</f>
        <v>0</v>
      </c>
      <c r="AU60" s="297">
        <f t="shared" ca="1" si="20"/>
        <v>0</v>
      </c>
      <c r="AV60" s="303">
        <f t="shared" ca="1" si="21"/>
        <v>0</v>
      </c>
    </row>
    <row r="61" spans="2:48" x14ac:dyDescent="0.25">
      <c r="B61" s="43">
        <f t="shared" si="22"/>
        <v>45870</v>
      </c>
      <c r="C61" s="79">
        <f t="shared" si="12"/>
        <v>2025</v>
      </c>
      <c r="D61" s="64">
        <f ca="1">wellcount_base  +  SUM('forecast production'!I$7:I62)</f>
        <v>1</v>
      </c>
      <c r="E61" s="110">
        <f ca="1">'forecast production'!AE62</f>
        <v>391.9232349944586</v>
      </c>
      <c r="F61" s="98">
        <f ca="1">'forecast production'!AF62</f>
        <v>2019.6670694923553</v>
      </c>
      <c r="G61" s="98">
        <f ca="1">'forecast production'!AG62</f>
        <v>92.636289882631573</v>
      </c>
      <c r="H61" s="98">
        <f ca="1">'forecast production'!AH62</f>
        <v>302.9500604238533</v>
      </c>
      <c r="I61" s="307">
        <f t="shared" ca="1" si="13"/>
        <v>1</v>
      </c>
      <c r="J61" s="306">
        <f t="shared" ca="1" si="14"/>
        <v>0.75</v>
      </c>
      <c r="K61" s="112">
        <f t="shared" ca="1" si="0"/>
        <v>293.94242624584393</v>
      </c>
      <c r="L61" s="98">
        <f t="shared" ca="1" si="1"/>
        <v>1136.06272658945</v>
      </c>
      <c r="M61" s="98">
        <f t="shared" ca="1" si="2"/>
        <v>69.477217411973683</v>
      </c>
      <c r="N61" s="98">
        <f t="shared" ca="1" si="3"/>
        <v>227.21254531788998</v>
      </c>
      <c r="O61" s="67">
        <f>assumptions!M65</f>
        <v>55</v>
      </c>
      <c r="P61" s="68">
        <f>assumptions!N65</f>
        <v>3</v>
      </c>
      <c r="Q61" s="68">
        <f>assumptions!O65</f>
        <v>22</v>
      </c>
      <c r="R61" s="67">
        <f t="shared" si="4"/>
        <v>52.5</v>
      </c>
      <c r="S61" s="68">
        <f t="shared" si="5"/>
        <v>2.3275000000000001</v>
      </c>
      <c r="T61" s="68">
        <f t="shared" si="6"/>
        <v>22</v>
      </c>
      <c r="U61" s="73">
        <f t="shared" ca="1" si="15"/>
        <v>15431.977377906807</v>
      </c>
      <c r="V61" s="72">
        <f t="shared" ca="1" si="7"/>
        <v>2644.1859961369451</v>
      </c>
      <c r="W61" s="72">
        <f t="shared" ca="1" si="8"/>
        <v>4998.6759969935792</v>
      </c>
      <c r="X61" s="72">
        <f t="shared" ca="1" si="16"/>
        <v>23074.839371037335</v>
      </c>
      <c r="Y61" s="73">
        <f>mult_opex * fixed_month</f>
        <v>1000</v>
      </c>
      <c r="Z61" s="72">
        <f ca="1">mult_opex * fixed_well *D61</f>
        <v>5000</v>
      </c>
      <c r="AA61" s="72">
        <f ca="1">(Z61+Y61)*WI_current_1</f>
        <v>6000</v>
      </c>
      <c r="AB61" s="72">
        <f ca="1">mult_opex * var_bo*E61</f>
        <v>0</v>
      </c>
      <c r="AC61" s="72">
        <f ca="1">mult_opex * var_mcf*F61</f>
        <v>0</v>
      </c>
      <c r="AD61" s="72">
        <f ca="1">mult_opex * var_bw * G61</f>
        <v>185.27257976526315</v>
      </c>
      <c r="AE61" s="72">
        <f ca="1">SUM(AB61:AD61)*WI_current_1</f>
        <v>185.27257976526315</v>
      </c>
      <c r="AF61" s="73">
        <f ca="1">mult_capex * IFERROR(OFFSET(assumptions!$F$39,MATCH(B61,assumptions!$E$39:$E$45,0)-1,0),0)</f>
        <v>0</v>
      </c>
      <c r="AG61" s="75">
        <f ca="1">mult_capex * capex_new*WI_current_1 *'forecast production'!I62</f>
        <v>0</v>
      </c>
      <c r="AH61" s="146">
        <f t="shared" ca="1" si="23"/>
        <v>0</v>
      </c>
      <c r="AI61" s="73">
        <f t="shared" ca="1" si="9"/>
        <v>1283.0856088685025</v>
      </c>
      <c r="AJ61" s="72">
        <f t="shared" ca="1" si="10"/>
        <v>576.87098427593344</v>
      </c>
      <c r="AK61" s="72">
        <f t="shared" ca="1" si="17"/>
        <v>1859.9565931444358</v>
      </c>
      <c r="AL61" s="73">
        <f t="shared" ca="1" si="11"/>
        <v>15029.610198127637</v>
      </c>
      <c r="AM61" s="132">
        <f ca="1">IF(X61*(lease_NRI/J61)  - (Z61+Y61+AB61+AC61+AD61)  - (AK61)*(lease_NRI/J61)&gt;0,1,0)</f>
        <v>1</v>
      </c>
      <c r="AN61" s="73">
        <f t="shared" ca="1" si="18"/>
        <v>15029.610198127637</v>
      </c>
      <c r="AO61" s="75">
        <f t="shared" ca="1" si="24"/>
        <v>1381070.857104307</v>
      </c>
      <c r="AP61" s="72">
        <f ca="1">AL61  /  ( 1 + disc_1/12)^(COUNT($AL$6:AL61)-1)</f>
        <v>9521.8400596081119</v>
      </c>
      <c r="AQ61" s="72">
        <f t="shared" ca="1" si="25"/>
        <v>1155178.9945029516</v>
      </c>
      <c r="AS61" s="303">
        <f t="shared" ca="1" si="19"/>
        <v>1</v>
      </c>
      <c r="AT61" s="300">
        <f ca="1">IFERROR(IRR($AN$6:AN61)*12,0)</f>
        <v>0</v>
      </c>
      <c r="AU61" s="297">
        <f t="shared" ca="1" si="20"/>
        <v>0</v>
      </c>
      <c r="AV61" s="303">
        <f t="shared" ca="1" si="21"/>
        <v>0</v>
      </c>
    </row>
    <row r="62" spans="2:48" x14ac:dyDescent="0.25">
      <c r="B62" s="43">
        <f t="shared" si="22"/>
        <v>45901</v>
      </c>
      <c r="C62" s="79">
        <f t="shared" si="12"/>
        <v>2025</v>
      </c>
      <c r="D62" s="64">
        <f ca="1">wellcount_base  +  SUM('forecast production'!I$7:I63)</f>
        <v>1</v>
      </c>
      <c r="E62" s="110">
        <f ca="1">'forecast production'!AE63</f>
        <v>375.05559433488833</v>
      </c>
      <c r="F62" s="98">
        <f ca="1">'forecast production'!AF63</f>
        <v>1936.0568675763673</v>
      </c>
      <c r="G62" s="98">
        <f ca="1">'forecast production'!AG63</f>
        <v>86.471867348706965</v>
      </c>
      <c r="H62" s="98">
        <f ca="1">'forecast production'!AH63</f>
        <v>290.40853013645511</v>
      </c>
      <c r="I62" s="307">
        <f t="shared" ca="1" si="13"/>
        <v>1</v>
      </c>
      <c r="J62" s="306">
        <f t="shared" ca="1" si="14"/>
        <v>0.75</v>
      </c>
      <c r="K62" s="112">
        <f t="shared" ca="1" si="0"/>
        <v>281.29169575116623</v>
      </c>
      <c r="L62" s="98">
        <f t="shared" ca="1" si="1"/>
        <v>1089.0319880117067</v>
      </c>
      <c r="M62" s="98">
        <f t="shared" ca="1" si="2"/>
        <v>64.853900511530227</v>
      </c>
      <c r="N62" s="98">
        <f t="shared" ca="1" si="3"/>
        <v>217.80639760234135</v>
      </c>
      <c r="O62" s="67">
        <f>assumptions!M66</f>
        <v>55</v>
      </c>
      <c r="P62" s="68">
        <f>assumptions!N66</f>
        <v>3</v>
      </c>
      <c r="Q62" s="68">
        <f>assumptions!O66</f>
        <v>22</v>
      </c>
      <c r="R62" s="67">
        <f t="shared" si="4"/>
        <v>52.5</v>
      </c>
      <c r="S62" s="68">
        <f t="shared" si="5"/>
        <v>2.3275000000000001</v>
      </c>
      <c r="T62" s="68">
        <f t="shared" si="6"/>
        <v>22</v>
      </c>
      <c r="U62" s="73">
        <f t="shared" ca="1" si="15"/>
        <v>14767.814026936227</v>
      </c>
      <c r="V62" s="72">
        <f t="shared" ca="1" si="7"/>
        <v>2534.7219520972476</v>
      </c>
      <c r="W62" s="72">
        <f t="shared" ca="1" si="8"/>
        <v>4791.7407472515097</v>
      </c>
      <c r="X62" s="72">
        <f t="shared" ca="1" si="16"/>
        <v>22094.276726284981</v>
      </c>
      <c r="Y62" s="73">
        <f>mult_opex * fixed_month</f>
        <v>1000</v>
      </c>
      <c r="Z62" s="72">
        <f ca="1">mult_opex * fixed_well *D62</f>
        <v>5000</v>
      </c>
      <c r="AA62" s="72">
        <f ca="1">(Z62+Y62)*WI_current_1</f>
        <v>6000</v>
      </c>
      <c r="AB62" s="72">
        <f ca="1">mult_opex * var_bo*E62</f>
        <v>0</v>
      </c>
      <c r="AC62" s="72">
        <f ca="1">mult_opex * var_mcf*F62</f>
        <v>0</v>
      </c>
      <c r="AD62" s="72">
        <f ca="1">mult_opex * var_bw * G62</f>
        <v>172.94373469741393</v>
      </c>
      <c r="AE62" s="72">
        <f ca="1">SUM(AB62:AD62)*WI_current_1</f>
        <v>172.94373469741393</v>
      </c>
      <c r="AF62" s="73">
        <f ca="1">mult_capex * IFERROR(OFFSET(assumptions!$F$39,MATCH(B62,assumptions!$E$39:$E$45,0)-1,0),0)</f>
        <v>0</v>
      </c>
      <c r="AG62" s="75">
        <f ca="1">mult_capex * capex_new*WI_current_1 *'forecast production'!I63</f>
        <v>0</v>
      </c>
      <c r="AH62" s="146">
        <f t="shared" ca="1" si="23"/>
        <v>0</v>
      </c>
      <c r="AI62" s="73">
        <f t="shared" ca="1" si="9"/>
        <v>1228.8041476902233</v>
      </c>
      <c r="AJ62" s="72">
        <f t="shared" ca="1" si="10"/>
        <v>552.3569181571246</v>
      </c>
      <c r="AK62" s="72">
        <f t="shared" ca="1" si="17"/>
        <v>1781.1610658473478</v>
      </c>
      <c r="AL62" s="73">
        <f t="shared" ca="1" si="11"/>
        <v>14140.171925740218</v>
      </c>
      <c r="AM62" s="132">
        <f ca="1">IF(X62*(lease_NRI/J62)  - (Z62+Y62+AB62+AC62+AD62)  - (AK62)*(lease_NRI/J62)&gt;0,1,0)</f>
        <v>1</v>
      </c>
      <c r="AN62" s="73">
        <f t="shared" ca="1" si="18"/>
        <v>14140.171925740218</v>
      </c>
      <c r="AO62" s="75">
        <f t="shared" ca="1" si="24"/>
        <v>1395211.0290300474</v>
      </c>
      <c r="AP62" s="72">
        <f ca="1">AL62  /  ( 1 + disc_1/12)^(COUNT($AL$6:AL62)-1)</f>
        <v>8884.310550633425</v>
      </c>
      <c r="AQ62" s="72">
        <f t="shared" ca="1" si="25"/>
        <v>1164063.305053585</v>
      </c>
      <c r="AS62" s="303">
        <f t="shared" ca="1" si="19"/>
        <v>1</v>
      </c>
      <c r="AT62" s="300">
        <f ca="1">IFERROR(IRR($AN$6:AN62)*12,0)</f>
        <v>0</v>
      </c>
      <c r="AU62" s="297">
        <f t="shared" ca="1" si="20"/>
        <v>0</v>
      </c>
      <c r="AV62" s="303">
        <f t="shared" ca="1" si="21"/>
        <v>0</v>
      </c>
    </row>
    <row r="63" spans="2:48" x14ac:dyDescent="0.25">
      <c r="B63" s="43">
        <f t="shared" si="22"/>
        <v>45931</v>
      </c>
      <c r="C63" s="79">
        <f t="shared" si="12"/>
        <v>2025</v>
      </c>
      <c r="D63" s="64">
        <f ca="1">wellcount_base  +  SUM('forecast production'!I$7:I64)</f>
        <v>1</v>
      </c>
      <c r="E63" s="110">
        <f ca="1">'forecast production'!AE64</f>
        <v>383.42411285907036</v>
      </c>
      <c r="F63" s="98">
        <f ca="1">'forecast production'!AF64</f>
        <v>1982.4724025174178</v>
      </c>
      <c r="G63" s="98">
        <f ca="1">'forecast production'!AG64</f>
        <v>86.289398370003866</v>
      </c>
      <c r="H63" s="98">
        <f ca="1">'forecast production'!AH64</f>
        <v>297.37086037761264</v>
      </c>
      <c r="I63" s="307">
        <f t="shared" ca="1" si="13"/>
        <v>1</v>
      </c>
      <c r="J63" s="306">
        <f t="shared" ca="1" si="14"/>
        <v>0.75</v>
      </c>
      <c r="K63" s="112">
        <f t="shared" ca="1" si="0"/>
        <v>287.56808464430276</v>
      </c>
      <c r="L63" s="98">
        <f t="shared" ca="1" si="1"/>
        <v>1115.1407264160475</v>
      </c>
      <c r="M63" s="98">
        <f t="shared" ca="1" si="2"/>
        <v>64.717048777502896</v>
      </c>
      <c r="N63" s="98">
        <f t="shared" ca="1" si="3"/>
        <v>223.02814528320948</v>
      </c>
      <c r="O63" s="67">
        <f>assumptions!M67</f>
        <v>55</v>
      </c>
      <c r="P63" s="68">
        <f>assumptions!N67</f>
        <v>3</v>
      </c>
      <c r="Q63" s="68">
        <f>assumptions!O67</f>
        <v>22</v>
      </c>
      <c r="R63" s="67">
        <f t="shared" si="4"/>
        <v>52.5</v>
      </c>
      <c r="S63" s="68">
        <f t="shared" si="5"/>
        <v>2.3275000000000001</v>
      </c>
      <c r="T63" s="68">
        <f t="shared" si="6"/>
        <v>22</v>
      </c>
      <c r="U63" s="73">
        <f t="shared" ca="1" si="15"/>
        <v>15097.324443825895</v>
      </c>
      <c r="V63" s="72">
        <f t="shared" ca="1" si="7"/>
        <v>2595.4900407333507</v>
      </c>
      <c r="W63" s="72">
        <f t="shared" ca="1" si="8"/>
        <v>4906.6191962306084</v>
      </c>
      <c r="X63" s="72">
        <f t="shared" ca="1" si="16"/>
        <v>22599.433680789854</v>
      </c>
      <c r="Y63" s="73">
        <f>mult_opex * fixed_month</f>
        <v>1000</v>
      </c>
      <c r="Z63" s="72">
        <f ca="1">mult_opex * fixed_well *D63</f>
        <v>5000</v>
      </c>
      <c r="AA63" s="72">
        <f ca="1">(Z63+Y63)*WI_current_1</f>
        <v>6000</v>
      </c>
      <c r="AB63" s="72">
        <f ca="1">mult_opex * var_bo*E63</f>
        <v>0</v>
      </c>
      <c r="AC63" s="72">
        <f ca="1">mult_opex * var_mcf*F63</f>
        <v>0</v>
      </c>
      <c r="AD63" s="72">
        <f ca="1">mult_opex * var_bw * G63</f>
        <v>172.57879674000773</v>
      </c>
      <c r="AE63" s="72">
        <f ca="1">SUM(AB63:AD63)*WI_current_1</f>
        <v>172.57879674000773</v>
      </c>
      <c r="AF63" s="73">
        <f ca="1">mult_capex * IFERROR(OFFSET(assumptions!$F$39,MATCH(B63,assumptions!$E$39:$E$45,0)-1,0),0)</f>
        <v>0</v>
      </c>
      <c r="AG63" s="75">
        <f ca="1">mult_capex * capex_new*WI_current_1 *'forecast production'!I64</f>
        <v>0</v>
      </c>
      <c r="AH63" s="146">
        <f t="shared" ca="1" si="23"/>
        <v>0</v>
      </c>
      <c r="AI63" s="73">
        <f t="shared" ca="1" si="9"/>
        <v>1257.1351171882882</v>
      </c>
      <c r="AJ63" s="72">
        <f t="shared" ca="1" si="10"/>
        <v>564.98584201974643</v>
      </c>
      <c r="AK63" s="72">
        <f t="shared" ca="1" si="17"/>
        <v>1822.1209592080345</v>
      </c>
      <c r="AL63" s="73">
        <f t="shared" ca="1" si="11"/>
        <v>14604.733924841814</v>
      </c>
      <c r="AM63" s="132">
        <f ca="1">IF(X63*(lease_NRI/J63)  - (Z63+Y63+AB63+AC63+AD63)  - (AK63)*(lease_NRI/J63)&gt;0,1,0)</f>
        <v>1</v>
      </c>
      <c r="AN63" s="73">
        <f t="shared" ca="1" si="18"/>
        <v>14604.733924841814</v>
      </c>
      <c r="AO63" s="75">
        <f t="shared" ca="1" si="24"/>
        <v>1409815.7629548891</v>
      </c>
      <c r="AP63" s="72">
        <f ca="1">AL63  /  ( 1 + disc_1/12)^(COUNT($AL$6:AL63)-1)</f>
        <v>9100.3598541160554</v>
      </c>
      <c r="AQ63" s="72">
        <f t="shared" ca="1" si="25"/>
        <v>1173163.6649077011</v>
      </c>
      <c r="AS63" s="303">
        <f t="shared" ca="1" si="19"/>
        <v>1</v>
      </c>
      <c r="AT63" s="300">
        <f ca="1">IFERROR(IRR($AN$6:AN63)*12,0)</f>
        <v>0</v>
      </c>
      <c r="AU63" s="297">
        <f t="shared" ca="1" si="20"/>
        <v>0</v>
      </c>
      <c r="AV63" s="303">
        <f t="shared" ca="1" si="21"/>
        <v>0</v>
      </c>
    </row>
    <row r="64" spans="2:48" x14ac:dyDescent="0.25">
      <c r="B64" s="43">
        <f t="shared" si="22"/>
        <v>45962</v>
      </c>
      <c r="C64" s="79">
        <f t="shared" si="12"/>
        <v>2025</v>
      </c>
      <c r="D64" s="64">
        <f ca="1">wellcount_base  +  SUM('forecast production'!I$7:I65)</f>
        <v>1</v>
      </c>
      <c r="E64" s="110">
        <f ca="1">'forecast production'!AE65</f>
        <v>367.01091558999372</v>
      </c>
      <c r="F64" s="98">
        <f ca="1">'forecast production'!AF65</f>
        <v>1900.7325883203571</v>
      </c>
      <c r="G64" s="98">
        <f ca="1">'forecast production'!AG65</f>
        <v>80.548356473884056</v>
      </c>
      <c r="H64" s="98">
        <f ca="1">'forecast production'!AH65</f>
        <v>285.10988824805355</v>
      </c>
      <c r="I64" s="307">
        <f t="shared" ca="1" si="13"/>
        <v>1</v>
      </c>
      <c r="J64" s="306">
        <f t="shared" ca="1" si="14"/>
        <v>0.75</v>
      </c>
      <c r="K64" s="112">
        <f t="shared" ca="1" si="0"/>
        <v>275.25818669249531</v>
      </c>
      <c r="L64" s="98">
        <f t="shared" ca="1" si="1"/>
        <v>1069.1620809302008</v>
      </c>
      <c r="M64" s="98">
        <f t="shared" ca="1" si="2"/>
        <v>60.411267355413045</v>
      </c>
      <c r="N64" s="98">
        <f t="shared" ca="1" si="3"/>
        <v>213.83241618604018</v>
      </c>
      <c r="O64" s="67">
        <f>assumptions!M68</f>
        <v>55</v>
      </c>
      <c r="P64" s="68">
        <f>assumptions!N68</f>
        <v>3</v>
      </c>
      <c r="Q64" s="68">
        <f>assumptions!O68</f>
        <v>22</v>
      </c>
      <c r="R64" s="67">
        <f t="shared" si="4"/>
        <v>52.5</v>
      </c>
      <c r="S64" s="68">
        <f t="shared" si="5"/>
        <v>2.3275000000000001</v>
      </c>
      <c r="T64" s="68">
        <f t="shared" si="6"/>
        <v>22</v>
      </c>
      <c r="U64" s="73">
        <f t="shared" ca="1" si="15"/>
        <v>14451.054801356004</v>
      </c>
      <c r="V64" s="72">
        <f t="shared" ca="1" si="7"/>
        <v>2488.4747433650423</v>
      </c>
      <c r="W64" s="72">
        <f t="shared" ca="1" si="8"/>
        <v>4704.3131560928841</v>
      </c>
      <c r="X64" s="72">
        <f t="shared" ca="1" si="16"/>
        <v>21643.84270081393</v>
      </c>
      <c r="Y64" s="73">
        <f>mult_opex * fixed_month</f>
        <v>1000</v>
      </c>
      <c r="Z64" s="72">
        <f ca="1">mult_opex * fixed_well *D64</f>
        <v>5000</v>
      </c>
      <c r="AA64" s="72">
        <f ca="1">(Z64+Y64)*WI_current_1</f>
        <v>6000</v>
      </c>
      <c r="AB64" s="72">
        <f ca="1">mult_opex * var_bo*E64</f>
        <v>0</v>
      </c>
      <c r="AC64" s="72">
        <f ca="1">mult_opex * var_mcf*F64</f>
        <v>0</v>
      </c>
      <c r="AD64" s="72">
        <f ca="1">mult_opex * var_bw * G64</f>
        <v>161.09671294776811</v>
      </c>
      <c r="AE64" s="72">
        <f ca="1">SUM(AB64:AD64)*WI_current_1</f>
        <v>161.09671294776811</v>
      </c>
      <c r="AF64" s="73">
        <f ca="1">mult_capex * IFERROR(OFFSET(assumptions!$F$39,MATCH(B64,assumptions!$E$39:$E$45,0)-1,0),0)</f>
        <v>0</v>
      </c>
      <c r="AG64" s="75">
        <f ca="1">mult_capex * capex_new*WI_current_1 *'forecast production'!I65</f>
        <v>0</v>
      </c>
      <c r="AH64" s="146">
        <f t="shared" ca="1" si="23"/>
        <v>0</v>
      </c>
      <c r="AI64" s="73">
        <f t="shared" ca="1" si="9"/>
        <v>1204.2076133217206</v>
      </c>
      <c r="AJ64" s="72">
        <f t="shared" ca="1" si="10"/>
        <v>541.09606752034824</v>
      </c>
      <c r="AK64" s="72">
        <f t="shared" ca="1" si="17"/>
        <v>1745.3036808420688</v>
      </c>
      <c r="AL64" s="73">
        <f t="shared" ca="1" si="11"/>
        <v>13737.442307024092</v>
      </c>
      <c r="AM64" s="132">
        <f ca="1">IF(X64*(lease_NRI/J64)  - (Z64+Y64+AB64+AC64+AD64)  - (AK64)*(lease_NRI/J64)&gt;0,1,0)</f>
        <v>1</v>
      </c>
      <c r="AN64" s="73">
        <f t="shared" ca="1" si="18"/>
        <v>13737.442307024092</v>
      </c>
      <c r="AO64" s="75">
        <f t="shared" ca="1" si="24"/>
        <v>1423553.2052619131</v>
      </c>
      <c r="AP64" s="72">
        <f ca="1">AL64  /  ( 1 + disc_1/12)^(COUNT($AL$6:AL64)-1)</f>
        <v>8489.1982123324233</v>
      </c>
      <c r="AQ64" s="72">
        <f t="shared" ca="1" si="25"/>
        <v>1181652.8631200334</v>
      </c>
      <c r="AS64" s="303">
        <f t="shared" ca="1" si="19"/>
        <v>1</v>
      </c>
      <c r="AT64" s="300">
        <f ca="1">IFERROR(IRR($AN$6:AN64)*12,0)</f>
        <v>0</v>
      </c>
      <c r="AU64" s="297">
        <f t="shared" ca="1" si="20"/>
        <v>0</v>
      </c>
      <c r="AV64" s="303">
        <f t="shared" ca="1" si="21"/>
        <v>0</v>
      </c>
    </row>
    <row r="65" spans="2:48" x14ac:dyDescent="0.25">
      <c r="B65" s="44">
        <f t="shared" si="22"/>
        <v>45992</v>
      </c>
      <c r="C65" s="100">
        <f t="shared" si="12"/>
        <v>2025</v>
      </c>
      <c r="D65" s="65">
        <f ca="1">wellcount_base  +  SUM('forecast production'!I$7:I66)</f>
        <v>1</v>
      </c>
      <c r="E65" s="109">
        <f ca="1">'forecast production'!AE66</f>
        <v>375.28578514879877</v>
      </c>
      <c r="F65" s="101">
        <f ca="1">'forecast production'!AF66</f>
        <v>1946.6229336438876</v>
      </c>
      <c r="G65" s="101">
        <f ca="1">'forecast production'!AG66</f>
        <v>80.379382129511711</v>
      </c>
      <c r="H65" s="102">
        <f ca="1">'forecast production'!AH66</f>
        <v>291.99344004658315</v>
      </c>
      <c r="I65" s="308">
        <f t="shared" ca="1" si="13"/>
        <v>1</v>
      </c>
      <c r="J65" s="309">
        <f t="shared" ca="1" si="14"/>
        <v>0.75</v>
      </c>
      <c r="K65" s="113">
        <f t="shared" ca="1" si="0"/>
        <v>281.46433886159906</v>
      </c>
      <c r="L65" s="102">
        <f t="shared" ca="1" si="1"/>
        <v>1094.9754001746869</v>
      </c>
      <c r="M65" s="102">
        <f t="shared" ca="1" si="2"/>
        <v>60.28453659713378</v>
      </c>
      <c r="N65" s="102">
        <f t="shared" ca="1" si="3"/>
        <v>218.99508003493736</v>
      </c>
      <c r="O65" s="103">
        <f>assumptions!M69</f>
        <v>55</v>
      </c>
      <c r="P65" s="104">
        <f>assumptions!N69</f>
        <v>3</v>
      </c>
      <c r="Q65" s="104">
        <f>assumptions!O69</f>
        <v>22</v>
      </c>
      <c r="R65" s="103">
        <f t="shared" si="4"/>
        <v>52.5</v>
      </c>
      <c r="S65" s="104">
        <f t="shared" si="5"/>
        <v>2.3275000000000001</v>
      </c>
      <c r="T65" s="104">
        <f t="shared" si="6"/>
        <v>22</v>
      </c>
      <c r="U65" s="105">
        <f t="shared" ca="1" si="15"/>
        <v>14776.87779023395</v>
      </c>
      <c r="V65" s="106">
        <f t="shared" ca="1" si="7"/>
        <v>2548.5552439065841</v>
      </c>
      <c r="W65" s="106">
        <f t="shared" ca="1" si="8"/>
        <v>4817.8917607686217</v>
      </c>
      <c r="X65" s="106">
        <f t="shared" ca="1" si="16"/>
        <v>22143.324794909153</v>
      </c>
      <c r="Y65" s="105">
        <f>mult_opex * fixed_month</f>
        <v>1000</v>
      </c>
      <c r="Z65" s="106">
        <f ca="1">mult_opex * fixed_well *D65</f>
        <v>5000</v>
      </c>
      <c r="AA65" s="106">
        <f ca="1">(Z65+Y65)*WI_current_1</f>
        <v>6000</v>
      </c>
      <c r="AB65" s="106">
        <f ca="1">mult_opex * var_bo*E65</f>
        <v>0</v>
      </c>
      <c r="AC65" s="106">
        <f ca="1">mult_opex * var_mcf*F65</f>
        <v>0</v>
      </c>
      <c r="AD65" s="106">
        <f ca="1">mult_opex * var_bw * G65</f>
        <v>160.75876425902342</v>
      </c>
      <c r="AE65" s="106">
        <f ca="1">SUM(AB65:AD65)*WI_current_1</f>
        <v>160.75876425902342</v>
      </c>
      <c r="AF65" s="105">
        <f ca="1">mult_capex * IFERROR(OFFSET(assumptions!$F$39,MATCH(B65,assumptions!$E$39:$E$45,0)-1,0),0)</f>
        <v>0</v>
      </c>
      <c r="AG65" s="106">
        <f ca="1">mult_capex * capex_new*WI_current_1 *'forecast production'!I66</f>
        <v>0</v>
      </c>
      <c r="AH65" s="147">
        <f t="shared" ca="1" si="23"/>
        <v>0</v>
      </c>
      <c r="AI65" s="105">
        <f t="shared" ca="1" si="9"/>
        <v>1232.219903701402</v>
      </c>
      <c r="AJ65" s="106">
        <f t="shared" ca="1" si="10"/>
        <v>553.58311987272884</v>
      </c>
      <c r="AK65" s="106">
        <f t="shared" ca="1" si="17"/>
        <v>1785.8030235741307</v>
      </c>
      <c r="AL65" s="105">
        <f t="shared" ca="1" si="11"/>
        <v>14196.763007075999</v>
      </c>
      <c r="AM65" s="133">
        <f ca="1">IF(X65*(lease_NRI/J65)  - (Z65+Y65+AB65+AC65+AD65)  - (AK65)*(lease_NRI/J65)&gt;0,1,0)</f>
        <v>1</v>
      </c>
      <c r="AN65" s="105">
        <f t="shared" ca="1" si="18"/>
        <v>14196.763007075999</v>
      </c>
      <c r="AO65" s="106">
        <f t="shared" ca="1" si="24"/>
        <v>1437749.9682689891</v>
      </c>
      <c r="AP65" s="106">
        <f ca="1">AL65  /  ( 1 + disc_1/12)^(COUNT($AL$6:AL65)-1)</f>
        <v>8700.5358464152087</v>
      </c>
      <c r="AQ65" s="106">
        <f t="shared" ca="1" si="25"/>
        <v>1190353.3989664486</v>
      </c>
      <c r="AS65" s="304">
        <f t="shared" ca="1" si="19"/>
        <v>1</v>
      </c>
      <c r="AT65" s="301">
        <f ca="1">IFERROR(IRR($AN$6:AN65)*12,0)</f>
        <v>0</v>
      </c>
      <c r="AU65" s="298">
        <f t="shared" ca="1" si="20"/>
        <v>0</v>
      </c>
      <c r="AV65" s="304">
        <f t="shared" ca="1" si="21"/>
        <v>0</v>
      </c>
    </row>
    <row r="66" spans="2:48" x14ac:dyDescent="0.25">
      <c r="B66" s="43">
        <f t="shared" si="22"/>
        <v>46023</v>
      </c>
      <c r="C66" s="79">
        <f t="shared" si="12"/>
        <v>2026</v>
      </c>
      <c r="D66" s="64">
        <f ca="1">wellcount_base  +  SUM('forecast production'!I$7:I67)</f>
        <v>1</v>
      </c>
      <c r="E66" s="110">
        <f ca="1">'forecast production'!AE67</f>
        <v>371.28089860042456</v>
      </c>
      <c r="F66" s="98">
        <f ca="1">'forecast production'!AF67</f>
        <v>1928.8967026266371</v>
      </c>
      <c r="G66" s="98">
        <f ca="1">'forecast production'!AG67</f>
        <v>77.533590996253267</v>
      </c>
      <c r="H66" s="98">
        <f ca="1">'forecast production'!AH67</f>
        <v>289.33450539399558</v>
      </c>
      <c r="I66" s="307">
        <f t="shared" ca="1" si="13"/>
        <v>1</v>
      </c>
      <c r="J66" s="306">
        <f t="shared" ca="1" si="14"/>
        <v>0.75</v>
      </c>
      <c r="K66" s="112">
        <f t="shared" ca="1" si="0"/>
        <v>278.46067395031844</v>
      </c>
      <c r="L66" s="98">
        <f t="shared" ca="1" si="1"/>
        <v>1085.0043952274832</v>
      </c>
      <c r="M66" s="98">
        <f t="shared" ca="1" si="2"/>
        <v>58.150193247189947</v>
      </c>
      <c r="N66" s="98">
        <f t="shared" ca="1" si="3"/>
        <v>217.00087904549667</v>
      </c>
      <c r="O66" s="67">
        <f>assumptions!M70</f>
        <v>55</v>
      </c>
      <c r="P66" s="68">
        <f>assumptions!N70</f>
        <v>3</v>
      </c>
      <c r="Q66" s="68">
        <f>assumptions!O70</f>
        <v>22</v>
      </c>
      <c r="R66" s="67">
        <f t="shared" si="4"/>
        <v>52.5</v>
      </c>
      <c r="S66" s="68">
        <f t="shared" si="5"/>
        <v>2.3275000000000001</v>
      </c>
      <c r="T66" s="68">
        <f t="shared" si="6"/>
        <v>22</v>
      </c>
      <c r="U66" s="73">
        <f t="shared" ca="1" si="15"/>
        <v>14619.185382391717</v>
      </c>
      <c r="V66" s="72">
        <f t="shared" ca="1" si="7"/>
        <v>2525.3477298919674</v>
      </c>
      <c r="W66" s="72">
        <f t="shared" ca="1" si="8"/>
        <v>4774.0193390009272</v>
      </c>
      <c r="X66" s="72">
        <f t="shared" ca="1" si="16"/>
        <v>21918.55245128461</v>
      </c>
      <c r="Y66" s="73">
        <f>mult_opex * fixed_month</f>
        <v>1000</v>
      </c>
      <c r="Z66" s="72">
        <f ca="1">mult_opex * fixed_well *D66</f>
        <v>5000</v>
      </c>
      <c r="AA66" s="72">
        <f ca="1">(Z66+Y66)*WI_current_1</f>
        <v>6000</v>
      </c>
      <c r="AB66" s="72">
        <f ca="1">mult_opex * var_bo*E66</f>
        <v>0</v>
      </c>
      <c r="AC66" s="72">
        <f ca="1">mult_opex * var_mcf*F66</f>
        <v>0</v>
      </c>
      <c r="AD66" s="72">
        <f ca="1">mult_opex * var_bw * G66</f>
        <v>155.06718199250653</v>
      </c>
      <c r="AE66" s="72">
        <f ca="1">SUM(AB66:AD66)*WI_current_1</f>
        <v>155.06718199250653</v>
      </c>
      <c r="AF66" s="73">
        <f ca="1">mult_capex * IFERROR(OFFSET(assumptions!$F$39,MATCH(B66,assumptions!$E$39:$E$45,0)-1,0),0)</f>
        <v>0</v>
      </c>
      <c r="AG66" s="75">
        <f ca="1">mult_capex * capex_new*WI_current_1 *'forecast production'!I67</f>
        <v>0</v>
      </c>
      <c r="AH66" s="146">
        <f t="shared" ca="1" si="23"/>
        <v>0</v>
      </c>
      <c r="AI66" s="73">
        <f t="shared" ca="1" si="9"/>
        <v>1219.935057756986</v>
      </c>
      <c r="AJ66" s="72">
        <f t="shared" ca="1" si="10"/>
        <v>547.96381128211522</v>
      </c>
      <c r="AK66" s="72">
        <f t="shared" ca="1" si="17"/>
        <v>1767.8988690391011</v>
      </c>
      <c r="AL66" s="73">
        <f t="shared" ca="1" si="11"/>
        <v>13995.586400253</v>
      </c>
      <c r="AM66" s="132">
        <f ca="1">IF(X66*(lease_NRI/J66)  - (Z66+Y66+AB66+AC66+AD66)  - (AK66)*(lease_NRI/J66)&gt;0,1,0)</f>
        <v>1</v>
      </c>
      <c r="AN66" s="73">
        <f t="shared" ca="1" si="18"/>
        <v>13995.586400253</v>
      </c>
      <c r="AO66" s="75">
        <f t="shared" ca="1" si="24"/>
        <v>1451745.5546692421</v>
      </c>
      <c r="AP66" s="72">
        <f ca="1">AL66  /  ( 1 + disc_1/12)^(COUNT($AL$6:AL66)-1)</f>
        <v>8506.3577449887471</v>
      </c>
      <c r="AQ66" s="72">
        <f t="shared" ca="1" si="25"/>
        <v>1198859.7567114374</v>
      </c>
      <c r="AS66" s="303">
        <f t="shared" ca="1" si="19"/>
        <v>1</v>
      </c>
      <c r="AT66" s="300">
        <f ca="1">IFERROR(IRR($AN$6:AN66)*12,0)</f>
        <v>0</v>
      </c>
      <c r="AU66" s="297">
        <f t="shared" ca="1" si="20"/>
        <v>0</v>
      </c>
      <c r="AV66" s="303">
        <f t="shared" ca="1" si="21"/>
        <v>0</v>
      </c>
    </row>
    <row r="67" spans="2:48" x14ac:dyDescent="0.25">
      <c r="B67" s="43">
        <f t="shared" si="22"/>
        <v>46054</v>
      </c>
      <c r="C67" s="79">
        <f t="shared" si="12"/>
        <v>2026</v>
      </c>
      <c r="D67" s="64">
        <f ca="1">wellcount_base  +  SUM('forecast production'!I$7:I68)</f>
        <v>1</v>
      </c>
      <c r="E67" s="110">
        <f ca="1">'forecast production'!AE68</f>
        <v>331.80956184130531</v>
      </c>
      <c r="F67" s="98">
        <f ca="1">'forecast production'!AF68</f>
        <v>1726.5074523009471</v>
      </c>
      <c r="G67" s="98">
        <f ca="1">'forecast production'!AG68</f>
        <v>67.551390466453611</v>
      </c>
      <c r="H67" s="98">
        <f ca="1">'forecast production'!AH68</f>
        <v>258.97611784514203</v>
      </c>
      <c r="I67" s="307">
        <f t="shared" ca="1" si="13"/>
        <v>1</v>
      </c>
      <c r="J67" s="306">
        <f t="shared" ca="1" si="14"/>
        <v>0.75</v>
      </c>
      <c r="K67" s="112">
        <f t="shared" ca="1" si="0"/>
        <v>248.85717138097897</v>
      </c>
      <c r="L67" s="98">
        <f t="shared" ca="1" si="1"/>
        <v>971.16044191928268</v>
      </c>
      <c r="M67" s="98">
        <f t="shared" ca="1" si="2"/>
        <v>50.663542849840212</v>
      </c>
      <c r="N67" s="98">
        <f t="shared" ca="1" si="3"/>
        <v>194.23208838385654</v>
      </c>
      <c r="O67" s="67">
        <f>assumptions!M71</f>
        <v>55</v>
      </c>
      <c r="P67" s="68">
        <f>assumptions!N71</f>
        <v>3</v>
      </c>
      <c r="Q67" s="68">
        <f>assumptions!O71</f>
        <v>22</v>
      </c>
      <c r="R67" s="67">
        <f t="shared" si="4"/>
        <v>52.5</v>
      </c>
      <c r="S67" s="68">
        <f t="shared" si="5"/>
        <v>2.3275000000000001</v>
      </c>
      <c r="T67" s="68">
        <f t="shared" si="6"/>
        <v>22</v>
      </c>
      <c r="U67" s="73">
        <f t="shared" ca="1" si="15"/>
        <v>13065.001497501396</v>
      </c>
      <c r="V67" s="72">
        <f t="shared" ca="1" si="7"/>
        <v>2260.3759285671304</v>
      </c>
      <c r="W67" s="72">
        <f t="shared" ca="1" si="8"/>
        <v>4273.1059444448438</v>
      </c>
      <c r="X67" s="72">
        <f t="shared" ca="1" si="16"/>
        <v>19598.483370513371</v>
      </c>
      <c r="Y67" s="73">
        <f>mult_opex * fixed_month</f>
        <v>1000</v>
      </c>
      <c r="Z67" s="72">
        <f ca="1">mult_opex * fixed_well *D67</f>
        <v>5000</v>
      </c>
      <c r="AA67" s="72">
        <f ca="1">(Z67+Y67)*WI_current_1</f>
        <v>6000</v>
      </c>
      <c r="AB67" s="72">
        <f ca="1">mult_opex * var_bo*E67</f>
        <v>0</v>
      </c>
      <c r="AC67" s="72">
        <f ca="1">mult_opex * var_mcf*F67</f>
        <v>0</v>
      </c>
      <c r="AD67" s="72">
        <f ca="1">mult_opex * var_bw * G67</f>
        <v>135.10278093290722</v>
      </c>
      <c r="AE67" s="72">
        <f ca="1">SUM(AB67:AD67)*WI_current_1</f>
        <v>135.10278093290722</v>
      </c>
      <c r="AF67" s="73">
        <f ca="1">mult_capex * IFERROR(OFFSET(assumptions!$F$39,MATCH(B67,assumptions!$E$39:$E$45,0)-1,0),0)</f>
        <v>0</v>
      </c>
      <c r="AG67" s="75">
        <f ca="1">mult_capex * capex_new*WI_current_1 *'forecast production'!I68</f>
        <v>0</v>
      </c>
      <c r="AH67" s="146">
        <f t="shared" ca="1" si="23"/>
        <v>0</v>
      </c>
      <c r="AI67" s="73">
        <f t="shared" ca="1" si="9"/>
        <v>1091.0012093609623</v>
      </c>
      <c r="AJ67" s="72">
        <f t="shared" ca="1" si="10"/>
        <v>489.96208426283431</v>
      </c>
      <c r="AK67" s="72">
        <f t="shared" ca="1" si="17"/>
        <v>1580.9632936237967</v>
      </c>
      <c r="AL67" s="73">
        <f t="shared" ca="1" si="11"/>
        <v>11882.417295956668</v>
      </c>
      <c r="AM67" s="132">
        <f ca="1">IF(X67*(lease_NRI/J67)  - (Z67+Y67+AB67+AC67+AD67)  - (AK67)*(lease_NRI/J67)&gt;0,1,0)</f>
        <v>1</v>
      </c>
      <c r="AN67" s="73">
        <f t="shared" ca="1" si="18"/>
        <v>11882.417295956668</v>
      </c>
      <c r="AO67" s="75">
        <f t="shared" ca="1" si="24"/>
        <v>1463627.9719651989</v>
      </c>
      <c r="AP67" s="72">
        <f ca="1">AL67  /  ( 1 + disc_1/12)^(COUNT($AL$6:AL67)-1)</f>
        <v>7162.3117403833721</v>
      </c>
      <c r="AQ67" s="72">
        <f t="shared" ca="1" si="25"/>
        <v>1206022.0684518206</v>
      </c>
      <c r="AS67" s="303">
        <f t="shared" ca="1" si="19"/>
        <v>1</v>
      </c>
      <c r="AT67" s="300">
        <f ca="1">IFERROR(IRR($AN$6:AN67)*12,0)</f>
        <v>0</v>
      </c>
      <c r="AU67" s="297">
        <f t="shared" ca="1" si="20"/>
        <v>0</v>
      </c>
      <c r="AV67" s="303">
        <f t="shared" ca="1" si="21"/>
        <v>0</v>
      </c>
    </row>
    <row r="68" spans="2:48" x14ac:dyDescent="0.25">
      <c r="B68" s="43">
        <f t="shared" si="22"/>
        <v>46082</v>
      </c>
      <c r="C68" s="79">
        <f t="shared" si="12"/>
        <v>2026</v>
      </c>
      <c r="D68" s="64">
        <f ca="1">wellcount_base  +  SUM('forecast production'!I$7:I69)</f>
        <v>1</v>
      </c>
      <c r="E68" s="110">
        <f ca="1">'forecast production'!AE69</f>
        <v>363.89014514659357</v>
      </c>
      <c r="F68" s="98">
        <f ca="1">'forecast production'!AF69</f>
        <v>1896.0364000703169</v>
      </c>
      <c r="G68" s="98">
        <f ca="1">'forecast production'!AG69</f>
        <v>72.394094422948768</v>
      </c>
      <c r="H68" s="98">
        <f ca="1">'forecast production'!AH69</f>
        <v>284.40546001054753</v>
      </c>
      <c r="I68" s="307">
        <f t="shared" ca="1" si="13"/>
        <v>1</v>
      </c>
      <c r="J68" s="306">
        <f t="shared" ca="1" si="14"/>
        <v>0.75</v>
      </c>
      <c r="K68" s="112">
        <f t="shared" ca="1" si="0"/>
        <v>272.91760885994518</v>
      </c>
      <c r="L68" s="98">
        <f t="shared" ca="1" si="1"/>
        <v>1066.5204750395533</v>
      </c>
      <c r="M68" s="98">
        <f t="shared" ca="1" si="2"/>
        <v>54.295570817211576</v>
      </c>
      <c r="N68" s="98">
        <f t="shared" ca="1" si="3"/>
        <v>213.30409500791063</v>
      </c>
      <c r="O68" s="67">
        <f>assumptions!M72</f>
        <v>55</v>
      </c>
      <c r="P68" s="68">
        <f>assumptions!N72</f>
        <v>3</v>
      </c>
      <c r="Q68" s="68">
        <f>assumptions!O72</f>
        <v>22</v>
      </c>
      <c r="R68" s="67">
        <f t="shared" si="4"/>
        <v>52.5</v>
      </c>
      <c r="S68" s="68">
        <f t="shared" si="5"/>
        <v>2.3275000000000001</v>
      </c>
      <c r="T68" s="68">
        <f t="shared" si="6"/>
        <v>22</v>
      </c>
      <c r="U68" s="73">
        <f t="shared" ca="1" si="15"/>
        <v>14328.174465147122</v>
      </c>
      <c r="V68" s="72">
        <f t="shared" ca="1" si="7"/>
        <v>2482.3264056545604</v>
      </c>
      <c r="W68" s="72">
        <f t="shared" ca="1" si="8"/>
        <v>4692.6900901740337</v>
      </c>
      <c r="X68" s="72">
        <f t="shared" ca="1" si="16"/>
        <v>21503.190960975717</v>
      </c>
      <c r="Y68" s="73">
        <f>mult_opex * fixed_month</f>
        <v>1000</v>
      </c>
      <c r="Z68" s="72">
        <f ca="1">mult_opex * fixed_well *D68</f>
        <v>5000</v>
      </c>
      <c r="AA68" s="72">
        <f ca="1">(Z68+Y68)*WI_current_1</f>
        <v>6000</v>
      </c>
      <c r="AB68" s="72">
        <f ca="1">mult_opex * var_bo*E68</f>
        <v>0</v>
      </c>
      <c r="AC68" s="72">
        <f ca="1">mult_opex * var_mcf*F68</f>
        <v>0</v>
      </c>
      <c r="AD68" s="72">
        <f ca="1">mult_opex * var_bw * G68</f>
        <v>144.78818884589754</v>
      </c>
      <c r="AE68" s="72">
        <f ca="1">SUM(AB68:AD68)*WI_current_1</f>
        <v>144.78818884589754</v>
      </c>
      <c r="AF68" s="73">
        <f ca="1">mult_capex * IFERROR(OFFSET(assumptions!$F$39,MATCH(B68,assumptions!$E$39:$E$45,0)-1,0),0)</f>
        <v>0</v>
      </c>
      <c r="AG68" s="75">
        <f ca="1">mult_capex * capex_new*WI_current_1 *'forecast production'!I69</f>
        <v>0</v>
      </c>
      <c r="AH68" s="146">
        <f t="shared" ca="1" si="23"/>
        <v>0</v>
      </c>
      <c r="AI68" s="73">
        <f t="shared" ca="1" si="9"/>
        <v>1197.2222625839122</v>
      </c>
      <c r="AJ68" s="72">
        <f t="shared" ca="1" si="10"/>
        <v>537.57977402439292</v>
      </c>
      <c r="AK68" s="72">
        <f t="shared" ca="1" si="17"/>
        <v>1734.8020366083051</v>
      </c>
      <c r="AL68" s="73">
        <f t="shared" ca="1" si="11"/>
        <v>13623.600735521515</v>
      </c>
      <c r="AM68" s="132">
        <f ca="1">IF(X68*(lease_NRI/J68)  - (Z68+Y68+AB68+AC68+AD68)  - (AK68)*(lease_NRI/J68)&gt;0,1,0)</f>
        <v>1</v>
      </c>
      <c r="AN68" s="73">
        <f t="shared" ca="1" si="18"/>
        <v>13623.600735521515</v>
      </c>
      <c r="AO68" s="75">
        <f t="shared" ca="1" si="24"/>
        <v>1477251.5727007203</v>
      </c>
      <c r="AP68" s="72">
        <f ca="1">AL68  /  ( 1 + disc_1/12)^(COUNT($AL$6:AL68)-1)</f>
        <v>8143.9707032006381</v>
      </c>
      <c r="AQ68" s="72">
        <f t="shared" ca="1" si="25"/>
        <v>1214166.0391550213</v>
      </c>
      <c r="AS68" s="303">
        <f t="shared" ca="1" si="19"/>
        <v>1</v>
      </c>
      <c r="AT68" s="300">
        <f ca="1">IFERROR(IRR($AN$6:AN68)*12,0)</f>
        <v>0</v>
      </c>
      <c r="AU68" s="297">
        <f t="shared" ca="1" si="20"/>
        <v>0</v>
      </c>
      <c r="AV68" s="303">
        <f t="shared" ca="1" si="21"/>
        <v>0</v>
      </c>
    </row>
    <row r="69" spans="2:48" x14ac:dyDescent="0.25">
      <c r="B69" s="43">
        <f t="shared" si="22"/>
        <v>46113</v>
      </c>
      <c r="C69" s="79">
        <f t="shared" si="12"/>
        <v>2026</v>
      </c>
      <c r="D69" s="64">
        <f ca="1">wellcount_base  +  SUM('forecast production'!I$7:I70)</f>
        <v>1</v>
      </c>
      <c r="E69" s="108">
        <f ca="1">'forecast production'!AE70</f>
        <v>348.50667482232132</v>
      </c>
      <c r="F69" s="97">
        <f ca="1">'forecast production'!AF70</f>
        <v>1818.5956591124179</v>
      </c>
      <c r="G69" s="97">
        <f ca="1">'forecast production'!AG70</f>
        <v>67.579678816521962</v>
      </c>
      <c r="H69" s="98">
        <f ca="1">'forecast production'!AH70</f>
        <v>272.78934886686267</v>
      </c>
      <c r="I69" s="307">
        <f t="shared" ca="1" si="13"/>
        <v>1</v>
      </c>
      <c r="J69" s="306">
        <f t="shared" ca="1" si="14"/>
        <v>0.75</v>
      </c>
      <c r="K69" s="112">
        <f t="shared" ca="1" si="0"/>
        <v>261.38000611674101</v>
      </c>
      <c r="L69" s="98">
        <f t="shared" ca="1" si="1"/>
        <v>1022.9600582507351</v>
      </c>
      <c r="M69" s="98">
        <f t="shared" ca="1" si="2"/>
        <v>50.684759112391475</v>
      </c>
      <c r="N69" s="98">
        <f t="shared" ca="1" si="3"/>
        <v>204.59201165014701</v>
      </c>
      <c r="O69" s="67">
        <f>assumptions!M73</f>
        <v>55</v>
      </c>
      <c r="P69" s="68">
        <f>assumptions!N73</f>
        <v>3</v>
      </c>
      <c r="Q69" s="68">
        <f>assumptions!O73</f>
        <v>22</v>
      </c>
      <c r="R69" s="67">
        <f t="shared" si="4"/>
        <v>52.5</v>
      </c>
      <c r="S69" s="68">
        <f t="shared" si="5"/>
        <v>2.3275000000000001</v>
      </c>
      <c r="T69" s="68">
        <f t="shared" si="6"/>
        <v>22</v>
      </c>
      <c r="U69" s="73">
        <f t="shared" ca="1" si="15"/>
        <v>13722.450321128903</v>
      </c>
      <c r="V69" s="72">
        <f t="shared" ca="1" si="7"/>
        <v>2380.9395355785859</v>
      </c>
      <c r="W69" s="72">
        <f t="shared" ca="1" si="8"/>
        <v>4501.0242563032343</v>
      </c>
      <c r="X69" s="72">
        <f t="shared" ca="1" si="16"/>
        <v>20604.414113010724</v>
      </c>
      <c r="Y69" s="73">
        <f>mult_opex * fixed_month</f>
        <v>1000</v>
      </c>
      <c r="Z69" s="72">
        <f ca="1">mult_opex * fixed_well *D69</f>
        <v>5000</v>
      </c>
      <c r="AA69" s="72">
        <f ca="1">(Z69+Y69)*WI_current_1</f>
        <v>6000</v>
      </c>
      <c r="AB69" s="72">
        <f ca="1">mult_opex * var_bo*E69</f>
        <v>0</v>
      </c>
      <c r="AC69" s="72">
        <f ca="1">mult_opex * var_mcf*F69</f>
        <v>0</v>
      </c>
      <c r="AD69" s="72">
        <f ca="1">mult_opex * var_bw * G69</f>
        <v>135.15935763304392</v>
      </c>
      <c r="AE69" s="72">
        <f ca="1">SUM(AB69:AD69)*WI_current_1</f>
        <v>135.15935763304392</v>
      </c>
      <c r="AF69" s="73">
        <f ca="1">mult_capex * IFERROR(OFFSET(assumptions!$F$39,MATCH(B69,assumptions!$E$39:$E$45,0)-1,0),0)</f>
        <v>0</v>
      </c>
      <c r="AG69" s="75">
        <f ca="1">mult_capex * capex_new*WI_current_1 *'forecast production'!I70</f>
        <v>0</v>
      </c>
      <c r="AH69" s="146">
        <f t="shared" ca="1" si="23"/>
        <v>0</v>
      </c>
      <c r="AI69" s="73">
        <f t="shared" ca="1" si="9"/>
        <v>1147.379999163066</v>
      </c>
      <c r="AJ69" s="72">
        <f t="shared" ca="1" si="10"/>
        <v>515.11035282526814</v>
      </c>
      <c r="AK69" s="72">
        <f t="shared" ca="1" si="17"/>
        <v>1662.4903519883342</v>
      </c>
      <c r="AL69" s="73">
        <f t="shared" ca="1" si="11"/>
        <v>12806.764403389345</v>
      </c>
      <c r="AM69" s="132">
        <f ca="1">IF(X69*(lease_NRI/J69)  - (Z69+Y69+AB69+AC69+AD69)  - (AK69)*(lease_NRI/J69)&gt;0,1,0)</f>
        <v>1</v>
      </c>
      <c r="AN69" s="73">
        <f t="shared" ca="1" si="18"/>
        <v>12806.764403389345</v>
      </c>
      <c r="AO69" s="75">
        <f t="shared" ca="1" si="24"/>
        <v>1490058.3371041096</v>
      </c>
      <c r="AP69" s="72">
        <f ca="1">AL69  /  ( 1 + disc_1/12)^(COUNT($AL$6:AL69)-1)</f>
        <v>7592.4089291634436</v>
      </c>
      <c r="AQ69" s="72">
        <f t="shared" ca="1" si="25"/>
        <v>1221758.4480841847</v>
      </c>
      <c r="AS69" s="303">
        <f t="shared" ca="1" si="19"/>
        <v>1</v>
      </c>
      <c r="AT69" s="300">
        <f ca="1">IFERROR(IRR($AN$6:AN69)*12,0)</f>
        <v>0</v>
      </c>
      <c r="AU69" s="297">
        <f t="shared" ca="1" si="20"/>
        <v>0</v>
      </c>
      <c r="AV69" s="303">
        <f t="shared" ca="1" si="21"/>
        <v>0</v>
      </c>
    </row>
    <row r="70" spans="2:48" x14ac:dyDescent="0.25">
      <c r="B70" s="43">
        <f t="shared" si="22"/>
        <v>46143</v>
      </c>
      <c r="C70" s="79">
        <f t="shared" si="12"/>
        <v>2026</v>
      </c>
      <c r="D70" s="64">
        <f ca="1">wellcount_base  +  SUM('forecast production'!I$7:I71)</f>
        <v>1</v>
      </c>
      <c r="E70" s="110">
        <f ca="1">'forecast production'!AE71</f>
        <v>356.55199154012075</v>
      </c>
      <c r="F70" s="98">
        <f ca="1">'forecast production'!AF71</f>
        <v>1863.2189893626114</v>
      </c>
      <c r="G70" s="98">
        <f ca="1">'forecast production'!AG71</f>
        <v>67.439974369812774</v>
      </c>
      <c r="H70" s="98">
        <f ca="1">'forecast production'!AH71</f>
        <v>279.48284840439175</v>
      </c>
      <c r="I70" s="307">
        <f t="shared" ca="1" si="13"/>
        <v>1</v>
      </c>
      <c r="J70" s="306">
        <f t="shared" ca="1" si="14"/>
        <v>0.75</v>
      </c>
      <c r="K70" s="112">
        <f t="shared" ref="K70:K133" ca="1" si="26">E70*NRI_current</f>
        <v>267.41399365509056</v>
      </c>
      <c r="L70" s="98">
        <f t="shared" ref="L70:L133" ca="1" si="27">F70 * NRI_current * ( 1-shrink_ngl-shrink_leaseuse) - vol_leaseuse</f>
        <v>1048.060681516469</v>
      </c>
      <c r="M70" s="98">
        <f t="shared" ref="M70:M133" ca="1" si="28">G70*NRI_current</f>
        <v>50.57998077735958</v>
      </c>
      <c r="N70" s="98">
        <f t="shared" ref="N70:N133" ca="1" si="29">H70 * NRI_current</f>
        <v>209.61213630329382</v>
      </c>
      <c r="O70" s="67">
        <f>assumptions!M74</f>
        <v>55</v>
      </c>
      <c r="P70" s="68">
        <f>assumptions!N74</f>
        <v>3</v>
      </c>
      <c r="Q70" s="68">
        <f>assumptions!O74</f>
        <v>22</v>
      </c>
      <c r="R70" s="67">
        <f t="shared" ref="R70:R133" si="30" xml:space="preserve"> (O70*mult_oilprice )  *  (1+  pdiff_oil)   + diff_oil</f>
        <v>52.5</v>
      </c>
      <c r="S70" s="68">
        <f t="shared" ref="S70:S133" si="31" xml:space="preserve"> (  (P70*mult_gasprice )  * (1+   pdiff_gas)  +  diff_gas ) *  energy_residue/1000</f>
        <v>2.3275000000000001</v>
      </c>
      <c r="T70" s="68">
        <f t="shared" ref="T70:T133" si="32">mult_oilprice * (1+pdiff_ngl)*O70</f>
        <v>22</v>
      </c>
      <c r="U70" s="73">
        <f t="shared" ref="U70:U133" ca="1" si="33">K70*R70</f>
        <v>14039.234666892255</v>
      </c>
      <c r="V70" s="72">
        <f t="shared" ref="V70:V133" ca="1" si="34">L70*S70</f>
        <v>2439.3612362295817</v>
      </c>
      <c r="W70" s="72">
        <f t="shared" ref="W70:W133" ca="1" si="35">N70*T70</f>
        <v>4611.4669986724639</v>
      </c>
      <c r="X70" s="72">
        <f t="shared" ca="1" si="16"/>
        <v>21090.062901794299</v>
      </c>
      <c r="Y70" s="73">
        <f>mult_opex * fixed_month</f>
        <v>1000</v>
      </c>
      <c r="Z70" s="72">
        <f ca="1">mult_opex * fixed_well *D70</f>
        <v>5000</v>
      </c>
      <c r="AA70" s="72">
        <f ca="1">(Z70+Y70)*WI_current_1</f>
        <v>6000</v>
      </c>
      <c r="AB70" s="72">
        <f ca="1">mult_opex * var_bo*E70</f>
        <v>0</v>
      </c>
      <c r="AC70" s="72">
        <f ca="1">mult_opex * var_mcf*F70</f>
        <v>0</v>
      </c>
      <c r="AD70" s="72">
        <f ca="1">mult_opex * var_bw * G70</f>
        <v>134.87994873962555</v>
      </c>
      <c r="AE70" s="72">
        <f ca="1">SUM(AB70:AD70)*WI_current_1</f>
        <v>134.87994873962555</v>
      </c>
      <c r="AF70" s="73">
        <f ca="1">mult_capex * IFERROR(OFFSET(assumptions!$F$39,MATCH(B70,assumptions!$E$39:$E$45,0)-1,0),0)</f>
        <v>0</v>
      </c>
      <c r="AG70" s="75">
        <f ca="1">mult_capex * capex_new*WI_current_1 *'forecast production'!I71</f>
        <v>0</v>
      </c>
      <c r="AH70" s="146">
        <f t="shared" ca="1" si="23"/>
        <v>0</v>
      </c>
      <c r="AI70" s="73">
        <f t="shared" ref="AI70:AI133" ca="1" si="36">U70*sev_oil   +  V70*sev_gas  +  W70*sev_ngl</f>
        <v>1174.6169122946972</v>
      </c>
      <c r="AJ70" s="72">
        <f t="shared" ref="AJ70:AJ133" ca="1" si="37">adval * X70</f>
        <v>527.25157254485748</v>
      </c>
      <c r="AK70" s="72">
        <f t="shared" ca="1" si="17"/>
        <v>1701.8684848395546</v>
      </c>
      <c r="AL70" s="73">
        <f t="shared" ref="AL70:AL133" ca="1" si="38">X70-AE70-AH70-AK70-AA70</f>
        <v>13253.314468215121</v>
      </c>
      <c r="AM70" s="132">
        <f ca="1">IF(X70*(lease_NRI/J70)  - (Z70+Y70+AB70+AC70+AD70)  - (AK70)*(lease_NRI/J70)&gt;0,1,0)</f>
        <v>1</v>
      </c>
      <c r="AN70" s="73">
        <f t="shared" ca="1" si="18"/>
        <v>13253.314468215121</v>
      </c>
      <c r="AO70" s="75">
        <f t="shared" ca="1" si="24"/>
        <v>1503311.6515723248</v>
      </c>
      <c r="AP70" s="72">
        <f ca="1">AL70  /  ( 1 + disc_1/12)^(COUNT($AL$6:AL70)-1)</f>
        <v>7792.2082300667034</v>
      </c>
      <c r="AQ70" s="72">
        <f t="shared" ca="1" si="25"/>
        <v>1229550.6563142515</v>
      </c>
      <c r="AS70" s="303">
        <f t="shared" ca="1" si="19"/>
        <v>1</v>
      </c>
      <c r="AT70" s="300">
        <f ca="1">IFERROR(IRR($AN$6:AN70)*12,0)</f>
        <v>0</v>
      </c>
      <c r="AU70" s="297">
        <f t="shared" ca="1" si="20"/>
        <v>0</v>
      </c>
      <c r="AV70" s="303">
        <f t="shared" ca="1" si="21"/>
        <v>0</v>
      </c>
    </row>
    <row r="71" spans="2:48" x14ac:dyDescent="0.25">
      <c r="B71" s="43">
        <f t="shared" si="22"/>
        <v>46174</v>
      </c>
      <c r="C71" s="79">
        <f t="shared" ref="C71:C134" si="39">YEAR(B71)</f>
        <v>2026</v>
      </c>
      <c r="D71" s="64">
        <f ca="1">wellcount_base  +  SUM('forecast production'!I$7:I72)</f>
        <v>1</v>
      </c>
      <c r="E71" s="110">
        <f ca="1">'forecast production'!AE72</f>
        <v>341.55003511231195</v>
      </c>
      <c r="F71" s="98">
        <f ca="1">'forecast production'!AF72</f>
        <v>1787.393086476073</v>
      </c>
      <c r="G71" s="98">
        <f ca="1">'forecast production'!AG72</f>
        <v>62.955825691278456</v>
      </c>
      <c r="H71" s="98">
        <f ca="1">'forecast production'!AH72</f>
        <v>268.10896297141096</v>
      </c>
      <c r="I71" s="307">
        <f t="shared" ref="I71:I134" ca="1" si="40">IF(AV70,WI_APO, WI)</f>
        <v>1</v>
      </c>
      <c r="J71" s="306">
        <f t="shared" ref="J71:J134" ca="1" si="41">IF(AV70,NRI_APO, NRI)</f>
        <v>0.75</v>
      </c>
      <c r="K71" s="112">
        <f t="shared" ca="1" si="26"/>
        <v>256.16252633423397</v>
      </c>
      <c r="L71" s="98">
        <f t="shared" ca="1" si="27"/>
        <v>1005.408611142791</v>
      </c>
      <c r="M71" s="98">
        <f t="shared" ca="1" si="28"/>
        <v>47.216869268458844</v>
      </c>
      <c r="N71" s="98">
        <f t="shared" ca="1" si="29"/>
        <v>201.08172222855822</v>
      </c>
      <c r="O71" s="67">
        <f>assumptions!M75</f>
        <v>55</v>
      </c>
      <c r="P71" s="68">
        <f>assumptions!N75</f>
        <v>3</v>
      </c>
      <c r="Q71" s="68">
        <f>assumptions!O75</f>
        <v>22</v>
      </c>
      <c r="R71" s="67">
        <f t="shared" si="30"/>
        <v>52.5</v>
      </c>
      <c r="S71" s="68">
        <f t="shared" si="31"/>
        <v>2.3275000000000001</v>
      </c>
      <c r="T71" s="68">
        <f t="shared" si="32"/>
        <v>22</v>
      </c>
      <c r="U71" s="73">
        <f t="shared" ca="1" si="33"/>
        <v>13448.532632547283</v>
      </c>
      <c r="V71" s="72">
        <f t="shared" ca="1" si="34"/>
        <v>2340.0885424348462</v>
      </c>
      <c r="W71" s="72">
        <f t="shared" ca="1" si="35"/>
        <v>4423.7978890282811</v>
      </c>
      <c r="X71" s="72">
        <f t="shared" ref="X71:X134" ca="1" si="42">SUM(U71:W71)</f>
        <v>20212.419064010413</v>
      </c>
      <c r="Y71" s="73">
        <f>mult_opex * fixed_month</f>
        <v>1000</v>
      </c>
      <c r="Z71" s="72">
        <f ca="1">mult_opex * fixed_well *D71</f>
        <v>5000</v>
      </c>
      <c r="AA71" s="72">
        <f ca="1">(Z71+Y71)*WI_current_1</f>
        <v>6000</v>
      </c>
      <c r="AB71" s="72">
        <f ca="1">mult_opex * var_bo*E71</f>
        <v>0</v>
      </c>
      <c r="AC71" s="72">
        <f ca="1">mult_opex * var_mcf*F71</f>
        <v>0</v>
      </c>
      <c r="AD71" s="72">
        <f ca="1">mult_opex * var_bw * G71</f>
        <v>125.91165138255691</v>
      </c>
      <c r="AE71" s="72">
        <f ca="1">SUM(AB71:AD71)*WI_current_1</f>
        <v>125.91165138255691</v>
      </c>
      <c r="AF71" s="73">
        <f ca="1">mult_capex * IFERROR(OFFSET(assumptions!$F$39,MATCH(B71,assumptions!$E$39:$E$45,0)-1,0),0)</f>
        <v>0</v>
      </c>
      <c r="AG71" s="75">
        <f ca="1">mult_capex * capex_new*WI_current_1 *'forecast production'!I72</f>
        <v>0</v>
      </c>
      <c r="AH71" s="146">
        <f t="shared" ref="AH71:AH134" ca="1" si="43">AG71+AF71</f>
        <v>0</v>
      </c>
      <c r="AI71" s="73">
        <f t="shared" ca="1" si="36"/>
        <v>1125.9239834569096</v>
      </c>
      <c r="AJ71" s="72">
        <f t="shared" ca="1" si="37"/>
        <v>505.31047660026036</v>
      </c>
      <c r="AK71" s="72">
        <f t="shared" ref="AK71:AK134" ca="1" si="44">SUM(AI71:AJ71)</f>
        <v>1631.2344600571701</v>
      </c>
      <c r="AL71" s="73">
        <f t="shared" ca="1" si="38"/>
        <v>12455.272952570685</v>
      </c>
      <c r="AM71" s="132">
        <f ca="1">IF(X71*(lease_NRI/J71)  - (Z71+Y71+AB71+AC71+AD71)  - (AK71)*(lease_NRI/J71)&gt;0,1,0)</f>
        <v>1</v>
      </c>
      <c r="AN71" s="73">
        <f t="shared" ref="AN71:AN134" ca="1" si="45">AL71*AM71</f>
        <v>12455.272952570685</v>
      </c>
      <c r="AO71" s="75">
        <f t="shared" ca="1" si="24"/>
        <v>1515766.9245248954</v>
      </c>
      <c r="AP71" s="72">
        <f ca="1">AL71  /  ( 1 + disc_1/12)^(COUNT($AL$6:AL71)-1)</f>
        <v>7262.4837206946868</v>
      </c>
      <c r="AQ71" s="72">
        <f t="shared" ca="1" si="25"/>
        <v>1236813.1400349461</v>
      </c>
      <c r="AS71" s="303">
        <f t="shared" ref="AS71:AS134" ca="1" si="46">IF(AO71&gt; (ROI_threshold-1)*initial_investment,1,0)</f>
        <v>1</v>
      </c>
      <c r="AT71" s="300">
        <f ca="1">IFERROR(IRR($AN$6:AN71)*12,0)</f>
        <v>0</v>
      </c>
      <c r="AU71" s="297">
        <f t="shared" ref="AU71:AU134" ca="1" si="47">IF(AT71&gt;ROR_threshold,1,0)</f>
        <v>0</v>
      </c>
      <c r="AV71" s="303">
        <f t="shared" ref="AV71:AV134" ca="1" si="48">IF(AND(AS71,AU71),1,0)</f>
        <v>0</v>
      </c>
    </row>
    <row r="72" spans="2:48" x14ac:dyDescent="0.25">
      <c r="B72" s="43">
        <f t="shared" ref="B72:B135" si="49">EOMONTH(B71,0)+1</f>
        <v>46204</v>
      </c>
      <c r="C72" s="79">
        <f t="shared" si="39"/>
        <v>2026</v>
      </c>
      <c r="D72" s="64">
        <f ca="1">wellcount_base  +  SUM('forecast production'!I$7:I73)</f>
        <v>1</v>
      </c>
      <c r="E72" s="110">
        <f ca="1">'forecast production'!AE73</f>
        <v>349.50394781230239</v>
      </c>
      <c r="F72" s="98">
        <f ca="1">'forecast production'!AF73</f>
        <v>1831.5182858304738</v>
      </c>
      <c r="G72" s="98">
        <f ca="1">'forecast production'!AG73</f>
        <v>62.826455818738864</v>
      </c>
      <c r="H72" s="98">
        <f ca="1">'forecast production'!AH73</f>
        <v>274.72774287457105</v>
      </c>
      <c r="I72" s="307">
        <f t="shared" ca="1" si="40"/>
        <v>1</v>
      </c>
      <c r="J72" s="306">
        <f t="shared" ca="1" si="41"/>
        <v>0.75</v>
      </c>
      <c r="K72" s="112">
        <f t="shared" ca="1" si="26"/>
        <v>262.12796085922679</v>
      </c>
      <c r="L72" s="98">
        <f t="shared" ca="1" si="27"/>
        <v>1030.2290357796414</v>
      </c>
      <c r="M72" s="98">
        <f t="shared" ca="1" si="28"/>
        <v>47.119841864054152</v>
      </c>
      <c r="N72" s="98">
        <f t="shared" ca="1" si="29"/>
        <v>206.04580715592829</v>
      </c>
      <c r="O72" s="67">
        <f>assumptions!M76</f>
        <v>55</v>
      </c>
      <c r="P72" s="68">
        <f>assumptions!N76</f>
        <v>3</v>
      </c>
      <c r="Q72" s="68">
        <f>assumptions!O76</f>
        <v>22</v>
      </c>
      <c r="R72" s="67">
        <f t="shared" si="30"/>
        <v>52.5</v>
      </c>
      <c r="S72" s="68">
        <f t="shared" si="31"/>
        <v>2.3275000000000001</v>
      </c>
      <c r="T72" s="68">
        <f t="shared" si="32"/>
        <v>22</v>
      </c>
      <c r="U72" s="73">
        <f t="shared" ca="1" si="33"/>
        <v>13761.717945109407</v>
      </c>
      <c r="V72" s="72">
        <f t="shared" ca="1" si="34"/>
        <v>2397.8580807771154</v>
      </c>
      <c r="W72" s="72">
        <f t="shared" ca="1" si="35"/>
        <v>4533.0077574304223</v>
      </c>
      <c r="X72" s="72">
        <f t="shared" ca="1" si="42"/>
        <v>20692.583783316946</v>
      </c>
      <c r="Y72" s="73">
        <f>mult_opex * fixed_month</f>
        <v>1000</v>
      </c>
      <c r="Z72" s="72">
        <f ca="1">mult_opex * fixed_well *D72</f>
        <v>5000</v>
      </c>
      <c r="AA72" s="72">
        <f ca="1">(Z72+Y72)*WI_current_1</f>
        <v>6000</v>
      </c>
      <c r="AB72" s="72">
        <f ca="1">mult_opex * var_bo*E72</f>
        <v>0</v>
      </c>
      <c r="AC72" s="72">
        <f ca="1">mult_opex * var_mcf*F72</f>
        <v>0</v>
      </c>
      <c r="AD72" s="72">
        <f ca="1">mult_opex * var_bw * G72</f>
        <v>125.65291163747773</v>
      </c>
      <c r="AE72" s="72">
        <f ca="1">SUM(AB72:AD72)*WI_current_1</f>
        <v>125.65291163747773</v>
      </c>
      <c r="AF72" s="73">
        <f ca="1">mult_capex * IFERROR(OFFSET(assumptions!$F$39,MATCH(B72,assumptions!$E$39:$E$45,0)-1,0),0)</f>
        <v>0</v>
      </c>
      <c r="AG72" s="75">
        <f ca="1">mult_capex * capex_new*WI_current_1 *'forecast production'!I73</f>
        <v>0</v>
      </c>
      <c r="AH72" s="146">
        <f t="shared" ca="1" si="43"/>
        <v>0</v>
      </c>
      <c r="AI72" s="73">
        <f t="shared" ca="1" si="36"/>
        <v>1152.8539633405981</v>
      </c>
      <c r="AJ72" s="72">
        <f t="shared" ca="1" si="37"/>
        <v>517.31459458292363</v>
      </c>
      <c r="AK72" s="72">
        <f t="shared" ca="1" si="44"/>
        <v>1670.1685579235218</v>
      </c>
      <c r="AL72" s="73">
        <f t="shared" ca="1" si="38"/>
        <v>12896.762313755949</v>
      </c>
      <c r="AM72" s="132">
        <f ca="1">IF(X72*(lease_NRI/J72)  - (Z72+Y72+AB72+AC72+AD72)  - (AK72)*(lease_NRI/J72)&gt;0,1,0)</f>
        <v>1</v>
      </c>
      <c r="AN72" s="73">
        <f t="shared" ca="1" si="45"/>
        <v>12896.762313755949</v>
      </c>
      <c r="AO72" s="75">
        <f t="shared" ref="AO72:AO135" ca="1" si="50">AO71+AN72</f>
        <v>1528663.6868386513</v>
      </c>
      <c r="AP72" s="72">
        <f ca="1">AL72  /  ( 1 + disc_1/12)^(COUNT($AL$6:AL72)-1)</f>
        <v>7457.7615634204021</v>
      </c>
      <c r="AQ72" s="72">
        <f t="shared" ref="AQ72:AQ135" ca="1" si="51">AQ71+AP72*AM72</f>
        <v>1244270.9015983664</v>
      </c>
      <c r="AS72" s="303">
        <f t="shared" ca="1" si="46"/>
        <v>1</v>
      </c>
      <c r="AT72" s="300">
        <f ca="1">IFERROR(IRR($AN$6:AN72)*12,0)</f>
        <v>0</v>
      </c>
      <c r="AU72" s="297">
        <f t="shared" ca="1" si="47"/>
        <v>0</v>
      </c>
      <c r="AV72" s="303">
        <f t="shared" ca="1" si="48"/>
        <v>0</v>
      </c>
    </row>
    <row r="73" spans="2:48" x14ac:dyDescent="0.25">
      <c r="B73" s="43">
        <f t="shared" si="49"/>
        <v>46235</v>
      </c>
      <c r="C73" s="79">
        <f t="shared" si="39"/>
        <v>2026</v>
      </c>
      <c r="D73" s="64">
        <f ca="1">wellcount_base  +  SUM('forecast production'!I$7:I74)</f>
        <v>1</v>
      </c>
      <c r="E73" s="110">
        <f ca="1">'forecast production'!AE74</f>
        <v>346.02787656164611</v>
      </c>
      <c r="F73" s="98">
        <f ca="1">'forecast production'!AF74</f>
        <v>1815.8179420955526</v>
      </c>
      <c r="G73" s="98">
        <f ca="1">'forecast production'!AG74</f>
        <v>60.604806361408052</v>
      </c>
      <c r="H73" s="98">
        <f ca="1">'forecast production'!AH74</f>
        <v>272.37269131433288</v>
      </c>
      <c r="I73" s="307">
        <f t="shared" ca="1" si="40"/>
        <v>1</v>
      </c>
      <c r="J73" s="306">
        <f t="shared" ca="1" si="41"/>
        <v>0.75</v>
      </c>
      <c r="K73" s="112">
        <f t="shared" ca="1" si="26"/>
        <v>259.5209074212346</v>
      </c>
      <c r="L73" s="98">
        <f t="shared" ca="1" si="27"/>
        <v>1021.3975924287482</v>
      </c>
      <c r="M73" s="98">
        <f t="shared" ca="1" si="28"/>
        <v>45.453604771056035</v>
      </c>
      <c r="N73" s="98">
        <f t="shared" ca="1" si="29"/>
        <v>204.27951848574966</v>
      </c>
      <c r="O73" s="67">
        <f>assumptions!M77</f>
        <v>55</v>
      </c>
      <c r="P73" s="68">
        <f>assumptions!N77</f>
        <v>3</v>
      </c>
      <c r="Q73" s="68">
        <f>assumptions!O77</f>
        <v>22</v>
      </c>
      <c r="R73" s="67">
        <f t="shared" si="30"/>
        <v>52.5</v>
      </c>
      <c r="S73" s="68">
        <f t="shared" si="31"/>
        <v>2.3275000000000001</v>
      </c>
      <c r="T73" s="68">
        <f t="shared" si="32"/>
        <v>22</v>
      </c>
      <c r="U73" s="73">
        <f t="shared" ca="1" si="33"/>
        <v>13624.847639614816</v>
      </c>
      <c r="V73" s="72">
        <f t="shared" ca="1" si="34"/>
        <v>2377.3028963779116</v>
      </c>
      <c r="W73" s="72">
        <f t="shared" ca="1" si="35"/>
        <v>4494.1494066864925</v>
      </c>
      <c r="X73" s="72">
        <f t="shared" ca="1" si="42"/>
        <v>20496.299942679223</v>
      </c>
      <c r="Y73" s="73">
        <f>mult_opex * fixed_month</f>
        <v>1000</v>
      </c>
      <c r="Z73" s="72">
        <f ca="1">mult_opex * fixed_well *D73</f>
        <v>5000</v>
      </c>
      <c r="AA73" s="72">
        <f ca="1">(Z73+Y73)*WI_current_1</f>
        <v>6000</v>
      </c>
      <c r="AB73" s="72">
        <f ca="1">mult_opex * var_bo*E73</f>
        <v>0</v>
      </c>
      <c r="AC73" s="72">
        <f ca="1">mult_opex * var_mcf*F73</f>
        <v>0</v>
      </c>
      <c r="AD73" s="72">
        <f ca="1">mult_opex * var_bw * G73</f>
        <v>121.2096127228161</v>
      </c>
      <c r="AE73" s="72">
        <f ca="1">SUM(AB73:AD73)*WI_current_1</f>
        <v>121.2096127228161</v>
      </c>
      <c r="AF73" s="73">
        <f ca="1">mult_capex * IFERROR(OFFSET(assumptions!$F$39,MATCH(B73,assumptions!$E$39:$E$45,0)-1,0),0)</f>
        <v>0</v>
      </c>
      <c r="AG73" s="75">
        <f ca="1">mult_capex * capex_new*WI_current_1 *'forecast production'!I74</f>
        <v>0</v>
      </c>
      <c r="AH73" s="146">
        <f t="shared" ca="1" si="43"/>
        <v>0</v>
      </c>
      <c r="AI73" s="73">
        <f t="shared" ca="1" si="36"/>
        <v>1142.1019141521119</v>
      </c>
      <c r="AJ73" s="72">
        <f t="shared" ca="1" si="37"/>
        <v>512.40749856698062</v>
      </c>
      <c r="AK73" s="72">
        <f t="shared" ca="1" si="44"/>
        <v>1654.5094127190926</v>
      </c>
      <c r="AL73" s="73">
        <f t="shared" ca="1" si="38"/>
        <v>12720.580917237312</v>
      </c>
      <c r="AM73" s="132">
        <f ca="1">IF(X73*(lease_NRI/J73)  - (Z73+Y73+AB73+AC73+AD73)  - (AK73)*(lease_NRI/J73)&gt;0,1,0)</f>
        <v>1</v>
      </c>
      <c r="AN73" s="73">
        <f t="shared" ca="1" si="45"/>
        <v>12720.580917237312</v>
      </c>
      <c r="AO73" s="75">
        <f t="shared" ca="1" si="50"/>
        <v>1541384.2677558886</v>
      </c>
      <c r="AP73" s="72">
        <f ca="1">AL73  /  ( 1 + disc_1/12)^(COUNT($AL$6:AL73)-1)</f>
        <v>7295.0894073672898</v>
      </c>
      <c r="AQ73" s="72">
        <f t="shared" ca="1" si="51"/>
        <v>1251565.9910057338</v>
      </c>
      <c r="AS73" s="303">
        <f t="shared" ca="1" si="46"/>
        <v>1</v>
      </c>
      <c r="AT73" s="300">
        <f ca="1">IFERROR(IRR($AN$6:AN73)*12,0)</f>
        <v>0</v>
      </c>
      <c r="AU73" s="297">
        <f t="shared" ca="1" si="47"/>
        <v>0</v>
      </c>
      <c r="AV73" s="303">
        <f t="shared" ca="1" si="48"/>
        <v>0</v>
      </c>
    </row>
    <row r="74" spans="2:48" x14ac:dyDescent="0.25">
      <c r="B74" s="43">
        <f t="shared" si="49"/>
        <v>46266</v>
      </c>
      <c r="C74" s="79">
        <f t="shared" si="39"/>
        <v>2026</v>
      </c>
      <c r="D74" s="64">
        <f ca="1">wellcount_base  +  SUM('forecast production'!I$7:I75)</f>
        <v>1</v>
      </c>
      <c r="E74" s="110">
        <f ca="1">'forecast production'!AE75</f>
        <v>331.56800178767514</v>
      </c>
      <c r="F74" s="98">
        <f ca="1">'forecast production'!AF75</f>
        <v>1742.3075680226725</v>
      </c>
      <c r="G74" s="98">
        <f ca="1">'forecast production'!AG75</f>
        <v>56.576222888407784</v>
      </c>
      <c r="H74" s="98">
        <f ca="1">'forecast production'!AH75</f>
        <v>261.34613520340093</v>
      </c>
      <c r="I74" s="307">
        <f t="shared" ca="1" si="40"/>
        <v>1</v>
      </c>
      <c r="J74" s="306">
        <f t="shared" ca="1" si="41"/>
        <v>0.75</v>
      </c>
      <c r="K74" s="112">
        <f t="shared" ca="1" si="26"/>
        <v>248.67600134075636</v>
      </c>
      <c r="L74" s="98">
        <f t="shared" ca="1" si="27"/>
        <v>980.04800701275337</v>
      </c>
      <c r="M74" s="98">
        <f t="shared" ca="1" si="28"/>
        <v>42.432167166305838</v>
      </c>
      <c r="N74" s="98">
        <f t="shared" ca="1" si="29"/>
        <v>196.00960140255069</v>
      </c>
      <c r="O74" s="67">
        <f>assumptions!M78</f>
        <v>55</v>
      </c>
      <c r="P74" s="68">
        <f>assumptions!N78</f>
        <v>3</v>
      </c>
      <c r="Q74" s="68">
        <f>assumptions!O78</f>
        <v>22</v>
      </c>
      <c r="R74" s="67">
        <f t="shared" si="30"/>
        <v>52.5</v>
      </c>
      <c r="S74" s="68">
        <f t="shared" si="31"/>
        <v>2.3275000000000001</v>
      </c>
      <c r="T74" s="68">
        <f t="shared" si="32"/>
        <v>22</v>
      </c>
      <c r="U74" s="73">
        <f t="shared" ca="1" si="33"/>
        <v>13055.490070389709</v>
      </c>
      <c r="V74" s="72">
        <f t="shared" ca="1" si="34"/>
        <v>2281.0617363221836</v>
      </c>
      <c r="W74" s="72">
        <f t="shared" ca="1" si="35"/>
        <v>4312.2112308561154</v>
      </c>
      <c r="X74" s="72">
        <f t="shared" ca="1" si="42"/>
        <v>19648.763037568009</v>
      </c>
      <c r="Y74" s="73">
        <f>mult_opex * fixed_month</f>
        <v>1000</v>
      </c>
      <c r="Z74" s="72">
        <f ca="1">mult_opex * fixed_well *D74</f>
        <v>5000</v>
      </c>
      <c r="AA74" s="72">
        <f ca="1">(Z74+Y74)*WI_current_1</f>
        <v>6000</v>
      </c>
      <c r="AB74" s="72">
        <f ca="1">mult_opex * var_bo*E74</f>
        <v>0</v>
      </c>
      <c r="AC74" s="72">
        <f ca="1">mult_opex * var_mcf*F74</f>
        <v>0</v>
      </c>
      <c r="AD74" s="72">
        <f ca="1">mult_opex * var_bw * G74</f>
        <v>113.15244577681557</v>
      </c>
      <c r="AE74" s="72">
        <f ca="1">SUM(AB74:AD74)*WI_current_1</f>
        <v>113.15244577681557</v>
      </c>
      <c r="AF74" s="73">
        <f ca="1">mult_capex * IFERROR(OFFSET(assumptions!$F$39,MATCH(B74,assumptions!$E$39:$E$45,0)-1,0),0)</f>
        <v>0</v>
      </c>
      <c r="AG74" s="75">
        <f ca="1">mult_capex * capex_new*WI_current_1 *'forecast production'!I75</f>
        <v>0</v>
      </c>
      <c r="AH74" s="146">
        <f t="shared" ca="1" si="43"/>
        <v>0</v>
      </c>
      <c r="AI74" s="73">
        <f t="shared" ca="1" si="36"/>
        <v>1095.0480157762991</v>
      </c>
      <c r="AJ74" s="72">
        <f t="shared" ca="1" si="37"/>
        <v>491.21907593920025</v>
      </c>
      <c r="AK74" s="72">
        <f t="shared" ca="1" si="44"/>
        <v>1586.2670917154992</v>
      </c>
      <c r="AL74" s="73">
        <f t="shared" ca="1" si="38"/>
        <v>11949.343500075694</v>
      </c>
      <c r="AM74" s="132">
        <f ca="1">IF(X74*(lease_NRI/J74)  - (Z74+Y74+AB74+AC74+AD74)  - (AK74)*(lease_NRI/J74)&gt;0,1,0)</f>
        <v>1</v>
      </c>
      <c r="AN74" s="73">
        <f t="shared" ca="1" si="45"/>
        <v>11949.343500075694</v>
      </c>
      <c r="AO74" s="75">
        <f t="shared" ca="1" si="50"/>
        <v>1553333.6112559643</v>
      </c>
      <c r="AP74" s="72">
        <f ca="1">AL74  /  ( 1 + disc_1/12)^(COUNT($AL$6:AL74)-1)</f>
        <v>6796.1600098116332</v>
      </c>
      <c r="AQ74" s="72">
        <f t="shared" ca="1" si="51"/>
        <v>1258362.1510155455</v>
      </c>
      <c r="AS74" s="303">
        <f t="shared" ca="1" si="46"/>
        <v>1</v>
      </c>
      <c r="AT74" s="300">
        <f ca="1">IFERROR(IRR($AN$6:AN74)*12,0)</f>
        <v>0</v>
      </c>
      <c r="AU74" s="297">
        <f t="shared" ca="1" si="47"/>
        <v>0</v>
      </c>
      <c r="AV74" s="303">
        <f t="shared" ca="1" si="48"/>
        <v>0</v>
      </c>
    </row>
    <row r="75" spans="2:48" x14ac:dyDescent="0.25">
      <c r="B75" s="43">
        <f t="shared" si="49"/>
        <v>46296</v>
      </c>
      <c r="C75" s="79">
        <f t="shared" si="39"/>
        <v>2026</v>
      </c>
      <c r="D75" s="64">
        <f ca="1">wellcount_base  +  SUM('forecast production'!I$7:I76)</f>
        <v>1</v>
      </c>
      <c r="E75" s="110">
        <f ca="1">'forecast production'!AE76</f>
        <v>339.38588227109619</v>
      </c>
      <c r="F75" s="98">
        <f ca="1">'forecast production'!AF76</f>
        <v>1785.6966411899234</v>
      </c>
      <c r="G75" s="98">
        <f ca="1">'forecast production'!AG76</f>
        <v>56.461013354019634</v>
      </c>
      <c r="H75" s="98">
        <f ca="1">'forecast production'!AH76</f>
        <v>267.85449617848855</v>
      </c>
      <c r="I75" s="307">
        <f t="shared" ca="1" si="40"/>
        <v>1</v>
      </c>
      <c r="J75" s="306">
        <f t="shared" ca="1" si="41"/>
        <v>0.75</v>
      </c>
      <c r="K75" s="112">
        <f t="shared" ca="1" si="26"/>
        <v>254.53941170332214</v>
      </c>
      <c r="L75" s="98">
        <f t="shared" ca="1" si="27"/>
        <v>1004.454360669332</v>
      </c>
      <c r="M75" s="98">
        <f t="shared" ca="1" si="28"/>
        <v>42.345760015514728</v>
      </c>
      <c r="N75" s="98">
        <f t="shared" ca="1" si="29"/>
        <v>200.89087213386642</v>
      </c>
      <c r="O75" s="67">
        <f>assumptions!M79</f>
        <v>55</v>
      </c>
      <c r="P75" s="68">
        <f>assumptions!N79</f>
        <v>3</v>
      </c>
      <c r="Q75" s="68">
        <f>assumptions!O79</f>
        <v>22</v>
      </c>
      <c r="R75" s="67">
        <f t="shared" si="30"/>
        <v>52.5</v>
      </c>
      <c r="S75" s="68">
        <f t="shared" si="31"/>
        <v>2.3275000000000001</v>
      </c>
      <c r="T75" s="68">
        <f t="shared" si="32"/>
        <v>22</v>
      </c>
      <c r="U75" s="73">
        <f t="shared" ca="1" si="33"/>
        <v>13363.319114424412</v>
      </c>
      <c r="V75" s="72">
        <f t="shared" ca="1" si="34"/>
        <v>2337.8675244578703</v>
      </c>
      <c r="W75" s="72">
        <f t="shared" ca="1" si="35"/>
        <v>4419.5991869450609</v>
      </c>
      <c r="X75" s="72">
        <f t="shared" ca="1" si="42"/>
        <v>20120.785825827341</v>
      </c>
      <c r="Y75" s="73">
        <f>mult_opex * fixed_month</f>
        <v>1000</v>
      </c>
      <c r="Z75" s="72">
        <f ca="1">mult_opex * fixed_well *D75</f>
        <v>5000</v>
      </c>
      <c r="AA75" s="72">
        <f ca="1">(Z75+Y75)*WI_current_1</f>
        <v>6000</v>
      </c>
      <c r="AB75" s="72">
        <f ca="1">mult_opex * var_bo*E75</f>
        <v>0</v>
      </c>
      <c r="AC75" s="72">
        <f ca="1">mult_opex * var_mcf*F75</f>
        <v>0</v>
      </c>
      <c r="AD75" s="72">
        <f ca="1">mult_opex * var_bw * G75</f>
        <v>112.92202670803927</v>
      </c>
      <c r="AE75" s="72">
        <f ca="1">SUM(AB75:AD75)*WI_current_1</f>
        <v>112.92202670803927</v>
      </c>
      <c r="AF75" s="73">
        <f ca="1">mult_capex * IFERROR(OFFSET(assumptions!$F$39,MATCH(B75,assumptions!$E$39:$E$45,0)-1,0),0)</f>
        <v>0</v>
      </c>
      <c r="AG75" s="75">
        <f ca="1">mult_capex * capex_new*WI_current_1 *'forecast production'!I76</f>
        <v>0</v>
      </c>
      <c r="AH75" s="146">
        <f t="shared" ca="1" si="43"/>
        <v>0</v>
      </c>
      <c r="AI75" s="73">
        <f t="shared" ca="1" si="36"/>
        <v>1121.5226826187427</v>
      </c>
      <c r="AJ75" s="72">
        <f t="shared" ca="1" si="37"/>
        <v>503.01964564568357</v>
      </c>
      <c r="AK75" s="72">
        <f t="shared" ca="1" si="44"/>
        <v>1624.5423282644263</v>
      </c>
      <c r="AL75" s="73">
        <f t="shared" ca="1" si="38"/>
        <v>12383.321470854877</v>
      </c>
      <c r="AM75" s="132">
        <f ca="1">IF(X75*(lease_NRI/J75)  - (Z75+Y75+AB75+AC75+AD75)  - (AK75)*(lease_NRI/J75)&gt;0,1,0)</f>
        <v>1</v>
      </c>
      <c r="AN75" s="73">
        <f t="shared" ca="1" si="45"/>
        <v>12383.321470854877</v>
      </c>
      <c r="AO75" s="75">
        <f t="shared" ca="1" si="50"/>
        <v>1565716.9327268191</v>
      </c>
      <c r="AP75" s="72">
        <f ca="1">AL75  /  ( 1 + disc_1/12)^(COUNT($AL$6:AL75)-1)</f>
        <v>6984.7774449140097</v>
      </c>
      <c r="AQ75" s="72">
        <f t="shared" ca="1" si="51"/>
        <v>1265346.9284604595</v>
      </c>
      <c r="AS75" s="303">
        <f t="shared" ca="1" si="46"/>
        <v>1</v>
      </c>
      <c r="AT75" s="300">
        <f ca="1">IFERROR(IRR($AN$6:AN75)*12,0)</f>
        <v>0</v>
      </c>
      <c r="AU75" s="297">
        <f t="shared" ca="1" si="47"/>
        <v>0</v>
      </c>
      <c r="AV75" s="303">
        <f t="shared" ca="1" si="48"/>
        <v>0</v>
      </c>
    </row>
    <row r="76" spans="2:48" x14ac:dyDescent="0.25">
      <c r="B76" s="43">
        <f t="shared" si="49"/>
        <v>46327</v>
      </c>
      <c r="C76" s="79">
        <f t="shared" si="39"/>
        <v>2026</v>
      </c>
      <c r="D76" s="64">
        <f ca="1">wellcount_base  +  SUM('forecast production'!I$7:I77)</f>
        <v>1</v>
      </c>
      <c r="E76" s="110">
        <f ca="1">'forecast production'!AE77</f>
        <v>325.26504851799695</v>
      </c>
      <c r="F76" s="98">
        <f ca="1">'forecast production'!AF77</f>
        <v>1713.6472873060425</v>
      </c>
      <c r="G76" s="98">
        <f ca="1">'forecast production'!AG77</f>
        <v>52.708551923508736</v>
      </c>
      <c r="H76" s="98">
        <f ca="1">'forecast production'!AH77</f>
        <v>257.04709309590635</v>
      </c>
      <c r="I76" s="307">
        <f t="shared" ca="1" si="40"/>
        <v>1</v>
      </c>
      <c r="J76" s="306">
        <f t="shared" ca="1" si="41"/>
        <v>0.75</v>
      </c>
      <c r="K76" s="112">
        <f t="shared" ca="1" si="26"/>
        <v>243.94878638849769</v>
      </c>
      <c r="L76" s="98">
        <f t="shared" ca="1" si="27"/>
        <v>963.92659910964881</v>
      </c>
      <c r="M76" s="98">
        <f t="shared" ca="1" si="28"/>
        <v>39.531413942631552</v>
      </c>
      <c r="N76" s="98">
        <f t="shared" ca="1" si="29"/>
        <v>192.78531982192976</v>
      </c>
      <c r="O76" s="67">
        <f>assumptions!M80</f>
        <v>55</v>
      </c>
      <c r="P76" s="68">
        <f>assumptions!N80</f>
        <v>3</v>
      </c>
      <c r="Q76" s="68">
        <f>assumptions!O80</f>
        <v>22</v>
      </c>
      <c r="R76" s="67">
        <f t="shared" si="30"/>
        <v>52.5</v>
      </c>
      <c r="S76" s="68">
        <f t="shared" si="31"/>
        <v>2.3275000000000001</v>
      </c>
      <c r="T76" s="68">
        <f t="shared" si="32"/>
        <v>22</v>
      </c>
      <c r="U76" s="73">
        <f t="shared" ca="1" si="33"/>
        <v>12807.311285396128</v>
      </c>
      <c r="V76" s="72">
        <f t="shared" ca="1" si="34"/>
        <v>2243.5391594277075</v>
      </c>
      <c r="W76" s="72">
        <f t="shared" ca="1" si="35"/>
        <v>4241.2770360824543</v>
      </c>
      <c r="X76" s="72">
        <f t="shared" ca="1" si="42"/>
        <v>19292.127480906289</v>
      </c>
      <c r="Y76" s="73">
        <f>mult_opex * fixed_month</f>
        <v>1000</v>
      </c>
      <c r="Z76" s="72">
        <f ca="1">mult_opex * fixed_well *D76</f>
        <v>5000</v>
      </c>
      <c r="AA76" s="72">
        <f ca="1">(Z76+Y76)*WI_current_1</f>
        <v>6000</v>
      </c>
      <c r="AB76" s="72">
        <f ca="1">mult_opex * var_bo*E76</f>
        <v>0</v>
      </c>
      <c r="AC76" s="72">
        <f ca="1">mult_opex * var_mcf*F76</f>
        <v>0</v>
      </c>
      <c r="AD76" s="72">
        <f ca="1">mult_opex * var_bw * G76</f>
        <v>105.41710384701747</v>
      </c>
      <c r="AE76" s="72">
        <f ca="1">SUM(AB76:AD76)*WI_current_1</f>
        <v>105.41710384701747</v>
      </c>
      <c r="AF76" s="73">
        <f ca="1">mult_capex * IFERROR(OFFSET(assumptions!$F$39,MATCH(B76,assumptions!$E$39:$E$45,0)-1,0),0)</f>
        <v>0</v>
      </c>
      <c r="AG76" s="75">
        <f ca="1">mult_capex * capex_new*WI_current_1 *'forecast production'!I77</f>
        <v>0</v>
      </c>
      <c r="AH76" s="146">
        <f t="shared" ca="1" si="43"/>
        <v>0</v>
      </c>
      <c r="AI76" s="73">
        <f t="shared" ca="1" si="36"/>
        <v>1075.4975337914839</v>
      </c>
      <c r="AJ76" s="72">
        <f t="shared" ca="1" si="37"/>
        <v>482.30318702265726</v>
      </c>
      <c r="AK76" s="72">
        <f t="shared" ca="1" si="44"/>
        <v>1557.8007208141412</v>
      </c>
      <c r="AL76" s="73">
        <f t="shared" ca="1" si="38"/>
        <v>11628.90965624513</v>
      </c>
      <c r="AM76" s="132">
        <f ca="1">IF(X76*(lease_NRI/J76)  - (Z76+Y76+AB76+AC76+AD76)  - (AK76)*(lease_NRI/J76)&gt;0,1,0)</f>
        <v>1</v>
      </c>
      <c r="AN76" s="73">
        <f t="shared" ca="1" si="45"/>
        <v>11628.90965624513</v>
      </c>
      <c r="AO76" s="75">
        <f t="shared" ca="1" si="50"/>
        <v>1577345.8423830641</v>
      </c>
      <c r="AP76" s="72">
        <f ca="1">AL76  /  ( 1 + disc_1/12)^(COUNT($AL$6:AL76)-1)</f>
        <v>6505.0448876143719</v>
      </c>
      <c r="AQ76" s="72">
        <f t="shared" ca="1" si="51"/>
        <v>1271851.9733480739</v>
      </c>
      <c r="AS76" s="303">
        <f t="shared" ca="1" si="46"/>
        <v>1</v>
      </c>
      <c r="AT76" s="300">
        <f ca="1">IFERROR(IRR($AN$6:AN76)*12,0)</f>
        <v>0</v>
      </c>
      <c r="AU76" s="297">
        <f t="shared" ca="1" si="47"/>
        <v>0</v>
      </c>
      <c r="AV76" s="303">
        <f t="shared" ca="1" si="48"/>
        <v>0</v>
      </c>
    </row>
    <row r="77" spans="2:48" x14ac:dyDescent="0.25">
      <c r="B77" s="44">
        <f t="shared" si="49"/>
        <v>46357</v>
      </c>
      <c r="C77" s="100">
        <f t="shared" si="39"/>
        <v>2026</v>
      </c>
      <c r="D77" s="65">
        <f ca="1">wellcount_base  +  SUM('forecast production'!I$7:I78)</f>
        <v>1</v>
      </c>
      <c r="E77" s="109">
        <f ca="1">'forecast production'!AE78</f>
        <v>332.99407146261757</v>
      </c>
      <c r="F77" s="101">
        <f ca="1">'forecast production'!AF78</f>
        <v>1756.5583550521826</v>
      </c>
      <c r="G77" s="101">
        <f ca="1">'forecast production'!AG78</f>
        <v>52.601866823446663</v>
      </c>
      <c r="H77" s="102">
        <f ca="1">'forecast production'!AH78</f>
        <v>263.4837532578274</v>
      </c>
      <c r="I77" s="308">
        <f t="shared" ca="1" si="40"/>
        <v>1</v>
      </c>
      <c r="J77" s="309">
        <f t="shared" ca="1" si="41"/>
        <v>0.75</v>
      </c>
      <c r="K77" s="113">
        <f t="shared" ca="1" si="26"/>
        <v>249.74555359696319</v>
      </c>
      <c r="L77" s="102">
        <f t="shared" ca="1" si="27"/>
        <v>988.0640747168527</v>
      </c>
      <c r="M77" s="102">
        <f t="shared" ca="1" si="28"/>
        <v>39.451400117584996</v>
      </c>
      <c r="N77" s="102">
        <f t="shared" ca="1" si="29"/>
        <v>197.61281494337055</v>
      </c>
      <c r="O77" s="103">
        <f>assumptions!M81</f>
        <v>55</v>
      </c>
      <c r="P77" s="104">
        <f>assumptions!N81</f>
        <v>3</v>
      </c>
      <c r="Q77" s="104">
        <f>assumptions!O81</f>
        <v>22</v>
      </c>
      <c r="R77" s="103">
        <f t="shared" si="30"/>
        <v>52.5</v>
      </c>
      <c r="S77" s="104">
        <f t="shared" si="31"/>
        <v>2.3275000000000001</v>
      </c>
      <c r="T77" s="104">
        <f t="shared" si="32"/>
        <v>22</v>
      </c>
      <c r="U77" s="105">
        <f t="shared" ca="1" si="33"/>
        <v>13111.641563840567</v>
      </c>
      <c r="V77" s="106">
        <f t="shared" ca="1" si="34"/>
        <v>2299.7191339034748</v>
      </c>
      <c r="W77" s="106">
        <f t="shared" ca="1" si="35"/>
        <v>4347.4819287541522</v>
      </c>
      <c r="X77" s="106">
        <f t="shared" ca="1" si="42"/>
        <v>19758.842626498194</v>
      </c>
      <c r="Y77" s="105">
        <f>mult_opex * fixed_month</f>
        <v>1000</v>
      </c>
      <c r="Z77" s="106">
        <f ca="1">mult_opex * fixed_well *D77</f>
        <v>5000</v>
      </c>
      <c r="AA77" s="106">
        <f ca="1">(Z77+Y77)*WI_current_1</f>
        <v>6000</v>
      </c>
      <c r="AB77" s="106">
        <f ca="1">mult_opex * var_bo*E77</f>
        <v>0</v>
      </c>
      <c r="AC77" s="106">
        <f ca="1">mult_opex * var_mcf*F77</f>
        <v>0</v>
      </c>
      <c r="AD77" s="106">
        <f ca="1">mult_opex * var_bw * G77</f>
        <v>105.20373364689333</v>
      </c>
      <c r="AE77" s="106">
        <f ca="1">SUM(AB77:AD77)*WI_current_1</f>
        <v>105.20373364689333</v>
      </c>
      <c r="AF77" s="105">
        <f ca="1">mult_capex * IFERROR(OFFSET(assumptions!$F$39,MATCH(B77,assumptions!$E$39:$E$45,0)-1,0),0)</f>
        <v>0</v>
      </c>
      <c r="AG77" s="106">
        <f ca="1">mult_capex * capex_new*WI_current_1 *'forecast production'!I78</f>
        <v>0</v>
      </c>
      <c r="AH77" s="147">
        <f t="shared" ca="1" si="43"/>
        <v>0</v>
      </c>
      <c r="AI77" s="105">
        <f t="shared" ca="1" si="36"/>
        <v>1101.675591635988</v>
      </c>
      <c r="AJ77" s="106">
        <f t="shared" ca="1" si="37"/>
        <v>493.97106566245486</v>
      </c>
      <c r="AK77" s="106">
        <f t="shared" ca="1" si="44"/>
        <v>1595.6466572984427</v>
      </c>
      <c r="AL77" s="105">
        <f t="shared" ca="1" si="38"/>
        <v>12057.992235552858</v>
      </c>
      <c r="AM77" s="133">
        <f ca="1">IF(X77*(lease_NRI/J77)  - (Z77+Y77+AB77+AC77+AD77)  - (AK77)*(lease_NRI/J77)&gt;0,1,0)</f>
        <v>1</v>
      </c>
      <c r="AN77" s="105">
        <f t="shared" ca="1" si="45"/>
        <v>12057.992235552858</v>
      </c>
      <c r="AO77" s="106">
        <f t="shared" ca="1" si="50"/>
        <v>1589403.8346186168</v>
      </c>
      <c r="AP77" s="106">
        <f ca="1">AL77  /  ( 1 + disc_1/12)^(COUNT($AL$6:AL77)-1)</f>
        <v>6689.3231544822465</v>
      </c>
      <c r="AQ77" s="106">
        <f t="shared" ca="1" si="51"/>
        <v>1278541.2965025562</v>
      </c>
      <c r="AS77" s="304">
        <f t="shared" ca="1" si="46"/>
        <v>1</v>
      </c>
      <c r="AT77" s="301">
        <f ca="1">IFERROR(IRR($AN$6:AN77)*12,0)</f>
        <v>0</v>
      </c>
      <c r="AU77" s="298">
        <f t="shared" ca="1" si="47"/>
        <v>0</v>
      </c>
      <c r="AV77" s="304">
        <f t="shared" ca="1" si="48"/>
        <v>0</v>
      </c>
    </row>
    <row r="78" spans="2:48" x14ac:dyDescent="0.25">
      <c r="B78" s="43">
        <f t="shared" si="49"/>
        <v>46388</v>
      </c>
      <c r="C78" s="79">
        <f t="shared" si="39"/>
        <v>2027</v>
      </c>
      <c r="D78" s="64">
        <f ca="1">wellcount_base  +  SUM('forecast production'!I$7:I79)</f>
        <v>1</v>
      </c>
      <c r="E78" s="110">
        <f ca="1">'forecast production'!AE79</f>
        <v>329.83716591595061</v>
      </c>
      <c r="F78" s="98">
        <f ca="1">'forecast production'!AF79</f>
        <v>1742.1118030898251</v>
      </c>
      <c r="G78" s="98">
        <f ca="1">'forecast production'!AG79</f>
        <v>50.743397671021533</v>
      </c>
      <c r="H78" s="98">
        <f ca="1">'forecast production'!AH79</f>
        <v>261.3167704634738</v>
      </c>
      <c r="I78" s="307">
        <f t="shared" ca="1" si="40"/>
        <v>1</v>
      </c>
      <c r="J78" s="306">
        <f t="shared" ca="1" si="41"/>
        <v>0.75</v>
      </c>
      <c r="K78" s="112">
        <f t="shared" ca="1" si="26"/>
        <v>247.37787443696294</v>
      </c>
      <c r="L78" s="98">
        <f t="shared" ca="1" si="27"/>
        <v>979.93788923802663</v>
      </c>
      <c r="M78" s="98">
        <f t="shared" ca="1" si="28"/>
        <v>38.057548253266148</v>
      </c>
      <c r="N78" s="98">
        <f t="shared" ca="1" si="29"/>
        <v>195.98757784760534</v>
      </c>
      <c r="O78" s="67">
        <f>assumptions!M82</f>
        <v>55</v>
      </c>
      <c r="P78" s="68">
        <f>assumptions!N82</f>
        <v>3</v>
      </c>
      <c r="Q78" s="68">
        <f>assumptions!O82</f>
        <v>22</v>
      </c>
      <c r="R78" s="67">
        <f t="shared" si="30"/>
        <v>52.5</v>
      </c>
      <c r="S78" s="68">
        <f t="shared" si="31"/>
        <v>2.3275000000000001</v>
      </c>
      <c r="T78" s="68">
        <f t="shared" si="32"/>
        <v>22</v>
      </c>
      <c r="U78" s="73">
        <f t="shared" ca="1" si="33"/>
        <v>12987.338407940555</v>
      </c>
      <c r="V78" s="72">
        <f t="shared" ca="1" si="34"/>
        <v>2280.8054372015072</v>
      </c>
      <c r="W78" s="72">
        <f t="shared" ca="1" si="35"/>
        <v>4311.7267126473171</v>
      </c>
      <c r="X78" s="72">
        <f t="shared" ca="1" si="42"/>
        <v>19579.870557789378</v>
      </c>
      <c r="Y78" s="73">
        <f>mult_opex * fixed_month</f>
        <v>1000</v>
      </c>
      <c r="Z78" s="72">
        <f ca="1">mult_opex * fixed_well *D78</f>
        <v>5000</v>
      </c>
      <c r="AA78" s="72">
        <f ca="1">(Z78+Y78)*WI_current_1</f>
        <v>6000</v>
      </c>
      <c r="AB78" s="72">
        <f ca="1">mult_opex * var_bo*E78</f>
        <v>0</v>
      </c>
      <c r="AC78" s="72">
        <f ca="1">mult_opex * var_mcf*F78</f>
        <v>0</v>
      </c>
      <c r="AD78" s="72">
        <f ca="1">mult_opex * var_bw * G78</f>
        <v>101.48679534204307</v>
      </c>
      <c r="AE78" s="72">
        <f ca="1">SUM(AB78:AD78)*WI_current_1</f>
        <v>101.48679534204307</v>
      </c>
      <c r="AF78" s="73">
        <f ca="1">mult_capex * IFERROR(OFFSET(assumptions!$F$39,MATCH(B78,assumptions!$E$39:$E$45,0)-1,0),0)</f>
        <v>0</v>
      </c>
      <c r="AG78" s="75">
        <f ca="1">mult_capex * capex_new*WI_current_1 *'forecast production'!I79</f>
        <v>0</v>
      </c>
      <c r="AH78" s="146">
        <f t="shared" ca="1" si="43"/>
        <v>0</v>
      </c>
      <c r="AI78" s="73">
        <f t="shared" ca="1" si="36"/>
        <v>1091.8574780039273</v>
      </c>
      <c r="AJ78" s="72">
        <f t="shared" ca="1" si="37"/>
        <v>489.49676394473448</v>
      </c>
      <c r="AK78" s="72">
        <f t="shared" ca="1" si="44"/>
        <v>1581.3542419486619</v>
      </c>
      <c r="AL78" s="73">
        <f t="shared" ca="1" si="38"/>
        <v>11897.029520498672</v>
      </c>
      <c r="AM78" s="132">
        <f ca="1">IF(X78*(lease_NRI/J78)  - (Z78+Y78+AB78+AC78+AD78)  - (AK78)*(lease_NRI/J78)&gt;0,1,0)</f>
        <v>1</v>
      </c>
      <c r="AN78" s="73">
        <f t="shared" ca="1" si="45"/>
        <v>11897.029520498672</v>
      </c>
      <c r="AO78" s="75">
        <f t="shared" ca="1" si="50"/>
        <v>1601300.8641391154</v>
      </c>
      <c r="AP78" s="72">
        <f ca="1">AL78  /  ( 1 + disc_1/12)^(COUNT($AL$6:AL78)-1)</f>
        <v>6545.4813815806374</v>
      </c>
      <c r="AQ78" s="72">
        <f t="shared" ca="1" si="51"/>
        <v>1285086.7778841369</v>
      </c>
      <c r="AS78" s="303">
        <f t="shared" ca="1" si="46"/>
        <v>1</v>
      </c>
      <c r="AT78" s="300">
        <f ca="1">IFERROR(IRR($AN$6:AN78)*12,0)</f>
        <v>0</v>
      </c>
      <c r="AU78" s="297">
        <f t="shared" ca="1" si="47"/>
        <v>0</v>
      </c>
      <c r="AV78" s="303">
        <f t="shared" ca="1" si="48"/>
        <v>0</v>
      </c>
    </row>
    <row r="79" spans="2:48" x14ac:dyDescent="0.25">
      <c r="B79" s="43">
        <f t="shared" si="49"/>
        <v>46419</v>
      </c>
      <c r="C79" s="79">
        <f t="shared" si="39"/>
        <v>2027</v>
      </c>
      <c r="D79" s="64">
        <f ca="1">wellcount_base  +  SUM('forecast production'!I$7:I80)</f>
        <v>1</v>
      </c>
      <c r="E79" s="110">
        <f ca="1">'forecast production'!AE80</f>
        <v>295.11959848694585</v>
      </c>
      <c r="F79" s="98">
        <f ca="1">'forecast production'!AF80</f>
        <v>1560.6847197844806</v>
      </c>
      <c r="G79" s="98">
        <f ca="1">'forecast production'!AG80</f>
        <v>44.213721952816165</v>
      </c>
      <c r="H79" s="98">
        <f ca="1">'forecast production'!AH80</f>
        <v>234.1027079676721</v>
      </c>
      <c r="I79" s="307">
        <f t="shared" ca="1" si="40"/>
        <v>1</v>
      </c>
      <c r="J79" s="306">
        <f t="shared" ca="1" si="41"/>
        <v>0.75</v>
      </c>
      <c r="K79" s="112">
        <f t="shared" ca="1" si="26"/>
        <v>221.33969886520939</v>
      </c>
      <c r="L79" s="98">
        <f t="shared" ca="1" si="27"/>
        <v>877.88515487877032</v>
      </c>
      <c r="M79" s="98">
        <f t="shared" ca="1" si="28"/>
        <v>33.160291464612122</v>
      </c>
      <c r="N79" s="98">
        <f t="shared" ca="1" si="29"/>
        <v>175.57703097575407</v>
      </c>
      <c r="O79" s="67">
        <f>assumptions!M83</f>
        <v>55</v>
      </c>
      <c r="P79" s="68">
        <f>assumptions!N83</f>
        <v>3</v>
      </c>
      <c r="Q79" s="68">
        <f>assumptions!O83</f>
        <v>22</v>
      </c>
      <c r="R79" s="67">
        <f t="shared" si="30"/>
        <v>52.5</v>
      </c>
      <c r="S79" s="68">
        <f t="shared" si="31"/>
        <v>2.3275000000000001</v>
      </c>
      <c r="T79" s="68">
        <f t="shared" si="32"/>
        <v>22</v>
      </c>
      <c r="U79" s="73">
        <f t="shared" ca="1" si="33"/>
        <v>11620.334190423493</v>
      </c>
      <c r="V79" s="72">
        <f t="shared" ca="1" si="34"/>
        <v>2043.277697980338</v>
      </c>
      <c r="W79" s="72">
        <f t="shared" ca="1" si="35"/>
        <v>3862.6946814665894</v>
      </c>
      <c r="X79" s="72">
        <f t="shared" ca="1" si="42"/>
        <v>17526.306569870419</v>
      </c>
      <c r="Y79" s="73">
        <f>mult_opex * fixed_month</f>
        <v>1000</v>
      </c>
      <c r="Z79" s="72">
        <f ca="1">mult_opex * fixed_well *D79</f>
        <v>5000</v>
      </c>
      <c r="AA79" s="72">
        <f ca="1">(Z79+Y79)*WI_current_1</f>
        <v>6000</v>
      </c>
      <c r="AB79" s="72">
        <f ca="1">mult_opex * var_bo*E79</f>
        <v>0</v>
      </c>
      <c r="AC79" s="72">
        <f ca="1">mult_opex * var_mcf*F79</f>
        <v>0</v>
      </c>
      <c r="AD79" s="72">
        <f ca="1">mult_opex * var_bw * G79</f>
        <v>88.42744390563233</v>
      </c>
      <c r="AE79" s="72">
        <f ca="1">SUM(AB79:AD79)*WI_current_1</f>
        <v>88.42744390563233</v>
      </c>
      <c r="AF79" s="73">
        <f ca="1">mult_capex * IFERROR(OFFSET(assumptions!$F$39,MATCH(B79,assumptions!$E$39:$E$45,0)-1,0),0)</f>
        <v>0</v>
      </c>
      <c r="AG79" s="75">
        <f ca="1">mult_capex * capex_new*WI_current_1 *'forecast production'!I80</f>
        <v>0</v>
      </c>
      <c r="AH79" s="146">
        <f t="shared" ca="1" si="43"/>
        <v>0</v>
      </c>
      <c r="AI79" s="73">
        <f t="shared" ca="1" si="36"/>
        <v>977.48330121800018</v>
      </c>
      <c r="AJ79" s="72">
        <f t="shared" ca="1" si="37"/>
        <v>438.15766424676053</v>
      </c>
      <c r="AK79" s="72">
        <f t="shared" ca="1" si="44"/>
        <v>1415.6409654647607</v>
      </c>
      <c r="AL79" s="73">
        <f t="shared" ca="1" si="38"/>
        <v>10022.238160500026</v>
      </c>
      <c r="AM79" s="132">
        <f ca="1">IF(X79*(lease_NRI/J79)  - (Z79+Y79+AB79+AC79+AD79)  - (AK79)*(lease_NRI/J79)&gt;0,1,0)</f>
        <v>1</v>
      </c>
      <c r="AN79" s="73">
        <f t="shared" ca="1" si="45"/>
        <v>10022.238160500026</v>
      </c>
      <c r="AO79" s="75">
        <f t="shared" ca="1" si="50"/>
        <v>1611323.1022996155</v>
      </c>
      <c r="AP79" s="72">
        <f ca="1">AL79  /  ( 1 + disc_1/12)^(COUNT($AL$6:AL79)-1)</f>
        <v>5468.442464896294</v>
      </c>
      <c r="AQ79" s="72">
        <f t="shared" ca="1" si="51"/>
        <v>1290555.2203490331</v>
      </c>
      <c r="AS79" s="303">
        <f t="shared" ca="1" si="46"/>
        <v>1</v>
      </c>
      <c r="AT79" s="300">
        <f ca="1">IFERROR(IRR($AN$6:AN79)*12,0)</f>
        <v>0</v>
      </c>
      <c r="AU79" s="297">
        <f t="shared" ca="1" si="47"/>
        <v>0</v>
      </c>
      <c r="AV79" s="303">
        <f t="shared" ca="1" si="48"/>
        <v>0</v>
      </c>
    </row>
    <row r="80" spans="2:48" x14ac:dyDescent="0.25">
      <c r="B80" s="43">
        <f t="shared" si="49"/>
        <v>46447</v>
      </c>
      <c r="C80" s="79">
        <f t="shared" si="39"/>
        <v>2027</v>
      </c>
      <c r="D80" s="64">
        <f ca="1">wellcount_base  +  SUM('forecast production'!I$7:I81)</f>
        <v>1</v>
      </c>
      <c r="E80" s="110">
        <f ca="1">'forecast production'!AE81</f>
        <v>323.99130128264562</v>
      </c>
      <c r="F80" s="98">
        <f ca="1">'forecast production'!AF81</f>
        <v>1715.2631382073876</v>
      </c>
      <c r="G80" s="98">
        <f ca="1">'forecast production'!AG81</f>
        <v>47.386632186439527</v>
      </c>
      <c r="H80" s="98">
        <f ca="1">'forecast production'!AH81</f>
        <v>257.28947073110811</v>
      </c>
      <c r="I80" s="307">
        <f t="shared" ca="1" si="40"/>
        <v>1</v>
      </c>
      <c r="J80" s="306">
        <f t="shared" ca="1" si="41"/>
        <v>0.75</v>
      </c>
      <c r="K80" s="112">
        <f t="shared" ca="1" si="26"/>
        <v>242.99347596198422</v>
      </c>
      <c r="L80" s="98">
        <f t="shared" ca="1" si="27"/>
        <v>964.83551524165546</v>
      </c>
      <c r="M80" s="98">
        <f t="shared" ca="1" si="28"/>
        <v>35.539974139829646</v>
      </c>
      <c r="N80" s="98">
        <f t="shared" ca="1" si="29"/>
        <v>192.96710304833107</v>
      </c>
      <c r="O80" s="67">
        <f>assumptions!M84</f>
        <v>55</v>
      </c>
      <c r="P80" s="68">
        <f>assumptions!N84</f>
        <v>3</v>
      </c>
      <c r="Q80" s="68">
        <f>assumptions!O84</f>
        <v>22</v>
      </c>
      <c r="R80" s="67">
        <f t="shared" si="30"/>
        <v>52.5</v>
      </c>
      <c r="S80" s="68">
        <f t="shared" si="31"/>
        <v>2.3275000000000001</v>
      </c>
      <c r="T80" s="68">
        <f t="shared" si="32"/>
        <v>22</v>
      </c>
      <c r="U80" s="73">
        <f t="shared" ca="1" si="33"/>
        <v>12757.157488004172</v>
      </c>
      <c r="V80" s="72">
        <f t="shared" ca="1" si="34"/>
        <v>2245.6546617249533</v>
      </c>
      <c r="W80" s="72">
        <f t="shared" ca="1" si="35"/>
        <v>4245.2762670632837</v>
      </c>
      <c r="X80" s="72">
        <f t="shared" ca="1" si="42"/>
        <v>19248.088416792409</v>
      </c>
      <c r="Y80" s="73">
        <f>mult_opex * fixed_month</f>
        <v>1000</v>
      </c>
      <c r="Z80" s="72">
        <f ca="1">mult_opex * fixed_well *D80</f>
        <v>5000</v>
      </c>
      <c r="AA80" s="72">
        <f ca="1">(Z80+Y80)*WI_current_1</f>
        <v>6000</v>
      </c>
      <c r="AB80" s="72">
        <f ca="1">mult_opex * var_bo*E80</f>
        <v>0</v>
      </c>
      <c r="AC80" s="72">
        <f ca="1">mult_opex * var_mcf*F80</f>
        <v>0</v>
      </c>
      <c r="AD80" s="72">
        <f ca="1">mult_opex * var_bw * G80</f>
        <v>94.773264372879055</v>
      </c>
      <c r="AE80" s="72">
        <f ca="1">SUM(AB80:AD80)*WI_current_1</f>
        <v>94.773264372879055</v>
      </c>
      <c r="AF80" s="73">
        <f ca="1">mult_capex * IFERROR(OFFSET(assumptions!$F$39,MATCH(B80,assumptions!$E$39:$E$45,0)-1,0),0)</f>
        <v>0</v>
      </c>
      <c r="AG80" s="75">
        <f ca="1">mult_capex * capex_new*WI_current_1 *'forecast production'!I81</f>
        <v>0</v>
      </c>
      <c r="AH80" s="146">
        <f t="shared" ca="1" si="43"/>
        <v>0</v>
      </c>
      <c r="AI80" s="73">
        <f t="shared" ca="1" si="36"/>
        <v>1073.6490641073096</v>
      </c>
      <c r="AJ80" s="72">
        <f t="shared" ca="1" si="37"/>
        <v>481.20221041981023</v>
      </c>
      <c r="AK80" s="72">
        <f t="shared" ca="1" si="44"/>
        <v>1554.8512745271198</v>
      </c>
      <c r="AL80" s="73">
        <f t="shared" ca="1" si="38"/>
        <v>11598.463877892413</v>
      </c>
      <c r="AM80" s="132">
        <f ca="1">IF(X80*(lease_NRI/J80)  - (Z80+Y80+AB80+AC80+AD80)  - (AK80)*(lease_NRI/J80)&gt;0,1,0)</f>
        <v>1</v>
      </c>
      <c r="AN80" s="73">
        <f t="shared" ca="1" si="45"/>
        <v>11598.463877892413</v>
      </c>
      <c r="AO80" s="75">
        <f t="shared" ca="1" si="50"/>
        <v>1622921.5661775079</v>
      </c>
      <c r="AP80" s="72">
        <f ca="1">AL80  /  ( 1 + disc_1/12)^(COUNT($AL$6:AL80)-1)</f>
        <v>6276.1783781634431</v>
      </c>
      <c r="AQ80" s="72">
        <f t="shared" ca="1" si="51"/>
        <v>1296831.3987271965</v>
      </c>
      <c r="AS80" s="303">
        <f t="shared" ca="1" si="46"/>
        <v>1</v>
      </c>
      <c r="AT80" s="300">
        <f ca="1">IFERROR(IRR($AN$6:AN80)*12,0)</f>
        <v>0</v>
      </c>
      <c r="AU80" s="297">
        <f t="shared" ca="1" si="47"/>
        <v>0</v>
      </c>
      <c r="AV80" s="303">
        <f t="shared" ca="1" si="48"/>
        <v>0</v>
      </c>
    </row>
    <row r="81" spans="2:48" x14ac:dyDescent="0.25">
      <c r="B81" s="43">
        <f t="shared" si="49"/>
        <v>46478</v>
      </c>
      <c r="C81" s="79">
        <f t="shared" si="39"/>
        <v>2027</v>
      </c>
      <c r="D81" s="64">
        <f ca="1">wellcount_base  +  SUM('forecast production'!I$7:I82)</f>
        <v>1</v>
      </c>
      <c r="E81" s="110">
        <f ca="1">'forecast production'!AE82</f>
        <v>310.64711725648465</v>
      </c>
      <c r="F81" s="98">
        <f ca="1">'forecast production'!AF82</f>
        <v>1646.5985716191017</v>
      </c>
      <c r="G81" s="98">
        <f ca="1">'forecast production'!AG82</f>
        <v>44.238657938803989</v>
      </c>
      <c r="H81" s="98">
        <f ca="1">'forecast production'!AH82</f>
        <v>246.98978574286525</v>
      </c>
      <c r="I81" s="307">
        <f t="shared" ca="1" si="40"/>
        <v>1</v>
      </c>
      <c r="J81" s="306">
        <f t="shared" ca="1" si="41"/>
        <v>0.75</v>
      </c>
      <c r="K81" s="112">
        <f t="shared" ca="1" si="26"/>
        <v>232.98533794236349</v>
      </c>
      <c r="L81" s="98">
        <f t="shared" ca="1" si="27"/>
        <v>926.21169653574475</v>
      </c>
      <c r="M81" s="98">
        <f t="shared" ca="1" si="28"/>
        <v>33.178993454102994</v>
      </c>
      <c r="N81" s="98">
        <f t="shared" ca="1" si="29"/>
        <v>185.24233930714894</v>
      </c>
      <c r="O81" s="67">
        <f>assumptions!M85</f>
        <v>55</v>
      </c>
      <c r="P81" s="68">
        <f>assumptions!N85</f>
        <v>3</v>
      </c>
      <c r="Q81" s="68">
        <f>assumptions!O85</f>
        <v>22</v>
      </c>
      <c r="R81" s="67">
        <f t="shared" si="30"/>
        <v>52.5</v>
      </c>
      <c r="S81" s="68">
        <f t="shared" si="31"/>
        <v>2.3275000000000001</v>
      </c>
      <c r="T81" s="68">
        <f t="shared" si="32"/>
        <v>22</v>
      </c>
      <c r="U81" s="73">
        <f t="shared" ca="1" si="33"/>
        <v>12231.730241974083</v>
      </c>
      <c r="V81" s="72">
        <f t="shared" ca="1" si="34"/>
        <v>2155.7577236869461</v>
      </c>
      <c r="W81" s="72">
        <f t="shared" ca="1" si="35"/>
        <v>4075.3314647572765</v>
      </c>
      <c r="X81" s="72">
        <f t="shared" ca="1" si="42"/>
        <v>18462.819430418305</v>
      </c>
      <c r="Y81" s="73">
        <f>mult_opex * fixed_month</f>
        <v>1000</v>
      </c>
      <c r="Z81" s="72">
        <f ca="1">mult_opex * fixed_well *D81</f>
        <v>5000</v>
      </c>
      <c r="AA81" s="72">
        <f ca="1">(Z81+Y81)*WI_current_1</f>
        <v>6000</v>
      </c>
      <c r="AB81" s="72">
        <f ca="1">mult_opex * var_bo*E81</f>
        <v>0</v>
      </c>
      <c r="AC81" s="72">
        <f ca="1">mult_opex * var_mcf*F81</f>
        <v>0</v>
      </c>
      <c r="AD81" s="72">
        <f ca="1">mult_opex * var_bw * G81</f>
        <v>88.477315877607978</v>
      </c>
      <c r="AE81" s="72">
        <f ca="1">SUM(AB81:AD81)*WI_current_1</f>
        <v>88.477315877607978</v>
      </c>
      <c r="AF81" s="73">
        <f ca="1">mult_capex * IFERROR(OFFSET(assumptions!$F$39,MATCH(B81,assumptions!$E$39:$E$45,0)-1,0),0)</f>
        <v>0</v>
      </c>
      <c r="AG81" s="75">
        <f ca="1">mult_capex * capex_new*WI_current_1 *'forecast production'!I82</f>
        <v>0</v>
      </c>
      <c r="AH81" s="146">
        <f t="shared" ca="1" si="43"/>
        <v>0</v>
      </c>
      <c r="AI81" s="73">
        <f t="shared" ca="1" si="36"/>
        <v>1029.9912802641245</v>
      </c>
      <c r="AJ81" s="72">
        <f t="shared" ca="1" si="37"/>
        <v>461.57048576045764</v>
      </c>
      <c r="AK81" s="72">
        <f t="shared" ca="1" si="44"/>
        <v>1491.5617660245821</v>
      </c>
      <c r="AL81" s="73">
        <f t="shared" ca="1" si="38"/>
        <v>10882.780348516117</v>
      </c>
      <c r="AM81" s="132">
        <f ca="1">IF(X81*(lease_NRI/J81)  - (Z81+Y81+AB81+AC81+AD81)  - (AK81)*(lease_NRI/J81)&gt;0,1,0)</f>
        <v>1</v>
      </c>
      <c r="AN81" s="73">
        <f t="shared" ca="1" si="45"/>
        <v>10882.780348516117</v>
      </c>
      <c r="AO81" s="75">
        <f t="shared" ca="1" si="50"/>
        <v>1633804.3465260239</v>
      </c>
      <c r="AP81" s="72">
        <f ca="1">AL81  /  ( 1 + disc_1/12)^(COUNT($AL$6:AL81)-1)</f>
        <v>5840.2379707017453</v>
      </c>
      <c r="AQ81" s="72">
        <f t="shared" ca="1" si="51"/>
        <v>1302671.6366978982</v>
      </c>
      <c r="AS81" s="303">
        <f t="shared" ca="1" si="46"/>
        <v>1</v>
      </c>
      <c r="AT81" s="300">
        <f ca="1">IFERROR(IRR($AN$6:AN81)*12,0)</f>
        <v>0</v>
      </c>
      <c r="AU81" s="297">
        <f t="shared" ca="1" si="47"/>
        <v>0</v>
      </c>
      <c r="AV81" s="303">
        <f t="shared" ca="1" si="48"/>
        <v>0</v>
      </c>
    </row>
    <row r="82" spans="2:48" x14ac:dyDescent="0.25">
      <c r="B82" s="43">
        <f t="shared" si="49"/>
        <v>46508</v>
      </c>
      <c r="C82" s="79">
        <f t="shared" si="39"/>
        <v>2027</v>
      </c>
      <c r="D82" s="64">
        <f ca="1">wellcount_base  +  SUM('forecast production'!I$7:I83)</f>
        <v>1</v>
      </c>
      <c r="E82" s="110">
        <f ca="1">'forecast production'!AE83</f>
        <v>318.16122499104057</v>
      </c>
      <c r="F82" s="98">
        <f ca="1">'forecast production'!AF83</f>
        <v>1688.3608166810618</v>
      </c>
      <c r="G82" s="98">
        <f ca="1">'forecast production'!AG83</f>
        <v>44.150462028206505</v>
      </c>
      <c r="H82" s="98">
        <f ca="1">'forecast production'!AH83</f>
        <v>253.25412250215925</v>
      </c>
      <c r="I82" s="307">
        <f t="shared" ca="1" si="40"/>
        <v>1</v>
      </c>
      <c r="J82" s="306">
        <f t="shared" ca="1" si="41"/>
        <v>0.75</v>
      </c>
      <c r="K82" s="112">
        <f t="shared" ca="1" si="26"/>
        <v>238.62091874328041</v>
      </c>
      <c r="L82" s="98">
        <f t="shared" ca="1" si="27"/>
        <v>949.70295938309732</v>
      </c>
      <c r="M82" s="98">
        <f t="shared" ca="1" si="28"/>
        <v>33.112846521154879</v>
      </c>
      <c r="N82" s="98">
        <f t="shared" ca="1" si="29"/>
        <v>189.94059187661944</v>
      </c>
      <c r="O82" s="67">
        <f>assumptions!M86</f>
        <v>55</v>
      </c>
      <c r="P82" s="68">
        <f>assumptions!N86</f>
        <v>3</v>
      </c>
      <c r="Q82" s="68">
        <f>assumptions!O86</f>
        <v>22</v>
      </c>
      <c r="R82" s="67">
        <f t="shared" si="30"/>
        <v>52.5</v>
      </c>
      <c r="S82" s="68">
        <f t="shared" si="31"/>
        <v>2.3275000000000001</v>
      </c>
      <c r="T82" s="68">
        <f t="shared" si="32"/>
        <v>22</v>
      </c>
      <c r="U82" s="73">
        <f t="shared" ca="1" si="33"/>
        <v>12527.598234022222</v>
      </c>
      <c r="V82" s="72">
        <f t="shared" ca="1" si="34"/>
        <v>2210.4336379641591</v>
      </c>
      <c r="W82" s="72">
        <f t="shared" ca="1" si="35"/>
        <v>4178.6930212856278</v>
      </c>
      <c r="X82" s="72">
        <f t="shared" ca="1" si="42"/>
        <v>18916.72489327201</v>
      </c>
      <c r="Y82" s="73">
        <f>mult_opex * fixed_month</f>
        <v>1000</v>
      </c>
      <c r="Z82" s="72">
        <f ca="1">mult_opex * fixed_well *D82</f>
        <v>5000</v>
      </c>
      <c r="AA82" s="72">
        <f ca="1">(Z82+Y82)*WI_current_1</f>
        <v>6000</v>
      </c>
      <c r="AB82" s="72">
        <f ca="1">mult_opex * var_bo*E82</f>
        <v>0</v>
      </c>
      <c r="AC82" s="72">
        <f ca="1">mult_opex * var_mcf*F82</f>
        <v>0</v>
      </c>
      <c r="AD82" s="72">
        <f ca="1">mult_opex * var_bw * G82</f>
        <v>88.30092405641301</v>
      </c>
      <c r="AE82" s="72">
        <f ca="1">SUM(AB82:AD82)*WI_current_1</f>
        <v>88.30092405641301</v>
      </c>
      <c r="AF82" s="73">
        <f ca="1">mult_capex * IFERROR(OFFSET(assumptions!$F$39,MATCH(B82,assumptions!$E$39:$E$45,0)-1,0),0)</f>
        <v>0</v>
      </c>
      <c r="AG82" s="75">
        <f ca="1">mult_capex * capex_new*WI_current_1 *'forecast production'!I83</f>
        <v>0</v>
      </c>
      <c r="AH82" s="146">
        <f t="shared" ca="1" si="43"/>
        <v>0</v>
      </c>
      <c r="AI82" s="73">
        <f t="shared" ca="1" si="36"/>
        <v>1055.4540182087562</v>
      </c>
      <c r="AJ82" s="72">
        <f t="shared" ca="1" si="37"/>
        <v>472.9181223318003</v>
      </c>
      <c r="AK82" s="72">
        <f t="shared" ca="1" si="44"/>
        <v>1528.3721405405565</v>
      </c>
      <c r="AL82" s="73">
        <f t="shared" ca="1" si="38"/>
        <v>11300.051828675041</v>
      </c>
      <c r="AM82" s="132">
        <f ca="1">IF(X82*(lease_NRI/J82)  - (Z82+Y82+AB82+AC82+AD82)  - (AK82)*(lease_NRI/J82)&gt;0,1,0)</f>
        <v>1</v>
      </c>
      <c r="AN82" s="73">
        <f t="shared" ca="1" si="45"/>
        <v>11300.051828675041</v>
      </c>
      <c r="AO82" s="75">
        <f t="shared" ca="1" si="50"/>
        <v>1645104.3983546989</v>
      </c>
      <c r="AP82" s="72">
        <f ca="1">AL82  /  ( 1 + disc_1/12)^(COUNT($AL$6:AL82)-1)</f>
        <v>6014.0493981946893</v>
      </c>
      <c r="AQ82" s="72">
        <f t="shared" ca="1" si="51"/>
        <v>1308685.6860960929</v>
      </c>
      <c r="AS82" s="303">
        <f t="shared" ca="1" si="46"/>
        <v>1</v>
      </c>
      <c r="AT82" s="300">
        <f ca="1">IFERROR(IRR($AN$6:AN82)*12,0)</f>
        <v>0</v>
      </c>
      <c r="AU82" s="297">
        <f t="shared" ca="1" si="47"/>
        <v>0</v>
      </c>
      <c r="AV82" s="303">
        <f t="shared" ca="1" si="48"/>
        <v>0</v>
      </c>
    </row>
    <row r="83" spans="2:48" x14ac:dyDescent="0.25">
      <c r="B83" s="43">
        <f t="shared" si="49"/>
        <v>46539</v>
      </c>
      <c r="C83" s="79">
        <f t="shared" si="39"/>
        <v>2027</v>
      </c>
      <c r="D83" s="64">
        <f ca="1">wellcount_base  +  SUM('forecast production'!I$7:I84)</f>
        <v>1</v>
      </c>
      <c r="E83" s="110">
        <f ca="1">'forecast production'!AE84</f>
        <v>305.1078190976632</v>
      </c>
      <c r="F83" s="98">
        <f ca="1">'forecast production'!AF84</f>
        <v>1620.9774065252366</v>
      </c>
      <c r="G83" s="98">
        <f ca="1">'forecast production'!AG84</f>
        <v>41.21799600652983</v>
      </c>
      <c r="H83" s="98">
        <f ca="1">'forecast production'!AH84</f>
        <v>243.14661097878547</v>
      </c>
      <c r="I83" s="307">
        <f t="shared" ca="1" si="40"/>
        <v>1</v>
      </c>
      <c r="J83" s="306">
        <f t="shared" ca="1" si="41"/>
        <v>0.75</v>
      </c>
      <c r="K83" s="112">
        <f t="shared" ca="1" si="26"/>
        <v>228.8308643232474</v>
      </c>
      <c r="L83" s="98">
        <f t="shared" ca="1" si="27"/>
        <v>911.79979117044559</v>
      </c>
      <c r="M83" s="98">
        <f t="shared" ca="1" si="28"/>
        <v>30.913497004897373</v>
      </c>
      <c r="N83" s="98">
        <f t="shared" ca="1" si="29"/>
        <v>182.35995823408911</v>
      </c>
      <c r="O83" s="67">
        <f>assumptions!M87</f>
        <v>55</v>
      </c>
      <c r="P83" s="68">
        <f>assumptions!N87</f>
        <v>3</v>
      </c>
      <c r="Q83" s="68">
        <f>assumptions!O87</f>
        <v>22</v>
      </c>
      <c r="R83" s="67">
        <f t="shared" si="30"/>
        <v>52.5</v>
      </c>
      <c r="S83" s="68">
        <f t="shared" si="31"/>
        <v>2.3275000000000001</v>
      </c>
      <c r="T83" s="68">
        <f t="shared" si="32"/>
        <v>22</v>
      </c>
      <c r="U83" s="73">
        <f t="shared" ca="1" si="33"/>
        <v>12013.620376970488</v>
      </c>
      <c r="V83" s="72">
        <f t="shared" ca="1" si="34"/>
        <v>2122.2140139492121</v>
      </c>
      <c r="W83" s="72">
        <f t="shared" ca="1" si="35"/>
        <v>4011.9190811499602</v>
      </c>
      <c r="X83" s="72">
        <f t="shared" ca="1" si="42"/>
        <v>18147.75347206966</v>
      </c>
      <c r="Y83" s="73">
        <f>mult_opex * fixed_month</f>
        <v>1000</v>
      </c>
      <c r="Z83" s="72">
        <f ca="1">mult_opex * fixed_well *D83</f>
        <v>5000</v>
      </c>
      <c r="AA83" s="72">
        <f ca="1">(Z83+Y83)*WI_current_1</f>
        <v>6000</v>
      </c>
      <c r="AB83" s="72">
        <f ca="1">mult_opex * var_bo*E83</f>
        <v>0</v>
      </c>
      <c r="AC83" s="72">
        <f ca="1">mult_opex * var_mcf*F83</f>
        <v>0</v>
      </c>
      <c r="AD83" s="72">
        <f ca="1">mult_opex * var_bw * G83</f>
        <v>82.435992013059661</v>
      </c>
      <c r="AE83" s="72">
        <f ca="1">SUM(AB83:AD83)*WI_current_1</f>
        <v>82.435992013059661</v>
      </c>
      <c r="AF83" s="73">
        <f ca="1">mult_capex * IFERROR(OFFSET(assumptions!$F$39,MATCH(B83,assumptions!$E$39:$E$45,0)-1,0),0)</f>
        <v>0</v>
      </c>
      <c r="AG83" s="75">
        <f ca="1">mult_capex * capex_new*WI_current_1 *'forecast production'!I84</f>
        <v>0</v>
      </c>
      <c r="AH83" s="146">
        <f t="shared" ca="1" si="43"/>
        <v>0</v>
      </c>
      <c r="AI83" s="73">
        <f t="shared" ca="1" si="36"/>
        <v>1012.6865194730804</v>
      </c>
      <c r="AJ83" s="72">
        <f t="shared" ca="1" si="37"/>
        <v>453.69383680174155</v>
      </c>
      <c r="AK83" s="72">
        <f t="shared" ca="1" si="44"/>
        <v>1466.3803562748219</v>
      </c>
      <c r="AL83" s="73">
        <f t="shared" ca="1" si="38"/>
        <v>10598.93712378178</v>
      </c>
      <c r="AM83" s="132">
        <f ca="1">IF(X83*(lease_NRI/J83)  - (Z83+Y83+AB83+AC83+AD83)  - (AK83)*(lease_NRI/J83)&gt;0,1,0)</f>
        <v>1</v>
      </c>
      <c r="AN83" s="73">
        <f t="shared" ca="1" si="45"/>
        <v>10598.93712378178</v>
      </c>
      <c r="AO83" s="75">
        <f t="shared" ca="1" si="50"/>
        <v>1655703.3354784807</v>
      </c>
      <c r="AP83" s="72">
        <f ca="1">AL83  /  ( 1 + disc_1/12)^(COUNT($AL$6:AL83)-1)</f>
        <v>5594.2870536174951</v>
      </c>
      <c r="AQ83" s="72">
        <f t="shared" ca="1" si="51"/>
        <v>1314279.9731497103</v>
      </c>
      <c r="AS83" s="303">
        <f t="shared" ca="1" si="46"/>
        <v>1</v>
      </c>
      <c r="AT83" s="300">
        <f ca="1">IFERROR(IRR($AN$6:AN83)*12,0)</f>
        <v>0</v>
      </c>
      <c r="AU83" s="297">
        <f t="shared" ca="1" si="47"/>
        <v>0</v>
      </c>
      <c r="AV83" s="303">
        <f t="shared" ca="1" si="48"/>
        <v>0</v>
      </c>
    </row>
    <row r="84" spans="2:48" x14ac:dyDescent="0.25">
      <c r="B84" s="43">
        <f t="shared" si="49"/>
        <v>46569</v>
      </c>
      <c r="C84" s="79">
        <f t="shared" si="39"/>
        <v>2027</v>
      </c>
      <c r="D84" s="64">
        <f ca="1">wellcount_base  +  SUM('forecast production'!I$7:I85)</f>
        <v>1</v>
      </c>
      <c r="E84" s="110">
        <f ca="1">'forecast production'!AE85</f>
        <v>312.53725898747035</v>
      </c>
      <c r="F84" s="98">
        <f ca="1">'forecast production'!AF85</f>
        <v>1662.2893403531209</v>
      </c>
      <c r="G84" s="98">
        <f ca="1">'forecast production'!AG85</f>
        <v>41.136328080095417</v>
      </c>
      <c r="H84" s="98">
        <f ca="1">'forecast production'!AH85</f>
        <v>249.34340105296812</v>
      </c>
      <c r="I84" s="307">
        <f t="shared" ca="1" si="40"/>
        <v>1</v>
      </c>
      <c r="J84" s="306">
        <f t="shared" ca="1" si="41"/>
        <v>0.75</v>
      </c>
      <c r="K84" s="112">
        <f t="shared" ca="1" si="26"/>
        <v>234.40294424060278</v>
      </c>
      <c r="L84" s="98">
        <f t="shared" ca="1" si="27"/>
        <v>935.03775394863055</v>
      </c>
      <c r="M84" s="98">
        <f t="shared" ca="1" si="28"/>
        <v>30.852246060071565</v>
      </c>
      <c r="N84" s="98">
        <f t="shared" ca="1" si="29"/>
        <v>187.00755078972608</v>
      </c>
      <c r="O84" s="67">
        <f>assumptions!M88</f>
        <v>55</v>
      </c>
      <c r="P84" s="68">
        <f>assumptions!N88</f>
        <v>3</v>
      </c>
      <c r="Q84" s="68">
        <f>assumptions!O88</f>
        <v>22</v>
      </c>
      <c r="R84" s="67">
        <f t="shared" si="30"/>
        <v>52.5</v>
      </c>
      <c r="S84" s="68">
        <f t="shared" si="31"/>
        <v>2.3275000000000001</v>
      </c>
      <c r="T84" s="68">
        <f t="shared" si="32"/>
        <v>22</v>
      </c>
      <c r="U84" s="73">
        <f t="shared" ca="1" si="33"/>
        <v>12306.154572631645</v>
      </c>
      <c r="V84" s="72">
        <f t="shared" ca="1" si="34"/>
        <v>2176.3003723154379</v>
      </c>
      <c r="W84" s="72">
        <f t="shared" ca="1" si="35"/>
        <v>4114.166117373974</v>
      </c>
      <c r="X84" s="72">
        <f t="shared" ca="1" si="42"/>
        <v>18596.621062321057</v>
      </c>
      <c r="Y84" s="73">
        <f>mult_opex * fixed_month</f>
        <v>1000</v>
      </c>
      <c r="Z84" s="72">
        <f ca="1">mult_opex * fixed_well *D84</f>
        <v>5000</v>
      </c>
      <c r="AA84" s="72">
        <f ca="1">(Z84+Y84)*WI_current_1</f>
        <v>6000</v>
      </c>
      <c r="AB84" s="72">
        <f ca="1">mult_opex * var_bo*E84</f>
        <v>0</v>
      </c>
      <c r="AC84" s="72">
        <f ca="1">mult_opex * var_mcf*F84</f>
        <v>0</v>
      </c>
      <c r="AD84" s="72">
        <f ca="1">mult_opex * var_bw * G84</f>
        <v>82.272656160190834</v>
      </c>
      <c r="AE84" s="72">
        <f ca="1">SUM(AB84:AD84)*WI_current_1</f>
        <v>82.272656160190834</v>
      </c>
      <c r="AF84" s="73">
        <f ca="1">mult_capex * IFERROR(OFFSET(assumptions!$F$39,MATCH(B84,assumptions!$E$39:$E$45,0)-1,0),0)</f>
        <v>0</v>
      </c>
      <c r="AG84" s="75">
        <f ca="1">mult_capex * capex_new*WI_current_1 *'forecast production'!I85</f>
        <v>0</v>
      </c>
      <c r="AH84" s="146">
        <f t="shared" ca="1" si="43"/>
        <v>0</v>
      </c>
      <c r="AI84" s="73">
        <f t="shared" ca="1" si="36"/>
        <v>1037.8680970677615</v>
      </c>
      <c r="AJ84" s="72">
        <f t="shared" ca="1" si="37"/>
        <v>464.91552655802644</v>
      </c>
      <c r="AK84" s="72">
        <f t="shared" ca="1" si="44"/>
        <v>1502.7836236257879</v>
      </c>
      <c r="AL84" s="73">
        <f t="shared" ca="1" si="38"/>
        <v>11011.564782535079</v>
      </c>
      <c r="AM84" s="132">
        <f ca="1">IF(X84*(lease_NRI/J84)  - (Z84+Y84+AB84+AC84+AD84)  - (AK84)*(lease_NRI/J84)&gt;0,1,0)</f>
        <v>1</v>
      </c>
      <c r="AN84" s="73">
        <f t="shared" ca="1" si="45"/>
        <v>11011.564782535079</v>
      </c>
      <c r="AO84" s="75">
        <f t="shared" ca="1" si="50"/>
        <v>1666714.9002610159</v>
      </c>
      <c r="AP84" s="72">
        <f ca="1">AL84  /  ( 1 + disc_1/12)^(COUNT($AL$6:AL84)-1)</f>
        <v>5764.0447674718198</v>
      </c>
      <c r="AQ84" s="72">
        <f t="shared" ca="1" si="51"/>
        <v>1320044.0179171821</v>
      </c>
      <c r="AS84" s="303">
        <f t="shared" ca="1" si="46"/>
        <v>1</v>
      </c>
      <c r="AT84" s="300">
        <f ca="1">IFERROR(IRR($AN$6:AN84)*12,0)</f>
        <v>0</v>
      </c>
      <c r="AU84" s="297">
        <f t="shared" ca="1" si="47"/>
        <v>0</v>
      </c>
      <c r="AV84" s="303">
        <f t="shared" ca="1" si="48"/>
        <v>0</v>
      </c>
    </row>
    <row r="85" spans="2:48" x14ac:dyDescent="0.25">
      <c r="B85" s="43">
        <f t="shared" si="49"/>
        <v>46600</v>
      </c>
      <c r="C85" s="79">
        <f t="shared" si="39"/>
        <v>2027</v>
      </c>
      <c r="D85" s="64">
        <f ca="1">wellcount_base  +  SUM('forecast production'!I$7:I86)</f>
        <v>1</v>
      </c>
      <c r="E85" s="108">
        <f ca="1">'forecast production'!AE86</f>
        <v>309.7546947896621</v>
      </c>
      <c r="F85" s="97">
        <f ca="1">'forecast production'!AF86</f>
        <v>1649.3460704152367</v>
      </c>
      <c r="G85" s="97">
        <f ca="1">'forecast production'!AG86</f>
        <v>39.684699768207032</v>
      </c>
      <c r="H85" s="98">
        <f ca="1">'forecast production'!AH86</f>
        <v>247.40191056228548</v>
      </c>
      <c r="I85" s="307">
        <f t="shared" ca="1" si="40"/>
        <v>1</v>
      </c>
      <c r="J85" s="306">
        <f t="shared" ca="1" si="41"/>
        <v>0.75</v>
      </c>
      <c r="K85" s="112">
        <f t="shared" ca="1" si="26"/>
        <v>232.31602109224656</v>
      </c>
      <c r="L85" s="98">
        <f t="shared" ca="1" si="27"/>
        <v>927.75716460857063</v>
      </c>
      <c r="M85" s="98">
        <f t="shared" ca="1" si="28"/>
        <v>29.763524826155276</v>
      </c>
      <c r="N85" s="98">
        <f t="shared" ca="1" si="29"/>
        <v>185.55143292171411</v>
      </c>
      <c r="O85" s="67">
        <f>assumptions!M89</f>
        <v>55</v>
      </c>
      <c r="P85" s="68">
        <f>assumptions!N89</f>
        <v>3</v>
      </c>
      <c r="Q85" s="68">
        <f>assumptions!O89</f>
        <v>22</v>
      </c>
      <c r="R85" s="67">
        <f t="shared" si="30"/>
        <v>52.5</v>
      </c>
      <c r="S85" s="68">
        <f t="shared" si="31"/>
        <v>2.3275000000000001</v>
      </c>
      <c r="T85" s="68">
        <f t="shared" si="32"/>
        <v>22</v>
      </c>
      <c r="U85" s="73">
        <f t="shared" ca="1" si="33"/>
        <v>12196.591107342945</v>
      </c>
      <c r="V85" s="72">
        <f t="shared" ca="1" si="34"/>
        <v>2159.3548006264482</v>
      </c>
      <c r="W85" s="72">
        <f t="shared" ca="1" si="35"/>
        <v>4082.1315242777105</v>
      </c>
      <c r="X85" s="72">
        <f t="shared" ca="1" si="42"/>
        <v>18438.077432247104</v>
      </c>
      <c r="Y85" s="73">
        <f>mult_opex * fixed_month</f>
        <v>1000</v>
      </c>
      <c r="Z85" s="72">
        <f ca="1">mult_opex * fixed_well *D85</f>
        <v>5000</v>
      </c>
      <c r="AA85" s="72">
        <f ca="1">(Z85+Y85)*WI_current_1</f>
        <v>6000</v>
      </c>
      <c r="AB85" s="72">
        <f ca="1">mult_opex * var_bo*E85</f>
        <v>0</v>
      </c>
      <c r="AC85" s="72">
        <f ca="1">mult_opex * var_mcf*F85</f>
        <v>0</v>
      </c>
      <c r="AD85" s="72">
        <f ca="1">mult_opex * var_bw * G85</f>
        <v>79.369399536414065</v>
      </c>
      <c r="AE85" s="72">
        <f ca="1">SUM(AB85:AD85)*WI_current_1</f>
        <v>79.369399536414065</v>
      </c>
      <c r="AF85" s="73">
        <f ca="1">mult_capex * IFERROR(OFFSET(assumptions!$F$39,MATCH(B85,assumptions!$E$39:$E$45,0)-1,0),0)</f>
        <v>0</v>
      </c>
      <c r="AG85" s="75">
        <f ca="1">mult_capex * capex_new*WI_current_1 *'forecast production'!I86</f>
        <v>0</v>
      </c>
      <c r="AH85" s="146">
        <f t="shared" ca="1" si="43"/>
        <v>0</v>
      </c>
      <c r="AI85" s="73">
        <f t="shared" ca="1" si="36"/>
        <v>1029.1546653055873</v>
      </c>
      <c r="AJ85" s="72">
        <f t="shared" ca="1" si="37"/>
        <v>460.95193580617763</v>
      </c>
      <c r="AK85" s="72">
        <f t="shared" ca="1" si="44"/>
        <v>1490.106601111765</v>
      </c>
      <c r="AL85" s="73">
        <f t="shared" ca="1" si="38"/>
        <v>10868.601431598923</v>
      </c>
      <c r="AM85" s="132">
        <f ca="1">IF(X85*(lease_NRI/J85)  - (Z85+Y85+AB85+AC85+AD85)  - (AK85)*(lease_NRI/J85)&gt;0,1,0)</f>
        <v>1</v>
      </c>
      <c r="AN85" s="73">
        <f t="shared" ca="1" si="45"/>
        <v>10868.601431598923</v>
      </c>
      <c r="AO85" s="75">
        <f t="shared" ca="1" si="50"/>
        <v>1677583.5016926148</v>
      </c>
      <c r="AP85" s="72">
        <f ca="1">AL85  /  ( 1 + disc_1/12)^(COUNT($AL$6:AL85)-1)</f>
        <v>5642.1918017423968</v>
      </c>
      <c r="AQ85" s="72">
        <f t="shared" ca="1" si="51"/>
        <v>1325686.2097189245</v>
      </c>
      <c r="AS85" s="303">
        <f t="shared" ca="1" si="46"/>
        <v>1</v>
      </c>
      <c r="AT85" s="300">
        <f ca="1">IFERROR(IRR($AN$6:AN85)*12,0)</f>
        <v>0</v>
      </c>
      <c r="AU85" s="297">
        <f t="shared" ca="1" si="47"/>
        <v>0</v>
      </c>
      <c r="AV85" s="303">
        <f t="shared" ca="1" si="48"/>
        <v>0</v>
      </c>
    </row>
    <row r="86" spans="2:48" x14ac:dyDescent="0.25">
      <c r="B86" s="43">
        <f t="shared" si="49"/>
        <v>46631</v>
      </c>
      <c r="C86" s="79">
        <f t="shared" si="39"/>
        <v>2027</v>
      </c>
      <c r="D86" s="64">
        <f ca="1">wellcount_base  +  SUM('forecast production'!I$7:I87)</f>
        <v>1</v>
      </c>
      <c r="E86" s="110">
        <f ca="1">'forecast production'!AE87</f>
        <v>297.11732951452262</v>
      </c>
      <c r="F86" s="98">
        <f ca="1">'forecast production'!AF87</f>
        <v>1583.8091675009125</v>
      </c>
      <c r="G86" s="98">
        <f ca="1">'forecast production'!AG87</f>
        <v>37.049558586144649</v>
      </c>
      <c r="H86" s="98">
        <f ca="1">'forecast production'!AH87</f>
        <v>237.57137512513685</v>
      </c>
      <c r="I86" s="307">
        <f t="shared" ca="1" si="40"/>
        <v>1</v>
      </c>
      <c r="J86" s="306">
        <f t="shared" ca="1" si="41"/>
        <v>0.75</v>
      </c>
      <c r="K86" s="112">
        <f t="shared" ca="1" si="26"/>
        <v>222.83799713589195</v>
      </c>
      <c r="L86" s="98">
        <f t="shared" ca="1" si="27"/>
        <v>890.89265671926319</v>
      </c>
      <c r="M86" s="98">
        <f t="shared" ca="1" si="28"/>
        <v>27.787168939608485</v>
      </c>
      <c r="N86" s="98">
        <f t="shared" ca="1" si="29"/>
        <v>178.17853134385263</v>
      </c>
      <c r="O86" s="67">
        <f>assumptions!M90</f>
        <v>55</v>
      </c>
      <c r="P86" s="68">
        <f>assumptions!N90</f>
        <v>3</v>
      </c>
      <c r="Q86" s="68">
        <f>assumptions!O90</f>
        <v>22</v>
      </c>
      <c r="R86" s="67">
        <f t="shared" si="30"/>
        <v>52.5</v>
      </c>
      <c r="S86" s="68">
        <f t="shared" si="31"/>
        <v>2.3275000000000001</v>
      </c>
      <c r="T86" s="68">
        <f t="shared" si="32"/>
        <v>22</v>
      </c>
      <c r="U86" s="73">
        <f t="shared" ca="1" si="33"/>
        <v>11698.994849634328</v>
      </c>
      <c r="V86" s="72">
        <f t="shared" ca="1" si="34"/>
        <v>2073.5526585140851</v>
      </c>
      <c r="W86" s="72">
        <f t="shared" ca="1" si="35"/>
        <v>3919.9276895647577</v>
      </c>
      <c r="X86" s="72">
        <f t="shared" ca="1" si="42"/>
        <v>17692.475197713171</v>
      </c>
      <c r="Y86" s="73">
        <f>mult_opex * fixed_month</f>
        <v>1000</v>
      </c>
      <c r="Z86" s="72">
        <f ca="1">mult_opex * fixed_well *D86</f>
        <v>5000</v>
      </c>
      <c r="AA86" s="72">
        <f ca="1">(Z86+Y86)*WI_current_1</f>
        <v>6000</v>
      </c>
      <c r="AB86" s="72">
        <f ca="1">mult_opex * var_bo*E86</f>
        <v>0</v>
      </c>
      <c r="AC86" s="72">
        <f ca="1">mult_opex * var_mcf*F86</f>
        <v>0</v>
      </c>
      <c r="AD86" s="72">
        <f ca="1">mult_opex * var_bw * G86</f>
        <v>74.099117172289297</v>
      </c>
      <c r="AE86" s="72">
        <f ca="1">SUM(AB86:AD86)*WI_current_1</f>
        <v>74.099117172289297</v>
      </c>
      <c r="AF86" s="73">
        <f ca="1">mult_capex * IFERROR(OFFSET(assumptions!$F$39,MATCH(B86,assumptions!$E$39:$E$45,0)-1,0),0)</f>
        <v>0</v>
      </c>
      <c r="AG86" s="75">
        <f ca="1">mult_capex * capex_new*WI_current_1 *'forecast production'!I87</f>
        <v>0</v>
      </c>
      <c r="AH86" s="146">
        <f t="shared" ca="1" si="43"/>
        <v>0</v>
      </c>
      <c r="AI86" s="73">
        <f t="shared" ca="1" si="36"/>
        <v>987.66478918909229</v>
      </c>
      <c r="AJ86" s="72">
        <f t="shared" ca="1" si="37"/>
        <v>442.31187994282931</v>
      </c>
      <c r="AK86" s="72">
        <f t="shared" ca="1" si="44"/>
        <v>1429.9766691319217</v>
      </c>
      <c r="AL86" s="73">
        <f t="shared" ca="1" si="38"/>
        <v>10188.39941140896</v>
      </c>
      <c r="AM86" s="132">
        <f ca="1">IF(X86*(lease_NRI/J86)  - (Z86+Y86+AB86+AC86+AD86)  - (AK86)*(lease_NRI/J86)&gt;0,1,0)</f>
        <v>1</v>
      </c>
      <c r="AN86" s="73">
        <f t="shared" ca="1" si="45"/>
        <v>10188.39941140896</v>
      </c>
      <c r="AO86" s="75">
        <f t="shared" ca="1" si="50"/>
        <v>1687771.9011040237</v>
      </c>
      <c r="AP86" s="72">
        <f ca="1">AL86  /  ( 1 + disc_1/12)^(COUNT($AL$6:AL86)-1)</f>
        <v>5245.3687019916788</v>
      </c>
      <c r="AQ86" s="72">
        <f t="shared" ca="1" si="51"/>
        <v>1330931.5784209161</v>
      </c>
      <c r="AS86" s="303">
        <f t="shared" ca="1" si="46"/>
        <v>1</v>
      </c>
      <c r="AT86" s="300">
        <f ca="1">IFERROR(IRR($AN$6:AN86)*12,0)</f>
        <v>0</v>
      </c>
      <c r="AU86" s="297">
        <f t="shared" ca="1" si="47"/>
        <v>0</v>
      </c>
      <c r="AV86" s="303">
        <f t="shared" ca="1" si="48"/>
        <v>0</v>
      </c>
    </row>
    <row r="87" spans="2:48" x14ac:dyDescent="0.25">
      <c r="B87" s="43">
        <f t="shared" si="49"/>
        <v>46661</v>
      </c>
      <c r="C87" s="79">
        <f t="shared" si="39"/>
        <v>2027</v>
      </c>
      <c r="D87" s="64">
        <f ca="1">wellcount_base  +  SUM('forecast production'!I$7:I88)</f>
        <v>1</v>
      </c>
      <c r="E87" s="110">
        <f ca="1">'forecast production'!AE88</f>
        <v>304.42150711413188</v>
      </c>
      <c r="F87" s="98">
        <f ca="1">'forecast production'!AF88</f>
        <v>1624.4567136315388</v>
      </c>
      <c r="G87" s="98">
        <f ca="1">'forecast production'!AG88</f>
        <v>36.976835061468726</v>
      </c>
      <c r="H87" s="98">
        <f ca="1">'forecast production'!AH88</f>
        <v>243.66850704473083</v>
      </c>
      <c r="I87" s="307">
        <f t="shared" ca="1" si="40"/>
        <v>1</v>
      </c>
      <c r="J87" s="306">
        <f t="shared" ca="1" si="41"/>
        <v>0.75</v>
      </c>
      <c r="K87" s="112">
        <f t="shared" ca="1" si="26"/>
        <v>228.31613033559893</v>
      </c>
      <c r="L87" s="98">
        <f t="shared" ca="1" si="27"/>
        <v>913.75690141774055</v>
      </c>
      <c r="M87" s="98">
        <f t="shared" ca="1" si="28"/>
        <v>27.732626296101543</v>
      </c>
      <c r="N87" s="98">
        <f t="shared" ca="1" si="29"/>
        <v>182.75138028354812</v>
      </c>
      <c r="O87" s="67">
        <f>assumptions!M91</f>
        <v>55</v>
      </c>
      <c r="P87" s="68">
        <f>assumptions!N91</f>
        <v>3</v>
      </c>
      <c r="Q87" s="68">
        <f>assumptions!O91</f>
        <v>22</v>
      </c>
      <c r="R87" s="67">
        <f t="shared" si="30"/>
        <v>52.5</v>
      </c>
      <c r="S87" s="68">
        <f t="shared" si="31"/>
        <v>2.3275000000000001</v>
      </c>
      <c r="T87" s="68">
        <f t="shared" si="32"/>
        <v>22</v>
      </c>
      <c r="U87" s="73">
        <f t="shared" ca="1" si="33"/>
        <v>11986.596842618943</v>
      </c>
      <c r="V87" s="72">
        <f t="shared" ca="1" si="34"/>
        <v>2126.7691880497914</v>
      </c>
      <c r="W87" s="72">
        <f t="shared" ca="1" si="35"/>
        <v>4020.5303662380584</v>
      </c>
      <c r="X87" s="72">
        <f t="shared" ca="1" si="42"/>
        <v>18133.896396906792</v>
      </c>
      <c r="Y87" s="73">
        <f>mult_opex * fixed_month</f>
        <v>1000</v>
      </c>
      <c r="Z87" s="72">
        <f ca="1">mult_opex * fixed_well *D87</f>
        <v>5000</v>
      </c>
      <c r="AA87" s="72">
        <f ca="1">(Z87+Y87)*WI_current_1</f>
        <v>6000</v>
      </c>
      <c r="AB87" s="72">
        <f ca="1">mult_opex * var_bo*E87</f>
        <v>0</v>
      </c>
      <c r="AC87" s="72">
        <f ca="1">mult_opex * var_mcf*F87</f>
        <v>0</v>
      </c>
      <c r="AD87" s="72">
        <f ca="1">mult_opex * var_bw * G87</f>
        <v>73.953670122937453</v>
      </c>
      <c r="AE87" s="72">
        <f ca="1">SUM(AB87:AD87)*WI_current_1</f>
        <v>73.953670122937453</v>
      </c>
      <c r="AF87" s="73">
        <f ca="1">mult_capex * IFERROR(OFFSET(assumptions!$F$39,MATCH(B87,assumptions!$E$39:$E$45,0)-1,0),0)</f>
        <v>0</v>
      </c>
      <c r="AG87" s="75">
        <f ca="1">mult_capex * capex_new*WI_current_1 *'forecast production'!I88</f>
        <v>0</v>
      </c>
      <c r="AH87" s="146">
        <f t="shared" ca="1" si="43"/>
        <v>0</v>
      </c>
      <c r="AI87" s="73">
        <f t="shared" ca="1" si="36"/>
        <v>1012.4309213320602</v>
      </c>
      <c r="AJ87" s="72">
        <f t="shared" ca="1" si="37"/>
        <v>453.34740992266984</v>
      </c>
      <c r="AK87" s="72">
        <f t="shared" ca="1" si="44"/>
        <v>1465.7783312547299</v>
      </c>
      <c r="AL87" s="73">
        <f t="shared" ca="1" si="38"/>
        <v>10594.164395529126</v>
      </c>
      <c r="AM87" s="132">
        <f ca="1">IF(X87*(lease_NRI/J87)  - (Z87+Y87+AB87+AC87+AD87)  - (AK87)*(lease_NRI/J87)&gt;0,1,0)</f>
        <v>1</v>
      </c>
      <c r="AN87" s="73">
        <f t="shared" ca="1" si="45"/>
        <v>10594.164395529126</v>
      </c>
      <c r="AO87" s="75">
        <f t="shared" ca="1" si="50"/>
        <v>1698366.0654995528</v>
      </c>
      <c r="AP87" s="72">
        <f ca="1">AL87  /  ( 1 + disc_1/12)^(COUNT($AL$6:AL87)-1)</f>
        <v>5409.1950516142169</v>
      </c>
      <c r="AQ87" s="72">
        <f t="shared" ca="1" si="51"/>
        <v>1336340.7734725303</v>
      </c>
      <c r="AS87" s="303">
        <f t="shared" ca="1" si="46"/>
        <v>1</v>
      </c>
      <c r="AT87" s="300">
        <f ca="1">IFERROR(IRR($AN$6:AN87)*12,0)</f>
        <v>0</v>
      </c>
      <c r="AU87" s="297">
        <f t="shared" ca="1" si="47"/>
        <v>0</v>
      </c>
      <c r="AV87" s="303">
        <f t="shared" ca="1" si="48"/>
        <v>0</v>
      </c>
    </row>
    <row r="88" spans="2:48" x14ac:dyDescent="0.25">
      <c r="B88" s="43">
        <f t="shared" si="49"/>
        <v>46692</v>
      </c>
      <c r="C88" s="79">
        <f t="shared" si="39"/>
        <v>2027</v>
      </c>
      <c r="D88" s="64">
        <f ca="1">wellcount_base  +  SUM('forecast production'!I$7:I89)</f>
        <v>1</v>
      </c>
      <c r="E88" s="110">
        <f ca="1">'forecast production'!AE89</f>
        <v>292.04609765393951</v>
      </c>
      <c r="F88" s="98">
        <f ca="1">'forecast production'!AF89</f>
        <v>1560.0906863133282</v>
      </c>
      <c r="G88" s="98">
        <f ca="1">'forecast production'!AG89</f>
        <v>34.521939421070044</v>
      </c>
      <c r="H88" s="98">
        <f ca="1">'forecast production'!AH89</f>
        <v>234.01360294699924</v>
      </c>
      <c r="I88" s="307">
        <f t="shared" ca="1" si="40"/>
        <v>1</v>
      </c>
      <c r="J88" s="306">
        <f t="shared" ca="1" si="41"/>
        <v>0.75</v>
      </c>
      <c r="K88" s="112">
        <f t="shared" ca="1" si="26"/>
        <v>219.03457324045462</v>
      </c>
      <c r="L88" s="98">
        <f t="shared" ca="1" si="27"/>
        <v>877.5510110512472</v>
      </c>
      <c r="M88" s="98">
        <f t="shared" ca="1" si="28"/>
        <v>25.891454565802533</v>
      </c>
      <c r="N88" s="98">
        <f t="shared" ca="1" si="29"/>
        <v>175.51020221024942</v>
      </c>
      <c r="O88" s="67">
        <f>assumptions!M92</f>
        <v>55</v>
      </c>
      <c r="P88" s="68">
        <f>assumptions!N92</f>
        <v>3</v>
      </c>
      <c r="Q88" s="68">
        <f>assumptions!O92</f>
        <v>22</v>
      </c>
      <c r="R88" s="67">
        <f t="shared" si="30"/>
        <v>52.5</v>
      </c>
      <c r="S88" s="68">
        <f t="shared" si="31"/>
        <v>2.3275000000000001</v>
      </c>
      <c r="T88" s="68">
        <f t="shared" si="32"/>
        <v>22</v>
      </c>
      <c r="U88" s="73">
        <f t="shared" ca="1" si="33"/>
        <v>11499.315095123868</v>
      </c>
      <c r="V88" s="72">
        <f t="shared" ca="1" si="34"/>
        <v>2042.4999782217781</v>
      </c>
      <c r="W88" s="72">
        <f t="shared" ca="1" si="35"/>
        <v>3861.2244486254872</v>
      </c>
      <c r="X88" s="72">
        <f t="shared" ca="1" si="42"/>
        <v>17403.039521971132</v>
      </c>
      <c r="Y88" s="73">
        <f>mult_opex * fixed_month</f>
        <v>1000</v>
      </c>
      <c r="Z88" s="72">
        <f ca="1">mult_opex * fixed_well *D88</f>
        <v>5000</v>
      </c>
      <c r="AA88" s="72">
        <f ca="1">(Z88+Y88)*WI_current_1</f>
        <v>6000</v>
      </c>
      <c r="AB88" s="72">
        <f ca="1">mult_opex * var_bo*E88</f>
        <v>0</v>
      </c>
      <c r="AC88" s="72">
        <f ca="1">mult_opex * var_mcf*F88</f>
        <v>0</v>
      </c>
      <c r="AD88" s="72">
        <f ca="1">mult_opex * var_bw * G88</f>
        <v>69.043878842140089</v>
      </c>
      <c r="AE88" s="72">
        <f ca="1">SUM(AB88:AD88)*WI_current_1</f>
        <v>69.043878842140089</v>
      </c>
      <c r="AF88" s="73">
        <f ca="1">mult_capex * IFERROR(OFFSET(assumptions!$F$39,MATCH(B88,assumptions!$E$39:$E$45,0)-1,0),0)</f>
        <v>0</v>
      </c>
      <c r="AG88" s="75">
        <f ca="1">mult_capex * capex_new*WI_current_1 *'forecast production'!I89</f>
        <v>0</v>
      </c>
      <c r="AH88" s="146">
        <f t="shared" ca="1" si="43"/>
        <v>0</v>
      </c>
      <c r="AI88" s="73">
        <f t="shared" ca="1" si="36"/>
        <v>971.74782638924285</v>
      </c>
      <c r="AJ88" s="72">
        <f t="shared" ca="1" si="37"/>
        <v>435.07598804927829</v>
      </c>
      <c r="AK88" s="72">
        <f t="shared" ca="1" si="44"/>
        <v>1406.8238144385211</v>
      </c>
      <c r="AL88" s="73">
        <f t="shared" ca="1" si="38"/>
        <v>9927.1718286904688</v>
      </c>
      <c r="AM88" s="132">
        <f ca="1">IF(X88*(lease_NRI/J88)  - (Z88+Y88+AB88+AC88+AD88)  - (AK88)*(lease_NRI/J88)&gt;0,1,0)</f>
        <v>1</v>
      </c>
      <c r="AN88" s="73">
        <f t="shared" ca="1" si="45"/>
        <v>9927.1718286904688</v>
      </c>
      <c r="AO88" s="75">
        <f t="shared" ca="1" si="50"/>
        <v>1708293.2373282432</v>
      </c>
      <c r="AP88" s="72">
        <f ca="1">AL88  /  ( 1 + disc_1/12)^(COUNT($AL$6:AL88)-1)</f>
        <v>5026.7507231260252</v>
      </c>
      <c r="AQ88" s="72">
        <f t="shared" ca="1" si="51"/>
        <v>1341367.5241956564</v>
      </c>
      <c r="AS88" s="303">
        <f t="shared" ca="1" si="46"/>
        <v>1</v>
      </c>
      <c r="AT88" s="300">
        <f ca="1">IFERROR(IRR($AN$6:AN88)*12,0)</f>
        <v>0</v>
      </c>
      <c r="AU88" s="297">
        <f t="shared" ca="1" si="47"/>
        <v>0</v>
      </c>
      <c r="AV88" s="303">
        <f t="shared" ca="1" si="48"/>
        <v>0</v>
      </c>
    </row>
    <row r="89" spans="2:48" x14ac:dyDescent="0.25">
      <c r="B89" s="44">
        <f t="shared" si="49"/>
        <v>46722</v>
      </c>
      <c r="C89" s="100">
        <f t="shared" si="39"/>
        <v>2027</v>
      </c>
      <c r="D89" s="65">
        <f ca="1">wellcount_base  +  SUM('forecast production'!I$7:I90)</f>
        <v>1</v>
      </c>
      <c r="E89" s="109">
        <f ca="1">'forecast production'!AE90</f>
        <v>299.26885885230371</v>
      </c>
      <c r="F89" s="101">
        <f ca="1">'forecast production'!AF90</f>
        <v>1600.3073723451148</v>
      </c>
      <c r="G89" s="101">
        <f ca="1">'forecast production'!AG90</f>
        <v>34.454600243854998</v>
      </c>
      <c r="H89" s="102">
        <f ca="1">'forecast production'!AH90</f>
        <v>240.04610585176724</v>
      </c>
      <c r="I89" s="308">
        <f t="shared" ca="1" si="40"/>
        <v>1</v>
      </c>
      <c r="J89" s="309">
        <f t="shared" ca="1" si="41"/>
        <v>0.75</v>
      </c>
      <c r="K89" s="113">
        <f t="shared" ca="1" si="26"/>
        <v>224.45164413922777</v>
      </c>
      <c r="L89" s="102">
        <f t="shared" ca="1" si="27"/>
        <v>900.17289694412716</v>
      </c>
      <c r="M89" s="102">
        <f t="shared" ca="1" si="28"/>
        <v>25.840950182891248</v>
      </c>
      <c r="N89" s="102">
        <f t="shared" ca="1" si="29"/>
        <v>180.03457938882542</v>
      </c>
      <c r="O89" s="103">
        <f>assumptions!M93</f>
        <v>55</v>
      </c>
      <c r="P89" s="104">
        <f>assumptions!N93</f>
        <v>3</v>
      </c>
      <c r="Q89" s="104">
        <f>assumptions!O93</f>
        <v>22</v>
      </c>
      <c r="R89" s="103">
        <f t="shared" si="30"/>
        <v>52.5</v>
      </c>
      <c r="S89" s="104">
        <f t="shared" si="31"/>
        <v>2.3275000000000001</v>
      </c>
      <c r="T89" s="104">
        <f t="shared" si="32"/>
        <v>22</v>
      </c>
      <c r="U89" s="105">
        <f t="shared" ca="1" si="33"/>
        <v>11783.711317309459</v>
      </c>
      <c r="V89" s="106">
        <f t="shared" ca="1" si="34"/>
        <v>2095.152417637456</v>
      </c>
      <c r="W89" s="106">
        <f t="shared" ca="1" si="35"/>
        <v>3960.7607465541591</v>
      </c>
      <c r="X89" s="106">
        <f t="shared" ca="1" si="42"/>
        <v>17839.624481501072</v>
      </c>
      <c r="Y89" s="105">
        <f>mult_opex * fixed_month</f>
        <v>1000</v>
      </c>
      <c r="Z89" s="106">
        <f ca="1">mult_opex * fixed_well *D89</f>
        <v>5000</v>
      </c>
      <c r="AA89" s="106">
        <f ca="1">(Z89+Y89)*WI_current_1</f>
        <v>6000</v>
      </c>
      <c r="AB89" s="106">
        <f ca="1">mult_opex * var_bo*E89</f>
        <v>0</v>
      </c>
      <c r="AC89" s="106">
        <f ca="1">mult_opex * var_mcf*F89</f>
        <v>0</v>
      </c>
      <c r="AD89" s="106">
        <f ca="1">mult_opex * var_bw * G89</f>
        <v>68.909200487709995</v>
      </c>
      <c r="AE89" s="106">
        <f ca="1">SUM(AB89:AD89)*WI_current_1</f>
        <v>68.909200487709995</v>
      </c>
      <c r="AF89" s="105">
        <f ca="1">mult_capex * IFERROR(OFFSET(assumptions!$F$39,MATCH(B89,assumptions!$E$39:$E$45,0)-1,0),0)</f>
        <v>0</v>
      </c>
      <c r="AG89" s="106">
        <f ca="1">mult_capex * capex_new*WI_current_1 *'forecast production'!I90</f>
        <v>0</v>
      </c>
      <c r="AH89" s="147">
        <f t="shared" ca="1" si="43"/>
        <v>0</v>
      </c>
      <c r="AI89" s="105">
        <f t="shared" ca="1" si="36"/>
        <v>996.24420791060618</v>
      </c>
      <c r="AJ89" s="106">
        <f t="shared" ca="1" si="37"/>
        <v>445.99061203752683</v>
      </c>
      <c r="AK89" s="106">
        <f t="shared" ca="1" si="44"/>
        <v>1442.234819948133</v>
      </c>
      <c r="AL89" s="105">
        <f t="shared" ca="1" si="38"/>
        <v>10328.48046106523</v>
      </c>
      <c r="AM89" s="133">
        <f ca="1">IF(X89*(lease_NRI/J89)  - (Z89+Y89+AB89+AC89+AD89)  - (AK89)*(lease_NRI/J89)&gt;0,1,0)</f>
        <v>1</v>
      </c>
      <c r="AN89" s="105">
        <f t="shared" ca="1" si="45"/>
        <v>10328.48046106523</v>
      </c>
      <c r="AO89" s="106">
        <f t="shared" ca="1" si="50"/>
        <v>1718621.7177893084</v>
      </c>
      <c r="AP89" s="106">
        <f ca="1">AL89  /  ( 1 + disc_1/12)^(COUNT($AL$6:AL89)-1)</f>
        <v>5186.7356964885093</v>
      </c>
      <c r="AQ89" s="106">
        <f t="shared" ca="1" si="51"/>
        <v>1346554.2598921449</v>
      </c>
      <c r="AS89" s="304">
        <f t="shared" ca="1" si="46"/>
        <v>1</v>
      </c>
      <c r="AT89" s="301">
        <f ca="1">IFERROR(IRR($AN$6:AN89)*12,0)</f>
        <v>0</v>
      </c>
      <c r="AU89" s="298">
        <f t="shared" ca="1" si="47"/>
        <v>0</v>
      </c>
      <c r="AV89" s="304">
        <f t="shared" ca="1" si="48"/>
        <v>0</v>
      </c>
    </row>
    <row r="90" spans="2:48" x14ac:dyDescent="0.25">
      <c r="B90" s="43">
        <f t="shared" si="49"/>
        <v>46753</v>
      </c>
      <c r="C90" s="79">
        <f t="shared" si="39"/>
        <v>2028</v>
      </c>
      <c r="D90" s="64">
        <f ca="1">wellcount_base  +  SUM('forecast production'!I$7:I91)</f>
        <v>1</v>
      </c>
      <c r="E90" s="110">
        <f ca="1">'forecast production'!AE91</f>
        <v>296.71657582403259</v>
      </c>
      <c r="F90" s="98">
        <f ca="1">'forecast production'!AF91</f>
        <v>1588.307857453922</v>
      </c>
      <c r="G90" s="98">
        <f ca="1">'forecast production'!AG91</f>
        <v>33.239816045503758</v>
      </c>
      <c r="H90" s="98">
        <f ca="1">'forecast production'!AH91</f>
        <v>238.24617861808832</v>
      </c>
      <c r="I90" s="307">
        <f t="shared" ca="1" si="40"/>
        <v>1</v>
      </c>
      <c r="J90" s="306">
        <f t="shared" ca="1" si="41"/>
        <v>0.75</v>
      </c>
      <c r="K90" s="112">
        <f t="shared" ca="1" si="26"/>
        <v>222.53743186802444</v>
      </c>
      <c r="L90" s="98">
        <f t="shared" ca="1" si="27"/>
        <v>893.42316981783108</v>
      </c>
      <c r="M90" s="98">
        <f t="shared" ca="1" si="28"/>
        <v>24.929862034127819</v>
      </c>
      <c r="N90" s="98">
        <f t="shared" ca="1" si="29"/>
        <v>178.68463396356623</v>
      </c>
      <c r="O90" s="67">
        <f>assumptions!M94</f>
        <v>55</v>
      </c>
      <c r="P90" s="68">
        <f>assumptions!N94</f>
        <v>3</v>
      </c>
      <c r="Q90" s="68">
        <f>assumptions!O94</f>
        <v>22</v>
      </c>
      <c r="R90" s="67">
        <f t="shared" si="30"/>
        <v>52.5</v>
      </c>
      <c r="S90" s="68">
        <f t="shared" si="31"/>
        <v>2.3275000000000001</v>
      </c>
      <c r="T90" s="68">
        <f t="shared" si="32"/>
        <v>22</v>
      </c>
      <c r="U90" s="73">
        <f t="shared" ca="1" si="33"/>
        <v>11683.215173071283</v>
      </c>
      <c r="V90" s="72">
        <f t="shared" ca="1" si="34"/>
        <v>2079.442427751002</v>
      </c>
      <c r="W90" s="72">
        <f t="shared" ca="1" si="35"/>
        <v>3931.0619471984569</v>
      </c>
      <c r="X90" s="72">
        <f t="shared" ca="1" si="42"/>
        <v>17693.719548020741</v>
      </c>
      <c r="Y90" s="73">
        <f>mult_opex * fixed_month</f>
        <v>1000</v>
      </c>
      <c r="Z90" s="72">
        <f ca="1">mult_opex * fixed_well *D90</f>
        <v>5000</v>
      </c>
      <c r="AA90" s="72">
        <f ca="1">(Z90+Y90)*WI_current_1</f>
        <v>6000</v>
      </c>
      <c r="AB90" s="72">
        <f ca="1">mult_opex * var_bo*E90</f>
        <v>0</v>
      </c>
      <c r="AC90" s="72">
        <f ca="1">mult_opex * var_mcf*F90</f>
        <v>0</v>
      </c>
      <c r="AD90" s="72">
        <f ca="1">mult_opex * var_bw * G90</f>
        <v>66.479632091007517</v>
      </c>
      <c r="AE90" s="72">
        <f ca="1">SUM(AB90:AD90)*WI_current_1</f>
        <v>66.479632091007517</v>
      </c>
      <c r="AF90" s="73">
        <f ca="1">mult_capex * IFERROR(OFFSET(assumptions!$F$39,MATCH(B90,assumptions!$E$39:$E$45,0)-1,0),0)</f>
        <v>0</v>
      </c>
      <c r="AG90" s="75">
        <f ca="1">mult_capex * capex_new*WI_current_1 *'forecast production'!I91</f>
        <v>0</v>
      </c>
      <c r="AH90" s="146">
        <f t="shared" ca="1" si="43"/>
        <v>0</v>
      </c>
      <c r="AI90" s="73">
        <f t="shared" ca="1" si="36"/>
        <v>988.21572608248835</v>
      </c>
      <c r="AJ90" s="72">
        <f t="shared" ca="1" si="37"/>
        <v>442.34298870051856</v>
      </c>
      <c r="AK90" s="72">
        <f t="shared" ca="1" si="44"/>
        <v>1430.558714783007</v>
      </c>
      <c r="AL90" s="73">
        <f t="shared" ca="1" si="38"/>
        <v>10196.681201146728</v>
      </c>
      <c r="AM90" s="132">
        <f ca="1">IF(X90*(lease_NRI/J90)  - (Z90+Y90+AB90+AC90+AD90)  - (AK90)*(lease_NRI/J90)&gt;0,1,0)</f>
        <v>1</v>
      </c>
      <c r="AN90" s="73">
        <f t="shared" ca="1" si="45"/>
        <v>10196.681201146728</v>
      </c>
      <c r="AO90" s="75">
        <f t="shared" ca="1" si="50"/>
        <v>1728818.3989904551</v>
      </c>
      <c r="AP90" s="72">
        <f ca="1">AL90  /  ( 1 + disc_1/12)^(COUNT($AL$6:AL90)-1)</f>
        <v>5078.2304204509101</v>
      </c>
      <c r="AQ90" s="72">
        <f t="shared" ca="1" si="51"/>
        <v>1351632.4903125959</v>
      </c>
      <c r="AS90" s="303">
        <f t="shared" ca="1" si="46"/>
        <v>1</v>
      </c>
      <c r="AT90" s="300">
        <f ca="1">IFERROR(IRR($AN$6:AN90)*12,0)</f>
        <v>0</v>
      </c>
      <c r="AU90" s="297">
        <f t="shared" ca="1" si="47"/>
        <v>0</v>
      </c>
      <c r="AV90" s="303">
        <f t="shared" ca="1" si="48"/>
        <v>0</v>
      </c>
    </row>
    <row r="91" spans="2:48" x14ac:dyDescent="0.25">
      <c r="B91" s="43">
        <f t="shared" si="49"/>
        <v>46784</v>
      </c>
      <c r="C91" s="79">
        <f t="shared" si="39"/>
        <v>2028</v>
      </c>
      <c r="D91" s="64">
        <f ca="1">wellcount_base  +  SUM('forecast production'!I$7:I92)</f>
        <v>1</v>
      </c>
      <c r="E91" s="110">
        <f ca="1">'forecast production'!AE92</f>
        <v>275.22633206819989</v>
      </c>
      <c r="F91" s="98">
        <f ca="1">'forecast production'!AF92</f>
        <v>1474.7781184117041</v>
      </c>
      <c r="G91" s="98">
        <f ca="1">'forecast production'!AG92</f>
        <v>29.999161026323641</v>
      </c>
      <c r="H91" s="98">
        <f ca="1">'forecast production'!AH92</f>
        <v>221.2167177617556</v>
      </c>
      <c r="I91" s="307">
        <f t="shared" ca="1" si="40"/>
        <v>1</v>
      </c>
      <c r="J91" s="306">
        <f t="shared" ca="1" si="41"/>
        <v>0.75</v>
      </c>
      <c r="K91" s="112">
        <f t="shared" ca="1" si="26"/>
        <v>206.41974905114992</v>
      </c>
      <c r="L91" s="98">
        <f t="shared" ca="1" si="27"/>
        <v>829.5626916065836</v>
      </c>
      <c r="M91" s="98">
        <f t="shared" ca="1" si="28"/>
        <v>22.499370769742733</v>
      </c>
      <c r="N91" s="98">
        <f t="shared" ca="1" si="29"/>
        <v>165.9125383213167</v>
      </c>
      <c r="O91" s="67">
        <f>assumptions!M95</f>
        <v>55</v>
      </c>
      <c r="P91" s="68">
        <f>assumptions!N95</f>
        <v>3</v>
      </c>
      <c r="Q91" s="68">
        <f>assumptions!O95</f>
        <v>22</v>
      </c>
      <c r="R91" s="67">
        <f t="shared" si="30"/>
        <v>52.5</v>
      </c>
      <c r="S91" s="68">
        <f t="shared" si="31"/>
        <v>2.3275000000000001</v>
      </c>
      <c r="T91" s="68">
        <f t="shared" si="32"/>
        <v>22</v>
      </c>
      <c r="U91" s="73">
        <f t="shared" ca="1" si="33"/>
        <v>10837.036825185371</v>
      </c>
      <c r="V91" s="72">
        <f t="shared" ca="1" si="34"/>
        <v>1930.8071647143233</v>
      </c>
      <c r="W91" s="72">
        <f t="shared" ca="1" si="35"/>
        <v>3650.0758430689675</v>
      </c>
      <c r="X91" s="72">
        <f t="shared" ca="1" si="42"/>
        <v>16417.919832968662</v>
      </c>
      <c r="Y91" s="73">
        <f>mult_opex * fixed_month</f>
        <v>1000</v>
      </c>
      <c r="Z91" s="72">
        <f ca="1">mult_opex * fixed_well *D91</f>
        <v>5000</v>
      </c>
      <c r="AA91" s="72">
        <f ca="1">(Z91+Y91)*WI_current_1</f>
        <v>6000</v>
      </c>
      <c r="AB91" s="72">
        <f ca="1">mult_opex * var_bo*E91</f>
        <v>0</v>
      </c>
      <c r="AC91" s="72">
        <f ca="1">mult_opex * var_mcf*F91</f>
        <v>0</v>
      </c>
      <c r="AD91" s="72">
        <f ca="1">mult_opex * var_bw * G91</f>
        <v>59.998322052647282</v>
      </c>
      <c r="AE91" s="72">
        <f ca="1">SUM(AB91:AD91)*WI_current_1</f>
        <v>59.998322052647282</v>
      </c>
      <c r="AF91" s="73">
        <f ca="1">mult_capex * IFERROR(OFFSET(assumptions!$F$39,MATCH(B91,assumptions!$E$39:$E$45,0)-1,0),0)</f>
        <v>0</v>
      </c>
      <c r="AG91" s="75">
        <f ca="1">mult_capex * capex_new*WI_current_1 *'forecast production'!I92</f>
        <v>0</v>
      </c>
      <c r="AH91" s="146">
        <f t="shared" ca="1" si="43"/>
        <v>0</v>
      </c>
      <c r="AI91" s="73">
        <f t="shared" ca="1" si="36"/>
        <v>917.06991954227374</v>
      </c>
      <c r="AJ91" s="72">
        <f t="shared" ca="1" si="37"/>
        <v>410.4479958242166</v>
      </c>
      <c r="AK91" s="72">
        <f t="shared" ca="1" si="44"/>
        <v>1327.5179153664903</v>
      </c>
      <c r="AL91" s="73">
        <f t="shared" ca="1" si="38"/>
        <v>9030.4035955495256</v>
      </c>
      <c r="AM91" s="132">
        <f ca="1">IF(X91*(lease_NRI/J91)  - (Z91+Y91+AB91+AC91+AD91)  - (AK91)*(lease_NRI/J91)&gt;0,1,0)</f>
        <v>1</v>
      </c>
      <c r="AN91" s="73">
        <f t="shared" ca="1" si="45"/>
        <v>9030.4035955495256</v>
      </c>
      <c r="AO91" s="75">
        <f t="shared" ca="1" si="50"/>
        <v>1737848.8025860046</v>
      </c>
      <c r="AP91" s="72">
        <f ca="1">AL91  /  ( 1 + disc_1/12)^(COUNT($AL$6:AL91)-1)</f>
        <v>4460.2232558639762</v>
      </c>
      <c r="AQ91" s="72">
        <f t="shared" ca="1" si="51"/>
        <v>1356092.7135684597</v>
      </c>
      <c r="AS91" s="303">
        <f t="shared" ca="1" si="46"/>
        <v>1</v>
      </c>
      <c r="AT91" s="300">
        <f ca="1">IFERROR(IRR($AN$6:AN91)*12,0)</f>
        <v>0</v>
      </c>
      <c r="AU91" s="297">
        <f t="shared" ca="1" si="47"/>
        <v>0</v>
      </c>
      <c r="AV91" s="303">
        <f t="shared" ca="1" si="48"/>
        <v>0</v>
      </c>
    </row>
    <row r="92" spans="2:48" x14ac:dyDescent="0.25">
      <c r="B92" s="43">
        <f t="shared" si="49"/>
        <v>46813</v>
      </c>
      <c r="C92" s="79">
        <f t="shared" si="39"/>
        <v>2028</v>
      </c>
      <c r="D92" s="64">
        <f ca="1">wellcount_base  +  SUM('forecast production'!I$7:I93)</f>
        <v>1</v>
      </c>
      <c r="E92" s="110">
        <f ca="1">'forecast production'!AE93</f>
        <v>291.89833525889827</v>
      </c>
      <c r="F92" s="98">
        <f ca="1">'forecast production'!AF93</f>
        <v>1565.5868798950401</v>
      </c>
      <c r="G92" s="98">
        <f ca="1">'forecast production'!AG93</f>
        <v>31.009521576022461</v>
      </c>
      <c r="H92" s="98">
        <f ca="1">'forecast production'!AH93</f>
        <v>234.83803198425599</v>
      </c>
      <c r="I92" s="307">
        <f t="shared" ca="1" si="40"/>
        <v>1</v>
      </c>
      <c r="J92" s="306">
        <f t="shared" ca="1" si="41"/>
        <v>0.75</v>
      </c>
      <c r="K92" s="112">
        <f t="shared" ca="1" si="26"/>
        <v>218.92375144417372</v>
      </c>
      <c r="L92" s="98">
        <f t="shared" ca="1" si="27"/>
        <v>880.64261994096012</v>
      </c>
      <c r="M92" s="98">
        <f t="shared" ca="1" si="28"/>
        <v>23.257141182016845</v>
      </c>
      <c r="N92" s="98">
        <f t="shared" ca="1" si="29"/>
        <v>176.128523988192</v>
      </c>
      <c r="O92" s="67">
        <f>assumptions!M96</f>
        <v>55</v>
      </c>
      <c r="P92" s="68">
        <f>assumptions!N96</f>
        <v>3</v>
      </c>
      <c r="Q92" s="68">
        <f>assumptions!O96</f>
        <v>22</v>
      </c>
      <c r="R92" s="67">
        <f t="shared" si="30"/>
        <v>52.5</v>
      </c>
      <c r="S92" s="68">
        <f t="shared" si="31"/>
        <v>2.3275000000000001</v>
      </c>
      <c r="T92" s="68">
        <f t="shared" si="32"/>
        <v>22</v>
      </c>
      <c r="U92" s="73">
        <f t="shared" ca="1" si="33"/>
        <v>11493.496950819121</v>
      </c>
      <c r="V92" s="72">
        <f t="shared" ca="1" si="34"/>
        <v>2049.6956979125848</v>
      </c>
      <c r="W92" s="72">
        <f t="shared" ca="1" si="35"/>
        <v>3874.827527740224</v>
      </c>
      <c r="X92" s="72">
        <f t="shared" ca="1" si="42"/>
        <v>17418.020176471928</v>
      </c>
      <c r="Y92" s="73">
        <f>mult_opex * fixed_month</f>
        <v>1000</v>
      </c>
      <c r="Z92" s="72">
        <f ca="1">mult_opex * fixed_well *D92</f>
        <v>5000</v>
      </c>
      <c r="AA92" s="72">
        <f ca="1">(Z92+Y92)*WI_current_1</f>
        <v>6000</v>
      </c>
      <c r="AB92" s="72">
        <f ca="1">mult_opex * var_bo*E92</f>
        <v>0</v>
      </c>
      <c r="AC92" s="72">
        <f ca="1">mult_opex * var_mcf*F92</f>
        <v>0</v>
      </c>
      <c r="AD92" s="72">
        <f ca="1">mult_opex * var_bw * G92</f>
        <v>62.019043152044922</v>
      </c>
      <c r="AE92" s="72">
        <f ca="1">SUM(AB92:AD92)*WI_current_1</f>
        <v>62.019043152044922</v>
      </c>
      <c r="AF92" s="73">
        <f ca="1">mult_capex * IFERROR(OFFSET(assumptions!$F$39,MATCH(B92,assumptions!$E$39:$E$45,0)-1,0),0)</f>
        <v>0</v>
      </c>
      <c r="AG92" s="75">
        <f ca="1">mult_capex * capex_new*WI_current_1 *'forecast production'!I93</f>
        <v>0</v>
      </c>
      <c r="AH92" s="146">
        <f t="shared" ca="1" si="43"/>
        <v>0</v>
      </c>
      <c r="AI92" s="73">
        <f t="shared" ca="1" si="36"/>
        <v>973.04010166164016</v>
      </c>
      <c r="AJ92" s="72">
        <f t="shared" ca="1" si="37"/>
        <v>435.45050441179819</v>
      </c>
      <c r="AK92" s="72">
        <f t="shared" ca="1" si="44"/>
        <v>1408.4906060734384</v>
      </c>
      <c r="AL92" s="73">
        <f t="shared" ca="1" si="38"/>
        <v>9947.5105272464425</v>
      </c>
      <c r="AM92" s="132">
        <f ca="1">IF(X92*(lease_NRI/J92)  - (Z92+Y92+AB92+AC92+AD92)  - (AK92)*(lease_NRI/J92)&gt;0,1,0)</f>
        <v>1</v>
      </c>
      <c r="AN92" s="73">
        <f t="shared" ca="1" si="45"/>
        <v>9947.5105272464425</v>
      </c>
      <c r="AO92" s="75">
        <f t="shared" ca="1" si="50"/>
        <v>1747796.313113251</v>
      </c>
      <c r="AP92" s="72">
        <f ca="1">AL92  /  ( 1 + disc_1/12)^(COUNT($AL$6:AL92)-1)</f>
        <v>4872.5883252689964</v>
      </c>
      <c r="AQ92" s="72">
        <f t="shared" ca="1" si="51"/>
        <v>1360965.3018937288</v>
      </c>
      <c r="AS92" s="303">
        <f t="shared" ca="1" si="46"/>
        <v>1</v>
      </c>
      <c r="AT92" s="300">
        <f ca="1">IFERROR(IRR($AN$6:AN92)*12,0)</f>
        <v>0</v>
      </c>
      <c r="AU92" s="297">
        <f t="shared" ca="1" si="47"/>
        <v>0</v>
      </c>
      <c r="AV92" s="303">
        <f t="shared" ca="1" si="48"/>
        <v>0</v>
      </c>
    </row>
    <row r="93" spans="2:48" x14ac:dyDescent="0.25">
      <c r="B93" s="43">
        <f t="shared" si="49"/>
        <v>46844</v>
      </c>
      <c r="C93" s="79">
        <f t="shared" si="39"/>
        <v>2028</v>
      </c>
      <c r="D93" s="64">
        <f ca="1">wellcount_base  +  SUM('forecast production'!I$7:I94)</f>
        <v>1</v>
      </c>
      <c r="E93" s="110">
        <f ca="1">'forecast production'!AE94</f>
        <v>280.13197885189419</v>
      </c>
      <c r="F93" s="98">
        <f ca="1">'forecast production'!AF94</f>
        <v>1503.968258933829</v>
      </c>
      <c r="G93" s="98">
        <f ca="1">'forecast production'!AG94</f>
        <v>28.951710754702091</v>
      </c>
      <c r="H93" s="98">
        <f ca="1">'forecast production'!AH94</f>
        <v>225.59523884007433</v>
      </c>
      <c r="I93" s="307">
        <f t="shared" ca="1" si="40"/>
        <v>1</v>
      </c>
      <c r="J93" s="306">
        <f t="shared" ca="1" si="41"/>
        <v>0.75</v>
      </c>
      <c r="K93" s="112">
        <f t="shared" ca="1" si="26"/>
        <v>210.09898413892063</v>
      </c>
      <c r="L93" s="98">
        <f t="shared" ca="1" si="27"/>
        <v>845.98214565027888</v>
      </c>
      <c r="M93" s="98">
        <f t="shared" ca="1" si="28"/>
        <v>21.713783066026568</v>
      </c>
      <c r="N93" s="98">
        <f t="shared" ca="1" si="29"/>
        <v>169.19642913005575</v>
      </c>
      <c r="O93" s="67">
        <f>assumptions!M97</f>
        <v>55</v>
      </c>
      <c r="P93" s="68">
        <f>assumptions!N97</f>
        <v>3</v>
      </c>
      <c r="Q93" s="68">
        <f>assumptions!O97</f>
        <v>22</v>
      </c>
      <c r="R93" s="67">
        <f t="shared" si="30"/>
        <v>52.5</v>
      </c>
      <c r="S93" s="68">
        <f t="shared" si="31"/>
        <v>2.3275000000000001</v>
      </c>
      <c r="T93" s="68">
        <f t="shared" si="32"/>
        <v>22</v>
      </c>
      <c r="U93" s="73">
        <f t="shared" ca="1" si="33"/>
        <v>11030.196667293332</v>
      </c>
      <c r="V93" s="72">
        <f t="shared" ca="1" si="34"/>
        <v>1969.0234440010242</v>
      </c>
      <c r="W93" s="72">
        <f t="shared" ca="1" si="35"/>
        <v>3722.3214408612266</v>
      </c>
      <c r="X93" s="72">
        <f t="shared" ca="1" si="42"/>
        <v>16721.541552155584</v>
      </c>
      <c r="Y93" s="73">
        <f>mult_opex * fixed_month</f>
        <v>1000</v>
      </c>
      <c r="Z93" s="72">
        <f ca="1">mult_opex * fixed_well *D93</f>
        <v>5000</v>
      </c>
      <c r="AA93" s="72">
        <f ca="1">(Z93+Y93)*WI_current_1</f>
        <v>6000</v>
      </c>
      <c r="AB93" s="72">
        <f ca="1">mult_opex * var_bo*E93</f>
        <v>0</v>
      </c>
      <c r="AC93" s="72">
        <f ca="1">mult_opex * var_mcf*F93</f>
        <v>0</v>
      </c>
      <c r="AD93" s="72">
        <f ca="1">mult_opex * var_bw * G93</f>
        <v>57.903421509404183</v>
      </c>
      <c r="AE93" s="72">
        <f ca="1">SUM(AB93:AD93)*WI_current_1</f>
        <v>57.903421509404183</v>
      </c>
      <c r="AF93" s="73">
        <f ca="1">mult_capex * IFERROR(OFFSET(assumptions!$F$39,MATCH(B93,assumptions!$E$39:$E$45,0)-1,0),0)</f>
        <v>0</v>
      </c>
      <c r="AG93" s="75">
        <f ca="1">mult_capex * capex_new*WI_current_1 *'forecast production'!I94</f>
        <v>0</v>
      </c>
      <c r="AH93" s="146">
        <f t="shared" ca="1" si="43"/>
        <v>0</v>
      </c>
      <c r="AI93" s="73">
        <f t="shared" ca="1" si="36"/>
        <v>934.23991306016205</v>
      </c>
      <c r="AJ93" s="72">
        <f t="shared" ca="1" si="37"/>
        <v>418.03853880388965</v>
      </c>
      <c r="AK93" s="72">
        <f t="shared" ca="1" si="44"/>
        <v>1352.2784518640517</v>
      </c>
      <c r="AL93" s="73">
        <f t="shared" ca="1" si="38"/>
        <v>9311.3596787821298</v>
      </c>
      <c r="AM93" s="132">
        <f ca="1">IF(X93*(lease_NRI/J93)  - (Z93+Y93+AB93+AC93+AD93)  - (AK93)*(lease_NRI/J93)&gt;0,1,0)</f>
        <v>1</v>
      </c>
      <c r="AN93" s="73">
        <f t="shared" ca="1" si="45"/>
        <v>9311.3596787821298</v>
      </c>
      <c r="AO93" s="75">
        <f t="shared" ca="1" si="50"/>
        <v>1757107.6727920331</v>
      </c>
      <c r="AP93" s="72">
        <f ca="1">AL93  /  ( 1 + disc_1/12)^(COUNT($AL$6:AL93)-1)</f>
        <v>4523.2885324276158</v>
      </c>
      <c r="AQ93" s="72">
        <f t="shared" ca="1" si="51"/>
        <v>1365488.5904261563</v>
      </c>
      <c r="AS93" s="303">
        <f t="shared" ca="1" si="46"/>
        <v>1</v>
      </c>
      <c r="AT93" s="300">
        <f ca="1">IFERROR(IRR($AN$6:AN93)*12,0)</f>
        <v>0</v>
      </c>
      <c r="AU93" s="297">
        <f t="shared" ca="1" si="47"/>
        <v>0</v>
      </c>
      <c r="AV93" s="303">
        <f t="shared" ca="1" si="48"/>
        <v>0</v>
      </c>
    </row>
    <row r="94" spans="2:48" x14ac:dyDescent="0.25">
      <c r="B94" s="43">
        <f t="shared" si="49"/>
        <v>46874</v>
      </c>
      <c r="C94" s="79">
        <f t="shared" si="39"/>
        <v>2028</v>
      </c>
      <c r="D94" s="64">
        <f ca="1">wellcount_base  +  SUM('forecast production'!I$7:I95)</f>
        <v>1</v>
      </c>
      <c r="E94" s="110">
        <f ca="1">'forecast production'!AE95</f>
        <v>287.1576014236249</v>
      </c>
      <c r="F94" s="98">
        <f ca="1">'forecast production'!AF95</f>
        <v>1543.1440620268268</v>
      </c>
      <c r="G94" s="98">
        <f ca="1">'forecast production'!AG95</f>
        <v>28.89611977388202</v>
      </c>
      <c r="H94" s="98">
        <f ca="1">'forecast production'!AH95</f>
        <v>231.47160930402401</v>
      </c>
      <c r="I94" s="307">
        <f t="shared" ca="1" si="40"/>
        <v>1</v>
      </c>
      <c r="J94" s="306">
        <f t="shared" ca="1" si="41"/>
        <v>0.75</v>
      </c>
      <c r="K94" s="112">
        <f t="shared" ca="1" si="26"/>
        <v>215.36820106771867</v>
      </c>
      <c r="L94" s="98">
        <f t="shared" ca="1" si="27"/>
        <v>868.01853489009</v>
      </c>
      <c r="M94" s="98">
        <f t="shared" ca="1" si="28"/>
        <v>21.672089830411515</v>
      </c>
      <c r="N94" s="98">
        <f t="shared" ca="1" si="29"/>
        <v>173.60370697801801</v>
      </c>
      <c r="O94" s="67">
        <f>assumptions!M98</f>
        <v>55</v>
      </c>
      <c r="P94" s="68">
        <f>assumptions!N98</f>
        <v>3</v>
      </c>
      <c r="Q94" s="68">
        <f>assumptions!O98</f>
        <v>22</v>
      </c>
      <c r="R94" s="67">
        <f t="shared" si="30"/>
        <v>52.5</v>
      </c>
      <c r="S94" s="68">
        <f t="shared" si="31"/>
        <v>2.3275000000000001</v>
      </c>
      <c r="T94" s="68">
        <f t="shared" si="32"/>
        <v>22</v>
      </c>
      <c r="U94" s="73">
        <f t="shared" ca="1" si="33"/>
        <v>11306.830556055231</v>
      </c>
      <c r="V94" s="72">
        <f t="shared" ca="1" si="34"/>
        <v>2020.3131399566846</v>
      </c>
      <c r="W94" s="72">
        <f t="shared" ca="1" si="35"/>
        <v>3819.2815535163963</v>
      </c>
      <c r="X94" s="72">
        <f t="shared" ca="1" si="42"/>
        <v>17146.425249528311</v>
      </c>
      <c r="Y94" s="73">
        <f>mult_opex * fixed_month</f>
        <v>1000</v>
      </c>
      <c r="Z94" s="72">
        <f ca="1">mult_opex * fixed_well *D94</f>
        <v>5000</v>
      </c>
      <c r="AA94" s="72">
        <f ca="1">(Z94+Y94)*WI_current_1</f>
        <v>6000</v>
      </c>
      <c r="AB94" s="72">
        <f ca="1">mult_opex * var_bo*E94</f>
        <v>0</v>
      </c>
      <c r="AC94" s="72">
        <f ca="1">mult_opex * var_mcf*F94</f>
        <v>0</v>
      </c>
      <c r="AD94" s="72">
        <f ca="1">mult_opex * var_bw * G94</f>
        <v>57.792239547764041</v>
      </c>
      <c r="AE94" s="72">
        <f ca="1">SUM(AB94:AD94)*WI_current_1</f>
        <v>57.792239547764041</v>
      </c>
      <c r="AF94" s="73">
        <f ca="1">mult_capex * IFERROR(OFFSET(assumptions!$F$39,MATCH(B94,assumptions!$E$39:$E$45,0)-1,0),0)</f>
        <v>0</v>
      </c>
      <c r="AG94" s="75">
        <f ca="1">mult_capex * capex_new*WI_current_1 *'forecast production'!I95</f>
        <v>0</v>
      </c>
      <c r="AH94" s="146">
        <f t="shared" ca="1" si="43"/>
        <v>0</v>
      </c>
      <c r="AI94" s="73">
        <f t="shared" ca="1" si="36"/>
        <v>958.08380758902172</v>
      </c>
      <c r="AJ94" s="72">
        <f t="shared" ca="1" si="37"/>
        <v>428.66063123820777</v>
      </c>
      <c r="AK94" s="72">
        <f t="shared" ca="1" si="44"/>
        <v>1386.7444388272295</v>
      </c>
      <c r="AL94" s="73">
        <f t="shared" ca="1" si="38"/>
        <v>9701.8885711533167</v>
      </c>
      <c r="AM94" s="132">
        <f ca="1">IF(X94*(lease_NRI/J94)  - (Z94+Y94+AB94+AC94+AD94)  - (AK94)*(lease_NRI/J94)&gt;0,1,0)</f>
        <v>1</v>
      </c>
      <c r="AN94" s="73">
        <f t="shared" ca="1" si="45"/>
        <v>9701.8885711533167</v>
      </c>
      <c r="AO94" s="75">
        <f t="shared" ca="1" si="50"/>
        <v>1766809.5613631865</v>
      </c>
      <c r="AP94" s="72">
        <f ca="1">AL94  /  ( 1 + disc_1/12)^(COUNT($AL$6:AL94)-1)</f>
        <v>4674.0499223507741</v>
      </c>
      <c r="AQ94" s="72">
        <f t="shared" ca="1" si="51"/>
        <v>1370162.6403485071</v>
      </c>
      <c r="AS94" s="303">
        <f t="shared" ca="1" si="46"/>
        <v>1</v>
      </c>
      <c r="AT94" s="300">
        <f ca="1">IFERROR(IRR($AN$6:AN94)*12,0)</f>
        <v>0</v>
      </c>
      <c r="AU94" s="297">
        <f t="shared" ca="1" si="47"/>
        <v>0</v>
      </c>
      <c r="AV94" s="303">
        <f t="shared" ca="1" si="48"/>
        <v>0</v>
      </c>
    </row>
    <row r="95" spans="2:48" x14ac:dyDescent="0.25">
      <c r="B95" s="43">
        <f t="shared" si="49"/>
        <v>46905</v>
      </c>
      <c r="C95" s="79">
        <f t="shared" si="39"/>
        <v>2028</v>
      </c>
      <c r="D95" s="64">
        <f ca="1">wellcount_base  +  SUM('forecast production'!I$7:I96)</f>
        <v>1</v>
      </c>
      <c r="E95" s="110">
        <f ca="1">'forecast production'!AE96</f>
        <v>275.61958661993964</v>
      </c>
      <c r="F95" s="98">
        <f ca="1">'forecast production'!AF96</f>
        <v>1482.5646751223726</v>
      </c>
      <c r="G95" s="98">
        <f ca="1">'forecast production'!AG96</f>
        <v>26.97889709209511</v>
      </c>
      <c r="H95" s="98">
        <f ca="1">'forecast production'!AH96</f>
        <v>222.38470126835588</v>
      </c>
      <c r="I95" s="307">
        <f t="shared" ca="1" si="40"/>
        <v>1</v>
      </c>
      <c r="J95" s="306">
        <f t="shared" ca="1" si="41"/>
        <v>0.75</v>
      </c>
      <c r="K95" s="112">
        <f t="shared" ca="1" si="26"/>
        <v>206.71468996495474</v>
      </c>
      <c r="L95" s="98">
        <f t="shared" ca="1" si="27"/>
        <v>833.94262975633467</v>
      </c>
      <c r="M95" s="98">
        <f t="shared" ca="1" si="28"/>
        <v>20.234172819071333</v>
      </c>
      <c r="N95" s="98">
        <f t="shared" ca="1" si="29"/>
        <v>166.78852595126691</v>
      </c>
      <c r="O95" s="67">
        <f>assumptions!M99</f>
        <v>55</v>
      </c>
      <c r="P95" s="68">
        <f>assumptions!N99</f>
        <v>3</v>
      </c>
      <c r="Q95" s="68">
        <f>assumptions!O99</f>
        <v>22</v>
      </c>
      <c r="R95" s="67">
        <f t="shared" si="30"/>
        <v>52.5</v>
      </c>
      <c r="S95" s="68">
        <f t="shared" si="31"/>
        <v>2.3275000000000001</v>
      </c>
      <c r="T95" s="68">
        <f t="shared" si="32"/>
        <v>22</v>
      </c>
      <c r="U95" s="73">
        <f t="shared" ca="1" si="33"/>
        <v>10852.521223160124</v>
      </c>
      <c r="V95" s="72">
        <f t="shared" ca="1" si="34"/>
        <v>1941.0014707578691</v>
      </c>
      <c r="W95" s="72">
        <f t="shared" ca="1" si="35"/>
        <v>3669.3475709278719</v>
      </c>
      <c r="X95" s="72">
        <f t="shared" ca="1" si="42"/>
        <v>16462.870264845864</v>
      </c>
      <c r="Y95" s="73">
        <f>mult_opex * fixed_month</f>
        <v>1000</v>
      </c>
      <c r="Z95" s="72">
        <f ca="1">mult_opex * fixed_well *D95</f>
        <v>5000</v>
      </c>
      <c r="AA95" s="72">
        <f ca="1">(Z95+Y95)*WI_current_1</f>
        <v>6000</v>
      </c>
      <c r="AB95" s="72">
        <f ca="1">mult_opex * var_bo*E95</f>
        <v>0</v>
      </c>
      <c r="AC95" s="72">
        <f ca="1">mult_opex * var_mcf*F95</f>
        <v>0</v>
      </c>
      <c r="AD95" s="72">
        <f ca="1">mult_opex * var_bw * G95</f>
        <v>53.95779418419022</v>
      </c>
      <c r="AE95" s="72">
        <f ca="1">SUM(AB95:AD95)*WI_current_1</f>
        <v>53.95779418419022</v>
      </c>
      <c r="AF95" s="73">
        <f ca="1">mult_capex * IFERROR(OFFSET(assumptions!$F$39,MATCH(B95,assumptions!$E$39:$E$45,0)-1,0),0)</f>
        <v>0</v>
      </c>
      <c r="AG95" s="75">
        <f ca="1">mult_capex * capex_new*WI_current_1 *'forecast production'!I96</f>
        <v>0</v>
      </c>
      <c r="AH95" s="146">
        <f t="shared" ca="1" si="43"/>
        <v>0</v>
      </c>
      <c r="AI95" s="73">
        <f t="shared" ca="1" si="36"/>
        <v>919.99215439179625</v>
      </c>
      <c r="AJ95" s="72">
        <f t="shared" ca="1" si="37"/>
        <v>411.57175662114662</v>
      </c>
      <c r="AK95" s="72">
        <f t="shared" ca="1" si="44"/>
        <v>1331.5639110129428</v>
      </c>
      <c r="AL95" s="73">
        <f t="shared" ca="1" si="38"/>
        <v>9077.3485596487317</v>
      </c>
      <c r="AM95" s="132">
        <f ca="1">IF(X95*(lease_NRI/J95)  - (Z95+Y95+AB95+AC95+AD95)  - (AK95)*(lease_NRI/J95)&gt;0,1,0)</f>
        <v>1</v>
      </c>
      <c r="AN95" s="73">
        <f t="shared" ca="1" si="45"/>
        <v>9077.3485596487317</v>
      </c>
      <c r="AO95" s="75">
        <f t="shared" ca="1" si="50"/>
        <v>1775886.9099228352</v>
      </c>
      <c r="AP95" s="72">
        <f ca="1">AL95  /  ( 1 + disc_1/12)^(COUNT($AL$6:AL95)-1)</f>
        <v>4337.0252663945821</v>
      </c>
      <c r="AQ95" s="72">
        <f t="shared" ca="1" si="51"/>
        <v>1374499.6656149016</v>
      </c>
      <c r="AS95" s="303">
        <f t="shared" ca="1" si="46"/>
        <v>1</v>
      </c>
      <c r="AT95" s="300">
        <f ca="1">IFERROR(IRR($AN$6:AN95)*12,0)</f>
        <v>0</v>
      </c>
      <c r="AU95" s="297">
        <f t="shared" ca="1" si="47"/>
        <v>0</v>
      </c>
      <c r="AV95" s="303">
        <f t="shared" ca="1" si="48"/>
        <v>0</v>
      </c>
    </row>
    <row r="96" spans="2:48" x14ac:dyDescent="0.25">
      <c r="B96" s="43">
        <f t="shared" si="49"/>
        <v>46935</v>
      </c>
      <c r="C96" s="79">
        <f t="shared" si="39"/>
        <v>2028</v>
      </c>
      <c r="D96" s="64">
        <f ca="1">wellcount_base  +  SUM('forecast production'!I$7:I97)</f>
        <v>1</v>
      </c>
      <c r="E96" s="110">
        <f ca="1">'forecast production'!AE97</f>
        <v>282.5683955537375</v>
      </c>
      <c r="F96" s="98">
        <f ca="1">'forecast production'!AF97</f>
        <v>1521.3355900711304</v>
      </c>
      <c r="G96" s="98">
        <f ca="1">'forecast production'!AG97</f>
        <v>26.9274239054009</v>
      </c>
      <c r="H96" s="98">
        <f ca="1">'forecast production'!AH97</f>
        <v>228.20033851066952</v>
      </c>
      <c r="I96" s="307">
        <f t="shared" ca="1" si="40"/>
        <v>1</v>
      </c>
      <c r="J96" s="306">
        <f t="shared" ca="1" si="41"/>
        <v>0.75</v>
      </c>
      <c r="K96" s="112">
        <f t="shared" ca="1" si="26"/>
        <v>211.92629666530314</v>
      </c>
      <c r="L96" s="98">
        <f t="shared" ca="1" si="27"/>
        <v>855.75126941501082</v>
      </c>
      <c r="M96" s="98">
        <f t="shared" ca="1" si="28"/>
        <v>20.195567929050675</v>
      </c>
      <c r="N96" s="98">
        <f t="shared" ca="1" si="29"/>
        <v>171.15025388300214</v>
      </c>
      <c r="O96" s="67">
        <f>assumptions!M100</f>
        <v>55</v>
      </c>
      <c r="P96" s="68">
        <f>assumptions!N100</f>
        <v>3</v>
      </c>
      <c r="Q96" s="68">
        <f>assumptions!O100</f>
        <v>22</v>
      </c>
      <c r="R96" s="67">
        <f t="shared" si="30"/>
        <v>52.5</v>
      </c>
      <c r="S96" s="68">
        <f t="shared" si="31"/>
        <v>2.3275000000000001</v>
      </c>
      <c r="T96" s="68">
        <f t="shared" si="32"/>
        <v>22</v>
      </c>
      <c r="U96" s="73">
        <f t="shared" ca="1" si="33"/>
        <v>11126.130574928415</v>
      </c>
      <c r="V96" s="72">
        <f t="shared" ca="1" si="34"/>
        <v>1991.7610795634378</v>
      </c>
      <c r="W96" s="72">
        <f t="shared" ca="1" si="35"/>
        <v>3765.3055854260469</v>
      </c>
      <c r="X96" s="72">
        <f t="shared" ca="1" si="42"/>
        <v>16883.197239917899</v>
      </c>
      <c r="Y96" s="73">
        <f>mult_opex * fixed_month</f>
        <v>1000</v>
      </c>
      <c r="Z96" s="72">
        <f ca="1">mult_opex * fixed_well *D96</f>
        <v>5000</v>
      </c>
      <c r="AA96" s="72">
        <f ca="1">(Z96+Y96)*WI_current_1</f>
        <v>6000</v>
      </c>
      <c r="AB96" s="72">
        <f ca="1">mult_opex * var_bo*E96</f>
        <v>0</v>
      </c>
      <c r="AC96" s="72">
        <f ca="1">mult_opex * var_mcf*F96</f>
        <v>0</v>
      </c>
      <c r="AD96" s="72">
        <f ca="1">mult_opex * var_bw * G96</f>
        <v>53.8548478108018</v>
      </c>
      <c r="AE96" s="72">
        <f ca="1">SUM(AB96:AD96)*WI_current_1</f>
        <v>53.8548478108018</v>
      </c>
      <c r="AF96" s="73">
        <f ca="1">mult_capex * IFERROR(OFFSET(assumptions!$F$39,MATCH(B96,assumptions!$E$39:$E$45,0)-1,0),0)</f>
        <v>0</v>
      </c>
      <c r="AG96" s="75">
        <f ca="1">mult_capex * capex_new*WI_current_1 *'forecast production'!I97</f>
        <v>0</v>
      </c>
      <c r="AH96" s="146">
        <f t="shared" ca="1" si="43"/>
        <v>0</v>
      </c>
      <c r="AI96" s="73">
        <f t="shared" ca="1" si="36"/>
        <v>943.58200632091848</v>
      </c>
      <c r="AJ96" s="72">
        <f t="shared" ca="1" si="37"/>
        <v>422.07993099794749</v>
      </c>
      <c r="AK96" s="72">
        <f t="shared" ca="1" si="44"/>
        <v>1365.661937318866</v>
      </c>
      <c r="AL96" s="73">
        <f t="shared" ca="1" si="38"/>
        <v>9463.6804547882311</v>
      </c>
      <c r="AM96" s="132">
        <f ca="1">IF(X96*(lease_NRI/J96)  - (Z96+Y96+AB96+AC96+AD96)  - (AK96)*(lease_NRI/J96)&gt;0,1,0)</f>
        <v>1</v>
      </c>
      <c r="AN96" s="73">
        <f t="shared" ca="1" si="45"/>
        <v>9463.6804547882311</v>
      </c>
      <c r="AO96" s="75">
        <f t="shared" ca="1" si="50"/>
        <v>1785350.5903776234</v>
      </c>
      <c r="AP96" s="72">
        <f ca="1">AL96  /  ( 1 + disc_1/12)^(COUNT($AL$6:AL96)-1)</f>
        <v>4484.2403635793444</v>
      </c>
      <c r="AQ96" s="72">
        <f t="shared" ca="1" si="51"/>
        <v>1378983.9059784808</v>
      </c>
      <c r="AS96" s="303">
        <f t="shared" ca="1" si="46"/>
        <v>1</v>
      </c>
      <c r="AT96" s="300">
        <f ca="1">IFERROR(IRR($AN$6:AN96)*12,0)</f>
        <v>0</v>
      </c>
      <c r="AU96" s="297">
        <f t="shared" ca="1" si="47"/>
        <v>0</v>
      </c>
      <c r="AV96" s="303">
        <f t="shared" ca="1" si="48"/>
        <v>0</v>
      </c>
    </row>
    <row r="97" spans="2:48" x14ac:dyDescent="0.25">
      <c r="B97" s="43">
        <f t="shared" si="49"/>
        <v>46966</v>
      </c>
      <c r="C97" s="79">
        <f t="shared" si="39"/>
        <v>2028</v>
      </c>
      <c r="D97" s="64">
        <f ca="1">wellcount_base  +  SUM('forecast production'!I$7:I98)</f>
        <v>1</v>
      </c>
      <c r="E97" s="110">
        <f ca="1">'forecast production'!AE98</f>
        <v>280.29193731601595</v>
      </c>
      <c r="F97" s="98">
        <f ca="1">'forecast production'!AF98</f>
        <v>1510.4871409543614</v>
      </c>
      <c r="G97" s="98">
        <f ca="1">'forecast production'!AG98</f>
        <v>25.979177829611725</v>
      </c>
      <c r="H97" s="98">
        <f ca="1">'forecast production'!AH98</f>
        <v>226.57307114315424</v>
      </c>
      <c r="I97" s="307">
        <f t="shared" ca="1" si="40"/>
        <v>1</v>
      </c>
      <c r="J97" s="306">
        <f t="shared" ca="1" si="41"/>
        <v>0.75</v>
      </c>
      <c r="K97" s="112">
        <f t="shared" ca="1" si="26"/>
        <v>210.21895298701196</v>
      </c>
      <c r="L97" s="98">
        <f t="shared" ca="1" si="27"/>
        <v>849.64901678682827</v>
      </c>
      <c r="M97" s="98">
        <f t="shared" ca="1" si="28"/>
        <v>19.484383372208793</v>
      </c>
      <c r="N97" s="98">
        <f t="shared" ca="1" si="29"/>
        <v>169.92980335736567</v>
      </c>
      <c r="O97" s="67">
        <f>assumptions!M101</f>
        <v>55</v>
      </c>
      <c r="P97" s="68">
        <f>assumptions!N101</f>
        <v>3</v>
      </c>
      <c r="Q97" s="68">
        <f>assumptions!O101</f>
        <v>22</v>
      </c>
      <c r="R97" s="67">
        <f t="shared" si="30"/>
        <v>52.5</v>
      </c>
      <c r="S97" s="68">
        <f t="shared" si="31"/>
        <v>2.3275000000000001</v>
      </c>
      <c r="T97" s="68">
        <f t="shared" si="32"/>
        <v>22</v>
      </c>
      <c r="U97" s="73">
        <f t="shared" ca="1" si="33"/>
        <v>11036.495031818127</v>
      </c>
      <c r="V97" s="72">
        <f t="shared" ca="1" si="34"/>
        <v>1977.558086571343</v>
      </c>
      <c r="W97" s="72">
        <f t="shared" ca="1" si="35"/>
        <v>3738.4556738620449</v>
      </c>
      <c r="X97" s="72">
        <f t="shared" ca="1" si="42"/>
        <v>16752.508792251516</v>
      </c>
      <c r="Y97" s="73">
        <f>mult_opex * fixed_month</f>
        <v>1000</v>
      </c>
      <c r="Z97" s="72">
        <f ca="1">mult_opex * fixed_well *D97</f>
        <v>5000</v>
      </c>
      <c r="AA97" s="72">
        <f ca="1">(Z97+Y97)*WI_current_1</f>
        <v>6000</v>
      </c>
      <c r="AB97" s="72">
        <f ca="1">mult_opex * var_bo*E97</f>
        <v>0</v>
      </c>
      <c r="AC97" s="72">
        <f ca="1">mult_opex * var_mcf*F97</f>
        <v>0</v>
      </c>
      <c r="AD97" s="72">
        <f ca="1">mult_opex * var_bw * G97</f>
        <v>51.95835565922345</v>
      </c>
      <c r="AE97" s="72">
        <f ca="1">SUM(AB97:AD97)*WI_current_1</f>
        <v>51.95835565922345</v>
      </c>
      <c r="AF97" s="73">
        <f ca="1">mult_capex * IFERROR(OFFSET(assumptions!$F$39,MATCH(B97,assumptions!$E$39:$E$45,0)-1,0),0)</f>
        <v>0</v>
      </c>
      <c r="AG97" s="75">
        <f ca="1">mult_capex * capex_new*WI_current_1 *'forecast production'!I98</f>
        <v>0</v>
      </c>
      <c r="AH97" s="146">
        <f t="shared" ca="1" si="43"/>
        <v>0</v>
      </c>
      <c r="AI97" s="73">
        <f t="shared" ca="1" si="36"/>
        <v>936.37980349613792</v>
      </c>
      <c r="AJ97" s="72">
        <f t="shared" ca="1" si="37"/>
        <v>418.81271980628793</v>
      </c>
      <c r="AK97" s="72">
        <f t="shared" ca="1" si="44"/>
        <v>1355.1925233024258</v>
      </c>
      <c r="AL97" s="73">
        <f t="shared" ca="1" si="38"/>
        <v>9345.3579132898667</v>
      </c>
      <c r="AM97" s="132">
        <f ca="1">IF(X97*(lease_NRI/J97)  - (Z97+Y97+AB97+AC97+AD97)  - (AK97)*(lease_NRI/J97)&gt;0,1,0)</f>
        <v>1</v>
      </c>
      <c r="AN97" s="73">
        <f t="shared" ca="1" si="45"/>
        <v>9345.3579132898667</v>
      </c>
      <c r="AO97" s="75">
        <f t="shared" ca="1" si="50"/>
        <v>1794695.9482909134</v>
      </c>
      <c r="AP97" s="72">
        <f ca="1">AL97  /  ( 1 + disc_1/12)^(COUNT($AL$6:AL97)-1)</f>
        <v>4391.5782995591399</v>
      </c>
      <c r="AQ97" s="72">
        <f t="shared" ca="1" si="51"/>
        <v>1383375.48427804</v>
      </c>
      <c r="AS97" s="303">
        <f t="shared" ca="1" si="46"/>
        <v>1</v>
      </c>
      <c r="AT97" s="300">
        <f ca="1">IFERROR(IRR($AN$6:AN97)*12,0)</f>
        <v>0</v>
      </c>
      <c r="AU97" s="297">
        <f t="shared" ca="1" si="47"/>
        <v>0</v>
      </c>
      <c r="AV97" s="303">
        <f t="shared" ca="1" si="48"/>
        <v>0</v>
      </c>
    </row>
    <row r="98" spans="2:48" x14ac:dyDescent="0.25">
      <c r="B98" s="43">
        <f t="shared" si="49"/>
        <v>46997</v>
      </c>
      <c r="C98" s="79">
        <f t="shared" si="39"/>
        <v>2028</v>
      </c>
      <c r="D98" s="64">
        <f ca="1">wellcount_base  +  SUM('forecast production'!I$7:I99)</f>
        <v>1</v>
      </c>
      <c r="E98" s="110">
        <f ca="1">'forecast production'!AE99</f>
        <v>269.08245061720481</v>
      </c>
      <c r="F98" s="98">
        <f ca="1">'forecast production'!AF99</f>
        <v>1451.4119169454686</v>
      </c>
      <c r="G98" s="98">
        <f ca="1">'forecast production'!AG99</f>
        <v>24.25595338542152</v>
      </c>
      <c r="H98" s="98">
        <f ca="1">'forecast production'!AH99</f>
        <v>217.71178754182031</v>
      </c>
      <c r="I98" s="307">
        <f t="shared" ca="1" si="40"/>
        <v>1</v>
      </c>
      <c r="J98" s="306">
        <f t="shared" ca="1" si="41"/>
        <v>0.75</v>
      </c>
      <c r="K98" s="112">
        <f t="shared" ca="1" si="26"/>
        <v>201.81183796290361</v>
      </c>
      <c r="L98" s="98">
        <f t="shared" ca="1" si="27"/>
        <v>816.41920328182607</v>
      </c>
      <c r="M98" s="98">
        <f t="shared" ca="1" si="28"/>
        <v>18.19196503906614</v>
      </c>
      <c r="N98" s="98">
        <f t="shared" ca="1" si="29"/>
        <v>163.28384065636524</v>
      </c>
      <c r="O98" s="67">
        <f>assumptions!M102</f>
        <v>55</v>
      </c>
      <c r="P98" s="68">
        <f>assumptions!N102</f>
        <v>3</v>
      </c>
      <c r="Q98" s="68">
        <f>assumptions!O102</f>
        <v>22</v>
      </c>
      <c r="R98" s="67">
        <f t="shared" si="30"/>
        <v>52.5</v>
      </c>
      <c r="S98" s="68">
        <f t="shared" si="31"/>
        <v>2.3275000000000001</v>
      </c>
      <c r="T98" s="68">
        <f t="shared" si="32"/>
        <v>22</v>
      </c>
      <c r="U98" s="73">
        <f t="shared" ca="1" si="33"/>
        <v>10595.12149305244</v>
      </c>
      <c r="V98" s="72">
        <f t="shared" ca="1" si="34"/>
        <v>1900.2156956384504</v>
      </c>
      <c r="W98" s="72">
        <f t="shared" ca="1" si="35"/>
        <v>3592.2444944400354</v>
      </c>
      <c r="X98" s="72">
        <f t="shared" ca="1" si="42"/>
        <v>16087.581683130926</v>
      </c>
      <c r="Y98" s="73">
        <f>mult_opex * fixed_month</f>
        <v>1000</v>
      </c>
      <c r="Z98" s="72">
        <f ca="1">mult_opex * fixed_well *D98</f>
        <v>5000</v>
      </c>
      <c r="AA98" s="72">
        <f ca="1">(Z98+Y98)*WI_current_1</f>
        <v>6000</v>
      </c>
      <c r="AB98" s="72">
        <f ca="1">mult_opex * var_bo*E98</f>
        <v>0</v>
      </c>
      <c r="AC98" s="72">
        <f ca="1">mult_opex * var_mcf*F98</f>
        <v>0</v>
      </c>
      <c r="AD98" s="72">
        <f ca="1">mult_opex * var_bw * G98</f>
        <v>48.511906770843041</v>
      </c>
      <c r="AE98" s="72">
        <f ca="1">SUM(AB98:AD98)*WI_current_1</f>
        <v>48.511906770843041</v>
      </c>
      <c r="AF98" s="73">
        <f ca="1">mult_capex * IFERROR(OFFSET(assumptions!$F$39,MATCH(B98,assumptions!$E$39:$E$45,0)-1,0),0)</f>
        <v>0</v>
      </c>
      <c r="AG98" s="75">
        <f ca="1">mult_capex * capex_new*WI_current_1 *'forecast production'!I99</f>
        <v>0</v>
      </c>
      <c r="AH98" s="146">
        <f t="shared" ca="1" si="43"/>
        <v>0</v>
      </c>
      <c r="AI98" s="73">
        <f t="shared" ca="1" si="36"/>
        <v>899.31010293629856</v>
      </c>
      <c r="AJ98" s="72">
        <f t="shared" ca="1" si="37"/>
        <v>402.18954207827318</v>
      </c>
      <c r="AK98" s="72">
        <f t="shared" ca="1" si="44"/>
        <v>1301.4996450145718</v>
      </c>
      <c r="AL98" s="73">
        <f t="shared" ca="1" si="38"/>
        <v>8737.5701313455102</v>
      </c>
      <c r="AM98" s="132">
        <f ca="1">IF(X98*(lease_NRI/J98)  - (Z98+Y98+AB98+AC98+AD98)  - (AK98)*(lease_NRI/J98)&gt;0,1,0)</f>
        <v>1</v>
      </c>
      <c r="AN98" s="73">
        <f t="shared" ca="1" si="45"/>
        <v>8737.5701313455102</v>
      </c>
      <c r="AO98" s="75">
        <f t="shared" ca="1" si="50"/>
        <v>1803433.5184222588</v>
      </c>
      <c r="AP98" s="72">
        <f ca="1">AL98  /  ( 1 + disc_1/12)^(COUNT($AL$6:AL98)-1)</f>
        <v>4072.0325590475632</v>
      </c>
      <c r="AQ98" s="72">
        <f t="shared" ca="1" si="51"/>
        <v>1387447.5168370875</v>
      </c>
      <c r="AS98" s="303">
        <f t="shared" ca="1" si="46"/>
        <v>1</v>
      </c>
      <c r="AT98" s="300">
        <f ca="1">IFERROR(IRR($AN$6:AN98)*12,0)</f>
        <v>0</v>
      </c>
      <c r="AU98" s="297">
        <f t="shared" ca="1" si="47"/>
        <v>0</v>
      </c>
      <c r="AV98" s="303">
        <f t="shared" ca="1" si="48"/>
        <v>0</v>
      </c>
    </row>
    <row r="99" spans="2:48" x14ac:dyDescent="0.25">
      <c r="B99" s="43">
        <f t="shared" si="49"/>
        <v>47027</v>
      </c>
      <c r="C99" s="79">
        <f t="shared" si="39"/>
        <v>2028</v>
      </c>
      <c r="D99" s="64">
        <f ca="1">wellcount_base  +  SUM('forecast production'!I$7:I100)</f>
        <v>1</v>
      </c>
      <c r="E99" s="110">
        <f ca="1">'forecast production'!AE100</f>
        <v>275.91788378836952</v>
      </c>
      <c r="F99" s="98">
        <f ca="1">'forecast production'!AF100</f>
        <v>1489.5856981447141</v>
      </c>
      <c r="G99" s="98">
        <f ca="1">'forecast production'!AG100</f>
        <v>24.210122049215904</v>
      </c>
      <c r="H99" s="98">
        <f ca="1">'forecast production'!AH100</f>
        <v>223.43785472170711</v>
      </c>
      <c r="I99" s="307">
        <f t="shared" ca="1" si="40"/>
        <v>1</v>
      </c>
      <c r="J99" s="306">
        <f t="shared" ca="1" si="41"/>
        <v>0.75</v>
      </c>
      <c r="K99" s="112">
        <f t="shared" ca="1" si="26"/>
        <v>206.93841284127714</v>
      </c>
      <c r="L99" s="98">
        <f t="shared" ca="1" si="27"/>
        <v>837.89195520640169</v>
      </c>
      <c r="M99" s="98">
        <f t="shared" ca="1" si="28"/>
        <v>18.15759153691193</v>
      </c>
      <c r="N99" s="98">
        <f t="shared" ca="1" si="29"/>
        <v>167.57839104128033</v>
      </c>
      <c r="O99" s="67">
        <f>assumptions!M103</f>
        <v>55</v>
      </c>
      <c r="P99" s="68">
        <f>assumptions!N103</f>
        <v>3</v>
      </c>
      <c r="Q99" s="68">
        <f>assumptions!O103</f>
        <v>22</v>
      </c>
      <c r="R99" s="67">
        <f t="shared" si="30"/>
        <v>52.5</v>
      </c>
      <c r="S99" s="68">
        <f t="shared" si="31"/>
        <v>2.3275000000000001</v>
      </c>
      <c r="T99" s="68">
        <f t="shared" si="32"/>
        <v>22</v>
      </c>
      <c r="U99" s="73">
        <f t="shared" ca="1" si="33"/>
        <v>10864.266674167049</v>
      </c>
      <c r="V99" s="72">
        <f t="shared" ca="1" si="34"/>
        <v>1950.1935257429</v>
      </c>
      <c r="W99" s="72">
        <f t="shared" ca="1" si="35"/>
        <v>3686.7246029081671</v>
      </c>
      <c r="X99" s="72">
        <f t="shared" ca="1" si="42"/>
        <v>16501.184802818116</v>
      </c>
      <c r="Y99" s="73">
        <f>mult_opex * fixed_month</f>
        <v>1000</v>
      </c>
      <c r="Z99" s="72">
        <f ca="1">mult_opex * fixed_well *D99</f>
        <v>5000</v>
      </c>
      <c r="AA99" s="72">
        <f ca="1">(Z99+Y99)*WI_current_1</f>
        <v>6000</v>
      </c>
      <c r="AB99" s="72">
        <f ca="1">mult_opex * var_bo*E99</f>
        <v>0</v>
      </c>
      <c r="AC99" s="72">
        <f ca="1">mult_opex * var_mcf*F99</f>
        <v>0</v>
      </c>
      <c r="AD99" s="72">
        <f ca="1">mult_opex * var_bw * G99</f>
        <v>48.420244098431809</v>
      </c>
      <c r="AE99" s="72">
        <f ca="1">SUM(AB99:AD99)*WI_current_1</f>
        <v>48.420244098431809</v>
      </c>
      <c r="AF99" s="73">
        <f ca="1">mult_capex * IFERROR(OFFSET(assumptions!$F$39,MATCH(B99,assumptions!$E$39:$E$45,0)-1,0),0)</f>
        <v>0</v>
      </c>
      <c r="AG99" s="75">
        <f ca="1">mult_capex * capex_new*WI_current_1 *'forecast production'!I100</f>
        <v>0</v>
      </c>
      <c r="AH99" s="146">
        <f t="shared" ca="1" si="43"/>
        <v>0</v>
      </c>
      <c r="AI99" s="73">
        <f t="shared" ca="1" si="36"/>
        <v>922.52512666051439</v>
      </c>
      <c r="AJ99" s="72">
        <f t="shared" ca="1" si="37"/>
        <v>412.52962007045289</v>
      </c>
      <c r="AK99" s="72">
        <f t="shared" ca="1" si="44"/>
        <v>1335.0547467309673</v>
      </c>
      <c r="AL99" s="73">
        <f t="shared" ca="1" si="38"/>
        <v>9117.7098119887141</v>
      </c>
      <c r="AM99" s="132">
        <f ca="1">IF(X99*(lease_NRI/J99)  - (Z99+Y99+AB99+AC99+AD99)  - (AK99)*(lease_NRI/J99)&gt;0,1,0)</f>
        <v>1</v>
      </c>
      <c r="AN99" s="73">
        <f t="shared" ca="1" si="45"/>
        <v>9117.7098119887141</v>
      </c>
      <c r="AO99" s="75">
        <f t="shared" ca="1" si="50"/>
        <v>1812551.2282342475</v>
      </c>
      <c r="AP99" s="72">
        <f ca="1">AL99  /  ( 1 + disc_1/12)^(COUNT($AL$6:AL99)-1)</f>
        <v>4214.074496997503</v>
      </c>
      <c r="AQ99" s="72">
        <f t="shared" ca="1" si="51"/>
        <v>1391661.591334085</v>
      </c>
      <c r="AS99" s="303">
        <f t="shared" ca="1" si="46"/>
        <v>1</v>
      </c>
      <c r="AT99" s="300">
        <f ca="1">IFERROR(IRR($AN$6:AN99)*12,0)</f>
        <v>0</v>
      </c>
      <c r="AU99" s="297">
        <f t="shared" ca="1" si="47"/>
        <v>0</v>
      </c>
      <c r="AV99" s="303">
        <f t="shared" ca="1" si="48"/>
        <v>0</v>
      </c>
    </row>
    <row r="100" spans="2:48" x14ac:dyDescent="0.25">
      <c r="B100" s="43">
        <f t="shared" si="49"/>
        <v>47058</v>
      </c>
      <c r="C100" s="79">
        <f t="shared" si="39"/>
        <v>2028</v>
      </c>
      <c r="D100" s="64">
        <f ca="1">wellcount_base  +  SUM('forecast production'!I$7:I101)</f>
        <v>1</v>
      </c>
      <c r="E100" s="110">
        <f ca="1">'forecast production'!AE101</f>
        <v>264.91636455155532</v>
      </c>
      <c r="F100" s="98">
        <f ca="1">'forecast production'!AF101</f>
        <v>1431.4681788750843</v>
      </c>
      <c r="G100" s="98">
        <f ca="1">'forecast production'!AG101</f>
        <v>22.604526442501076</v>
      </c>
      <c r="H100" s="98">
        <f ca="1">'forecast production'!AH101</f>
        <v>214.72022683126264</v>
      </c>
      <c r="I100" s="307">
        <f t="shared" ca="1" si="40"/>
        <v>1</v>
      </c>
      <c r="J100" s="306">
        <f t="shared" ca="1" si="41"/>
        <v>0.75</v>
      </c>
      <c r="K100" s="112">
        <f t="shared" ca="1" si="26"/>
        <v>198.6872734136665</v>
      </c>
      <c r="L100" s="98">
        <f t="shared" ca="1" si="27"/>
        <v>805.20085061723489</v>
      </c>
      <c r="M100" s="98">
        <f t="shared" ca="1" si="28"/>
        <v>16.953394831875805</v>
      </c>
      <c r="N100" s="98">
        <f t="shared" ca="1" si="29"/>
        <v>161.04017012344698</v>
      </c>
      <c r="O100" s="67">
        <f>assumptions!M104</f>
        <v>55</v>
      </c>
      <c r="P100" s="68">
        <f>assumptions!N104</f>
        <v>3</v>
      </c>
      <c r="Q100" s="68">
        <f>assumptions!O104</f>
        <v>22</v>
      </c>
      <c r="R100" s="67">
        <f t="shared" si="30"/>
        <v>52.5</v>
      </c>
      <c r="S100" s="68">
        <f t="shared" si="31"/>
        <v>2.3275000000000001</v>
      </c>
      <c r="T100" s="68">
        <f t="shared" si="32"/>
        <v>22</v>
      </c>
      <c r="U100" s="73">
        <f t="shared" ca="1" si="33"/>
        <v>10431.081854217491</v>
      </c>
      <c r="V100" s="72">
        <f t="shared" ca="1" si="34"/>
        <v>1874.1049798116144</v>
      </c>
      <c r="W100" s="72">
        <f t="shared" ca="1" si="35"/>
        <v>3542.8837427158337</v>
      </c>
      <c r="X100" s="72">
        <f t="shared" ca="1" si="42"/>
        <v>15848.07057674494</v>
      </c>
      <c r="Y100" s="73">
        <f>mult_opex * fixed_month</f>
        <v>1000</v>
      </c>
      <c r="Z100" s="72">
        <f ca="1">mult_opex * fixed_well *D100</f>
        <v>5000</v>
      </c>
      <c r="AA100" s="72">
        <f ca="1">(Z100+Y100)*WI_current_1</f>
        <v>6000</v>
      </c>
      <c r="AB100" s="72">
        <f ca="1">mult_opex * var_bo*E100</f>
        <v>0</v>
      </c>
      <c r="AC100" s="72">
        <f ca="1">mult_opex * var_mcf*F100</f>
        <v>0</v>
      </c>
      <c r="AD100" s="72">
        <f ca="1">mult_opex * var_bw * G100</f>
        <v>45.209052885002151</v>
      </c>
      <c r="AE100" s="72">
        <f ca="1">SUM(AB100:AD100)*WI_current_1</f>
        <v>45.209052885002151</v>
      </c>
      <c r="AF100" s="73">
        <f ca="1">mult_capex * IFERROR(OFFSET(assumptions!$F$39,MATCH(B100,assumptions!$E$39:$E$45,0)-1,0),0)</f>
        <v>0</v>
      </c>
      <c r="AG100" s="75">
        <f ca="1">mult_capex * capex_new*WI_current_1 *'forecast production'!I101</f>
        <v>0</v>
      </c>
      <c r="AH100" s="146">
        <f t="shared" ca="1" si="43"/>
        <v>0</v>
      </c>
      <c r="AI100" s="73">
        <f t="shared" ca="1" si="36"/>
        <v>886.10391948356323</v>
      </c>
      <c r="AJ100" s="72">
        <f t="shared" ca="1" si="37"/>
        <v>396.2017644186235</v>
      </c>
      <c r="AK100" s="72">
        <f t="shared" ca="1" si="44"/>
        <v>1282.3056839021867</v>
      </c>
      <c r="AL100" s="73">
        <f t="shared" ca="1" si="38"/>
        <v>8520.5558399577512</v>
      </c>
      <c r="AM100" s="132">
        <f ca="1">IF(X100*(lease_NRI/J100)  - (Z100+Y100+AB100+AC100+AD100)  - (AK100)*(lease_NRI/J100)&gt;0,1,0)</f>
        <v>1</v>
      </c>
      <c r="AN100" s="73">
        <f t="shared" ca="1" si="45"/>
        <v>8520.5558399577512</v>
      </c>
      <c r="AO100" s="75">
        <f t="shared" ca="1" si="50"/>
        <v>1821071.7840742052</v>
      </c>
      <c r="AP100" s="72">
        <f ca="1">AL100  /  ( 1 + disc_1/12)^(COUNT($AL$6:AL100)-1)</f>
        <v>3905.5324060024786</v>
      </c>
      <c r="AQ100" s="72">
        <f t="shared" ca="1" si="51"/>
        <v>1395567.1237400875</v>
      </c>
      <c r="AS100" s="303">
        <f t="shared" ca="1" si="46"/>
        <v>1</v>
      </c>
      <c r="AT100" s="300">
        <f ca="1">IFERROR(IRR($AN$6:AN100)*12,0)</f>
        <v>0</v>
      </c>
      <c r="AU100" s="297">
        <f t="shared" ca="1" si="47"/>
        <v>0</v>
      </c>
      <c r="AV100" s="303">
        <f t="shared" ca="1" si="48"/>
        <v>0</v>
      </c>
    </row>
    <row r="101" spans="2:48" x14ac:dyDescent="0.25">
      <c r="B101" s="44">
        <f t="shared" si="49"/>
        <v>47088</v>
      </c>
      <c r="C101" s="100">
        <f t="shared" si="39"/>
        <v>2028</v>
      </c>
      <c r="D101" s="65">
        <f ca="1">wellcount_base  +  SUM('forecast production'!I$7:I102)</f>
        <v>1</v>
      </c>
      <c r="E101" s="109">
        <f ca="1">'forecast production'!AE102</f>
        <v>271.67824986038119</v>
      </c>
      <c r="F101" s="101">
        <f ca="1">'forecast production'!AF102</f>
        <v>1469.2548098189598</v>
      </c>
      <c r="G101" s="101">
        <f ca="1">'forecast production'!AG102</f>
        <v>22.562091253853215</v>
      </c>
      <c r="H101" s="102">
        <f ca="1">'forecast production'!AH102</f>
        <v>220.38822147284398</v>
      </c>
      <c r="I101" s="308">
        <f t="shared" ca="1" si="40"/>
        <v>1</v>
      </c>
      <c r="J101" s="309">
        <f t="shared" ca="1" si="41"/>
        <v>0.75</v>
      </c>
      <c r="K101" s="113">
        <f t="shared" ca="1" si="26"/>
        <v>203.7586873952859</v>
      </c>
      <c r="L101" s="102">
        <f t="shared" ca="1" si="27"/>
        <v>826.45583052316488</v>
      </c>
      <c r="M101" s="102">
        <f t="shared" ca="1" si="28"/>
        <v>16.921568440389912</v>
      </c>
      <c r="N101" s="102">
        <f t="shared" ca="1" si="29"/>
        <v>165.29116610463299</v>
      </c>
      <c r="O101" s="103">
        <f>assumptions!M105</f>
        <v>55</v>
      </c>
      <c r="P101" s="104">
        <f>assumptions!N105</f>
        <v>3</v>
      </c>
      <c r="Q101" s="104">
        <f>assumptions!O105</f>
        <v>22</v>
      </c>
      <c r="R101" s="103">
        <f t="shared" si="30"/>
        <v>52.5</v>
      </c>
      <c r="S101" s="104">
        <f t="shared" si="31"/>
        <v>2.3275000000000001</v>
      </c>
      <c r="T101" s="104">
        <f t="shared" si="32"/>
        <v>22</v>
      </c>
      <c r="U101" s="105">
        <f t="shared" ca="1" si="33"/>
        <v>10697.331088252509</v>
      </c>
      <c r="V101" s="106">
        <f t="shared" ca="1" si="34"/>
        <v>1923.5759455426664</v>
      </c>
      <c r="W101" s="106">
        <f t="shared" ca="1" si="35"/>
        <v>3636.405654301926</v>
      </c>
      <c r="X101" s="106">
        <f t="shared" ca="1" si="42"/>
        <v>16257.312688097103</v>
      </c>
      <c r="Y101" s="105">
        <f>mult_opex * fixed_month</f>
        <v>1000</v>
      </c>
      <c r="Z101" s="106">
        <f ca="1">mult_opex * fixed_well *D101</f>
        <v>5000</v>
      </c>
      <c r="AA101" s="106">
        <f ca="1">(Z101+Y101)*WI_current_1</f>
        <v>6000</v>
      </c>
      <c r="AB101" s="106">
        <f ca="1">mult_opex * var_bo*E101</f>
        <v>0</v>
      </c>
      <c r="AC101" s="106">
        <f ca="1">mult_opex * var_mcf*F101</f>
        <v>0</v>
      </c>
      <c r="AD101" s="106">
        <f ca="1">mult_opex * var_bw * G101</f>
        <v>45.124182507706429</v>
      </c>
      <c r="AE101" s="106">
        <f ca="1">SUM(AB101:AD101)*WI_current_1</f>
        <v>45.124182507706429</v>
      </c>
      <c r="AF101" s="105">
        <f ca="1">mult_capex * IFERROR(OFFSET(assumptions!$F$39,MATCH(B101,assumptions!$E$39:$E$45,0)-1,0),0)</f>
        <v>0</v>
      </c>
      <c r="AG101" s="106">
        <f ca="1">mult_capex * capex_new*WI_current_1 *'forecast production'!I102</f>
        <v>0</v>
      </c>
      <c r="AH101" s="147">
        <f t="shared" ca="1" si="43"/>
        <v>0</v>
      </c>
      <c r="AI101" s="105">
        <f t="shared" ca="1" si="36"/>
        <v>909.07585004795988</v>
      </c>
      <c r="AJ101" s="106">
        <f t="shared" ca="1" si="37"/>
        <v>406.4328172024276</v>
      </c>
      <c r="AK101" s="106">
        <f t="shared" ca="1" si="44"/>
        <v>1315.5086672503876</v>
      </c>
      <c r="AL101" s="105">
        <f t="shared" ca="1" si="38"/>
        <v>8896.6798383390087</v>
      </c>
      <c r="AM101" s="133">
        <f ca="1">IF(X101*(lease_NRI/J101)  - (Z101+Y101+AB101+AC101+AD101)  - (AK101)*(lease_NRI/J101)&gt;0,1,0)</f>
        <v>1</v>
      </c>
      <c r="AN101" s="105">
        <f t="shared" ca="1" si="45"/>
        <v>8896.6798383390087</v>
      </c>
      <c r="AO101" s="106">
        <f t="shared" ca="1" si="50"/>
        <v>1829968.4639125443</v>
      </c>
      <c r="AP101" s="106">
        <f ca="1">AL101  /  ( 1 + disc_1/12)^(COUNT($AL$6:AL101)-1)</f>
        <v>4044.2328873634428</v>
      </c>
      <c r="AQ101" s="106">
        <f t="shared" ca="1" si="51"/>
        <v>1399611.356627451</v>
      </c>
      <c r="AS101" s="304">
        <f t="shared" ca="1" si="46"/>
        <v>1</v>
      </c>
      <c r="AT101" s="301">
        <f ca="1">IFERROR(IRR($AN$6:AN101)*12,0)</f>
        <v>0</v>
      </c>
      <c r="AU101" s="298">
        <f t="shared" ca="1" si="47"/>
        <v>0</v>
      </c>
      <c r="AV101" s="304">
        <f t="shared" ca="1" si="48"/>
        <v>0</v>
      </c>
    </row>
    <row r="102" spans="2:48" x14ac:dyDescent="0.25">
      <c r="B102" s="43">
        <f t="shared" si="49"/>
        <v>47119</v>
      </c>
      <c r="C102" s="79">
        <f t="shared" si="39"/>
        <v>2029</v>
      </c>
      <c r="D102" s="64">
        <f ca="1">wellcount_base  +  SUM('forecast production'!I$7:I103)</f>
        <v>1</v>
      </c>
      <c r="E102" s="110">
        <f ca="1">'forecast production'!AE103</f>
        <v>269.573225517514</v>
      </c>
      <c r="F102" s="98">
        <f ca="1">'forecast production'!AF103</f>
        <v>1459.1339390629144</v>
      </c>
      <c r="G102" s="98">
        <f ca="1">'forecast production'!AG103</f>
        <v>21.768259631319502</v>
      </c>
      <c r="H102" s="98">
        <f ca="1">'forecast production'!AH103</f>
        <v>218.87009085943717</v>
      </c>
      <c r="I102" s="307">
        <f t="shared" ca="1" si="40"/>
        <v>1</v>
      </c>
      <c r="J102" s="306">
        <f t="shared" ca="1" si="41"/>
        <v>0.75</v>
      </c>
      <c r="K102" s="112">
        <f t="shared" ca="1" si="26"/>
        <v>202.17991913813552</v>
      </c>
      <c r="L102" s="98">
        <f t="shared" ca="1" si="27"/>
        <v>820.76284072288922</v>
      </c>
      <c r="M102" s="98">
        <f t="shared" ca="1" si="28"/>
        <v>16.326194723489628</v>
      </c>
      <c r="N102" s="98">
        <f t="shared" ca="1" si="29"/>
        <v>164.15256814457788</v>
      </c>
      <c r="O102" s="67">
        <f>assumptions!M106</f>
        <v>55</v>
      </c>
      <c r="P102" s="68">
        <f>assumptions!N106</f>
        <v>3</v>
      </c>
      <c r="Q102" s="68">
        <f>assumptions!O106</f>
        <v>22</v>
      </c>
      <c r="R102" s="67">
        <f t="shared" si="30"/>
        <v>52.5</v>
      </c>
      <c r="S102" s="68">
        <f t="shared" si="31"/>
        <v>2.3275000000000001</v>
      </c>
      <c r="T102" s="68">
        <f t="shared" si="32"/>
        <v>22</v>
      </c>
      <c r="U102" s="73">
        <f t="shared" ca="1" si="33"/>
        <v>10614.445754752114</v>
      </c>
      <c r="V102" s="72">
        <f t="shared" ca="1" si="34"/>
        <v>1910.3255117825247</v>
      </c>
      <c r="W102" s="72">
        <f t="shared" ca="1" si="35"/>
        <v>3611.3564991807134</v>
      </c>
      <c r="X102" s="72">
        <f t="shared" ca="1" si="42"/>
        <v>16136.127765715351</v>
      </c>
      <c r="Y102" s="73">
        <f>mult_opex * fixed_month</f>
        <v>1000</v>
      </c>
      <c r="Z102" s="72">
        <f ca="1">mult_opex * fixed_well *D102</f>
        <v>5000</v>
      </c>
      <c r="AA102" s="72">
        <f ca="1">(Z102+Y102)*WI_current_1</f>
        <v>6000</v>
      </c>
      <c r="AB102" s="72">
        <f ca="1">mult_opex * var_bo*E102</f>
        <v>0</v>
      </c>
      <c r="AC102" s="72">
        <f ca="1">mult_opex * var_mcf*F102</f>
        <v>0</v>
      </c>
      <c r="AD102" s="72">
        <f ca="1">mult_opex * var_bw * G102</f>
        <v>43.536519262639004</v>
      </c>
      <c r="AE102" s="72">
        <f ca="1">SUM(AB102:AD102)*WI_current_1</f>
        <v>43.536519262639004</v>
      </c>
      <c r="AF102" s="73">
        <f ca="1">mult_capex * IFERROR(OFFSET(assumptions!$F$39,MATCH(B102,assumptions!$E$39:$E$45,0)-1,0),0)</f>
        <v>0</v>
      </c>
      <c r="AG102" s="75">
        <f ca="1">mult_capex * capex_new*WI_current_1 *'forecast production'!I103</f>
        <v>0</v>
      </c>
      <c r="AH102" s="146">
        <f t="shared" ca="1" si="43"/>
        <v>0</v>
      </c>
      <c r="AI102" s="73">
        <f t="shared" ca="1" si="36"/>
        <v>902.39065554084004</v>
      </c>
      <c r="AJ102" s="72">
        <f t="shared" ca="1" si="37"/>
        <v>403.40319414288382</v>
      </c>
      <c r="AK102" s="72">
        <f t="shared" ca="1" si="44"/>
        <v>1305.7938496837239</v>
      </c>
      <c r="AL102" s="73">
        <f t="shared" ca="1" si="38"/>
        <v>8786.7973967689886</v>
      </c>
      <c r="AM102" s="132">
        <f ca="1">IF(X102*(lease_NRI/J102)  - (Z102+Y102+AB102+AC102+AD102)  - (AK102)*(lease_NRI/J102)&gt;0,1,0)</f>
        <v>1</v>
      </c>
      <c r="AN102" s="73">
        <f t="shared" ca="1" si="45"/>
        <v>8786.7973967689886</v>
      </c>
      <c r="AO102" s="75">
        <f t="shared" ca="1" si="50"/>
        <v>1838755.2613093134</v>
      </c>
      <c r="AP102" s="72">
        <f ca="1">AL102  /  ( 1 + disc_1/12)^(COUNT($AL$6:AL102)-1)</f>
        <v>3961.2721706158977</v>
      </c>
      <c r="AQ102" s="72">
        <f t="shared" ca="1" si="51"/>
        <v>1403572.6287980669</v>
      </c>
      <c r="AS102" s="303">
        <f t="shared" ca="1" si="46"/>
        <v>1</v>
      </c>
      <c r="AT102" s="300">
        <f ca="1">IFERROR(IRR($AN$6:AN102)*12,0)</f>
        <v>0</v>
      </c>
      <c r="AU102" s="297">
        <f t="shared" ca="1" si="47"/>
        <v>0</v>
      </c>
      <c r="AV102" s="303">
        <f t="shared" ca="1" si="48"/>
        <v>0</v>
      </c>
    </row>
    <row r="103" spans="2:48" x14ac:dyDescent="0.25">
      <c r="B103" s="43">
        <f t="shared" si="49"/>
        <v>47150</v>
      </c>
      <c r="C103" s="79">
        <f t="shared" si="39"/>
        <v>2029</v>
      </c>
      <c r="D103" s="64">
        <f ca="1">wellcount_base  +  SUM('forecast production'!I$7:I104)</f>
        <v>1</v>
      </c>
      <c r="E103" s="110">
        <f ca="1">'forecast production'!AE104</f>
        <v>241.61341876385234</v>
      </c>
      <c r="F103" s="98">
        <f ca="1">'forecast production'!AF104</f>
        <v>1308.9110759544722</v>
      </c>
      <c r="G103" s="98">
        <f ca="1">'forecast production'!AG104</f>
        <v>18.969993792538688</v>
      </c>
      <c r="H103" s="98">
        <f ca="1">'forecast production'!AH104</f>
        <v>196.33666139317083</v>
      </c>
      <c r="I103" s="307">
        <f t="shared" ca="1" si="40"/>
        <v>1</v>
      </c>
      <c r="J103" s="306">
        <f t="shared" ca="1" si="41"/>
        <v>0.75</v>
      </c>
      <c r="K103" s="112">
        <f t="shared" ca="1" si="26"/>
        <v>181.21006407288925</v>
      </c>
      <c r="L103" s="98">
        <f t="shared" ca="1" si="27"/>
        <v>736.26248022439063</v>
      </c>
      <c r="M103" s="98">
        <f t="shared" ca="1" si="28"/>
        <v>14.227495344404016</v>
      </c>
      <c r="N103" s="98">
        <f t="shared" ca="1" si="29"/>
        <v>147.25249604487811</v>
      </c>
      <c r="O103" s="67">
        <f>assumptions!M107</f>
        <v>55</v>
      </c>
      <c r="P103" s="68">
        <f>assumptions!N107</f>
        <v>3</v>
      </c>
      <c r="Q103" s="68">
        <f>assumptions!O107</f>
        <v>22</v>
      </c>
      <c r="R103" s="67">
        <f t="shared" si="30"/>
        <v>52.5</v>
      </c>
      <c r="S103" s="68">
        <f t="shared" si="31"/>
        <v>2.3275000000000001</v>
      </c>
      <c r="T103" s="68">
        <f t="shared" si="32"/>
        <v>22</v>
      </c>
      <c r="U103" s="73">
        <f t="shared" ca="1" si="33"/>
        <v>9513.5283638266865</v>
      </c>
      <c r="V103" s="72">
        <f t="shared" ca="1" si="34"/>
        <v>1713.6509227222693</v>
      </c>
      <c r="W103" s="72">
        <f t="shared" ca="1" si="35"/>
        <v>3239.5549129873184</v>
      </c>
      <c r="X103" s="72">
        <f t="shared" ca="1" si="42"/>
        <v>14466.734199536273</v>
      </c>
      <c r="Y103" s="73">
        <f>mult_opex * fixed_month</f>
        <v>1000</v>
      </c>
      <c r="Z103" s="72">
        <f ca="1">mult_opex * fixed_well *D103</f>
        <v>5000</v>
      </c>
      <c r="AA103" s="72">
        <f ca="1">(Z103+Y103)*WI_current_1</f>
        <v>6000</v>
      </c>
      <c r="AB103" s="72">
        <f ca="1">mult_opex * var_bo*E103</f>
        <v>0</v>
      </c>
      <c r="AC103" s="72">
        <f ca="1">mult_opex * var_mcf*F103</f>
        <v>0</v>
      </c>
      <c r="AD103" s="72">
        <f ca="1">mult_opex * var_bw * G103</f>
        <v>37.939987585077375</v>
      </c>
      <c r="AE103" s="72">
        <f ca="1">SUM(AB103:AD103)*WI_current_1</f>
        <v>37.939987585077375</v>
      </c>
      <c r="AF103" s="73">
        <f ca="1">mult_capex * IFERROR(OFFSET(assumptions!$F$39,MATCH(B103,assumptions!$E$39:$E$45,0)-1,0),0)</f>
        <v>0</v>
      </c>
      <c r="AG103" s="75">
        <f ca="1">mult_capex * capex_new*WI_current_1 *'forecast production'!I104</f>
        <v>0</v>
      </c>
      <c r="AH103" s="146">
        <f t="shared" ca="1" si="43"/>
        <v>0</v>
      </c>
      <c r="AI103" s="73">
        <f t="shared" ca="1" si="36"/>
        <v>809.11274241424667</v>
      </c>
      <c r="AJ103" s="72">
        <f t="shared" ca="1" si="37"/>
        <v>361.66835498840686</v>
      </c>
      <c r="AK103" s="72">
        <f t="shared" ca="1" si="44"/>
        <v>1170.7810974026536</v>
      </c>
      <c r="AL103" s="73">
        <f t="shared" ca="1" si="38"/>
        <v>7258.0131145485411</v>
      </c>
      <c r="AM103" s="132">
        <f ca="1">IF(X103*(lease_NRI/J103)  - (Z103+Y103+AB103+AC103+AD103)  - (AK103)*(lease_NRI/J103)&gt;0,1,0)</f>
        <v>1</v>
      </c>
      <c r="AN103" s="73">
        <f t="shared" ca="1" si="45"/>
        <v>7258.0131145485411</v>
      </c>
      <c r="AO103" s="75">
        <f t="shared" ca="1" si="50"/>
        <v>1846013.2744238619</v>
      </c>
      <c r="AP103" s="72">
        <f ca="1">AL103  /  ( 1 + disc_1/12)^(COUNT($AL$6:AL103)-1)</f>
        <v>3245.0223662953563</v>
      </c>
      <c r="AQ103" s="72">
        <f t="shared" ca="1" si="51"/>
        <v>1406817.6511643622</v>
      </c>
      <c r="AS103" s="303">
        <f t="shared" ca="1" si="46"/>
        <v>1</v>
      </c>
      <c r="AT103" s="300">
        <f ca="1">IFERROR(IRR($AN$6:AN103)*12,0)</f>
        <v>0</v>
      </c>
      <c r="AU103" s="297">
        <f t="shared" ca="1" si="47"/>
        <v>0</v>
      </c>
      <c r="AV103" s="303">
        <f t="shared" ca="1" si="48"/>
        <v>0</v>
      </c>
    </row>
    <row r="104" spans="2:48" x14ac:dyDescent="0.25">
      <c r="B104" s="43">
        <f t="shared" si="49"/>
        <v>47178</v>
      </c>
      <c r="C104" s="79">
        <f t="shared" si="39"/>
        <v>2029</v>
      </c>
      <c r="D104" s="64">
        <f ca="1">wellcount_base  +  SUM('forecast production'!I$7:I105)</f>
        <v>1</v>
      </c>
      <c r="E104" s="110">
        <f ca="1">'forecast production'!AE105</f>
        <v>265.65570111907527</v>
      </c>
      <c r="F104" s="98">
        <f ca="1">'forecast production'!AF105</f>
        <v>1440.2518725047157</v>
      </c>
      <c r="G104" s="98">
        <f ca="1">'forecast production'!AG105</f>
        <v>20.334125627501145</v>
      </c>
      <c r="H104" s="98">
        <f ca="1">'forecast production'!AH105</f>
        <v>216.03778087570734</v>
      </c>
      <c r="I104" s="307">
        <f t="shared" ca="1" si="40"/>
        <v>1</v>
      </c>
      <c r="J104" s="306">
        <f t="shared" ca="1" si="41"/>
        <v>0.75</v>
      </c>
      <c r="K104" s="112">
        <f t="shared" ca="1" si="26"/>
        <v>199.24177583930646</v>
      </c>
      <c r="L104" s="98">
        <f t="shared" ca="1" si="27"/>
        <v>810.14167828390259</v>
      </c>
      <c r="M104" s="98">
        <f t="shared" ca="1" si="28"/>
        <v>15.250594220625858</v>
      </c>
      <c r="N104" s="98">
        <f t="shared" ca="1" si="29"/>
        <v>162.02833565678051</v>
      </c>
      <c r="O104" s="67">
        <f>assumptions!M108</f>
        <v>55</v>
      </c>
      <c r="P104" s="68">
        <f>assumptions!N108</f>
        <v>3</v>
      </c>
      <c r="Q104" s="68">
        <f>assumptions!O108</f>
        <v>22</v>
      </c>
      <c r="R104" s="67">
        <f t="shared" si="30"/>
        <v>52.5</v>
      </c>
      <c r="S104" s="68">
        <f t="shared" si="31"/>
        <v>2.3275000000000001</v>
      </c>
      <c r="T104" s="68">
        <f t="shared" si="32"/>
        <v>22</v>
      </c>
      <c r="U104" s="73">
        <f t="shared" ca="1" si="33"/>
        <v>10460.19323156359</v>
      </c>
      <c r="V104" s="72">
        <f t="shared" ca="1" si="34"/>
        <v>1885.6047562057834</v>
      </c>
      <c r="W104" s="72">
        <f t="shared" ca="1" si="35"/>
        <v>3564.6233844491712</v>
      </c>
      <c r="X104" s="72">
        <f t="shared" ca="1" si="42"/>
        <v>15910.421372218543</v>
      </c>
      <c r="Y104" s="73">
        <f>mult_opex * fixed_month</f>
        <v>1000</v>
      </c>
      <c r="Z104" s="72">
        <f ca="1">mult_opex * fixed_well *D104</f>
        <v>5000</v>
      </c>
      <c r="AA104" s="72">
        <f ca="1">(Z104+Y104)*WI_current_1</f>
        <v>6000</v>
      </c>
      <c r="AB104" s="72">
        <f ca="1">mult_opex * var_bo*E104</f>
        <v>0</v>
      </c>
      <c r="AC104" s="72">
        <f ca="1">mult_opex * var_mcf*F104</f>
        <v>0</v>
      </c>
      <c r="AD104" s="72">
        <f ca="1">mult_opex * var_bw * G104</f>
        <v>40.668251255002289</v>
      </c>
      <c r="AE104" s="72">
        <f ca="1">SUM(AB104:AD104)*WI_current_1</f>
        <v>40.668251255002289</v>
      </c>
      <c r="AF104" s="73">
        <f ca="1">mult_capex * IFERROR(OFFSET(assumptions!$F$39,MATCH(B104,assumptions!$E$39:$E$45,0)-1,0),0)</f>
        <v>0</v>
      </c>
      <c r="AG104" s="75">
        <f ca="1">mult_capex * capex_new*WI_current_1 *'forecast production'!I105</f>
        <v>0</v>
      </c>
      <c r="AH104" s="146">
        <f t="shared" ca="1" si="43"/>
        <v>0</v>
      </c>
      <c r="AI104" s="73">
        <f t="shared" ca="1" si="36"/>
        <v>889.9359992010468</v>
      </c>
      <c r="AJ104" s="72">
        <f t="shared" ca="1" si="37"/>
        <v>397.76053430546358</v>
      </c>
      <c r="AK104" s="72">
        <f t="shared" ca="1" si="44"/>
        <v>1287.6965335065104</v>
      </c>
      <c r="AL104" s="73">
        <f t="shared" ca="1" si="38"/>
        <v>8582.0565874570311</v>
      </c>
      <c r="AM104" s="132">
        <f ca="1">IF(X104*(lease_NRI/J104)  - (Z104+Y104+AB104+AC104+AD104)  - (AK104)*(lease_NRI/J104)&gt;0,1,0)</f>
        <v>1</v>
      </c>
      <c r="AN104" s="73">
        <f t="shared" ca="1" si="45"/>
        <v>8582.0565874570311</v>
      </c>
      <c r="AO104" s="75">
        <f t="shared" ca="1" si="50"/>
        <v>1854595.3310113188</v>
      </c>
      <c r="AP104" s="72">
        <f ca="1">AL104  /  ( 1 + disc_1/12)^(COUNT($AL$6:AL104)-1)</f>
        <v>3805.2850551425631</v>
      </c>
      <c r="AQ104" s="72">
        <f t="shared" ca="1" si="51"/>
        <v>1410622.9362195048</v>
      </c>
      <c r="AS104" s="303">
        <f t="shared" ca="1" si="46"/>
        <v>1</v>
      </c>
      <c r="AT104" s="300">
        <f ca="1">IFERROR(IRR($AN$6:AN104)*12,0)</f>
        <v>0</v>
      </c>
      <c r="AU104" s="297">
        <f t="shared" ca="1" si="47"/>
        <v>0</v>
      </c>
      <c r="AV104" s="303">
        <f t="shared" ca="1" si="48"/>
        <v>0</v>
      </c>
    </row>
    <row r="105" spans="2:48" x14ac:dyDescent="0.25">
      <c r="B105" s="43">
        <f t="shared" si="49"/>
        <v>47209</v>
      </c>
      <c r="C105" s="79">
        <f t="shared" si="39"/>
        <v>2029</v>
      </c>
      <c r="D105" s="64">
        <f ca="1">wellcount_base  +  SUM('forecast production'!I$7:I106)</f>
        <v>1</v>
      </c>
      <c r="E105" s="110">
        <f ca="1">'forecast production'!AE106</f>
        <v>255.13802389417097</v>
      </c>
      <c r="F105" s="98">
        <f ca="1">'forecast production'!AF106</f>
        <v>1384.3793277091854</v>
      </c>
      <c r="G105" s="98">
        <f ca="1">'forecast production'!AG106</f>
        <v>18.98617608250315</v>
      </c>
      <c r="H105" s="98">
        <f ca="1">'forecast production'!AH106</f>
        <v>207.65689915637782</v>
      </c>
      <c r="I105" s="307">
        <f t="shared" ca="1" si="40"/>
        <v>1</v>
      </c>
      <c r="J105" s="306">
        <f t="shared" ca="1" si="41"/>
        <v>0.75</v>
      </c>
      <c r="K105" s="112">
        <f t="shared" ca="1" si="26"/>
        <v>191.35351792062824</v>
      </c>
      <c r="L105" s="98">
        <f t="shared" ca="1" si="27"/>
        <v>778.71337183641685</v>
      </c>
      <c r="M105" s="98">
        <f t="shared" ca="1" si="28"/>
        <v>14.239632061877362</v>
      </c>
      <c r="N105" s="98">
        <f t="shared" ca="1" si="29"/>
        <v>155.74267436728337</v>
      </c>
      <c r="O105" s="67">
        <f>assumptions!M109</f>
        <v>55</v>
      </c>
      <c r="P105" s="68">
        <f>assumptions!N109</f>
        <v>3</v>
      </c>
      <c r="Q105" s="68">
        <f>assumptions!O109</f>
        <v>22</v>
      </c>
      <c r="R105" s="67">
        <f t="shared" si="30"/>
        <v>52.5</v>
      </c>
      <c r="S105" s="68">
        <f t="shared" si="31"/>
        <v>2.3275000000000001</v>
      </c>
      <c r="T105" s="68">
        <f t="shared" si="32"/>
        <v>22</v>
      </c>
      <c r="U105" s="73">
        <f t="shared" ca="1" si="33"/>
        <v>10046.059690832983</v>
      </c>
      <c r="V105" s="72">
        <f t="shared" ca="1" si="34"/>
        <v>1812.4553729492604</v>
      </c>
      <c r="W105" s="72">
        <f t="shared" ca="1" si="35"/>
        <v>3426.3388360802342</v>
      </c>
      <c r="X105" s="72">
        <f t="shared" ca="1" si="42"/>
        <v>15284.853899862477</v>
      </c>
      <c r="Y105" s="73">
        <f>mult_opex * fixed_month</f>
        <v>1000</v>
      </c>
      <c r="Z105" s="72">
        <f ca="1">mult_opex * fixed_well *D105</f>
        <v>5000</v>
      </c>
      <c r="AA105" s="72">
        <f ca="1">(Z105+Y105)*WI_current_1</f>
        <v>6000</v>
      </c>
      <c r="AB105" s="72">
        <f ca="1">mult_opex * var_bo*E105</f>
        <v>0</v>
      </c>
      <c r="AC105" s="72">
        <f ca="1">mult_opex * var_mcf*F105</f>
        <v>0</v>
      </c>
      <c r="AD105" s="72">
        <f ca="1">mult_opex * var_bw * G105</f>
        <v>37.972352165006299</v>
      </c>
      <c r="AE105" s="72">
        <f ca="1">SUM(AB105:AD105)*WI_current_1</f>
        <v>37.972352165006299</v>
      </c>
      <c r="AF105" s="73">
        <f ca="1">mult_capex * IFERROR(OFFSET(assumptions!$F$39,MATCH(B105,assumptions!$E$39:$E$45,0)-1,0),0)</f>
        <v>0</v>
      </c>
      <c r="AG105" s="75">
        <f ca="1">mult_capex * capex_new*WI_current_1 *'forecast production'!I106</f>
        <v>0</v>
      </c>
      <c r="AH105" s="146">
        <f t="shared" ca="1" si="43"/>
        <v>0</v>
      </c>
      <c r="AI105" s="73">
        <f t="shared" ca="1" si="36"/>
        <v>855.02831145552932</v>
      </c>
      <c r="AJ105" s="72">
        <f t="shared" ca="1" si="37"/>
        <v>382.12134749656195</v>
      </c>
      <c r="AK105" s="72">
        <f t="shared" ca="1" si="44"/>
        <v>1237.1496589520912</v>
      </c>
      <c r="AL105" s="73">
        <f t="shared" ca="1" si="38"/>
        <v>8009.7318887453803</v>
      </c>
      <c r="AM105" s="132">
        <f ca="1">IF(X105*(lease_NRI/J105)  - (Z105+Y105+AB105+AC105+AD105)  - (AK105)*(lease_NRI/J105)&gt;0,1,0)</f>
        <v>1</v>
      </c>
      <c r="AN105" s="73">
        <f t="shared" ca="1" si="45"/>
        <v>8009.7318887453803</v>
      </c>
      <c r="AO105" s="75">
        <f t="shared" ca="1" si="50"/>
        <v>1862605.0629000643</v>
      </c>
      <c r="AP105" s="72">
        <f ca="1">AL105  /  ( 1 + disc_1/12)^(COUNT($AL$6:AL105)-1)</f>
        <v>3522.1648324867051</v>
      </c>
      <c r="AQ105" s="72">
        <f t="shared" ca="1" si="51"/>
        <v>1414145.1010519916</v>
      </c>
      <c r="AS105" s="303">
        <f t="shared" ca="1" si="46"/>
        <v>1</v>
      </c>
      <c r="AT105" s="300">
        <f ca="1">IFERROR(IRR($AN$6:AN105)*12,0)</f>
        <v>0</v>
      </c>
      <c r="AU105" s="297">
        <f t="shared" ca="1" si="47"/>
        <v>0</v>
      </c>
      <c r="AV105" s="303">
        <f t="shared" ca="1" si="48"/>
        <v>0</v>
      </c>
    </row>
    <row r="106" spans="2:48" x14ac:dyDescent="0.25">
      <c r="B106" s="43">
        <f t="shared" si="49"/>
        <v>47239</v>
      </c>
      <c r="C106" s="79">
        <f t="shared" si="39"/>
        <v>2029</v>
      </c>
      <c r="D106" s="64">
        <f ca="1">wellcount_base  +  SUM('forecast production'!I$7:I107)</f>
        <v>1</v>
      </c>
      <c r="E106" s="110">
        <f ca="1">'forecast production'!AE107</f>
        <v>261.7233235973959</v>
      </c>
      <c r="F106" s="98">
        <f ca="1">'forecast production'!AF107</f>
        <v>1421.236772055142</v>
      </c>
      <c r="G106" s="98">
        <f ca="1">'forecast production'!AG107</f>
        <v>18.951106312679496</v>
      </c>
      <c r="H106" s="98">
        <f ca="1">'forecast production'!AH107</f>
        <v>213.18551580827128</v>
      </c>
      <c r="I106" s="307">
        <f t="shared" ca="1" si="40"/>
        <v>1</v>
      </c>
      <c r="J106" s="306">
        <f t="shared" ca="1" si="41"/>
        <v>0.75</v>
      </c>
      <c r="K106" s="112">
        <f t="shared" ca="1" si="26"/>
        <v>196.29249269804694</v>
      </c>
      <c r="L106" s="98">
        <f t="shared" ca="1" si="27"/>
        <v>799.44568428101729</v>
      </c>
      <c r="M106" s="98">
        <f t="shared" ca="1" si="28"/>
        <v>14.213329734509621</v>
      </c>
      <c r="N106" s="98">
        <f t="shared" ca="1" si="29"/>
        <v>159.88913685620346</v>
      </c>
      <c r="O106" s="67">
        <f>assumptions!M110</f>
        <v>55</v>
      </c>
      <c r="P106" s="68">
        <f>assumptions!N110</f>
        <v>3</v>
      </c>
      <c r="Q106" s="68">
        <f>assumptions!O110</f>
        <v>22</v>
      </c>
      <c r="R106" s="67">
        <f t="shared" si="30"/>
        <v>52.5</v>
      </c>
      <c r="S106" s="68">
        <f t="shared" si="31"/>
        <v>2.3275000000000001</v>
      </c>
      <c r="T106" s="68">
        <f t="shared" si="32"/>
        <v>22</v>
      </c>
      <c r="U106" s="73">
        <f t="shared" ca="1" si="33"/>
        <v>10305.355866647464</v>
      </c>
      <c r="V106" s="72">
        <f t="shared" ca="1" si="34"/>
        <v>1860.7098301640679</v>
      </c>
      <c r="W106" s="72">
        <f t="shared" ca="1" si="35"/>
        <v>3517.5610108364763</v>
      </c>
      <c r="X106" s="72">
        <f t="shared" ca="1" si="42"/>
        <v>15683.626707648007</v>
      </c>
      <c r="Y106" s="73">
        <f>mult_opex * fixed_month</f>
        <v>1000</v>
      </c>
      <c r="Z106" s="72">
        <f ca="1">mult_opex * fixed_well *D106</f>
        <v>5000</v>
      </c>
      <c r="AA106" s="72">
        <f ca="1">(Z106+Y106)*WI_current_1</f>
        <v>6000</v>
      </c>
      <c r="AB106" s="72">
        <f ca="1">mult_opex * var_bo*E106</f>
        <v>0</v>
      </c>
      <c r="AC106" s="72">
        <f ca="1">mult_opex * var_mcf*F106</f>
        <v>0</v>
      </c>
      <c r="AD106" s="72">
        <f ca="1">mult_opex * var_bw * G106</f>
        <v>37.902212625358992</v>
      </c>
      <c r="AE106" s="72">
        <f ca="1">SUM(AB106:AD106)*WI_current_1</f>
        <v>37.902212625358992</v>
      </c>
      <c r="AF106" s="73">
        <f ca="1">mult_capex * IFERROR(OFFSET(assumptions!$F$39,MATCH(B106,assumptions!$E$39:$E$45,0)-1,0),0)</f>
        <v>0</v>
      </c>
      <c r="AG106" s="75">
        <f ca="1">mult_capex * capex_new*WI_current_1 *'forecast production'!I107</f>
        <v>0</v>
      </c>
      <c r="AH106" s="146">
        <f t="shared" ca="1" si="43"/>
        <v>0</v>
      </c>
      <c r="AI106" s="73">
        <f t="shared" ca="1" si="36"/>
        <v>877.4166829408241</v>
      </c>
      <c r="AJ106" s="72">
        <f t="shared" ca="1" si="37"/>
        <v>392.09066769120022</v>
      </c>
      <c r="AK106" s="72">
        <f t="shared" ca="1" si="44"/>
        <v>1269.5073506320243</v>
      </c>
      <c r="AL106" s="73">
        <f t="shared" ca="1" si="38"/>
        <v>8376.2171443906245</v>
      </c>
      <c r="AM106" s="132">
        <f ca="1">IF(X106*(lease_NRI/J106)  - (Z106+Y106+AB106+AC106+AD106)  - (AK106)*(lease_NRI/J106)&gt;0,1,0)</f>
        <v>1</v>
      </c>
      <c r="AN106" s="73">
        <f t="shared" ca="1" si="45"/>
        <v>8376.2171443906245</v>
      </c>
      <c r="AO106" s="75">
        <f t="shared" ca="1" si="50"/>
        <v>1870981.2800444548</v>
      </c>
      <c r="AP106" s="72">
        <f ca="1">AL106  /  ( 1 + disc_1/12)^(COUNT($AL$6:AL106)-1)</f>
        <v>3652.8807992306374</v>
      </c>
      <c r="AQ106" s="72">
        <f t="shared" ca="1" si="51"/>
        <v>1417797.9818512222</v>
      </c>
      <c r="AS106" s="303">
        <f t="shared" ca="1" si="46"/>
        <v>1</v>
      </c>
      <c r="AT106" s="300">
        <f ca="1">IFERROR(IRR($AN$6:AN106)*12,0)</f>
        <v>0</v>
      </c>
      <c r="AU106" s="297">
        <f t="shared" ca="1" si="47"/>
        <v>0</v>
      </c>
      <c r="AV106" s="303">
        <f t="shared" ca="1" si="48"/>
        <v>0</v>
      </c>
    </row>
    <row r="107" spans="2:48" x14ac:dyDescent="0.25">
      <c r="B107" s="43">
        <f t="shared" si="49"/>
        <v>47270</v>
      </c>
      <c r="C107" s="79">
        <f t="shared" si="39"/>
        <v>2029</v>
      </c>
      <c r="D107" s="64">
        <f ca="1">wellcount_base  +  SUM('forecast production'!I$7:I108)</f>
        <v>1</v>
      </c>
      <c r="E107" s="110">
        <f ca="1">'forecast production'!AE108</f>
        <v>251.38953304044782</v>
      </c>
      <c r="F107" s="98">
        <f ca="1">'forecast production'!AF108</f>
        <v>1366.2237069888531</v>
      </c>
      <c r="G107" s="98">
        <f ca="1">'forecast production'!AG108</f>
        <v>17.695060186233455</v>
      </c>
      <c r="H107" s="98">
        <f ca="1">'forecast production'!AH108</f>
        <v>204.93355604832794</v>
      </c>
      <c r="I107" s="307">
        <f t="shared" ca="1" si="40"/>
        <v>1</v>
      </c>
      <c r="J107" s="306">
        <f t="shared" ca="1" si="41"/>
        <v>0.75</v>
      </c>
      <c r="K107" s="112">
        <f t="shared" ca="1" si="26"/>
        <v>188.54214978033588</v>
      </c>
      <c r="L107" s="98">
        <f t="shared" ca="1" si="27"/>
        <v>768.50083518122983</v>
      </c>
      <c r="M107" s="98">
        <f t="shared" ca="1" si="28"/>
        <v>13.271295139675091</v>
      </c>
      <c r="N107" s="98">
        <f t="shared" ca="1" si="29"/>
        <v>153.70016703624594</v>
      </c>
      <c r="O107" s="67">
        <f>assumptions!M111</f>
        <v>55</v>
      </c>
      <c r="P107" s="68">
        <f>assumptions!N111</f>
        <v>3</v>
      </c>
      <c r="Q107" s="68">
        <f>assumptions!O111</f>
        <v>22</v>
      </c>
      <c r="R107" s="67">
        <f t="shared" si="30"/>
        <v>52.5</v>
      </c>
      <c r="S107" s="68">
        <f t="shared" si="31"/>
        <v>2.3275000000000001</v>
      </c>
      <c r="T107" s="68">
        <f t="shared" si="32"/>
        <v>22</v>
      </c>
      <c r="U107" s="73">
        <f t="shared" ca="1" si="33"/>
        <v>9898.4628634676337</v>
      </c>
      <c r="V107" s="72">
        <f t="shared" ca="1" si="34"/>
        <v>1788.6856938843125</v>
      </c>
      <c r="W107" s="72">
        <f t="shared" ca="1" si="35"/>
        <v>3381.4036747974105</v>
      </c>
      <c r="X107" s="72">
        <f t="shared" ca="1" si="42"/>
        <v>15068.552232149355</v>
      </c>
      <c r="Y107" s="73">
        <f>mult_opex * fixed_month</f>
        <v>1000</v>
      </c>
      <c r="Z107" s="72">
        <f ca="1">mult_opex * fixed_well *D107</f>
        <v>5000</v>
      </c>
      <c r="AA107" s="72">
        <f ca="1">(Z107+Y107)*WI_current_1</f>
        <v>6000</v>
      </c>
      <c r="AB107" s="72">
        <f ca="1">mult_opex * var_bo*E107</f>
        <v>0</v>
      </c>
      <c r="AC107" s="72">
        <f ca="1">mult_opex * var_mcf*F107</f>
        <v>0</v>
      </c>
      <c r="AD107" s="72">
        <f ca="1">mult_opex * var_bw * G107</f>
        <v>35.39012037246691</v>
      </c>
      <c r="AE107" s="72">
        <f ca="1">SUM(AB107:AD107)*WI_current_1</f>
        <v>35.39012037246691</v>
      </c>
      <c r="AF107" s="73">
        <f ca="1">mult_capex * IFERROR(OFFSET(assumptions!$F$39,MATCH(B107,assumptions!$E$39:$E$45,0)-1,0),0)</f>
        <v>0</v>
      </c>
      <c r="AG107" s="75">
        <f ca="1">mult_capex * capex_new*WI_current_1 *'forecast production'!I108</f>
        <v>0</v>
      </c>
      <c r="AH107" s="146">
        <f t="shared" ca="1" si="43"/>
        <v>0</v>
      </c>
      <c r="AI107" s="73">
        <f t="shared" ca="1" si="36"/>
        <v>843.08599437064038</v>
      </c>
      <c r="AJ107" s="72">
        <f t="shared" ca="1" si="37"/>
        <v>376.71380580373392</v>
      </c>
      <c r="AK107" s="72">
        <f t="shared" ca="1" si="44"/>
        <v>1219.7998001743742</v>
      </c>
      <c r="AL107" s="73">
        <f t="shared" ca="1" si="38"/>
        <v>7813.3623116025137</v>
      </c>
      <c r="AM107" s="132">
        <f ca="1">IF(X107*(lease_NRI/J107)  - (Z107+Y107+AB107+AC107+AD107)  - (AK107)*(lease_NRI/J107)&gt;0,1,0)</f>
        <v>1</v>
      </c>
      <c r="AN107" s="73">
        <f t="shared" ca="1" si="45"/>
        <v>7813.3623116025137</v>
      </c>
      <c r="AO107" s="75">
        <f t="shared" ca="1" si="50"/>
        <v>1878794.6423560574</v>
      </c>
      <c r="AP107" s="72">
        <f ca="1">AL107  /  ( 1 + disc_1/12)^(COUNT($AL$6:AL107)-1)</f>
        <v>3379.2584791932136</v>
      </c>
      <c r="AQ107" s="72">
        <f t="shared" ca="1" si="51"/>
        <v>1421177.2403304155</v>
      </c>
      <c r="AS107" s="303">
        <f t="shared" ca="1" si="46"/>
        <v>1</v>
      </c>
      <c r="AT107" s="300">
        <f ca="1">IFERROR(IRR($AN$6:AN107)*12,0)</f>
        <v>0</v>
      </c>
      <c r="AU107" s="297">
        <f t="shared" ca="1" si="47"/>
        <v>0</v>
      </c>
      <c r="AV107" s="303">
        <f t="shared" ca="1" si="48"/>
        <v>0</v>
      </c>
    </row>
    <row r="108" spans="2:48" x14ac:dyDescent="0.25">
      <c r="B108" s="43">
        <f t="shared" si="49"/>
        <v>47300</v>
      </c>
      <c r="C108" s="79">
        <f t="shared" si="39"/>
        <v>2029</v>
      </c>
      <c r="D108" s="64">
        <f ca="1">wellcount_base  +  SUM('forecast production'!I$7:I109)</f>
        <v>1</v>
      </c>
      <c r="E108" s="110">
        <f ca="1">'forecast production'!AE109</f>
        <v>257.90566622989377</v>
      </c>
      <c r="F108" s="98">
        <f ca="1">'forecast production'!AF109</f>
        <v>1402.7172273219769</v>
      </c>
      <c r="G108" s="98">
        <f ca="1">'forecast production'!AG109</f>
        <v>17.662590641089778</v>
      </c>
      <c r="H108" s="98">
        <f ca="1">'forecast production'!AH109</f>
        <v>210.40758409829655</v>
      </c>
      <c r="I108" s="307">
        <f t="shared" ca="1" si="40"/>
        <v>1</v>
      </c>
      <c r="J108" s="306">
        <f t="shared" ca="1" si="41"/>
        <v>0.75</v>
      </c>
      <c r="K108" s="112">
        <f t="shared" ca="1" si="26"/>
        <v>193.42924967242033</v>
      </c>
      <c r="L108" s="98">
        <f t="shared" ca="1" si="27"/>
        <v>789.02844036861211</v>
      </c>
      <c r="M108" s="98">
        <f t="shared" ca="1" si="28"/>
        <v>13.246942980817334</v>
      </c>
      <c r="N108" s="98">
        <f t="shared" ca="1" si="29"/>
        <v>157.80568807372242</v>
      </c>
      <c r="O108" s="67">
        <f>assumptions!M112</f>
        <v>55</v>
      </c>
      <c r="P108" s="68">
        <f>assumptions!N112</f>
        <v>3</v>
      </c>
      <c r="Q108" s="68">
        <f>assumptions!O112</f>
        <v>22</v>
      </c>
      <c r="R108" s="67">
        <f t="shared" si="30"/>
        <v>52.5</v>
      </c>
      <c r="S108" s="68">
        <f t="shared" si="31"/>
        <v>2.3275000000000001</v>
      </c>
      <c r="T108" s="68">
        <f t="shared" si="32"/>
        <v>22</v>
      </c>
      <c r="U108" s="73">
        <f t="shared" ca="1" si="33"/>
        <v>10155.035607802067</v>
      </c>
      <c r="V108" s="72">
        <f t="shared" ca="1" si="34"/>
        <v>1836.4636949579449</v>
      </c>
      <c r="W108" s="72">
        <f t="shared" ca="1" si="35"/>
        <v>3471.7251376218933</v>
      </c>
      <c r="X108" s="72">
        <f t="shared" ca="1" si="42"/>
        <v>15463.224440381906</v>
      </c>
      <c r="Y108" s="73">
        <f>mult_opex * fixed_month</f>
        <v>1000</v>
      </c>
      <c r="Z108" s="72">
        <f ca="1">mult_opex * fixed_well *D108</f>
        <v>5000</v>
      </c>
      <c r="AA108" s="72">
        <f ca="1">(Z108+Y108)*WI_current_1</f>
        <v>6000</v>
      </c>
      <c r="AB108" s="72">
        <f ca="1">mult_opex * var_bo*E108</f>
        <v>0</v>
      </c>
      <c r="AC108" s="72">
        <f ca="1">mult_opex * var_mcf*F108</f>
        <v>0</v>
      </c>
      <c r="AD108" s="72">
        <f ca="1">mult_opex * var_bw * G108</f>
        <v>35.325181282179557</v>
      </c>
      <c r="AE108" s="72">
        <f ca="1">SUM(AB108:AD108)*WI_current_1</f>
        <v>35.325181282179557</v>
      </c>
      <c r="AF108" s="73">
        <f ca="1">mult_capex * IFERROR(OFFSET(assumptions!$F$39,MATCH(B108,assumptions!$E$39:$E$45,0)-1,0),0)</f>
        <v>0</v>
      </c>
      <c r="AG108" s="75">
        <f ca="1">mult_capex * capex_new*WI_current_1 *'forecast production'!I109</f>
        <v>0</v>
      </c>
      <c r="AH108" s="146">
        <f t="shared" ca="1" si="43"/>
        <v>0</v>
      </c>
      <c r="AI108" s="73">
        <f t="shared" ca="1" si="36"/>
        <v>865.24580040238288</v>
      </c>
      <c r="AJ108" s="72">
        <f t="shared" ca="1" si="37"/>
        <v>386.58061100954768</v>
      </c>
      <c r="AK108" s="72">
        <f t="shared" ca="1" si="44"/>
        <v>1251.8264114119306</v>
      </c>
      <c r="AL108" s="73">
        <f t="shared" ca="1" si="38"/>
        <v>8176.0728476877957</v>
      </c>
      <c r="AM108" s="132">
        <f ca="1">IF(X108*(lease_NRI/J108)  - (Z108+Y108+AB108+AC108+AD108)  - (AK108)*(lease_NRI/J108)&gt;0,1,0)</f>
        <v>1</v>
      </c>
      <c r="AN108" s="73">
        <f t="shared" ca="1" si="45"/>
        <v>8176.0728476877957</v>
      </c>
      <c r="AO108" s="75">
        <f t="shared" ca="1" si="50"/>
        <v>1886970.7152037453</v>
      </c>
      <c r="AP108" s="72">
        <f ca="1">AL108  /  ( 1 + disc_1/12)^(COUNT($AL$6:AL108)-1)</f>
        <v>3506.9056107403658</v>
      </c>
      <c r="AQ108" s="72">
        <f t="shared" ca="1" si="51"/>
        <v>1424684.145941156</v>
      </c>
      <c r="AS108" s="303">
        <f t="shared" ca="1" si="46"/>
        <v>1</v>
      </c>
      <c r="AT108" s="300">
        <f ca="1">IFERROR(IRR($AN$6:AN108)*12,0)</f>
        <v>0</v>
      </c>
      <c r="AU108" s="297">
        <f t="shared" ca="1" si="47"/>
        <v>0</v>
      </c>
      <c r="AV108" s="303">
        <f t="shared" ca="1" si="48"/>
        <v>0</v>
      </c>
    </row>
    <row r="109" spans="2:48" x14ac:dyDescent="0.25">
      <c r="B109" s="43">
        <f t="shared" si="49"/>
        <v>47331</v>
      </c>
      <c r="C109" s="79">
        <f t="shared" si="39"/>
        <v>2029</v>
      </c>
      <c r="D109" s="64">
        <f ca="1">wellcount_base  +  SUM('forecast production'!I$7:I110)</f>
        <v>1</v>
      </c>
      <c r="E109" s="110">
        <f ca="1">'forecast production'!AE110</f>
        <v>256.00791286900352</v>
      </c>
      <c r="F109" s="98">
        <f ca="1">'forecast production'!AF110</f>
        <v>1393.4894012702377</v>
      </c>
      <c r="G109" s="98">
        <f ca="1">'forecast production'!AG110</f>
        <v>17.04189123813287</v>
      </c>
      <c r="H109" s="98">
        <f ca="1">'forecast production'!AH110</f>
        <v>209.02341019053566</v>
      </c>
      <c r="I109" s="307">
        <f t="shared" ca="1" si="40"/>
        <v>1</v>
      </c>
      <c r="J109" s="306">
        <f t="shared" ca="1" si="41"/>
        <v>0.75</v>
      </c>
      <c r="K109" s="112">
        <f t="shared" ca="1" si="26"/>
        <v>192.00593465175263</v>
      </c>
      <c r="L109" s="98">
        <f t="shared" ca="1" si="27"/>
        <v>783.83778821450869</v>
      </c>
      <c r="M109" s="98">
        <f t="shared" ca="1" si="28"/>
        <v>12.781418428599652</v>
      </c>
      <c r="N109" s="98">
        <f t="shared" ca="1" si="29"/>
        <v>156.76755764290175</v>
      </c>
      <c r="O109" s="67">
        <f>assumptions!M113</f>
        <v>55</v>
      </c>
      <c r="P109" s="68">
        <f>assumptions!N113</f>
        <v>3</v>
      </c>
      <c r="Q109" s="68">
        <f>assumptions!O113</f>
        <v>22</v>
      </c>
      <c r="R109" s="67">
        <f t="shared" si="30"/>
        <v>52.5</v>
      </c>
      <c r="S109" s="68">
        <f t="shared" si="31"/>
        <v>2.3275000000000001</v>
      </c>
      <c r="T109" s="68">
        <f t="shared" si="32"/>
        <v>22</v>
      </c>
      <c r="U109" s="73">
        <f t="shared" ca="1" si="33"/>
        <v>10080.311569217012</v>
      </c>
      <c r="V109" s="72">
        <f t="shared" ca="1" si="34"/>
        <v>1824.382452069269</v>
      </c>
      <c r="W109" s="72">
        <f t="shared" ca="1" si="35"/>
        <v>3448.8862681438386</v>
      </c>
      <c r="X109" s="72">
        <f t="shared" ca="1" si="42"/>
        <v>15353.58028943012</v>
      </c>
      <c r="Y109" s="73">
        <f>mult_opex * fixed_month</f>
        <v>1000</v>
      </c>
      <c r="Z109" s="72">
        <f ca="1">mult_opex * fixed_well *D109</f>
        <v>5000</v>
      </c>
      <c r="AA109" s="72">
        <f ca="1">(Z109+Y109)*WI_current_1</f>
        <v>6000</v>
      </c>
      <c r="AB109" s="72">
        <f ca="1">mult_opex * var_bo*E109</f>
        <v>0</v>
      </c>
      <c r="AC109" s="72">
        <f ca="1">mult_opex * var_mcf*F109</f>
        <v>0</v>
      </c>
      <c r="AD109" s="72">
        <f ca="1">mult_opex * var_bw * G109</f>
        <v>34.083782476265739</v>
      </c>
      <c r="AE109" s="72">
        <f ca="1">SUM(AB109:AD109)*WI_current_1</f>
        <v>34.083782476265739</v>
      </c>
      <c r="AF109" s="73">
        <f ca="1">mult_capex * IFERROR(OFFSET(assumptions!$F$39,MATCH(B109,assumptions!$E$39:$E$45,0)-1,0),0)</f>
        <v>0</v>
      </c>
      <c r="AG109" s="75">
        <f ca="1">mult_capex * capex_new*WI_current_1 *'forecast production'!I110</f>
        <v>0</v>
      </c>
      <c r="AH109" s="146">
        <f t="shared" ca="1" si="43"/>
        <v>0</v>
      </c>
      <c r="AI109" s="73">
        <f t="shared" ca="1" si="36"/>
        <v>859.18948619996559</v>
      </c>
      <c r="AJ109" s="72">
        <f t="shared" ca="1" si="37"/>
        <v>383.83950723575299</v>
      </c>
      <c r="AK109" s="72">
        <f t="shared" ca="1" si="44"/>
        <v>1243.0289934357186</v>
      </c>
      <c r="AL109" s="73">
        <f t="shared" ca="1" si="38"/>
        <v>8076.4675135181351</v>
      </c>
      <c r="AM109" s="132">
        <f ca="1">IF(X109*(lease_NRI/J109)  - (Z109+Y109+AB109+AC109+AD109)  - (AK109)*(lease_NRI/J109)&gt;0,1,0)</f>
        <v>1</v>
      </c>
      <c r="AN109" s="73">
        <f t="shared" ca="1" si="45"/>
        <v>8076.4675135181351</v>
      </c>
      <c r="AO109" s="75">
        <f t="shared" ca="1" si="50"/>
        <v>1895047.1827172635</v>
      </c>
      <c r="AP109" s="72">
        <f ca="1">AL109  /  ( 1 + disc_1/12)^(COUNT($AL$6:AL109)-1)</f>
        <v>3435.5529848005503</v>
      </c>
      <c r="AQ109" s="72">
        <f t="shared" ca="1" si="51"/>
        <v>1428119.6989259566</v>
      </c>
      <c r="AS109" s="303">
        <f t="shared" ca="1" si="46"/>
        <v>1</v>
      </c>
      <c r="AT109" s="300">
        <f ca="1">IFERROR(IRR($AN$6:AN109)*12,0)</f>
        <v>0</v>
      </c>
      <c r="AU109" s="297">
        <f t="shared" ca="1" si="47"/>
        <v>0</v>
      </c>
      <c r="AV109" s="303">
        <f t="shared" ca="1" si="48"/>
        <v>0</v>
      </c>
    </row>
    <row r="110" spans="2:48" x14ac:dyDescent="0.25">
      <c r="B110" s="43">
        <f t="shared" si="49"/>
        <v>47362</v>
      </c>
      <c r="C110" s="79">
        <f t="shared" si="39"/>
        <v>2029</v>
      </c>
      <c r="D110" s="64">
        <f ca="1">wellcount_base  +  SUM('forecast production'!I$7:I111)</f>
        <v>1</v>
      </c>
      <c r="E110" s="110">
        <f ca="1">'forecast production'!AE111</f>
        <v>245.93988780838384</v>
      </c>
      <c r="F110" s="98">
        <f ca="1">'forecast production'!AF111</f>
        <v>1339.7247028123029</v>
      </c>
      <c r="G110" s="98">
        <f ca="1">'forecast production'!AG111</f>
        <v>15.912686784171699</v>
      </c>
      <c r="H110" s="98">
        <f ca="1">'forecast production'!AH111</f>
        <v>200.95870542184545</v>
      </c>
      <c r="I110" s="307">
        <f t="shared" ca="1" si="40"/>
        <v>1</v>
      </c>
      <c r="J110" s="306">
        <f t="shared" ca="1" si="41"/>
        <v>0.75</v>
      </c>
      <c r="K110" s="112">
        <f t="shared" ca="1" si="26"/>
        <v>184.45491585628787</v>
      </c>
      <c r="L110" s="98">
        <f t="shared" ca="1" si="27"/>
        <v>753.59514533192032</v>
      </c>
      <c r="M110" s="98">
        <f t="shared" ca="1" si="28"/>
        <v>11.934515088128775</v>
      </c>
      <c r="N110" s="98">
        <f t="shared" ca="1" si="29"/>
        <v>150.71902906638408</v>
      </c>
      <c r="O110" s="67">
        <f>assumptions!M114</f>
        <v>55</v>
      </c>
      <c r="P110" s="68">
        <f>assumptions!N114</f>
        <v>3</v>
      </c>
      <c r="Q110" s="68">
        <f>assumptions!O114</f>
        <v>22</v>
      </c>
      <c r="R110" s="67">
        <f t="shared" si="30"/>
        <v>52.5</v>
      </c>
      <c r="S110" s="68">
        <f t="shared" si="31"/>
        <v>2.3275000000000001</v>
      </c>
      <c r="T110" s="68">
        <f t="shared" si="32"/>
        <v>22</v>
      </c>
      <c r="U110" s="73">
        <f t="shared" ca="1" si="33"/>
        <v>9683.8830824551133</v>
      </c>
      <c r="V110" s="72">
        <f t="shared" ca="1" si="34"/>
        <v>1753.9927007600447</v>
      </c>
      <c r="W110" s="72">
        <f t="shared" ca="1" si="35"/>
        <v>3315.81863946045</v>
      </c>
      <c r="X110" s="72">
        <f t="shared" ca="1" si="42"/>
        <v>14753.69442267561</v>
      </c>
      <c r="Y110" s="73">
        <f>mult_opex * fixed_month</f>
        <v>1000</v>
      </c>
      <c r="Z110" s="72">
        <f ca="1">mult_opex * fixed_well *D110</f>
        <v>5000</v>
      </c>
      <c r="AA110" s="72">
        <f ca="1">(Z110+Y110)*WI_current_1</f>
        <v>6000</v>
      </c>
      <c r="AB110" s="72">
        <f ca="1">mult_opex * var_bo*E110</f>
        <v>0</v>
      </c>
      <c r="AC110" s="72">
        <f ca="1">mult_opex * var_mcf*F110</f>
        <v>0</v>
      </c>
      <c r="AD110" s="72">
        <f ca="1">mult_opex * var_bw * G110</f>
        <v>31.825373568343398</v>
      </c>
      <c r="AE110" s="72">
        <f ca="1">SUM(AB110:AD110)*WI_current_1</f>
        <v>31.825373568343398</v>
      </c>
      <c r="AF110" s="73">
        <f ca="1">mult_capex * IFERROR(OFFSET(assumptions!$F$39,MATCH(B110,assumptions!$E$39:$E$45,0)-1,0),0)</f>
        <v>0</v>
      </c>
      <c r="AG110" s="75">
        <f ca="1">mult_capex * capex_new*WI_current_1 *'forecast production'!I111</f>
        <v>0</v>
      </c>
      <c r="AH110" s="146">
        <f t="shared" ca="1" si="43"/>
        <v>0</v>
      </c>
      <c r="AI110" s="73">
        <f t="shared" ca="1" si="36"/>
        <v>825.6944723094723</v>
      </c>
      <c r="AJ110" s="72">
        <f t="shared" ca="1" si="37"/>
        <v>368.84236056689025</v>
      </c>
      <c r="AK110" s="72">
        <f t="shared" ca="1" si="44"/>
        <v>1194.5368328763625</v>
      </c>
      <c r="AL110" s="73">
        <f t="shared" ca="1" si="38"/>
        <v>7527.332216230905</v>
      </c>
      <c r="AM110" s="132">
        <f ca="1">IF(X110*(lease_NRI/J110)  - (Z110+Y110+AB110+AC110+AD110)  - (AK110)*(lease_NRI/J110)&gt;0,1,0)</f>
        <v>1</v>
      </c>
      <c r="AN110" s="73">
        <f t="shared" ca="1" si="45"/>
        <v>7527.332216230905</v>
      </c>
      <c r="AO110" s="75">
        <f t="shared" ca="1" si="50"/>
        <v>1902574.5149334944</v>
      </c>
      <c r="AP110" s="72">
        <f ca="1">AL110  /  ( 1 + disc_1/12)^(COUNT($AL$6:AL110)-1)</f>
        <v>3175.5003134056669</v>
      </c>
      <c r="AQ110" s="72">
        <f t="shared" ca="1" si="51"/>
        <v>1431295.1992393623</v>
      </c>
      <c r="AS110" s="303">
        <f t="shared" ca="1" si="46"/>
        <v>1</v>
      </c>
      <c r="AT110" s="300">
        <f ca="1">IFERROR(IRR($AN$6:AN110)*12,0)</f>
        <v>0</v>
      </c>
      <c r="AU110" s="297">
        <f t="shared" ca="1" si="47"/>
        <v>0</v>
      </c>
      <c r="AV110" s="303">
        <f t="shared" ca="1" si="48"/>
        <v>0</v>
      </c>
    </row>
    <row r="111" spans="2:48" x14ac:dyDescent="0.25">
      <c r="B111" s="43">
        <f t="shared" si="49"/>
        <v>47392</v>
      </c>
      <c r="C111" s="79">
        <f t="shared" si="39"/>
        <v>2029</v>
      </c>
      <c r="D111" s="64">
        <f ca="1">wellcount_base  +  SUM('forecast production'!I$7:I112)</f>
        <v>1</v>
      </c>
      <c r="E111" s="110">
        <f ca="1">'forecast production'!AE112</f>
        <v>252.35400802234398</v>
      </c>
      <c r="F111" s="98">
        <f ca="1">'forecast production'!AF112</f>
        <v>1375.6813960672439</v>
      </c>
      <c r="G111" s="98">
        <f ca="1">'forecast production'!AG112</f>
        <v>15.88377966285179</v>
      </c>
      <c r="H111" s="98">
        <f ca="1">'forecast production'!AH112</f>
        <v>206.35220941008657</v>
      </c>
      <c r="I111" s="307">
        <f t="shared" ca="1" si="40"/>
        <v>1</v>
      </c>
      <c r="J111" s="306">
        <f t="shared" ca="1" si="41"/>
        <v>0.75</v>
      </c>
      <c r="K111" s="112">
        <f t="shared" ca="1" si="26"/>
        <v>189.26550601675797</v>
      </c>
      <c r="L111" s="98">
        <f t="shared" ca="1" si="27"/>
        <v>773.82078528782461</v>
      </c>
      <c r="M111" s="98">
        <f t="shared" ca="1" si="28"/>
        <v>11.912834747138842</v>
      </c>
      <c r="N111" s="98">
        <f t="shared" ca="1" si="29"/>
        <v>154.76415705756494</v>
      </c>
      <c r="O111" s="67">
        <f>assumptions!M115</f>
        <v>55</v>
      </c>
      <c r="P111" s="68">
        <f>assumptions!N115</f>
        <v>3</v>
      </c>
      <c r="Q111" s="68">
        <f>assumptions!O115</f>
        <v>22</v>
      </c>
      <c r="R111" s="67">
        <f t="shared" si="30"/>
        <v>52.5</v>
      </c>
      <c r="S111" s="68">
        <f t="shared" si="31"/>
        <v>2.3275000000000001</v>
      </c>
      <c r="T111" s="68">
        <f t="shared" si="32"/>
        <v>22</v>
      </c>
      <c r="U111" s="73">
        <f t="shared" ca="1" si="33"/>
        <v>9936.4390658797929</v>
      </c>
      <c r="V111" s="72">
        <f t="shared" ca="1" si="34"/>
        <v>1801.0678777574119</v>
      </c>
      <c r="W111" s="72">
        <f t="shared" ca="1" si="35"/>
        <v>3404.8114552664288</v>
      </c>
      <c r="X111" s="72">
        <f t="shared" ca="1" si="42"/>
        <v>15142.318398903633</v>
      </c>
      <c r="Y111" s="73">
        <f>mult_opex * fixed_month</f>
        <v>1000</v>
      </c>
      <c r="Z111" s="72">
        <f ca="1">mult_opex * fixed_well *D111</f>
        <v>5000</v>
      </c>
      <c r="AA111" s="72">
        <f ca="1">(Z111+Y111)*WI_current_1</f>
        <v>6000</v>
      </c>
      <c r="AB111" s="72">
        <f ca="1">mult_opex * var_bo*E111</f>
        <v>0</v>
      </c>
      <c r="AC111" s="72">
        <f ca="1">mult_opex * var_mcf*F111</f>
        <v>0</v>
      </c>
      <c r="AD111" s="72">
        <f ca="1">mult_opex * var_bw * G111</f>
        <v>31.76755932570358</v>
      </c>
      <c r="AE111" s="72">
        <f ca="1">SUM(AB111:AD111)*WI_current_1</f>
        <v>31.76755932570358</v>
      </c>
      <c r="AF111" s="73">
        <f ca="1">mult_capex * IFERROR(OFFSET(assumptions!$F$39,MATCH(B111,assumptions!$E$39:$E$45,0)-1,0),0)</f>
        <v>0</v>
      </c>
      <c r="AG111" s="75">
        <f ca="1">mult_capex * capex_new*WI_current_1 *'forecast production'!I112</f>
        <v>0</v>
      </c>
      <c r="AH111" s="146">
        <f t="shared" ca="1" si="43"/>
        <v>0</v>
      </c>
      <c r="AI111" s="73">
        <f t="shared" ca="1" si="36"/>
        <v>847.51714700725847</v>
      </c>
      <c r="AJ111" s="72">
        <f t="shared" ca="1" si="37"/>
        <v>378.55795997259088</v>
      </c>
      <c r="AK111" s="72">
        <f t="shared" ca="1" si="44"/>
        <v>1226.0751069798494</v>
      </c>
      <c r="AL111" s="73">
        <f t="shared" ca="1" si="38"/>
        <v>7884.4757325980809</v>
      </c>
      <c r="AM111" s="132">
        <f ca="1">IF(X111*(lease_NRI/J111)  - (Z111+Y111+AB111+AC111+AD111)  - (AK111)*(lease_NRI/J111)&gt;0,1,0)</f>
        <v>1</v>
      </c>
      <c r="AN111" s="73">
        <f t="shared" ca="1" si="45"/>
        <v>7884.4757325980809</v>
      </c>
      <c r="AO111" s="75">
        <f t="shared" ca="1" si="50"/>
        <v>1910458.9906660924</v>
      </c>
      <c r="AP111" s="72">
        <f ca="1">AL111  /  ( 1 + disc_1/12)^(COUNT($AL$6:AL111)-1)</f>
        <v>3298.676849771412</v>
      </c>
      <c r="AQ111" s="72">
        <f t="shared" ca="1" si="51"/>
        <v>1434593.8760891338</v>
      </c>
      <c r="AS111" s="303">
        <f t="shared" ca="1" si="46"/>
        <v>1</v>
      </c>
      <c r="AT111" s="300">
        <f ca="1">IFERROR(IRR($AN$6:AN111)*12,0)</f>
        <v>0</v>
      </c>
      <c r="AU111" s="297">
        <f t="shared" ca="1" si="47"/>
        <v>0</v>
      </c>
      <c r="AV111" s="303">
        <f t="shared" ca="1" si="48"/>
        <v>0</v>
      </c>
    </row>
    <row r="112" spans="2:48" x14ac:dyDescent="0.25">
      <c r="B112" s="43">
        <f t="shared" si="49"/>
        <v>47423</v>
      </c>
      <c r="C112" s="79">
        <f t="shared" si="39"/>
        <v>2029</v>
      </c>
      <c r="D112" s="64">
        <f ca="1">wellcount_base  +  SUM('forecast production'!I$7:I113)</f>
        <v>1</v>
      </c>
      <c r="E112" s="110">
        <f ca="1">'forecast production'!AE113</f>
        <v>242.4549573540574</v>
      </c>
      <c r="F112" s="98">
        <f ca="1">'forecast production'!AF113</f>
        <v>1322.7142537872021</v>
      </c>
      <c r="G112" s="98">
        <f ca="1">'forecast production'!AG113</f>
        <v>14.831498895098479</v>
      </c>
      <c r="H112" s="98">
        <f ca="1">'forecast production'!AH113</f>
        <v>198.40713806808031</v>
      </c>
      <c r="I112" s="307">
        <f t="shared" ca="1" si="40"/>
        <v>1</v>
      </c>
      <c r="J112" s="306">
        <f t="shared" ca="1" si="41"/>
        <v>0.75</v>
      </c>
      <c r="K112" s="112">
        <f t="shared" ca="1" si="26"/>
        <v>181.84121801554306</v>
      </c>
      <c r="L112" s="98">
        <f t="shared" ca="1" si="27"/>
        <v>744.02676775530108</v>
      </c>
      <c r="M112" s="98">
        <f t="shared" ca="1" si="28"/>
        <v>11.123624171323859</v>
      </c>
      <c r="N112" s="98">
        <f t="shared" ca="1" si="29"/>
        <v>148.80535355106025</v>
      </c>
      <c r="O112" s="67">
        <f>assumptions!M116</f>
        <v>55</v>
      </c>
      <c r="P112" s="68">
        <f>assumptions!N116</f>
        <v>3</v>
      </c>
      <c r="Q112" s="68">
        <f>assumptions!O116</f>
        <v>22</v>
      </c>
      <c r="R112" s="67">
        <f t="shared" si="30"/>
        <v>52.5</v>
      </c>
      <c r="S112" s="68">
        <f t="shared" si="31"/>
        <v>2.3275000000000001</v>
      </c>
      <c r="T112" s="68">
        <f t="shared" si="32"/>
        <v>22</v>
      </c>
      <c r="U112" s="73">
        <f t="shared" ca="1" si="33"/>
        <v>9546.6639458160116</v>
      </c>
      <c r="V112" s="72">
        <f t="shared" ca="1" si="34"/>
        <v>1731.7223019504634</v>
      </c>
      <c r="W112" s="72">
        <f t="shared" ca="1" si="35"/>
        <v>3273.7177781233254</v>
      </c>
      <c r="X112" s="72">
        <f t="shared" ca="1" si="42"/>
        <v>14552.104025889801</v>
      </c>
      <c r="Y112" s="73">
        <f>mult_opex * fixed_month</f>
        <v>1000</v>
      </c>
      <c r="Z112" s="72">
        <f ca="1">mult_opex * fixed_well *D112</f>
        <v>5000</v>
      </c>
      <c r="AA112" s="72">
        <f ca="1">(Z112+Y112)*WI_current_1</f>
        <v>6000</v>
      </c>
      <c r="AB112" s="72">
        <f ca="1">mult_opex * var_bo*E112</f>
        <v>0</v>
      </c>
      <c r="AC112" s="72">
        <f ca="1">mult_opex * var_mcf*F112</f>
        <v>0</v>
      </c>
      <c r="AD112" s="72">
        <f ca="1">mult_opex * var_bw * G112</f>
        <v>29.662997790196957</v>
      </c>
      <c r="AE112" s="72">
        <f ca="1">SUM(AB112:AD112)*WI_current_1</f>
        <v>29.662997790196957</v>
      </c>
      <c r="AF112" s="73">
        <f ca="1">mult_capex * IFERROR(OFFSET(assumptions!$F$39,MATCH(B112,assumptions!$E$39:$E$45,0)-1,0),0)</f>
        <v>0</v>
      </c>
      <c r="AG112" s="75">
        <f ca="1">mult_capex * capex_new*WI_current_1 *'forecast production'!I113</f>
        <v>0</v>
      </c>
      <c r="AH112" s="146">
        <f t="shared" ca="1" si="43"/>
        <v>0</v>
      </c>
      <c r="AI112" s="73">
        <f t="shared" ca="1" si="36"/>
        <v>814.5545475130707</v>
      </c>
      <c r="AJ112" s="72">
        <f t="shared" ca="1" si="37"/>
        <v>363.80260064724507</v>
      </c>
      <c r="AK112" s="72">
        <f t="shared" ca="1" si="44"/>
        <v>1178.3571481603158</v>
      </c>
      <c r="AL112" s="73">
        <f t="shared" ca="1" si="38"/>
        <v>7344.0838799392877</v>
      </c>
      <c r="AM112" s="132">
        <f ca="1">IF(X112*(lease_NRI/J112)  - (Z112+Y112+AB112+AC112+AD112)  - (AK112)*(lease_NRI/J112)&gt;0,1,0)</f>
        <v>1</v>
      </c>
      <c r="AN112" s="73">
        <f t="shared" ca="1" si="45"/>
        <v>7344.0838799392877</v>
      </c>
      <c r="AO112" s="75">
        <f t="shared" ca="1" si="50"/>
        <v>1917803.0745460317</v>
      </c>
      <c r="AP112" s="72">
        <f ca="1">AL112  /  ( 1 + disc_1/12)^(COUNT($AL$6:AL112)-1)</f>
        <v>3047.1964660831268</v>
      </c>
      <c r="AQ112" s="72">
        <f t="shared" ca="1" si="51"/>
        <v>1437641.072555217</v>
      </c>
      <c r="AS112" s="303">
        <f t="shared" ca="1" si="46"/>
        <v>1</v>
      </c>
      <c r="AT112" s="300">
        <f ca="1">IFERROR(IRR($AN$6:AN112)*12,0)</f>
        <v>0</v>
      </c>
      <c r="AU112" s="297">
        <f t="shared" ca="1" si="47"/>
        <v>0</v>
      </c>
      <c r="AV112" s="303">
        <f t="shared" ca="1" si="48"/>
        <v>0</v>
      </c>
    </row>
    <row r="113" spans="2:48" x14ac:dyDescent="0.25">
      <c r="B113" s="44">
        <f t="shared" si="49"/>
        <v>47453</v>
      </c>
      <c r="C113" s="100">
        <f t="shared" si="39"/>
        <v>2029</v>
      </c>
      <c r="D113" s="65">
        <f ca="1">wellcount_base  +  SUM('forecast production'!I$7:I114)</f>
        <v>1</v>
      </c>
      <c r="E113" s="109">
        <f ca="1">'forecast production'!AE114</f>
        <v>248.80293709055019</v>
      </c>
      <c r="F113" s="101">
        <f ca="1">'forecast production'!AF114</f>
        <v>1358.3228001069158</v>
      </c>
      <c r="G113" s="101">
        <f ca="1">'forecast production'!AG114</f>
        <v>14.804736078854248</v>
      </c>
      <c r="H113" s="102">
        <f ca="1">'forecast production'!AH114</f>
        <v>203.74842001603736</v>
      </c>
      <c r="I113" s="308">
        <f t="shared" ca="1" si="40"/>
        <v>1</v>
      </c>
      <c r="J113" s="309">
        <f t="shared" ca="1" si="41"/>
        <v>0.75</v>
      </c>
      <c r="K113" s="113">
        <f t="shared" ca="1" si="26"/>
        <v>186.60220281791266</v>
      </c>
      <c r="L113" s="102">
        <f t="shared" ca="1" si="27"/>
        <v>764.05657506014018</v>
      </c>
      <c r="M113" s="102">
        <f t="shared" ca="1" si="28"/>
        <v>11.103552059140686</v>
      </c>
      <c r="N113" s="102">
        <f t="shared" ca="1" si="29"/>
        <v>152.81131501202802</v>
      </c>
      <c r="O113" s="103">
        <f>assumptions!M117</f>
        <v>55</v>
      </c>
      <c r="P113" s="104">
        <f>assumptions!N117</f>
        <v>3</v>
      </c>
      <c r="Q113" s="104">
        <f>assumptions!O117</f>
        <v>22</v>
      </c>
      <c r="R113" s="103">
        <f t="shared" si="30"/>
        <v>52.5</v>
      </c>
      <c r="S113" s="104">
        <f t="shared" si="31"/>
        <v>2.3275000000000001</v>
      </c>
      <c r="T113" s="104">
        <f t="shared" si="32"/>
        <v>22</v>
      </c>
      <c r="U113" s="105">
        <f t="shared" ca="1" si="33"/>
        <v>9796.6156479404144</v>
      </c>
      <c r="V113" s="106">
        <f t="shared" ca="1" si="34"/>
        <v>1778.3416784524763</v>
      </c>
      <c r="W113" s="106">
        <f t="shared" ca="1" si="35"/>
        <v>3361.8489302646162</v>
      </c>
      <c r="X113" s="106">
        <f t="shared" ca="1" si="42"/>
        <v>14936.806256657506</v>
      </c>
      <c r="Y113" s="105">
        <f>mult_opex * fixed_month</f>
        <v>1000</v>
      </c>
      <c r="Z113" s="106">
        <f ca="1">mult_opex * fixed_well *D113</f>
        <v>5000</v>
      </c>
      <c r="AA113" s="106">
        <f ca="1">(Z113+Y113)*WI_current_1</f>
        <v>6000</v>
      </c>
      <c r="AB113" s="106">
        <f ca="1">mult_opex * var_bo*E113</f>
        <v>0</v>
      </c>
      <c r="AC113" s="106">
        <f ca="1">mult_opex * var_mcf*F113</f>
        <v>0</v>
      </c>
      <c r="AD113" s="106">
        <f ca="1">mult_opex * var_bw * G113</f>
        <v>29.609472157708495</v>
      </c>
      <c r="AE113" s="106">
        <f ca="1">SUM(AB113:AD113)*WI_current_1</f>
        <v>29.609472157708495</v>
      </c>
      <c r="AF113" s="105">
        <f ca="1">mult_capex * IFERROR(OFFSET(assumptions!$F$39,MATCH(B113,assumptions!$E$39:$E$45,0)-1,0),0)</f>
        <v>0</v>
      </c>
      <c r="AG113" s="106">
        <f ca="1">mult_capex * capex_new*WI_current_1 *'forecast production'!I114</f>
        <v>0</v>
      </c>
      <c r="AH113" s="147">
        <f t="shared" ca="1" si="43"/>
        <v>0</v>
      </c>
      <c r="AI113" s="105">
        <f t="shared" ca="1" si="36"/>
        <v>836.1586154590409</v>
      </c>
      <c r="AJ113" s="106">
        <f t="shared" ca="1" si="37"/>
        <v>373.42015641643769</v>
      </c>
      <c r="AK113" s="106">
        <f t="shared" ca="1" si="44"/>
        <v>1209.5787718754787</v>
      </c>
      <c r="AL113" s="105">
        <f t="shared" ca="1" si="38"/>
        <v>7697.6180126243198</v>
      </c>
      <c r="AM113" s="133">
        <f ca="1">IF(X113*(lease_NRI/J113)  - (Z113+Y113+AB113+AC113+AD113)  - (AK113)*(lease_NRI/J113)&gt;0,1,0)</f>
        <v>1</v>
      </c>
      <c r="AN113" s="105">
        <f t="shared" ca="1" si="45"/>
        <v>7697.6180126243198</v>
      </c>
      <c r="AO113" s="106">
        <f t="shared" ca="1" si="50"/>
        <v>1925500.692558656</v>
      </c>
      <c r="AP113" s="106">
        <f ca="1">AL113  /  ( 1 + disc_1/12)^(COUNT($AL$6:AL113)-1)</f>
        <v>3167.4885894375784</v>
      </c>
      <c r="AQ113" s="106">
        <f t="shared" ca="1" si="51"/>
        <v>1440808.5611446546</v>
      </c>
      <c r="AS113" s="304">
        <f t="shared" ca="1" si="46"/>
        <v>1</v>
      </c>
      <c r="AT113" s="301">
        <f ca="1">IFERROR(IRR($AN$6:AN113)*12,0)</f>
        <v>0</v>
      </c>
      <c r="AU113" s="298">
        <f t="shared" ca="1" si="47"/>
        <v>0</v>
      </c>
      <c r="AV113" s="304">
        <f t="shared" ca="1" si="48"/>
        <v>0</v>
      </c>
    </row>
    <row r="114" spans="2:48" x14ac:dyDescent="0.25">
      <c r="B114" s="43">
        <f t="shared" si="49"/>
        <v>47484</v>
      </c>
      <c r="C114" s="79">
        <f t="shared" si="39"/>
        <v>2030</v>
      </c>
      <c r="D114" s="64">
        <f ca="1">wellcount_base  +  SUM('forecast production'!I$7:I115)</f>
        <v>1</v>
      </c>
      <c r="E114" s="110">
        <f ca="1">'forecast production'!AE115</f>
        <v>247.03632250027002</v>
      </c>
      <c r="F114" s="98">
        <f ca="1">'forecast production'!AF115</f>
        <v>1349.6680297301407</v>
      </c>
      <c r="G114" s="98">
        <f ca="1">'forecast production'!AG115</f>
        <v>14.284918250572273</v>
      </c>
      <c r="H114" s="98">
        <f ca="1">'forecast production'!AH115</f>
        <v>202.4502044595211</v>
      </c>
      <c r="I114" s="307">
        <f t="shared" ca="1" si="40"/>
        <v>1</v>
      </c>
      <c r="J114" s="306">
        <f t="shared" ca="1" si="41"/>
        <v>0.75</v>
      </c>
      <c r="K114" s="112">
        <f t="shared" ca="1" si="26"/>
        <v>185.27724187520252</v>
      </c>
      <c r="L114" s="98">
        <f t="shared" ca="1" si="27"/>
        <v>759.18826672320415</v>
      </c>
      <c r="M114" s="98">
        <f t="shared" ca="1" si="28"/>
        <v>10.713688687929205</v>
      </c>
      <c r="N114" s="98">
        <f t="shared" ca="1" si="29"/>
        <v>151.83765334464084</v>
      </c>
      <c r="O114" s="67">
        <f>assumptions!M118</f>
        <v>55</v>
      </c>
      <c r="P114" s="68">
        <f>assumptions!N118</f>
        <v>3</v>
      </c>
      <c r="Q114" s="68">
        <f>assumptions!O118</f>
        <v>22</v>
      </c>
      <c r="R114" s="67">
        <f t="shared" si="30"/>
        <v>52.5</v>
      </c>
      <c r="S114" s="68">
        <f t="shared" si="31"/>
        <v>2.3275000000000001</v>
      </c>
      <c r="T114" s="68">
        <f t="shared" si="32"/>
        <v>22</v>
      </c>
      <c r="U114" s="73">
        <f t="shared" ca="1" si="33"/>
        <v>9727.0551984481317</v>
      </c>
      <c r="V114" s="72">
        <f t="shared" ca="1" si="34"/>
        <v>1767.0106907982577</v>
      </c>
      <c r="W114" s="72">
        <f t="shared" ca="1" si="35"/>
        <v>3340.4283735820986</v>
      </c>
      <c r="X114" s="72">
        <f t="shared" ca="1" si="42"/>
        <v>14834.494262828488</v>
      </c>
      <c r="Y114" s="73">
        <f>mult_opex * fixed_month</f>
        <v>1000</v>
      </c>
      <c r="Z114" s="72">
        <f ca="1">mult_opex * fixed_well *D114</f>
        <v>5000</v>
      </c>
      <c r="AA114" s="72">
        <f ca="1">(Z114+Y114)*WI_current_1</f>
        <v>6000</v>
      </c>
      <c r="AB114" s="72">
        <f ca="1">mult_opex * var_bo*E114</f>
        <v>0</v>
      </c>
      <c r="AC114" s="72">
        <f ca="1">mult_opex * var_mcf*F114</f>
        <v>0</v>
      </c>
      <c r="AD114" s="72">
        <f ca="1">mult_opex * var_bw * G114</f>
        <v>28.569836501144547</v>
      </c>
      <c r="AE114" s="72">
        <f ca="1">SUM(AB114:AD114)*WI_current_1</f>
        <v>28.569836501144547</v>
      </c>
      <c r="AF114" s="73">
        <f ca="1">mult_capex * IFERROR(OFFSET(assumptions!$F$39,MATCH(B114,assumptions!$E$39:$E$45,0)-1,0),0)</f>
        <v>0</v>
      </c>
      <c r="AG114" s="75">
        <f ca="1">mult_capex * capex_new*WI_current_1 *'forecast production'!I115</f>
        <v>0</v>
      </c>
      <c r="AH114" s="146">
        <f t="shared" ca="1" si="43"/>
        <v>0</v>
      </c>
      <c r="AI114" s="73">
        <f t="shared" ca="1" si="36"/>
        <v>830.50246895714076</v>
      </c>
      <c r="AJ114" s="72">
        <f t="shared" ca="1" si="37"/>
        <v>370.86235657071222</v>
      </c>
      <c r="AK114" s="72">
        <f t="shared" ca="1" si="44"/>
        <v>1201.3648255278531</v>
      </c>
      <c r="AL114" s="73">
        <f t="shared" ca="1" si="38"/>
        <v>7604.55960079949</v>
      </c>
      <c r="AM114" s="132">
        <f ca="1">IF(X114*(lease_NRI/J114)  - (Z114+Y114+AB114+AC114+AD114)  - (AK114)*(lease_NRI/J114)&gt;0,1,0)</f>
        <v>1</v>
      </c>
      <c r="AN114" s="73">
        <f t="shared" ca="1" si="45"/>
        <v>7604.55960079949</v>
      </c>
      <c r="AO114" s="75">
        <f t="shared" ca="1" si="50"/>
        <v>1933105.2521594556</v>
      </c>
      <c r="AP114" s="72">
        <f ca="1">AL114  /  ( 1 + disc_1/12)^(COUNT($AL$6:AL114)-1)</f>
        <v>3103.334910638383</v>
      </c>
      <c r="AQ114" s="72">
        <f t="shared" ca="1" si="51"/>
        <v>1443911.896055293</v>
      </c>
      <c r="AS114" s="303">
        <f t="shared" ca="1" si="46"/>
        <v>1</v>
      </c>
      <c r="AT114" s="300">
        <f ca="1">IFERROR(IRR($AN$6:AN114)*12,0)</f>
        <v>0</v>
      </c>
      <c r="AU114" s="297">
        <f t="shared" ca="1" si="47"/>
        <v>0</v>
      </c>
      <c r="AV114" s="303">
        <f t="shared" ca="1" si="48"/>
        <v>0</v>
      </c>
    </row>
    <row r="115" spans="2:48" x14ac:dyDescent="0.25">
      <c r="B115" s="43">
        <f t="shared" si="49"/>
        <v>47515</v>
      </c>
      <c r="C115" s="79">
        <f t="shared" si="39"/>
        <v>2030</v>
      </c>
      <c r="D115" s="64">
        <f ca="1">wellcount_base  +  SUM('forecast production'!I$7:I116)</f>
        <v>1</v>
      </c>
      <c r="E115" s="110">
        <f ca="1">'forecast production'!AE116</f>
        <v>221.55430065258406</v>
      </c>
      <c r="F115" s="98">
        <f ca="1">'forecast production'!AF116</f>
        <v>1211.3367691590156</v>
      </c>
      <c r="G115" s="98">
        <f ca="1">'forecast production'!AG116</f>
        <v>12.449558783776347</v>
      </c>
      <c r="H115" s="98">
        <f ca="1">'forecast production'!AH116</f>
        <v>181.70051537385234</v>
      </c>
      <c r="I115" s="307">
        <f t="shared" ca="1" si="40"/>
        <v>1</v>
      </c>
      <c r="J115" s="306">
        <f t="shared" ca="1" si="41"/>
        <v>0.75</v>
      </c>
      <c r="K115" s="112">
        <f t="shared" ca="1" si="26"/>
        <v>166.16572548943805</v>
      </c>
      <c r="L115" s="98">
        <f t="shared" ca="1" si="27"/>
        <v>681.37693265194628</v>
      </c>
      <c r="M115" s="98">
        <f t="shared" ca="1" si="28"/>
        <v>9.33716908783226</v>
      </c>
      <c r="N115" s="98">
        <f t="shared" ca="1" si="29"/>
        <v>136.27538653038926</v>
      </c>
      <c r="O115" s="67">
        <f>assumptions!M119</f>
        <v>55</v>
      </c>
      <c r="P115" s="68">
        <f>assumptions!N119</f>
        <v>3</v>
      </c>
      <c r="Q115" s="68">
        <f>assumptions!O119</f>
        <v>22</v>
      </c>
      <c r="R115" s="67">
        <f t="shared" si="30"/>
        <v>52.5</v>
      </c>
      <c r="S115" s="68">
        <f t="shared" si="31"/>
        <v>2.3275000000000001</v>
      </c>
      <c r="T115" s="68">
        <f t="shared" si="32"/>
        <v>22</v>
      </c>
      <c r="U115" s="73">
        <f t="shared" ca="1" si="33"/>
        <v>8723.7005881954974</v>
      </c>
      <c r="V115" s="72">
        <f t="shared" ca="1" si="34"/>
        <v>1585.904810747405</v>
      </c>
      <c r="W115" s="72">
        <f t="shared" ca="1" si="35"/>
        <v>2998.0585036685634</v>
      </c>
      <c r="X115" s="72">
        <f t="shared" ca="1" si="42"/>
        <v>13307.663902611464</v>
      </c>
      <c r="Y115" s="73">
        <f>mult_opex * fixed_month</f>
        <v>1000</v>
      </c>
      <c r="Z115" s="72">
        <f ca="1">mult_opex * fixed_well *D115</f>
        <v>5000</v>
      </c>
      <c r="AA115" s="72">
        <f ca="1">(Z115+Y115)*WI_current_1</f>
        <v>6000</v>
      </c>
      <c r="AB115" s="72">
        <f ca="1">mult_opex * var_bo*E115</f>
        <v>0</v>
      </c>
      <c r="AC115" s="72">
        <f ca="1">mult_opex * var_mcf*F115</f>
        <v>0</v>
      </c>
      <c r="AD115" s="72">
        <f ca="1">mult_opex * var_bw * G115</f>
        <v>24.899117567552693</v>
      </c>
      <c r="AE115" s="72">
        <f ca="1">SUM(AB115:AD115)*WI_current_1</f>
        <v>24.899117567552693</v>
      </c>
      <c r="AF115" s="73">
        <f ca="1">mult_capex * IFERROR(OFFSET(assumptions!$F$39,MATCH(B115,assumptions!$E$39:$E$45,0)-1,0),0)</f>
        <v>0</v>
      </c>
      <c r="AG115" s="75">
        <f ca="1">mult_capex * capex_new*WI_current_1 *'forecast production'!I116</f>
        <v>0</v>
      </c>
      <c r="AH115" s="146">
        <f t="shared" ca="1" si="43"/>
        <v>0</v>
      </c>
      <c r="AI115" s="73">
        <f t="shared" ca="1" si="36"/>
        <v>745.08747563819043</v>
      </c>
      <c r="AJ115" s="72">
        <f t="shared" ca="1" si="37"/>
        <v>332.69159756528666</v>
      </c>
      <c r="AK115" s="72">
        <f t="shared" ca="1" si="44"/>
        <v>1077.7790732034771</v>
      </c>
      <c r="AL115" s="73">
        <f t="shared" ca="1" si="38"/>
        <v>6204.9857118404343</v>
      </c>
      <c r="AM115" s="132">
        <f ca="1">IF(X115*(lease_NRI/J115)  - (Z115+Y115+AB115+AC115+AD115)  - (AK115)*(lease_NRI/J115)&gt;0,1,0)</f>
        <v>1</v>
      </c>
      <c r="AN115" s="73">
        <f t="shared" ca="1" si="45"/>
        <v>6204.9857118404343</v>
      </c>
      <c r="AO115" s="75">
        <f t="shared" ca="1" si="50"/>
        <v>1939310.237871296</v>
      </c>
      <c r="AP115" s="72">
        <f ca="1">AL115  /  ( 1 + disc_1/12)^(COUNT($AL$6:AL115)-1)</f>
        <v>2511.2574634970438</v>
      </c>
      <c r="AQ115" s="72">
        <f t="shared" ca="1" si="51"/>
        <v>1446423.1535187901</v>
      </c>
      <c r="AS115" s="303">
        <f t="shared" ca="1" si="46"/>
        <v>1</v>
      </c>
      <c r="AT115" s="300">
        <f ca="1">IFERROR(IRR($AN$6:AN115)*12,0)</f>
        <v>0</v>
      </c>
      <c r="AU115" s="297">
        <f t="shared" ca="1" si="47"/>
        <v>0</v>
      </c>
      <c r="AV115" s="303">
        <f t="shared" ca="1" si="48"/>
        <v>0</v>
      </c>
    </row>
    <row r="116" spans="2:48" x14ac:dyDescent="0.25">
      <c r="B116" s="43">
        <f t="shared" si="49"/>
        <v>47543</v>
      </c>
      <c r="C116" s="79">
        <f t="shared" si="39"/>
        <v>2030</v>
      </c>
      <c r="D116" s="64">
        <f ca="1">wellcount_base  +  SUM('forecast production'!I$7:I117)</f>
        <v>1</v>
      </c>
      <c r="E116" s="110">
        <f ca="1">'forecast production'!AE117</f>
        <v>243.72828190364964</v>
      </c>
      <c r="F116" s="98">
        <f ca="1">'forecast production'!AF117</f>
        <v>1333.4971013697182</v>
      </c>
      <c r="G116" s="98">
        <f ca="1">'forecast production'!AG117</f>
        <v>13.345714130609201</v>
      </c>
      <c r="H116" s="98">
        <f ca="1">'forecast production'!AH117</f>
        <v>200.02456520545772</v>
      </c>
      <c r="I116" s="307">
        <f t="shared" ca="1" si="40"/>
        <v>1</v>
      </c>
      <c r="J116" s="306">
        <f t="shared" ca="1" si="41"/>
        <v>0.75</v>
      </c>
      <c r="K116" s="112">
        <f t="shared" ca="1" si="26"/>
        <v>182.79621142773723</v>
      </c>
      <c r="L116" s="98">
        <f t="shared" ca="1" si="27"/>
        <v>750.09211952046644</v>
      </c>
      <c r="M116" s="98">
        <f t="shared" ca="1" si="28"/>
        <v>10.0092855979569</v>
      </c>
      <c r="N116" s="98">
        <f t="shared" ca="1" si="29"/>
        <v>150.01842390409328</v>
      </c>
      <c r="O116" s="67">
        <f>assumptions!M120</f>
        <v>55</v>
      </c>
      <c r="P116" s="68">
        <f>assumptions!N120</f>
        <v>3</v>
      </c>
      <c r="Q116" s="68">
        <f>assumptions!O120</f>
        <v>22</v>
      </c>
      <c r="R116" s="67">
        <f t="shared" si="30"/>
        <v>52.5</v>
      </c>
      <c r="S116" s="68">
        <f t="shared" si="31"/>
        <v>2.3275000000000001</v>
      </c>
      <c r="T116" s="68">
        <f t="shared" si="32"/>
        <v>22</v>
      </c>
      <c r="U116" s="73">
        <f t="shared" ca="1" si="33"/>
        <v>9596.8010999562048</v>
      </c>
      <c r="V116" s="72">
        <f t="shared" ca="1" si="34"/>
        <v>1745.8394081838858</v>
      </c>
      <c r="W116" s="72">
        <f t="shared" ca="1" si="35"/>
        <v>3300.4053258900522</v>
      </c>
      <c r="X116" s="72">
        <f t="shared" ca="1" si="42"/>
        <v>14643.045834030141</v>
      </c>
      <c r="Y116" s="73">
        <f>mult_opex * fixed_month</f>
        <v>1000</v>
      </c>
      <c r="Z116" s="72">
        <f ca="1">mult_opex * fixed_well *D116</f>
        <v>5000</v>
      </c>
      <c r="AA116" s="72">
        <f ca="1">(Z116+Y116)*WI_current_1</f>
        <v>6000</v>
      </c>
      <c r="AB116" s="72">
        <f ca="1">mult_opex * var_bo*E116</f>
        <v>0</v>
      </c>
      <c r="AC116" s="72">
        <f ca="1">mult_opex * var_mcf*F116</f>
        <v>0</v>
      </c>
      <c r="AD116" s="72">
        <f ca="1">mult_opex * var_bw * G116</f>
        <v>26.691428261218402</v>
      </c>
      <c r="AE116" s="72">
        <f ca="1">SUM(AB116:AD116)*WI_current_1</f>
        <v>26.691428261218402</v>
      </c>
      <c r="AF116" s="73">
        <f ca="1">mult_capex * IFERROR(OFFSET(assumptions!$F$39,MATCH(B116,assumptions!$E$39:$E$45,0)-1,0),0)</f>
        <v>0</v>
      </c>
      <c r="AG116" s="75">
        <f ca="1">mult_capex * capex_new*WI_current_1 *'forecast production'!I117</f>
        <v>0</v>
      </c>
      <c r="AH116" s="146">
        <f t="shared" ca="1" si="43"/>
        <v>0</v>
      </c>
      <c r="AI116" s="73">
        <f t="shared" ca="1" si="36"/>
        <v>819.92120565353071</v>
      </c>
      <c r="AJ116" s="72">
        <f t="shared" ca="1" si="37"/>
        <v>366.07614585075356</v>
      </c>
      <c r="AK116" s="72">
        <f t="shared" ca="1" si="44"/>
        <v>1185.9973515042843</v>
      </c>
      <c r="AL116" s="73">
        <f t="shared" ca="1" si="38"/>
        <v>7430.3570542646394</v>
      </c>
      <c r="AM116" s="132">
        <f ca="1">IF(X116*(lease_NRI/J116)  - (Z116+Y116+AB116+AC116+AD116)  - (AK116)*(lease_NRI/J116)&gt;0,1,0)</f>
        <v>1</v>
      </c>
      <c r="AN116" s="73">
        <f t="shared" ca="1" si="45"/>
        <v>7430.3570542646394</v>
      </c>
      <c r="AO116" s="75">
        <f t="shared" ca="1" si="50"/>
        <v>1946740.5949255608</v>
      </c>
      <c r="AP116" s="72">
        <f ca="1">AL116  /  ( 1 + disc_1/12)^(COUNT($AL$6:AL116)-1)</f>
        <v>2982.3321756421392</v>
      </c>
      <c r="AQ116" s="72">
        <f t="shared" ca="1" si="51"/>
        <v>1449405.4856944324</v>
      </c>
      <c r="AS116" s="303">
        <f t="shared" ca="1" si="46"/>
        <v>1</v>
      </c>
      <c r="AT116" s="300">
        <f ca="1">IFERROR(IRR($AN$6:AN116)*12,0)</f>
        <v>0</v>
      </c>
      <c r="AU116" s="297">
        <f t="shared" ca="1" si="47"/>
        <v>0</v>
      </c>
      <c r="AV116" s="303">
        <f t="shared" ca="1" si="48"/>
        <v>0</v>
      </c>
    </row>
    <row r="117" spans="2:48" x14ac:dyDescent="0.25">
      <c r="B117" s="43">
        <f t="shared" si="49"/>
        <v>47574</v>
      </c>
      <c r="C117" s="79">
        <f t="shared" si="39"/>
        <v>2030</v>
      </c>
      <c r="D117" s="64">
        <f ca="1">wellcount_base  +  SUM('forecast production'!I$7:I118)</f>
        <v>1</v>
      </c>
      <c r="E117" s="110">
        <f ca="1">'forecast production'!AE118</f>
        <v>234.20164089257673</v>
      </c>
      <c r="F117" s="98">
        <f ca="1">'forecast production'!AF118</f>
        <v>1282.4079002696183</v>
      </c>
      <c r="G117" s="98">
        <f ca="1">'forecast production'!AG118</f>
        <v>12.461964744034223</v>
      </c>
      <c r="H117" s="98">
        <f ca="1">'forecast production'!AH118</f>
        <v>192.36118504044276</v>
      </c>
      <c r="I117" s="307">
        <f t="shared" ca="1" si="40"/>
        <v>1</v>
      </c>
      <c r="J117" s="306">
        <f t="shared" ca="1" si="41"/>
        <v>0.75</v>
      </c>
      <c r="K117" s="112">
        <f t="shared" ca="1" si="26"/>
        <v>175.65123066943255</v>
      </c>
      <c r="L117" s="98">
        <f t="shared" ca="1" si="27"/>
        <v>721.35444390166026</v>
      </c>
      <c r="M117" s="98">
        <f t="shared" ca="1" si="28"/>
        <v>9.3464735580256679</v>
      </c>
      <c r="N117" s="98">
        <f t="shared" ca="1" si="29"/>
        <v>144.27088878033209</v>
      </c>
      <c r="O117" s="67">
        <f>assumptions!M121</f>
        <v>55</v>
      </c>
      <c r="P117" s="68">
        <f>assumptions!N121</f>
        <v>3</v>
      </c>
      <c r="Q117" s="68">
        <f>assumptions!O121</f>
        <v>22</v>
      </c>
      <c r="R117" s="67">
        <f t="shared" si="30"/>
        <v>52.5</v>
      </c>
      <c r="S117" s="68">
        <f t="shared" si="31"/>
        <v>2.3275000000000001</v>
      </c>
      <c r="T117" s="68">
        <f t="shared" si="32"/>
        <v>22</v>
      </c>
      <c r="U117" s="73">
        <f t="shared" ca="1" si="33"/>
        <v>9221.6896101452094</v>
      </c>
      <c r="V117" s="72">
        <f t="shared" ca="1" si="34"/>
        <v>1678.9524681811145</v>
      </c>
      <c r="W117" s="72">
        <f t="shared" ca="1" si="35"/>
        <v>3173.9595531673058</v>
      </c>
      <c r="X117" s="72">
        <f t="shared" ca="1" si="42"/>
        <v>14074.60163149363</v>
      </c>
      <c r="Y117" s="73">
        <f>mult_opex * fixed_month</f>
        <v>1000</v>
      </c>
      <c r="Z117" s="72">
        <f ca="1">mult_opex * fixed_well *D117</f>
        <v>5000</v>
      </c>
      <c r="AA117" s="72">
        <f ca="1">(Z117+Y117)*WI_current_1</f>
        <v>6000</v>
      </c>
      <c r="AB117" s="72">
        <f ca="1">mult_opex * var_bo*E117</f>
        <v>0</v>
      </c>
      <c r="AC117" s="72">
        <f ca="1">mult_opex * var_mcf*F117</f>
        <v>0</v>
      </c>
      <c r="AD117" s="72">
        <f ca="1">mult_opex * var_bw * G117</f>
        <v>24.923929488068445</v>
      </c>
      <c r="AE117" s="72">
        <f ca="1">SUM(AB117:AD117)*WI_current_1</f>
        <v>24.923929488068445</v>
      </c>
      <c r="AF117" s="73">
        <f ca="1">mult_capex * IFERROR(OFFSET(assumptions!$F$39,MATCH(B117,assumptions!$E$39:$E$45,0)-1,0),0)</f>
        <v>0</v>
      </c>
      <c r="AG117" s="75">
        <f ca="1">mult_capex * capex_new*WI_current_1 *'forecast production'!I118</f>
        <v>0</v>
      </c>
      <c r="AH117" s="146">
        <f t="shared" ca="1" si="43"/>
        <v>0</v>
      </c>
      <c r="AI117" s="73">
        <f t="shared" ca="1" si="36"/>
        <v>788.16612366781112</v>
      </c>
      <c r="AJ117" s="72">
        <f t="shared" ca="1" si="37"/>
        <v>351.86504078734077</v>
      </c>
      <c r="AK117" s="72">
        <f t="shared" ca="1" si="44"/>
        <v>1140.0311644551518</v>
      </c>
      <c r="AL117" s="73">
        <f t="shared" ca="1" si="38"/>
        <v>6909.6465375504104</v>
      </c>
      <c r="AM117" s="132">
        <f ca="1">IF(X117*(lease_NRI/J117)  - (Z117+Y117+AB117+AC117+AD117)  - (AK117)*(lease_NRI/J117)&gt;0,1,0)</f>
        <v>1</v>
      </c>
      <c r="AN117" s="73">
        <f t="shared" ca="1" si="45"/>
        <v>6909.6465375504104</v>
      </c>
      <c r="AO117" s="75">
        <f t="shared" ca="1" si="50"/>
        <v>1953650.2414631112</v>
      </c>
      <c r="AP117" s="72">
        <f ca="1">AL117  /  ( 1 + disc_1/12)^(COUNT($AL$6:AL117)-1)</f>
        <v>2750.4137962760678</v>
      </c>
      <c r="AQ117" s="72">
        <f t="shared" ca="1" si="51"/>
        <v>1452155.8994907085</v>
      </c>
      <c r="AS117" s="303">
        <f t="shared" ca="1" si="46"/>
        <v>1</v>
      </c>
      <c r="AT117" s="300">
        <f ca="1">IFERROR(IRR($AN$6:AN117)*12,0)</f>
        <v>0</v>
      </c>
      <c r="AU117" s="297">
        <f t="shared" ca="1" si="47"/>
        <v>0</v>
      </c>
      <c r="AV117" s="303">
        <f t="shared" ca="1" si="48"/>
        <v>0</v>
      </c>
    </row>
    <row r="118" spans="2:48" x14ac:dyDescent="0.25">
      <c r="B118" s="43">
        <f t="shared" si="49"/>
        <v>47604</v>
      </c>
      <c r="C118" s="79">
        <f t="shared" si="39"/>
        <v>2030</v>
      </c>
      <c r="D118" s="64">
        <f ca="1">wellcount_base  +  SUM('forecast production'!I$7:I119)</f>
        <v>1</v>
      </c>
      <c r="E118" s="110">
        <f ca="1">'forecast production'!AE119</f>
        <v>240.35548078004683</v>
      </c>
      <c r="F118" s="98">
        <f ca="1">'forecast production'!AF119</f>
        <v>1317.1804478574588</v>
      </c>
      <c r="G118" s="98">
        <f ca="1">'forecast production'!AG119</f>
        <v>12.439852026787953</v>
      </c>
      <c r="H118" s="98">
        <f ca="1">'forecast production'!AH119</f>
        <v>197.57706717861882</v>
      </c>
      <c r="I118" s="307">
        <f t="shared" ca="1" si="40"/>
        <v>1</v>
      </c>
      <c r="J118" s="306">
        <f t="shared" ca="1" si="41"/>
        <v>0.75</v>
      </c>
      <c r="K118" s="112">
        <f t="shared" ca="1" si="26"/>
        <v>180.26661058503512</v>
      </c>
      <c r="L118" s="98">
        <f t="shared" ca="1" si="27"/>
        <v>740.91400191982063</v>
      </c>
      <c r="M118" s="98">
        <f t="shared" ca="1" si="28"/>
        <v>9.329889020090965</v>
      </c>
      <c r="N118" s="98">
        <f t="shared" ca="1" si="29"/>
        <v>148.18280038396412</v>
      </c>
      <c r="O118" s="67">
        <f>assumptions!M122</f>
        <v>55</v>
      </c>
      <c r="P118" s="68">
        <f>assumptions!N122</f>
        <v>3</v>
      </c>
      <c r="Q118" s="68">
        <f>assumptions!O122</f>
        <v>22</v>
      </c>
      <c r="R118" s="67">
        <f t="shared" si="30"/>
        <v>52.5</v>
      </c>
      <c r="S118" s="68">
        <f t="shared" si="31"/>
        <v>2.3275000000000001</v>
      </c>
      <c r="T118" s="68">
        <f t="shared" si="32"/>
        <v>22</v>
      </c>
      <c r="U118" s="73">
        <f t="shared" ca="1" si="33"/>
        <v>9463.9970557143442</v>
      </c>
      <c r="V118" s="72">
        <f t="shared" ca="1" si="34"/>
        <v>1724.4773394683825</v>
      </c>
      <c r="W118" s="72">
        <f t="shared" ca="1" si="35"/>
        <v>3260.0216084472108</v>
      </c>
      <c r="X118" s="72">
        <f t="shared" ca="1" si="42"/>
        <v>14448.496003629936</v>
      </c>
      <c r="Y118" s="73">
        <f>mult_opex * fixed_month</f>
        <v>1000</v>
      </c>
      <c r="Z118" s="72">
        <f ca="1">mult_opex * fixed_well *D118</f>
        <v>5000</v>
      </c>
      <c r="AA118" s="72">
        <f ca="1">(Z118+Y118)*WI_current_1</f>
        <v>6000</v>
      </c>
      <c r="AB118" s="72">
        <f ca="1">mult_opex * var_bo*E118</f>
        <v>0</v>
      </c>
      <c r="AC118" s="72">
        <f ca="1">mult_opex * var_mcf*F118</f>
        <v>0</v>
      </c>
      <c r="AD118" s="72">
        <f ca="1">mult_opex * var_bw * G118</f>
        <v>24.879704053575907</v>
      </c>
      <c r="AE118" s="72">
        <f ca="1">SUM(AB118:AD118)*WI_current_1</f>
        <v>24.879704053575907</v>
      </c>
      <c r="AF118" s="73">
        <f ca="1">mult_capex * IFERROR(OFFSET(assumptions!$F$39,MATCH(B118,assumptions!$E$39:$E$45,0)-1,0),0)</f>
        <v>0</v>
      </c>
      <c r="AG118" s="75">
        <f ca="1">mult_capex * capex_new*WI_current_1 *'forecast production'!I119</f>
        <v>0</v>
      </c>
      <c r="AH118" s="146">
        <f t="shared" ca="1" si="43"/>
        <v>0</v>
      </c>
      <c r="AI118" s="73">
        <f t="shared" ca="1" si="36"/>
        <v>809.18128565652933</v>
      </c>
      <c r="AJ118" s="72">
        <f t="shared" ca="1" si="37"/>
        <v>361.21240009074842</v>
      </c>
      <c r="AK118" s="72">
        <f t="shared" ca="1" si="44"/>
        <v>1170.3936857472777</v>
      </c>
      <c r="AL118" s="73">
        <f t="shared" ca="1" si="38"/>
        <v>7253.2226138290825</v>
      </c>
      <c r="AM118" s="132">
        <f ca="1">IF(X118*(lease_NRI/J118)  - (Z118+Y118+AB118+AC118+AD118)  - (AK118)*(lease_NRI/J118)&gt;0,1,0)</f>
        <v>1</v>
      </c>
      <c r="AN118" s="73">
        <f t="shared" ca="1" si="45"/>
        <v>7253.2226138290825</v>
      </c>
      <c r="AO118" s="75">
        <f t="shared" ca="1" si="50"/>
        <v>1960903.4640769404</v>
      </c>
      <c r="AP118" s="72">
        <f ca="1">AL118  /  ( 1 + disc_1/12)^(COUNT($AL$6:AL118)-1)</f>
        <v>2863.3147388832522</v>
      </c>
      <c r="AQ118" s="72">
        <f t="shared" ca="1" si="51"/>
        <v>1455019.2142295917</v>
      </c>
      <c r="AS118" s="303">
        <f t="shared" ca="1" si="46"/>
        <v>1</v>
      </c>
      <c r="AT118" s="300">
        <f ca="1">IFERROR(IRR($AN$6:AN118)*12,0)</f>
        <v>0</v>
      </c>
      <c r="AU118" s="297">
        <f t="shared" ca="1" si="47"/>
        <v>0</v>
      </c>
      <c r="AV118" s="303">
        <f t="shared" ca="1" si="48"/>
        <v>0</v>
      </c>
    </row>
    <row r="119" spans="2:48" x14ac:dyDescent="0.25">
      <c r="B119" s="43">
        <f t="shared" si="49"/>
        <v>47635</v>
      </c>
      <c r="C119" s="79">
        <f t="shared" si="39"/>
        <v>2030</v>
      </c>
      <c r="D119" s="64">
        <f ca="1">wellcount_base  +  SUM('forecast production'!I$7:I120)</f>
        <v>1</v>
      </c>
      <c r="E119" s="110">
        <f ca="1">'forecast production'!AE120</f>
        <v>230.96067291224045</v>
      </c>
      <c r="F119" s="98">
        <f ca="1">'forecast production'!AF120</f>
        <v>1266.8133450150349</v>
      </c>
      <c r="G119" s="98">
        <f ca="1">'forecast production'!AG120</f>
        <v>11.616234376549187</v>
      </c>
      <c r="H119" s="98">
        <f ca="1">'forecast production'!AH120</f>
        <v>190.02200175225525</v>
      </c>
      <c r="I119" s="307">
        <f t="shared" ca="1" si="40"/>
        <v>1</v>
      </c>
      <c r="J119" s="306">
        <f t="shared" ca="1" si="41"/>
        <v>0.75</v>
      </c>
      <c r="K119" s="112">
        <f t="shared" ca="1" si="26"/>
        <v>173.22050468418036</v>
      </c>
      <c r="L119" s="98">
        <f t="shared" ca="1" si="27"/>
        <v>712.58250657095709</v>
      </c>
      <c r="M119" s="98">
        <f t="shared" ca="1" si="28"/>
        <v>8.7121757824118902</v>
      </c>
      <c r="N119" s="98">
        <f t="shared" ca="1" si="29"/>
        <v>142.51650131419143</v>
      </c>
      <c r="O119" s="67">
        <f>assumptions!M123</f>
        <v>55</v>
      </c>
      <c r="P119" s="68">
        <f>assumptions!N123</f>
        <v>3</v>
      </c>
      <c r="Q119" s="68">
        <f>assumptions!O123</f>
        <v>22</v>
      </c>
      <c r="R119" s="67">
        <f t="shared" si="30"/>
        <v>52.5</v>
      </c>
      <c r="S119" s="68">
        <f t="shared" si="31"/>
        <v>2.3275000000000001</v>
      </c>
      <c r="T119" s="68">
        <f t="shared" si="32"/>
        <v>22</v>
      </c>
      <c r="U119" s="73">
        <f t="shared" ca="1" si="33"/>
        <v>9094.0764959194694</v>
      </c>
      <c r="V119" s="72">
        <f t="shared" ca="1" si="34"/>
        <v>1658.5357840439028</v>
      </c>
      <c r="W119" s="72">
        <f t="shared" ca="1" si="35"/>
        <v>3135.3630289122116</v>
      </c>
      <c r="X119" s="72">
        <f t="shared" ca="1" si="42"/>
        <v>13887.975308875584</v>
      </c>
      <c r="Y119" s="73">
        <f>mult_opex * fixed_month</f>
        <v>1000</v>
      </c>
      <c r="Z119" s="72">
        <f ca="1">mult_opex * fixed_well *D119</f>
        <v>5000</v>
      </c>
      <c r="AA119" s="72">
        <f ca="1">(Z119+Y119)*WI_current_1</f>
        <v>6000</v>
      </c>
      <c r="AB119" s="72">
        <f ca="1">mult_opex * var_bo*E119</f>
        <v>0</v>
      </c>
      <c r="AC119" s="72">
        <f ca="1">mult_opex * var_mcf*F119</f>
        <v>0</v>
      </c>
      <c r="AD119" s="72">
        <f ca="1">mult_opex * var_bw * G119</f>
        <v>23.232468753098374</v>
      </c>
      <c r="AE119" s="72">
        <f ca="1">SUM(AB119:AD119)*WI_current_1</f>
        <v>23.232468753098374</v>
      </c>
      <c r="AF119" s="73">
        <f ca="1">mult_capex * IFERROR(OFFSET(assumptions!$F$39,MATCH(B119,assumptions!$E$39:$E$45,0)-1,0),0)</f>
        <v>0</v>
      </c>
      <c r="AG119" s="75">
        <f ca="1">mult_capex * capex_new*WI_current_1 *'forecast production'!I120</f>
        <v>0</v>
      </c>
      <c r="AH119" s="146">
        <f t="shared" ca="1" si="43"/>
        <v>0</v>
      </c>
      <c r="AI119" s="73">
        <f t="shared" ca="1" si="36"/>
        <v>777.86992978400406</v>
      </c>
      <c r="AJ119" s="72">
        <f t="shared" ca="1" si="37"/>
        <v>347.19938272188961</v>
      </c>
      <c r="AK119" s="72">
        <f t="shared" ca="1" si="44"/>
        <v>1125.0693125058938</v>
      </c>
      <c r="AL119" s="73">
        <f t="shared" ca="1" si="38"/>
        <v>6739.6735276165928</v>
      </c>
      <c r="AM119" s="132">
        <f ca="1">IF(X119*(lease_NRI/J119)  - (Z119+Y119+AB119+AC119+AD119)  - (AK119)*(lease_NRI/J119)&gt;0,1,0)</f>
        <v>1</v>
      </c>
      <c r="AN119" s="73">
        <f t="shared" ca="1" si="45"/>
        <v>6739.6735276165928</v>
      </c>
      <c r="AO119" s="75">
        <f t="shared" ca="1" si="50"/>
        <v>1967643.137604557</v>
      </c>
      <c r="AP119" s="72">
        <f ca="1">AL119  /  ( 1 + disc_1/12)^(COUNT($AL$6:AL119)-1)</f>
        <v>2638.5954990374626</v>
      </c>
      <c r="AQ119" s="72">
        <f t="shared" ca="1" si="51"/>
        <v>1457657.8097286292</v>
      </c>
      <c r="AS119" s="303">
        <f t="shared" ca="1" si="46"/>
        <v>1</v>
      </c>
      <c r="AT119" s="300">
        <f ca="1">IFERROR(IRR($AN$6:AN119)*12,0)</f>
        <v>0</v>
      </c>
      <c r="AU119" s="297">
        <f t="shared" ca="1" si="47"/>
        <v>0</v>
      </c>
      <c r="AV119" s="303">
        <f t="shared" ca="1" si="48"/>
        <v>0</v>
      </c>
    </row>
    <row r="120" spans="2:48" x14ac:dyDescent="0.25">
      <c r="B120" s="43">
        <f t="shared" si="49"/>
        <v>47665</v>
      </c>
      <c r="C120" s="79">
        <f t="shared" si="39"/>
        <v>2030</v>
      </c>
      <c r="D120" s="64">
        <f ca="1">wellcount_base  +  SUM('forecast production'!I$7:I121)</f>
        <v>1</v>
      </c>
      <c r="E120" s="110">
        <f ca="1">'forecast production'!AE121</f>
        <v>237.02935371220207</v>
      </c>
      <c r="F120" s="98">
        <f ca="1">'forecast production'!AF121</f>
        <v>1301.2582682952182</v>
      </c>
      <c r="G120" s="98">
        <f ca="1">'forecast production'!AG121</f>
        <v>11.595763141741745</v>
      </c>
      <c r="H120" s="98">
        <f ca="1">'forecast production'!AH121</f>
        <v>195.18874024428271</v>
      </c>
      <c r="I120" s="307">
        <f t="shared" ca="1" si="40"/>
        <v>1</v>
      </c>
      <c r="J120" s="306">
        <f t="shared" ca="1" si="41"/>
        <v>0.75</v>
      </c>
      <c r="K120" s="112">
        <f t="shared" ca="1" si="26"/>
        <v>177.77201528415156</v>
      </c>
      <c r="L120" s="98">
        <f t="shared" ca="1" si="27"/>
        <v>731.9577759160602</v>
      </c>
      <c r="M120" s="98">
        <f t="shared" ca="1" si="28"/>
        <v>8.6968223563063098</v>
      </c>
      <c r="N120" s="98">
        <f t="shared" ca="1" si="29"/>
        <v>146.39155518321203</v>
      </c>
      <c r="O120" s="67">
        <f>assumptions!M124</f>
        <v>55</v>
      </c>
      <c r="P120" s="68">
        <f>assumptions!N124</f>
        <v>3</v>
      </c>
      <c r="Q120" s="68">
        <f>assumptions!O124</f>
        <v>22</v>
      </c>
      <c r="R120" s="67">
        <f t="shared" si="30"/>
        <v>52.5</v>
      </c>
      <c r="S120" s="68">
        <f t="shared" si="31"/>
        <v>2.3275000000000001</v>
      </c>
      <c r="T120" s="68">
        <f t="shared" si="32"/>
        <v>22</v>
      </c>
      <c r="U120" s="73">
        <f t="shared" ca="1" si="33"/>
        <v>9333.0308024179576</v>
      </c>
      <c r="V120" s="72">
        <f t="shared" ca="1" si="34"/>
        <v>1703.6317234446301</v>
      </c>
      <c r="W120" s="72">
        <f t="shared" ca="1" si="35"/>
        <v>3220.6142140306647</v>
      </c>
      <c r="X120" s="72">
        <f t="shared" ca="1" si="42"/>
        <v>14257.276739893252</v>
      </c>
      <c r="Y120" s="73">
        <f>mult_opex * fixed_month</f>
        <v>1000</v>
      </c>
      <c r="Z120" s="72">
        <f ca="1">mult_opex * fixed_well *D120</f>
        <v>5000</v>
      </c>
      <c r="AA120" s="72">
        <f ca="1">(Z120+Y120)*WI_current_1</f>
        <v>6000</v>
      </c>
      <c r="AB120" s="72">
        <f ca="1">mult_opex * var_bo*E120</f>
        <v>0</v>
      </c>
      <c r="AC120" s="72">
        <f ca="1">mult_opex * var_mcf*F120</f>
        <v>0</v>
      </c>
      <c r="AD120" s="72">
        <f ca="1">mult_opex * var_bw * G120</f>
        <v>23.191526283483491</v>
      </c>
      <c r="AE120" s="72">
        <f ca="1">SUM(AB120:AD120)*WI_current_1</f>
        <v>23.191526283483491</v>
      </c>
      <c r="AF120" s="73">
        <f ca="1">mult_capex * IFERROR(OFFSET(assumptions!$F$39,MATCH(B120,assumptions!$E$39:$E$45,0)-1,0),0)</f>
        <v>0</v>
      </c>
      <c r="AG120" s="75">
        <f ca="1">mult_capex * capex_new*WI_current_1 *'forecast production'!I121</f>
        <v>0</v>
      </c>
      <c r="AH120" s="146">
        <f t="shared" ca="1" si="43"/>
        <v>0</v>
      </c>
      <c r="AI120" s="73">
        <f t="shared" ca="1" si="36"/>
        <v>798.63786222187309</v>
      </c>
      <c r="AJ120" s="72">
        <f t="shared" ca="1" si="37"/>
        <v>356.43191849733131</v>
      </c>
      <c r="AK120" s="72">
        <f t="shared" ca="1" si="44"/>
        <v>1155.0697807192043</v>
      </c>
      <c r="AL120" s="73">
        <f t="shared" ca="1" si="38"/>
        <v>7079.0154328905646</v>
      </c>
      <c r="AM120" s="132">
        <f ca="1">IF(X120*(lease_NRI/J120)  - (Z120+Y120+AB120+AC120+AD120)  - (AK120)*(lease_NRI/J120)&gt;0,1,0)</f>
        <v>1</v>
      </c>
      <c r="AN120" s="73">
        <f t="shared" ca="1" si="45"/>
        <v>7079.0154328905646</v>
      </c>
      <c r="AO120" s="75">
        <f t="shared" ca="1" si="50"/>
        <v>1974722.1530374475</v>
      </c>
      <c r="AP120" s="72">
        <f ca="1">AL120  /  ( 1 + disc_1/12)^(COUNT($AL$6:AL120)-1)</f>
        <v>2748.5439919926389</v>
      </c>
      <c r="AQ120" s="72">
        <f t="shared" ca="1" si="51"/>
        <v>1460406.3537206219</v>
      </c>
      <c r="AS120" s="303">
        <f t="shared" ca="1" si="46"/>
        <v>1</v>
      </c>
      <c r="AT120" s="300">
        <f ca="1">IFERROR(IRR($AN$6:AN120)*12,0)</f>
        <v>0</v>
      </c>
      <c r="AU120" s="297">
        <f t="shared" ca="1" si="47"/>
        <v>0</v>
      </c>
      <c r="AV120" s="303">
        <f t="shared" ca="1" si="48"/>
        <v>0</v>
      </c>
    </row>
    <row r="121" spans="2:48" x14ac:dyDescent="0.25">
      <c r="B121" s="43">
        <f t="shared" si="49"/>
        <v>47696</v>
      </c>
      <c r="C121" s="79">
        <f t="shared" si="39"/>
        <v>2030</v>
      </c>
      <c r="D121" s="64">
        <f ca="1">wellcount_base  +  SUM('forecast production'!I$7:I122)</f>
        <v>1</v>
      </c>
      <c r="E121" s="110">
        <f ca="1">'forecast production'!AE122</f>
        <v>235.35670645347957</v>
      </c>
      <c r="F121" s="98">
        <f ca="1">'forecast production'!AF122</f>
        <v>1293.3132877087776</v>
      </c>
      <c r="G121" s="98">
        <f ca="1">'forecast production'!AG122</f>
        <v>11.189105633609691</v>
      </c>
      <c r="H121" s="98">
        <f ca="1">'forecast production'!AH122</f>
        <v>193.99699315631665</v>
      </c>
      <c r="I121" s="307">
        <f t="shared" ca="1" si="40"/>
        <v>1</v>
      </c>
      <c r="J121" s="306">
        <f t="shared" ca="1" si="41"/>
        <v>0.75</v>
      </c>
      <c r="K121" s="112">
        <f t="shared" ca="1" si="26"/>
        <v>176.51752984010969</v>
      </c>
      <c r="L121" s="98">
        <f t="shared" ca="1" si="27"/>
        <v>727.48872433618749</v>
      </c>
      <c r="M121" s="98">
        <f t="shared" ca="1" si="28"/>
        <v>8.3918292252072675</v>
      </c>
      <c r="N121" s="98">
        <f t="shared" ca="1" si="29"/>
        <v>145.49774486723749</v>
      </c>
      <c r="O121" s="67">
        <f>assumptions!M125</f>
        <v>55</v>
      </c>
      <c r="P121" s="68">
        <f>assumptions!N125</f>
        <v>3</v>
      </c>
      <c r="Q121" s="68">
        <f>assumptions!O125</f>
        <v>22</v>
      </c>
      <c r="R121" s="67">
        <f t="shared" si="30"/>
        <v>52.5</v>
      </c>
      <c r="S121" s="68">
        <f t="shared" si="31"/>
        <v>2.3275000000000001</v>
      </c>
      <c r="T121" s="68">
        <f t="shared" si="32"/>
        <v>22</v>
      </c>
      <c r="U121" s="73">
        <f t="shared" ca="1" si="33"/>
        <v>9267.1703166057578</v>
      </c>
      <c r="V121" s="72">
        <f t="shared" ca="1" si="34"/>
        <v>1693.2300058924764</v>
      </c>
      <c r="W121" s="72">
        <f t="shared" ca="1" si="35"/>
        <v>3200.9503870792246</v>
      </c>
      <c r="X121" s="72">
        <f t="shared" ca="1" si="42"/>
        <v>14161.350709577458</v>
      </c>
      <c r="Y121" s="73">
        <f>mult_opex * fixed_month</f>
        <v>1000</v>
      </c>
      <c r="Z121" s="72">
        <f ca="1">mult_opex * fixed_well *D121</f>
        <v>5000</v>
      </c>
      <c r="AA121" s="72">
        <f ca="1">(Z121+Y121)*WI_current_1</f>
        <v>6000</v>
      </c>
      <c r="AB121" s="72">
        <f ca="1">mult_opex * var_bo*E121</f>
        <v>0</v>
      </c>
      <c r="AC121" s="72">
        <f ca="1">mult_opex * var_mcf*F121</f>
        <v>0</v>
      </c>
      <c r="AD121" s="72">
        <f ca="1">mult_opex * var_bw * G121</f>
        <v>22.378211267219381</v>
      </c>
      <c r="AE121" s="72">
        <f ca="1">SUM(AB121:AD121)*WI_current_1</f>
        <v>22.378211267219381</v>
      </c>
      <c r="AF121" s="73">
        <f ca="1">mult_capex * IFERROR(OFFSET(assumptions!$F$39,MATCH(B121,assumptions!$E$39:$E$45,0)-1,0),0)</f>
        <v>0</v>
      </c>
      <c r="AG121" s="75">
        <f ca="1">mult_capex * capex_new*WI_current_1 *'forecast production'!I122</f>
        <v>0</v>
      </c>
      <c r="AH121" s="146">
        <f t="shared" ca="1" si="43"/>
        <v>0</v>
      </c>
      <c r="AI121" s="73">
        <f t="shared" ca="1" si="36"/>
        <v>793.35336403674239</v>
      </c>
      <c r="AJ121" s="72">
        <f t="shared" ca="1" si="37"/>
        <v>354.03376773943648</v>
      </c>
      <c r="AK121" s="72">
        <f t="shared" ca="1" si="44"/>
        <v>1147.3871317761789</v>
      </c>
      <c r="AL121" s="73">
        <f t="shared" ca="1" si="38"/>
        <v>6991.5853665340601</v>
      </c>
      <c r="AM121" s="132">
        <f ca="1">IF(X121*(lease_NRI/J121)  - (Z121+Y121+AB121+AC121+AD121)  - (AK121)*(lease_NRI/J121)&gt;0,1,0)</f>
        <v>1</v>
      </c>
      <c r="AN121" s="73">
        <f t="shared" ca="1" si="45"/>
        <v>6991.5853665340601</v>
      </c>
      <c r="AO121" s="75">
        <f t="shared" ca="1" si="50"/>
        <v>1981713.7384039816</v>
      </c>
      <c r="AP121" s="72">
        <f ca="1">AL121  /  ( 1 + disc_1/12)^(COUNT($AL$6:AL121)-1)</f>
        <v>2692.1631401362279</v>
      </c>
      <c r="AQ121" s="72">
        <f t="shared" ca="1" si="51"/>
        <v>1463098.5168607582</v>
      </c>
      <c r="AS121" s="303">
        <f t="shared" ca="1" si="46"/>
        <v>1</v>
      </c>
      <c r="AT121" s="300">
        <f ca="1">IFERROR(IRR($AN$6:AN121)*12,0)</f>
        <v>0</v>
      </c>
      <c r="AU121" s="297">
        <f t="shared" ca="1" si="47"/>
        <v>0</v>
      </c>
      <c r="AV121" s="303">
        <f t="shared" ca="1" si="48"/>
        <v>0</v>
      </c>
    </row>
    <row r="122" spans="2:48" x14ac:dyDescent="0.25">
      <c r="B122" s="43">
        <f t="shared" si="49"/>
        <v>47727</v>
      </c>
      <c r="C122" s="79">
        <f t="shared" si="39"/>
        <v>2030</v>
      </c>
      <c r="D122" s="64">
        <f ca="1">wellcount_base  +  SUM('forecast production'!I$7:I123)</f>
        <v>1</v>
      </c>
      <c r="E122" s="110">
        <f ca="1">'forecast production'!AE123</f>
        <v>226.15728636805378</v>
      </c>
      <c r="F122" s="98">
        <f ca="1">'forecast production'!AF123</f>
        <v>1243.9981319330554</v>
      </c>
      <c r="G122" s="98">
        <f ca="1">'forecast production'!AG123</f>
        <v>10.448495016299249</v>
      </c>
      <c r="H122" s="98">
        <f ca="1">'forecast production'!AH123</f>
        <v>186.59971978995833</v>
      </c>
      <c r="I122" s="307">
        <f t="shared" ca="1" si="40"/>
        <v>1</v>
      </c>
      <c r="J122" s="306">
        <f t="shared" ca="1" si="41"/>
        <v>0.75</v>
      </c>
      <c r="K122" s="112">
        <f t="shared" ca="1" si="26"/>
        <v>169.61796477604034</v>
      </c>
      <c r="L122" s="98">
        <f t="shared" ca="1" si="27"/>
        <v>699.74894921234363</v>
      </c>
      <c r="M122" s="98">
        <f t="shared" ca="1" si="28"/>
        <v>7.8363712622244375</v>
      </c>
      <c r="N122" s="98">
        <f t="shared" ca="1" si="29"/>
        <v>139.94978984246876</v>
      </c>
      <c r="O122" s="67">
        <f>assumptions!M126</f>
        <v>55</v>
      </c>
      <c r="P122" s="68">
        <f>assumptions!N126</f>
        <v>3</v>
      </c>
      <c r="Q122" s="68">
        <f>assumptions!O126</f>
        <v>22</v>
      </c>
      <c r="R122" s="67">
        <f t="shared" si="30"/>
        <v>52.5</v>
      </c>
      <c r="S122" s="68">
        <f t="shared" si="31"/>
        <v>2.3275000000000001</v>
      </c>
      <c r="T122" s="68">
        <f t="shared" si="32"/>
        <v>22</v>
      </c>
      <c r="U122" s="73">
        <f t="shared" ca="1" si="33"/>
        <v>8904.9431507421177</v>
      </c>
      <c r="V122" s="72">
        <f t="shared" ca="1" si="34"/>
        <v>1628.6656792917299</v>
      </c>
      <c r="W122" s="72">
        <f t="shared" ca="1" si="35"/>
        <v>3078.8953765343126</v>
      </c>
      <c r="X122" s="72">
        <f t="shared" ca="1" si="42"/>
        <v>13612.504206568159</v>
      </c>
      <c r="Y122" s="73">
        <f>mult_opex * fixed_month</f>
        <v>1000</v>
      </c>
      <c r="Z122" s="72">
        <f ca="1">mult_opex * fixed_well *D122</f>
        <v>5000</v>
      </c>
      <c r="AA122" s="72">
        <f ca="1">(Z122+Y122)*WI_current_1</f>
        <v>6000</v>
      </c>
      <c r="AB122" s="72">
        <f ca="1">mult_opex * var_bo*E122</f>
        <v>0</v>
      </c>
      <c r="AC122" s="72">
        <f ca="1">mult_opex * var_mcf*F122</f>
        <v>0</v>
      </c>
      <c r="AD122" s="72">
        <f ca="1">mult_opex * var_bw * G122</f>
        <v>20.896990032598499</v>
      </c>
      <c r="AE122" s="72">
        <f ca="1">SUM(AB122:AD122)*WI_current_1</f>
        <v>20.896990032598499</v>
      </c>
      <c r="AF122" s="73">
        <f ca="1">mult_capex * IFERROR(OFFSET(assumptions!$F$39,MATCH(B122,assumptions!$E$39:$E$45,0)-1,0),0)</f>
        <v>0</v>
      </c>
      <c r="AG122" s="75">
        <f ca="1">mult_capex * capex_new*WI_current_1 *'forecast production'!I123</f>
        <v>0</v>
      </c>
      <c r="AH122" s="146">
        <f t="shared" ca="1" si="43"/>
        <v>0</v>
      </c>
      <c r="AI122" s="73">
        <f t="shared" ca="1" si="36"/>
        <v>762.6944641210905</v>
      </c>
      <c r="AJ122" s="72">
        <f t="shared" ca="1" si="37"/>
        <v>340.312605164204</v>
      </c>
      <c r="AK122" s="72">
        <f t="shared" ca="1" si="44"/>
        <v>1103.0070692852946</v>
      </c>
      <c r="AL122" s="73">
        <f t="shared" ca="1" si="38"/>
        <v>6488.6001472502649</v>
      </c>
      <c r="AM122" s="132">
        <f ca="1">IF(X122*(lease_NRI/J122)  - (Z122+Y122+AB122+AC122+AD122)  - (AK122)*(lease_NRI/J122)&gt;0,1,0)</f>
        <v>1</v>
      </c>
      <c r="AN122" s="73">
        <f t="shared" ca="1" si="45"/>
        <v>6488.6001472502649</v>
      </c>
      <c r="AO122" s="75">
        <f t="shared" ca="1" si="50"/>
        <v>1988202.3385512319</v>
      </c>
      <c r="AP122" s="72">
        <f ca="1">AL122  /  ( 1 + disc_1/12)^(COUNT($AL$6:AL122)-1)</f>
        <v>2477.8362193786297</v>
      </c>
      <c r="AQ122" s="72">
        <f t="shared" ca="1" si="51"/>
        <v>1465576.3530801367</v>
      </c>
      <c r="AS122" s="303">
        <f t="shared" ca="1" si="46"/>
        <v>1</v>
      </c>
      <c r="AT122" s="300">
        <f ca="1">IFERROR(IRR($AN$6:AN122)*12,0)</f>
        <v>0</v>
      </c>
      <c r="AU122" s="297">
        <f t="shared" ca="1" si="47"/>
        <v>0</v>
      </c>
      <c r="AV122" s="303">
        <f t="shared" ca="1" si="48"/>
        <v>0</v>
      </c>
    </row>
    <row r="123" spans="2:48" x14ac:dyDescent="0.25">
      <c r="B123" s="43">
        <f t="shared" si="49"/>
        <v>47757</v>
      </c>
      <c r="C123" s="79">
        <f t="shared" si="39"/>
        <v>2030</v>
      </c>
      <c r="D123" s="64">
        <f ca="1">wellcount_base  +  SUM('forecast production'!I$7:I124)</f>
        <v>1</v>
      </c>
      <c r="E123" s="110">
        <f ca="1">'forecast production'!AE124</f>
        <v>232.09975425337521</v>
      </c>
      <c r="F123" s="98">
        <f ca="1">'forecast production'!AF124</f>
        <v>1277.9595335808629</v>
      </c>
      <c r="G123" s="98">
        <f ca="1">'forecast production'!AG124</f>
        <v>10.430272530612532</v>
      </c>
      <c r="H123" s="98">
        <f ca="1">'forecast production'!AH124</f>
        <v>191.69393003712943</v>
      </c>
      <c r="I123" s="307">
        <f t="shared" ca="1" si="40"/>
        <v>1</v>
      </c>
      <c r="J123" s="306">
        <f t="shared" ca="1" si="41"/>
        <v>0.75</v>
      </c>
      <c r="K123" s="112">
        <f t="shared" ca="1" si="26"/>
        <v>174.07481569003141</v>
      </c>
      <c r="L123" s="98">
        <f t="shared" ca="1" si="27"/>
        <v>718.85223763923545</v>
      </c>
      <c r="M123" s="98">
        <f t="shared" ca="1" si="28"/>
        <v>7.8227043979593986</v>
      </c>
      <c r="N123" s="98">
        <f t="shared" ca="1" si="29"/>
        <v>143.77044752784707</v>
      </c>
      <c r="O123" s="67">
        <f>assumptions!M127</f>
        <v>55</v>
      </c>
      <c r="P123" s="68">
        <f>assumptions!N127</f>
        <v>3</v>
      </c>
      <c r="Q123" s="68">
        <f>assumptions!O127</f>
        <v>22</v>
      </c>
      <c r="R123" s="67">
        <f t="shared" si="30"/>
        <v>52.5</v>
      </c>
      <c r="S123" s="68">
        <f t="shared" si="31"/>
        <v>2.3275000000000001</v>
      </c>
      <c r="T123" s="68">
        <f t="shared" si="32"/>
        <v>22</v>
      </c>
      <c r="U123" s="73">
        <f t="shared" ca="1" si="33"/>
        <v>9138.9278237266499</v>
      </c>
      <c r="V123" s="72">
        <f t="shared" ca="1" si="34"/>
        <v>1673.1285831053206</v>
      </c>
      <c r="W123" s="72">
        <f t="shared" ca="1" si="35"/>
        <v>3162.9498456126357</v>
      </c>
      <c r="X123" s="72">
        <f t="shared" ca="1" si="42"/>
        <v>13975.006252444608</v>
      </c>
      <c r="Y123" s="73">
        <f>mult_opex * fixed_month</f>
        <v>1000</v>
      </c>
      <c r="Z123" s="72">
        <f ca="1">mult_opex * fixed_well *D123</f>
        <v>5000</v>
      </c>
      <c r="AA123" s="72">
        <f ca="1">(Z123+Y123)*WI_current_1</f>
        <v>6000</v>
      </c>
      <c r="AB123" s="72">
        <f ca="1">mult_opex * var_bo*E123</f>
        <v>0</v>
      </c>
      <c r="AC123" s="72">
        <f ca="1">mult_opex * var_mcf*F123</f>
        <v>0</v>
      </c>
      <c r="AD123" s="72">
        <f ca="1">mult_opex * var_bw * G123</f>
        <v>20.860545061225064</v>
      </c>
      <c r="AE123" s="72">
        <f ca="1">SUM(AB123:AD123)*WI_current_1</f>
        <v>20.860545061225064</v>
      </c>
      <c r="AF123" s="73">
        <f ca="1">mult_capex * IFERROR(OFFSET(assumptions!$F$39,MATCH(B123,assumptions!$E$39:$E$45,0)-1,0),0)</f>
        <v>0</v>
      </c>
      <c r="AG123" s="75">
        <f ca="1">mult_capex * capex_new*WI_current_1 *'forecast production'!I124</f>
        <v>0</v>
      </c>
      <c r="AH123" s="146">
        <f t="shared" ca="1" si="43"/>
        <v>0</v>
      </c>
      <c r="AI123" s="73">
        <f t="shared" ca="1" si="36"/>
        <v>783.09656204527255</v>
      </c>
      <c r="AJ123" s="72">
        <f t="shared" ca="1" si="37"/>
        <v>349.37515631111523</v>
      </c>
      <c r="AK123" s="72">
        <f t="shared" ca="1" si="44"/>
        <v>1132.4717183563878</v>
      </c>
      <c r="AL123" s="73">
        <f t="shared" ca="1" si="38"/>
        <v>6821.6739890269946</v>
      </c>
      <c r="AM123" s="132">
        <f ca="1">IF(X123*(lease_NRI/J123)  - (Z123+Y123+AB123+AC123+AD123)  - (AK123)*(lease_NRI/J123)&gt;0,1,0)</f>
        <v>1</v>
      </c>
      <c r="AN123" s="73">
        <f t="shared" ca="1" si="45"/>
        <v>6821.6739890269946</v>
      </c>
      <c r="AO123" s="75">
        <f t="shared" ca="1" si="50"/>
        <v>1995024.0125402589</v>
      </c>
      <c r="AP123" s="72">
        <f ca="1">AL123  /  ( 1 + disc_1/12)^(COUNT($AL$6:AL123)-1)</f>
        <v>2583.4997328888821</v>
      </c>
      <c r="AQ123" s="72">
        <f t="shared" ca="1" si="51"/>
        <v>1468159.8528130255</v>
      </c>
      <c r="AS123" s="303">
        <f t="shared" ca="1" si="46"/>
        <v>1</v>
      </c>
      <c r="AT123" s="300">
        <f ca="1">IFERROR(IRR($AN$6:AN123)*12,0)</f>
        <v>0</v>
      </c>
      <c r="AU123" s="297">
        <f t="shared" ca="1" si="47"/>
        <v>0</v>
      </c>
      <c r="AV123" s="303">
        <f t="shared" ca="1" si="48"/>
        <v>0</v>
      </c>
    </row>
    <row r="124" spans="2:48" x14ac:dyDescent="0.25">
      <c r="B124" s="43">
        <f t="shared" si="49"/>
        <v>47788</v>
      </c>
      <c r="C124" s="79">
        <f t="shared" si="39"/>
        <v>2030</v>
      </c>
      <c r="D124" s="64">
        <f ca="1">wellcount_base  +  SUM('forecast production'!I$7:I125)</f>
        <v>1</v>
      </c>
      <c r="E124" s="110">
        <f ca="1">'forecast production'!AE125</f>
        <v>223.0276391083456</v>
      </c>
      <c r="F124" s="98">
        <f ca="1">'forecast production'!AF125</f>
        <v>1229.318394515398</v>
      </c>
      <c r="G124" s="98">
        <f ca="1">'forecast production'!AG125</f>
        <v>9.7400113689100252</v>
      </c>
      <c r="H124" s="98">
        <f ca="1">'forecast production'!AH125</f>
        <v>184.39775917730972</v>
      </c>
      <c r="I124" s="307">
        <f t="shared" ca="1" si="40"/>
        <v>1</v>
      </c>
      <c r="J124" s="306">
        <f t="shared" ca="1" si="41"/>
        <v>0.75</v>
      </c>
      <c r="K124" s="112">
        <f t="shared" ca="1" si="26"/>
        <v>167.27072933125919</v>
      </c>
      <c r="L124" s="98">
        <f t="shared" ca="1" si="27"/>
        <v>691.4915969149115</v>
      </c>
      <c r="M124" s="98">
        <f t="shared" ca="1" si="28"/>
        <v>7.3050085266825189</v>
      </c>
      <c r="N124" s="98">
        <f t="shared" ca="1" si="29"/>
        <v>138.2983193829823</v>
      </c>
      <c r="O124" s="67">
        <f>assumptions!M128</f>
        <v>55</v>
      </c>
      <c r="P124" s="68">
        <f>assumptions!N128</f>
        <v>3</v>
      </c>
      <c r="Q124" s="68">
        <f>assumptions!O128</f>
        <v>22</v>
      </c>
      <c r="R124" s="67">
        <f t="shared" si="30"/>
        <v>52.5</v>
      </c>
      <c r="S124" s="68">
        <f t="shared" si="31"/>
        <v>2.3275000000000001</v>
      </c>
      <c r="T124" s="68">
        <f t="shared" si="32"/>
        <v>22</v>
      </c>
      <c r="U124" s="73">
        <f t="shared" ca="1" si="33"/>
        <v>8781.7132898911077</v>
      </c>
      <c r="V124" s="72">
        <f t="shared" ca="1" si="34"/>
        <v>1609.4466918194566</v>
      </c>
      <c r="W124" s="72">
        <f t="shared" ca="1" si="35"/>
        <v>3042.5630264256106</v>
      </c>
      <c r="X124" s="72">
        <f t="shared" ca="1" si="42"/>
        <v>13433.723008136174</v>
      </c>
      <c r="Y124" s="73">
        <f>mult_opex * fixed_month</f>
        <v>1000</v>
      </c>
      <c r="Z124" s="72">
        <f ca="1">mult_opex * fixed_well *D124</f>
        <v>5000</v>
      </c>
      <c r="AA124" s="72">
        <f ca="1">(Z124+Y124)*WI_current_1</f>
        <v>6000</v>
      </c>
      <c r="AB124" s="72">
        <f ca="1">mult_opex * var_bo*E124</f>
        <v>0</v>
      </c>
      <c r="AC124" s="72">
        <f ca="1">mult_opex * var_mcf*F124</f>
        <v>0</v>
      </c>
      <c r="AD124" s="72">
        <f ca="1">mult_opex * var_bw * G124</f>
        <v>19.48002273782005</v>
      </c>
      <c r="AE124" s="72">
        <f ca="1">SUM(AB124:AD124)*WI_current_1</f>
        <v>19.48002273782005</v>
      </c>
      <c r="AF124" s="73">
        <f ca="1">mult_capex * IFERROR(OFFSET(assumptions!$F$39,MATCH(B124,assumptions!$E$39:$E$45,0)-1,0),0)</f>
        <v>0</v>
      </c>
      <c r="AG124" s="75">
        <f ca="1">mult_capex * capex_new*WI_current_1 *'forecast production'!I125</f>
        <v>0</v>
      </c>
      <c r="AH124" s="146">
        <f t="shared" ca="1" si="43"/>
        <v>0</v>
      </c>
      <c r="AI124" s="73">
        <f t="shared" ca="1" si="36"/>
        <v>752.8595402033709</v>
      </c>
      <c r="AJ124" s="72">
        <f t="shared" ca="1" si="37"/>
        <v>335.8430752034044</v>
      </c>
      <c r="AK124" s="72">
        <f t="shared" ca="1" si="44"/>
        <v>1088.7026154067753</v>
      </c>
      <c r="AL124" s="73">
        <f t="shared" ca="1" si="38"/>
        <v>6325.5403699915787</v>
      </c>
      <c r="AM124" s="132">
        <f ca="1">IF(X124*(lease_NRI/J124)  - (Z124+Y124+AB124+AC124+AD124)  - (AK124)*(lease_NRI/J124)&gt;0,1,0)</f>
        <v>1</v>
      </c>
      <c r="AN124" s="73">
        <f t="shared" ca="1" si="45"/>
        <v>6325.5403699915787</v>
      </c>
      <c r="AO124" s="75">
        <f t="shared" ca="1" si="50"/>
        <v>2001349.5529102506</v>
      </c>
      <c r="AP124" s="72">
        <f ca="1">AL124  /  ( 1 + disc_1/12)^(COUNT($AL$6:AL124)-1)</f>
        <v>2375.8059631413548</v>
      </c>
      <c r="AQ124" s="72">
        <f t="shared" ca="1" si="51"/>
        <v>1470535.6587761668</v>
      </c>
      <c r="AS124" s="303">
        <f t="shared" ca="1" si="46"/>
        <v>1</v>
      </c>
      <c r="AT124" s="300">
        <f ca="1">IFERROR(IRR($AN$6:AN124)*12,0)</f>
        <v>0</v>
      </c>
      <c r="AU124" s="297">
        <f t="shared" ca="1" si="47"/>
        <v>0</v>
      </c>
      <c r="AV124" s="303">
        <f t="shared" ca="1" si="48"/>
        <v>0</v>
      </c>
    </row>
    <row r="125" spans="2:48" x14ac:dyDescent="0.25">
      <c r="B125" s="44">
        <f t="shared" si="49"/>
        <v>47818</v>
      </c>
      <c r="C125" s="100">
        <f t="shared" si="39"/>
        <v>2030</v>
      </c>
      <c r="D125" s="65">
        <f ca="1">wellcount_base  +  SUM('forecast production'!I$7:I126)</f>
        <v>1</v>
      </c>
      <c r="E125" s="109">
        <f ca="1">'forecast production'!AE126</f>
        <v>228.88787294924663</v>
      </c>
      <c r="F125" s="101">
        <f ca="1">'forecast production'!AF126</f>
        <v>1262.966051024378</v>
      </c>
      <c r="G125" s="101">
        <f ca="1">'forecast production'!AG126</f>
        <v>9.7231423575947034</v>
      </c>
      <c r="H125" s="102">
        <f ca="1">'forecast production'!AH126</f>
        <v>189.44490765365671</v>
      </c>
      <c r="I125" s="308">
        <f t="shared" ca="1" si="40"/>
        <v>1</v>
      </c>
      <c r="J125" s="309">
        <f t="shared" ca="1" si="41"/>
        <v>0.75</v>
      </c>
      <c r="K125" s="113">
        <f t="shared" ca="1" si="26"/>
        <v>171.66590471193496</v>
      </c>
      <c r="L125" s="102">
        <f t="shared" ca="1" si="27"/>
        <v>710.41840370121258</v>
      </c>
      <c r="M125" s="102">
        <f t="shared" ca="1" si="28"/>
        <v>7.2923567681960275</v>
      </c>
      <c r="N125" s="102">
        <f t="shared" ca="1" si="29"/>
        <v>142.08368074024253</v>
      </c>
      <c r="O125" s="103">
        <f>assumptions!M129</f>
        <v>55</v>
      </c>
      <c r="P125" s="104">
        <f>assumptions!N129</f>
        <v>3</v>
      </c>
      <c r="Q125" s="104">
        <f>assumptions!O129</f>
        <v>22</v>
      </c>
      <c r="R125" s="103">
        <f t="shared" si="30"/>
        <v>52.5</v>
      </c>
      <c r="S125" s="104">
        <f t="shared" si="31"/>
        <v>2.3275000000000001</v>
      </c>
      <c r="T125" s="104">
        <f t="shared" si="32"/>
        <v>22</v>
      </c>
      <c r="U125" s="105">
        <f t="shared" ca="1" si="33"/>
        <v>9012.4599973765853</v>
      </c>
      <c r="V125" s="106">
        <f t="shared" ca="1" si="34"/>
        <v>1653.4988346145724</v>
      </c>
      <c r="W125" s="106">
        <f t="shared" ca="1" si="35"/>
        <v>3125.8409762853357</v>
      </c>
      <c r="X125" s="106">
        <f t="shared" ca="1" si="42"/>
        <v>13791.799808276493</v>
      </c>
      <c r="Y125" s="105">
        <f>mult_opex * fixed_month</f>
        <v>1000</v>
      </c>
      <c r="Z125" s="106">
        <f ca="1">mult_opex * fixed_well *D125</f>
        <v>5000</v>
      </c>
      <c r="AA125" s="106">
        <f ca="1">(Z125+Y125)*WI_current_1</f>
        <v>6000</v>
      </c>
      <c r="AB125" s="106">
        <f ca="1">mult_opex * var_bo*E125</f>
        <v>0</v>
      </c>
      <c r="AC125" s="106">
        <f ca="1">mult_opex * var_mcf*F125</f>
        <v>0</v>
      </c>
      <c r="AD125" s="106">
        <f ca="1">mult_opex * var_bw * G125</f>
        <v>19.446284715189407</v>
      </c>
      <c r="AE125" s="106">
        <f ca="1">SUM(AB125:AD125)*WI_current_1</f>
        <v>19.446284715189407</v>
      </c>
      <c r="AF125" s="105">
        <f ca="1">mult_capex * IFERROR(OFFSET(assumptions!$F$39,MATCH(B125,assumptions!$E$39:$E$45,0)-1,0),0)</f>
        <v>0</v>
      </c>
      <c r="AG125" s="106">
        <f ca="1">mult_capex * capex_new*WI_current_1 *'forecast production'!I126</f>
        <v>0</v>
      </c>
      <c r="AH125" s="147">
        <f t="shared" ca="1" si="43"/>
        <v>0</v>
      </c>
      <c r="AI125" s="105">
        <f t="shared" ca="1" si="36"/>
        <v>773.02364569681595</v>
      </c>
      <c r="AJ125" s="106">
        <f t="shared" ca="1" si="37"/>
        <v>344.79499520691235</v>
      </c>
      <c r="AK125" s="106">
        <f t="shared" ca="1" si="44"/>
        <v>1117.8186409037282</v>
      </c>
      <c r="AL125" s="105">
        <f t="shared" ca="1" si="38"/>
        <v>6654.5348826575755</v>
      </c>
      <c r="AM125" s="133">
        <f ca="1">IF(X125*(lease_NRI/J125)  - (Z125+Y125+AB125+AC125+AD125)  - (AK125)*(lease_NRI/J125)&gt;0,1,0)</f>
        <v>1</v>
      </c>
      <c r="AN125" s="105">
        <f t="shared" ca="1" si="45"/>
        <v>6654.5348826575755</v>
      </c>
      <c r="AO125" s="106">
        <f t="shared" ca="1" si="50"/>
        <v>2008004.0877929081</v>
      </c>
      <c r="AP125" s="106">
        <f ca="1">AL125  /  ( 1 + disc_1/12)^(COUNT($AL$6:AL125)-1)</f>
        <v>2478.7168437066712</v>
      </c>
      <c r="AQ125" s="106">
        <f t="shared" ca="1" si="51"/>
        <v>1473014.3756198734</v>
      </c>
      <c r="AS125" s="304">
        <f t="shared" ca="1" si="46"/>
        <v>1</v>
      </c>
      <c r="AT125" s="301">
        <f ca="1">IFERROR(IRR($AN$6:AN125)*12,0)</f>
        <v>0</v>
      </c>
      <c r="AU125" s="298">
        <f t="shared" ca="1" si="47"/>
        <v>0</v>
      </c>
      <c r="AV125" s="304">
        <f t="shared" ca="1" si="48"/>
        <v>0</v>
      </c>
    </row>
    <row r="126" spans="2:48" x14ac:dyDescent="0.25">
      <c r="B126" s="43">
        <f t="shared" si="49"/>
        <v>47849</v>
      </c>
      <c r="C126" s="79">
        <f t="shared" si="39"/>
        <v>2031</v>
      </c>
      <c r="D126" s="64">
        <f ca="1">wellcount_base  +  SUM('forecast production'!I$7:I127)</f>
        <v>1</v>
      </c>
      <c r="E126" s="110">
        <f ca="1">'forecast production'!AE127</f>
        <v>227.272677754021</v>
      </c>
      <c r="F126" s="98">
        <f ca="1">'forecast production'!AF127</f>
        <v>1255.4804405097991</v>
      </c>
      <c r="G126" s="98">
        <f ca="1">'forecast production'!AG127</f>
        <v>9.3824515176408276</v>
      </c>
      <c r="H126" s="98">
        <f ca="1">'forecast production'!AH127</f>
        <v>188.32206607646984</v>
      </c>
      <c r="I126" s="307">
        <f t="shared" ca="1" si="40"/>
        <v>1</v>
      </c>
      <c r="J126" s="306">
        <f t="shared" ca="1" si="41"/>
        <v>0.75</v>
      </c>
      <c r="K126" s="112">
        <f t="shared" ca="1" si="26"/>
        <v>170.45450831551574</v>
      </c>
      <c r="L126" s="98">
        <f t="shared" ca="1" si="27"/>
        <v>706.20774778676196</v>
      </c>
      <c r="M126" s="98">
        <f t="shared" ca="1" si="28"/>
        <v>7.0368386382306207</v>
      </c>
      <c r="N126" s="98">
        <f t="shared" ca="1" si="29"/>
        <v>141.24154955735239</v>
      </c>
      <c r="O126" s="67">
        <f>assumptions!M130</f>
        <v>55</v>
      </c>
      <c r="P126" s="68">
        <f>assumptions!N130</f>
        <v>3</v>
      </c>
      <c r="Q126" s="68">
        <f>assumptions!O130</f>
        <v>22</v>
      </c>
      <c r="R126" s="67">
        <f t="shared" si="30"/>
        <v>52.5</v>
      </c>
      <c r="S126" s="68">
        <f t="shared" si="31"/>
        <v>2.3275000000000001</v>
      </c>
      <c r="T126" s="68">
        <f t="shared" si="32"/>
        <v>22</v>
      </c>
      <c r="U126" s="73">
        <f t="shared" ca="1" si="33"/>
        <v>8948.8616865645763</v>
      </c>
      <c r="V126" s="72">
        <f t="shared" ca="1" si="34"/>
        <v>1643.6985329736885</v>
      </c>
      <c r="W126" s="72">
        <f t="shared" ca="1" si="35"/>
        <v>3107.3140902617524</v>
      </c>
      <c r="X126" s="72">
        <f t="shared" ca="1" si="42"/>
        <v>13699.874309800018</v>
      </c>
      <c r="Y126" s="73">
        <f>mult_opex * fixed_month</f>
        <v>1000</v>
      </c>
      <c r="Z126" s="72">
        <f ca="1">mult_opex * fixed_well *D126</f>
        <v>5000</v>
      </c>
      <c r="AA126" s="72">
        <f ca="1">(Z126+Y126)*WI_current_1</f>
        <v>6000</v>
      </c>
      <c r="AB126" s="72">
        <f ca="1">mult_opex * var_bo*E126</f>
        <v>0</v>
      </c>
      <c r="AC126" s="72">
        <f ca="1">mult_opex * var_mcf*F126</f>
        <v>0</v>
      </c>
      <c r="AD126" s="72">
        <f ca="1">mult_opex * var_bw * G126</f>
        <v>18.764903035281655</v>
      </c>
      <c r="AE126" s="72">
        <f ca="1">SUM(AB126:AD126)*WI_current_1</f>
        <v>18.764903035281655</v>
      </c>
      <c r="AF126" s="73">
        <f ca="1">mult_capex * IFERROR(OFFSET(assumptions!$F$39,MATCH(B126,assumptions!$E$39:$E$45,0)-1,0),0)</f>
        <v>0</v>
      </c>
      <c r="AG126" s="75">
        <f ca="1">mult_capex * capex_new*WI_current_1 *'forecast production'!I127</f>
        <v>0</v>
      </c>
      <c r="AH126" s="146">
        <f t="shared" ca="1" si="43"/>
        <v>0</v>
      </c>
      <c r="AI126" s="73">
        <f t="shared" ca="1" si="36"/>
        <v>767.97358432462852</v>
      </c>
      <c r="AJ126" s="72">
        <f t="shared" ca="1" si="37"/>
        <v>342.49685774500045</v>
      </c>
      <c r="AK126" s="72">
        <f t="shared" ca="1" si="44"/>
        <v>1110.4704420696289</v>
      </c>
      <c r="AL126" s="73">
        <f t="shared" ca="1" si="38"/>
        <v>6570.6389646951066</v>
      </c>
      <c r="AM126" s="132">
        <f ca="1">IF(X126*(lease_NRI/J126)  - (Z126+Y126+AB126+AC126+AD126)  - (AK126)*(lease_NRI/J126)&gt;0,1,0)</f>
        <v>1</v>
      </c>
      <c r="AN126" s="73">
        <f t="shared" ca="1" si="45"/>
        <v>6570.6389646951066</v>
      </c>
      <c r="AO126" s="75">
        <f t="shared" ca="1" si="50"/>
        <v>2014574.7267576032</v>
      </c>
      <c r="AP126" s="72">
        <f ca="1">AL126  /  ( 1 + disc_1/12)^(COUNT($AL$6:AL126)-1)</f>
        <v>2427.239843524615</v>
      </c>
      <c r="AQ126" s="72">
        <f t="shared" ca="1" si="51"/>
        <v>1475441.6154633979</v>
      </c>
      <c r="AS126" s="303">
        <f t="shared" ca="1" si="46"/>
        <v>1</v>
      </c>
      <c r="AT126" s="300">
        <f ca="1">IFERROR(IRR($AN$6:AN126)*12,0)</f>
        <v>0</v>
      </c>
      <c r="AU126" s="297">
        <f t="shared" ca="1" si="47"/>
        <v>0</v>
      </c>
      <c r="AV126" s="303">
        <f t="shared" ca="1" si="48"/>
        <v>0</v>
      </c>
    </row>
    <row r="127" spans="2:48" x14ac:dyDescent="0.25">
      <c r="B127" s="43">
        <f t="shared" si="49"/>
        <v>47880</v>
      </c>
      <c r="C127" s="79">
        <f t="shared" si="39"/>
        <v>2031</v>
      </c>
      <c r="D127" s="64">
        <f ca="1">wellcount_base  +  SUM('forecast production'!I$7:I128)</f>
        <v>1</v>
      </c>
      <c r="E127" s="110">
        <f ca="1">'forecast production'!AE128</f>
        <v>203.82995660037736</v>
      </c>
      <c r="F127" s="98">
        <f ca="1">'forecast production'!AF128</f>
        <v>1127.3008118741654</v>
      </c>
      <c r="G127" s="98">
        <f ca="1">'forecast production'!AG128</f>
        <v>8.177585867648375</v>
      </c>
      <c r="H127" s="98">
        <f ca="1">'forecast production'!AH128</f>
        <v>169.09512178112482</v>
      </c>
      <c r="I127" s="307">
        <f t="shared" ca="1" si="40"/>
        <v>1</v>
      </c>
      <c r="J127" s="306">
        <f t="shared" ca="1" si="41"/>
        <v>0.75</v>
      </c>
      <c r="K127" s="112">
        <f t="shared" ca="1" si="26"/>
        <v>152.87246745028301</v>
      </c>
      <c r="L127" s="98">
        <f t="shared" ca="1" si="27"/>
        <v>634.10670667921806</v>
      </c>
      <c r="M127" s="98">
        <f t="shared" ca="1" si="28"/>
        <v>6.1331894007362813</v>
      </c>
      <c r="N127" s="98">
        <f t="shared" ca="1" si="29"/>
        <v>126.82134133584361</v>
      </c>
      <c r="O127" s="67">
        <f>assumptions!M131</f>
        <v>55</v>
      </c>
      <c r="P127" s="68">
        <f>assumptions!N131</f>
        <v>3</v>
      </c>
      <c r="Q127" s="68">
        <f>assumptions!O131</f>
        <v>22</v>
      </c>
      <c r="R127" s="67">
        <f t="shared" si="30"/>
        <v>52.5</v>
      </c>
      <c r="S127" s="68">
        <f t="shared" si="31"/>
        <v>2.3275000000000001</v>
      </c>
      <c r="T127" s="68">
        <f t="shared" si="32"/>
        <v>22</v>
      </c>
      <c r="U127" s="73">
        <f t="shared" ca="1" si="33"/>
        <v>8025.804541139858</v>
      </c>
      <c r="V127" s="72">
        <f t="shared" ca="1" si="34"/>
        <v>1475.8833597958801</v>
      </c>
      <c r="W127" s="72">
        <f t="shared" ca="1" si="35"/>
        <v>2790.0695093885597</v>
      </c>
      <c r="X127" s="72">
        <f t="shared" ca="1" si="42"/>
        <v>12291.757410324299</v>
      </c>
      <c r="Y127" s="73">
        <f>mult_opex * fixed_month</f>
        <v>1000</v>
      </c>
      <c r="Z127" s="72">
        <f ca="1">mult_opex * fixed_well *D127</f>
        <v>5000</v>
      </c>
      <c r="AA127" s="72">
        <f ca="1">(Z127+Y127)*WI_current_1</f>
        <v>6000</v>
      </c>
      <c r="AB127" s="72">
        <f ca="1">mult_opex * var_bo*E127</f>
        <v>0</v>
      </c>
      <c r="AC127" s="72">
        <f ca="1">mult_opex * var_mcf*F127</f>
        <v>0</v>
      </c>
      <c r="AD127" s="72">
        <f ca="1">mult_opex * var_bw * G127</f>
        <v>16.35517173529675</v>
      </c>
      <c r="AE127" s="72">
        <f ca="1">SUM(AB127:AD127)*WI_current_1</f>
        <v>16.35517173529675</v>
      </c>
      <c r="AF127" s="73">
        <f ca="1">mult_capex * IFERROR(OFFSET(assumptions!$F$39,MATCH(B127,assumptions!$E$39:$E$45,0)-1,0),0)</f>
        <v>0</v>
      </c>
      <c r="AG127" s="75">
        <f ca="1">mult_capex * capex_new*WI_current_1 *'forecast production'!I128</f>
        <v>0</v>
      </c>
      <c r="AH127" s="146">
        <f t="shared" ca="1" si="43"/>
        <v>0</v>
      </c>
      <c r="AI127" s="73">
        <f t="shared" ca="1" si="36"/>
        <v>689.13347408126651</v>
      </c>
      <c r="AJ127" s="72">
        <f t="shared" ca="1" si="37"/>
        <v>307.29393525810747</v>
      </c>
      <c r="AK127" s="72">
        <f t="shared" ca="1" si="44"/>
        <v>996.42740933937398</v>
      </c>
      <c r="AL127" s="73">
        <f t="shared" ca="1" si="38"/>
        <v>5278.9748292496279</v>
      </c>
      <c r="AM127" s="132">
        <f ca="1">IF(X127*(lease_NRI/J127)  - (Z127+Y127+AB127+AC127+AD127)  - (AK127)*(lease_NRI/J127)&gt;0,1,0)</f>
        <v>1</v>
      </c>
      <c r="AN127" s="73">
        <f t="shared" ca="1" si="45"/>
        <v>5278.9748292496279</v>
      </c>
      <c r="AO127" s="75">
        <f t="shared" ca="1" si="50"/>
        <v>2019853.7015868528</v>
      </c>
      <c r="AP127" s="72">
        <f ca="1">AL127  /  ( 1 + disc_1/12)^(COUNT($AL$6:AL127)-1)</f>
        <v>1933.9736593513587</v>
      </c>
      <c r="AQ127" s="72">
        <f t="shared" ca="1" si="51"/>
        <v>1477375.5891227494</v>
      </c>
      <c r="AS127" s="303">
        <f t="shared" ca="1" si="46"/>
        <v>1</v>
      </c>
      <c r="AT127" s="300">
        <f ca="1">IFERROR(IRR($AN$6:AN127)*12,0)</f>
        <v>0</v>
      </c>
      <c r="AU127" s="297">
        <f t="shared" ca="1" si="47"/>
        <v>0</v>
      </c>
      <c r="AV127" s="303">
        <f t="shared" ca="1" si="48"/>
        <v>0</v>
      </c>
    </row>
    <row r="128" spans="2:48" x14ac:dyDescent="0.25">
      <c r="B128" s="43">
        <f t="shared" si="49"/>
        <v>47908</v>
      </c>
      <c r="C128" s="79">
        <f t="shared" si="39"/>
        <v>2031</v>
      </c>
      <c r="D128" s="64">
        <f ca="1">wellcount_base  +  SUM('forecast production'!I$7:I129)</f>
        <v>1</v>
      </c>
      <c r="E128" s="110">
        <f ca="1">'forecast production'!AE129</f>
        <v>224.2300193513577</v>
      </c>
      <c r="F128" s="98">
        <f ca="1">'forecast production'!AF129</f>
        <v>1241.4760499726949</v>
      </c>
      <c r="G128" s="98">
        <f ca="1">'forecast production'!AG129</f>
        <v>8.7668260791752441</v>
      </c>
      <c r="H128" s="98">
        <f ca="1">'forecast production'!AH129</f>
        <v>186.22140749590423</v>
      </c>
      <c r="I128" s="307">
        <f t="shared" ca="1" si="40"/>
        <v>1</v>
      </c>
      <c r="J128" s="306">
        <f t="shared" ca="1" si="41"/>
        <v>0.75</v>
      </c>
      <c r="K128" s="112">
        <f t="shared" ca="1" si="26"/>
        <v>168.17251451351828</v>
      </c>
      <c r="L128" s="98">
        <f t="shared" ca="1" si="27"/>
        <v>698.33027810964086</v>
      </c>
      <c r="M128" s="98">
        <f t="shared" ca="1" si="28"/>
        <v>6.5751195593814327</v>
      </c>
      <c r="N128" s="98">
        <f t="shared" ca="1" si="29"/>
        <v>139.66605562192817</v>
      </c>
      <c r="O128" s="67">
        <f>assumptions!M132</f>
        <v>55</v>
      </c>
      <c r="P128" s="68">
        <f>assumptions!N132</f>
        <v>3</v>
      </c>
      <c r="Q128" s="68">
        <f>assumptions!O132</f>
        <v>22</v>
      </c>
      <c r="R128" s="67">
        <f t="shared" si="30"/>
        <v>52.5</v>
      </c>
      <c r="S128" s="68">
        <f t="shared" si="31"/>
        <v>2.3275000000000001</v>
      </c>
      <c r="T128" s="68">
        <f t="shared" si="32"/>
        <v>22</v>
      </c>
      <c r="U128" s="73">
        <f t="shared" ca="1" si="33"/>
        <v>8829.0570119597105</v>
      </c>
      <c r="V128" s="72">
        <f t="shared" ca="1" si="34"/>
        <v>1625.3637223001892</v>
      </c>
      <c r="W128" s="72">
        <f t="shared" ca="1" si="35"/>
        <v>3072.6532236824196</v>
      </c>
      <c r="X128" s="72">
        <f t="shared" ca="1" si="42"/>
        <v>13527.073957942321</v>
      </c>
      <c r="Y128" s="73">
        <f>mult_opex * fixed_month</f>
        <v>1000</v>
      </c>
      <c r="Z128" s="72">
        <f ca="1">mult_opex * fixed_well *D128</f>
        <v>5000</v>
      </c>
      <c r="AA128" s="72">
        <f ca="1">(Z128+Y128)*WI_current_1</f>
        <v>6000</v>
      </c>
      <c r="AB128" s="72">
        <f ca="1">mult_opex * var_bo*E128</f>
        <v>0</v>
      </c>
      <c r="AC128" s="72">
        <f ca="1">mult_opex * var_mcf*F128</f>
        <v>0</v>
      </c>
      <c r="AD128" s="72">
        <f ca="1">mult_opex * var_bw * G128</f>
        <v>17.533652158350488</v>
      </c>
      <c r="AE128" s="72">
        <f ca="1">SUM(AB128:AD128)*WI_current_1</f>
        <v>17.533652158350488</v>
      </c>
      <c r="AF128" s="73">
        <f ca="1">mult_capex * IFERROR(OFFSET(assumptions!$F$39,MATCH(B128,assumptions!$E$39:$E$45,0)-1,0),0)</f>
        <v>0</v>
      </c>
      <c r="AG128" s="75">
        <f ca="1">mult_capex * capex_new*WI_current_1 *'forecast production'!I129</f>
        <v>0</v>
      </c>
      <c r="AH128" s="146">
        <f t="shared" ca="1" si="43"/>
        <v>0</v>
      </c>
      <c r="AI128" s="73">
        <f t="shared" ca="1" si="36"/>
        <v>758.48789349884237</v>
      </c>
      <c r="AJ128" s="72">
        <f t="shared" ca="1" si="37"/>
        <v>338.17684894855802</v>
      </c>
      <c r="AK128" s="72">
        <f t="shared" ca="1" si="44"/>
        <v>1096.6647424474004</v>
      </c>
      <c r="AL128" s="73">
        <f t="shared" ca="1" si="38"/>
        <v>6412.875563336569</v>
      </c>
      <c r="AM128" s="132">
        <f ca="1">IF(X128*(lease_NRI/J128)  - (Z128+Y128+AB128+AC128+AD128)  - (AK128)*(lease_NRI/J128)&gt;0,1,0)</f>
        <v>1</v>
      </c>
      <c r="AN128" s="73">
        <f t="shared" ca="1" si="45"/>
        <v>6412.875563336569</v>
      </c>
      <c r="AO128" s="75">
        <f t="shared" ca="1" si="50"/>
        <v>2026266.5771501893</v>
      </c>
      <c r="AP128" s="72">
        <f ca="1">AL128  /  ( 1 + disc_1/12)^(COUNT($AL$6:AL128)-1)</f>
        <v>2329.9663671433664</v>
      </c>
      <c r="AQ128" s="72">
        <f t="shared" ca="1" si="51"/>
        <v>1479705.5554898928</v>
      </c>
      <c r="AS128" s="303">
        <f t="shared" ca="1" si="46"/>
        <v>1</v>
      </c>
      <c r="AT128" s="300">
        <f ca="1">IFERROR(IRR($AN$6:AN128)*12,0)</f>
        <v>0</v>
      </c>
      <c r="AU128" s="297">
        <f t="shared" ca="1" si="47"/>
        <v>0</v>
      </c>
      <c r="AV128" s="303">
        <f t="shared" ca="1" si="48"/>
        <v>0</v>
      </c>
    </row>
    <row r="129" spans="2:48" x14ac:dyDescent="0.25">
      <c r="B129" s="43">
        <f t="shared" si="49"/>
        <v>47939</v>
      </c>
      <c r="C129" s="79">
        <f t="shared" si="39"/>
        <v>2031</v>
      </c>
      <c r="D129" s="64">
        <f ca="1">wellcount_base  +  SUM('forecast production'!I$7:I130)</f>
        <v>1</v>
      </c>
      <c r="E129" s="108">
        <f ca="1">'forecast production'!AE130</f>
        <v>215.46550962117061</v>
      </c>
      <c r="F129" s="97">
        <f ca="1">'forecast production'!AF130</f>
        <v>1194.4280182012139</v>
      </c>
      <c r="G129" s="97">
        <f ca="1">'forecast production'!AG130</f>
        <v>8.1869031437369628</v>
      </c>
      <c r="H129" s="98">
        <f ca="1">'forecast production'!AH130</f>
        <v>179.16420273018213</v>
      </c>
      <c r="I129" s="307">
        <f t="shared" ca="1" si="40"/>
        <v>1</v>
      </c>
      <c r="J129" s="306">
        <f t="shared" ca="1" si="41"/>
        <v>0.75</v>
      </c>
      <c r="K129" s="112">
        <f t="shared" ca="1" si="26"/>
        <v>161.59913221587794</v>
      </c>
      <c r="L129" s="98">
        <f t="shared" ca="1" si="27"/>
        <v>671.86576023818282</v>
      </c>
      <c r="M129" s="98">
        <f t="shared" ca="1" si="28"/>
        <v>6.1401773578027221</v>
      </c>
      <c r="N129" s="98">
        <f t="shared" ca="1" si="29"/>
        <v>134.37315204763661</v>
      </c>
      <c r="O129" s="67">
        <f>assumptions!M133</f>
        <v>55</v>
      </c>
      <c r="P129" s="68">
        <f>assumptions!N133</f>
        <v>3</v>
      </c>
      <c r="Q129" s="68">
        <f>assumptions!O133</f>
        <v>22</v>
      </c>
      <c r="R129" s="67">
        <f t="shared" si="30"/>
        <v>52.5</v>
      </c>
      <c r="S129" s="68">
        <f t="shared" si="31"/>
        <v>2.3275000000000001</v>
      </c>
      <c r="T129" s="68">
        <f t="shared" si="32"/>
        <v>22</v>
      </c>
      <c r="U129" s="73">
        <f t="shared" ca="1" si="33"/>
        <v>8483.9544413335916</v>
      </c>
      <c r="V129" s="72">
        <f t="shared" ca="1" si="34"/>
        <v>1563.7675569543705</v>
      </c>
      <c r="W129" s="72">
        <f t="shared" ca="1" si="35"/>
        <v>2956.2093450480052</v>
      </c>
      <c r="X129" s="72">
        <f t="shared" ca="1" si="42"/>
        <v>13003.931343335968</v>
      </c>
      <c r="Y129" s="73">
        <f>mult_opex * fixed_month</f>
        <v>1000</v>
      </c>
      <c r="Z129" s="72">
        <f ca="1">mult_opex * fixed_well *D129</f>
        <v>5000</v>
      </c>
      <c r="AA129" s="72">
        <f ca="1">(Z129+Y129)*WI_current_1</f>
        <v>6000</v>
      </c>
      <c r="AB129" s="72">
        <f ca="1">mult_opex * var_bo*E129</f>
        <v>0</v>
      </c>
      <c r="AC129" s="72">
        <f ca="1">mult_opex * var_mcf*F129</f>
        <v>0</v>
      </c>
      <c r="AD129" s="72">
        <f ca="1">mult_opex * var_bw * G129</f>
        <v>16.373806287473926</v>
      </c>
      <c r="AE129" s="72">
        <f ca="1">SUM(AB129:AD129)*WI_current_1</f>
        <v>16.373806287473926</v>
      </c>
      <c r="AF129" s="73">
        <f ca="1">mult_capex * IFERROR(OFFSET(assumptions!$F$39,MATCH(B129,assumptions!$E$39:$E$45,0)-1,0),0)</f>
        <v>0</v>
      </c>
      <c r="AG129" s="75">
        <f ca="1">mult_capex * capex_new*WI_current_1 *'forecast production'!I130</f>
        <v>0</v>
      </c>
      <c r="AH129" s="146">
        <f t="shared" ca="1" si="43"/>
        <v>0</v>
      </c>
      <c r="AI129" s="73">
        <f t="shared" ca="1" si="36"/>
        <v>729.26017195152338</v>
      </c>
      <c r="AJ129" s="72">
        <f t="shared" ca="1" si="37"/>
        <v>325.09828358339922</v>
      </c>
      <c r="AK129" s="72">
        <f t="shared" ca="1" si="44"/>
        <v>1054.3584555349225</v>
      </c>
      <c r="AL129" s="73">
        <f t="shared" ca="1" si="38"/>
        <v>5933.1990815135705</v>
      </c>
      <c r="AM129" s="132">
        <f ca="1">IF(X129*(lease_NRI/J129)  - (Z129+Y129+AB129+AC129+AD129)  - (AK129)*(lease_NRI/J129)&gt;0,1,0)</f>
        <v>1</v>
      </c>
      <c r="AN129" s="73">
        <f t="shared" ca="1" si="45"/>
        <v>5933.1990815135705</v>
      </c>
      <c r="AO129" s="75">
        <f t="shared" ca="1" si="50"/>
        <v>2032199.7762317029</v>
      </c>
      <c r="AP129" s="72">
        <f ca="1">AL129  /  ( 1 + disc_1/12)^(COUNT($AL$6:AL129)-1)</f>
        <v>2137.8716871889555</v>
      </c>
      <c r="AQ129" s="72">
        <f t="shared" ca="1" si="51"/>
        <v>1481843.4271770818</v>
      </c>
      <c r="AS129" s="303">
        <f t="shared" ca="1" si="46"/>
        <v>1</v>
      </c>
      <c r="AT129" s="300">
        <f ca="1">IFERROR(IRR($AN$6:AN129)*12,0)</f>
        <v>0</v>
      </c>
      <c r="AU129" s="297">
        <f t="shared" ca="1" si="47"/>
        <v>0</v>
      </c>
      <c r="AV129" s="303">
        <f t="shared" ca="1" si="48"/>
        <v>0</v>
      </c>
    </row>
    <row r="130" spans="2:48" x14ac:dyDescent="0.25">
      <c r="B130" s="43">
        <f t="shared" si="49"/>
        <v>47969</v>
      </c>
      <c r="C130" s="79">
        <f t="shared" si="39"/>
        <v>2031</v>
      </c>
      <c r="D130" s="64">
        <f ca="1">wellcount_base  +  SUM('forecast production'!I$7:I131)</f>
        <v>1</v>
      </c>
      <c r="E130" s="110">
        <f ca="1">'forecast production'!AE131</f>
        <v>221.12704231764309</v>
      </c>
      <c r="F130" s="98">
        <f ca="1">'forecast production'!AF131</f>
        <v>1227.3216816663432</v>
      </c>
      <c r="G130" s="98">
        <f ca="1">'forecast production'!AG131</f>
        <v>8.17296893797932</v>
      </c>
      <c r="H130" s="98">
        <f ca="1">'forecast production'!AH131</f>
        <v>184.09825224995149</v>
      </c>
      <c r="I130" s="307">
        <f t="shared" ca="1" si="40"/>
        <v>1</v>
      </c>
      <c r="J130" s="306">
        <f t="shared" ca="1" si="41"/>
        <v>0.75</v>
      </c>
      <c r="K130" s="112">
        <f t="shared" ca="1" si="26"/>
        <v>165.8452817382323</v>
      </c>
      <c r="L130" s="98">
        <f t="shared" ca="1" si="27"/>
        <v>690.36844593731803</v>
      </c>
      <c r="M130" s="98">
        <f t="shared" ca="1" si="28"/>
        <v>6.12972670348449</v>
      </c>
      <c r="N130" s="98">
        <f t="shared" ca="1" si="29"/>
        <v>138.07368918746363</v>
      </c>
      <c r="O130" s="67">
        <f>assumptions!M134</f>
        <v>55</v>
      </c>
      <c r="P130" s="68">
        <f>assumptions!N134</f>
        <v>3</v>
      </c>
      <c r="Q130" s="68">
        <f>assumptions!O134</f>
        <v>22</v>
      </c>
      <c r="R130" s="67">
        <f t="shared" si="30"/>
        <v>52.5</v>
      </c>
      <c r="S130" s="68">
        <f t="shared" si="31"/>
        <v>2.3275000000000001</v>
      </c>
      <c r="T130" s="68">
        <f t="shared" si="32"/>
        <v>22</v>
      </c>
      <c r="U130" s="73">
        <f t="shared" ca="1" si="33"/>
        <v>8706.8772912571967</v>
      </c>
      <c r="V130" s="72">
        <f t="shared" ca="1" si="34"/>
        <v>1606.8325579191078</v>
      </c>
      <c r="W130" s="72">
        <f t="shared" ca="1" si="35"/>
        <v>3037.6211621242001</v>
      </c>
      <c r="X130" s="72">
        <f t="shared" ca="1" si="42"/>
        <v>13351.331011300505</v>
      </c>
      <c r="Y130" s="73">
        <f>mult_opex * fixed_month</f>
        <v>1000</v>
      </c>
      <c r="Z130" s="72">
        <f ca="1">mult_opex * fixed_well *D130</f>
        <v>5000</v>
      </c>
      <c r="AA130" s="72">
        <f ca="1">(Z130+Y130)*WI_current_1</f>
        <v>6000</v>
      </c>
      <c r="AB130" s="72">
        <f ca="1">mult_opex * var_bo*E130</f>
        <v>0</v>
      </c>
      <c r="AC130" s="72">
        <f ca="1">mult_opex * var_mcf*F130</f>
        <v>0</v>
      </c>
      <c r="AD130" s="72">
        <f ca="1">mult_opex * var_bw * G130</f>
        <v>16.34593787595864</v>
      </c>
      <c r="AE130" s="72">
        <f ca="1">SUM(AB130:AD130)*WI_current_1</f>
        <v>16.34593787595864</v>
      </c>
      <c r="AF130" s="73">
        <f ca="1">mult_capex * IFERROR(OFFSET(assumptions!$F$39,MATCH(B130,assumptions!$E$39:$E$45,0)-1,0),0)</f>
        <v>0</v>
      </c>
      <c r="AG130" s="75">
        <f ca="1">mult_capex * capex_new*WI_current_1 *'forecast production'!I131</f>
        <v>0</v>
      </c>
      <c r="AH130" s="146">
        <f t="shared" ca="1" si="43"/>
        <v>0</v>
      </c>
      <c r="AI130" s="73">
        <f t="shared" ca="1" si="36"/>
        <v>748.85038440107905</v>
      </c>
      <c r="AJ130" s="72">
        <f t="shared" ca="1" si="37"/>
        <v>333.78327528251265</v>
      </c>
      <c r="AK130" s="72">
        <f t="shared" ca="1" si="44"/>
        <v>1082.6336596835918</v>
      </c>
      <c r="AL130" s="73">
        <f t="shared" ca="1" si="38"/>
        <v>6252.3514137409547</v>
      </c>
      <c r="AM130" s="132">
        <f ca="1">IF(X130*(lease_NRI/J130)  - (Z130+Y130+AB130+AC130+AD130)  - (AK130)*(lease_NRI/J130)&gt;0,1,0)</f>
        <v>1</v>
      </c>
      <c r="AN130" s="73">
        <f t="shared" ca="1" si="45"/>
        <v>6252.3514137409547</v>
      </c>
      <c r="AO130" s="75">
        <f t="shared" ca="1" si="50"/>
        <v>2038452.1276454439</v>
      </c>
      <c r="AP130" s="72">
        <f ca="1">AL130  /  ( 1 + disc_1/12)^(COUNT($AL$6:AL130)-1)</f>
        <v>2234.2510476176867</v>
      </c>
      <c r="AQ130" s="72">
        <f t="shared" ca="1" si="51"/>
        <v>1484077.6782246996</v>
      </c>
      <c r="AS130" s="303">
        <f t="shared" ca="1" si="46"/>
        <v>1</v>
      </c>
      <c r="AT130" s="300">
        <f ca="1">IFERROR(IRR($AN$6:AN130)*12,0)</f>
        <v>0</v>
      </c>
      <c r="AU130" s="297">
        <f t="shared" ca="1" si="47"/>
        <v>0</v>
      </c>
      <c r="AV130" s="303">
        <f t="shared" ca="1" si="48"/>
        <v>0</v>
      </c>
    </row>
    <row r="131" spans="2:48" x14ac:dyDescent="0.25">
      <c r="B131" s="43">
        <f t="shared" si="49"/>
        <v>48000</v>
      </c>
      <c r="C131" s="79">
        <f t="shared" si="39"/>
        <v>2031</v>
      </c>
      <c r="D131" s="64">
        <f ca="1">wellcount_base  +  SUM('forecast production'!I$7:I132)</f>
        <v>1</v>
      </c>
      <c r="E131" s="110">
        <f ca="1">'forecast production'!AE132</f>
        <v>212.48381907926122</v>
      </c>
      <c r="F131" s="98">
        <f ca="1">'forecast production'!AF132</f>
        <v>1180.8885048055411</v>
      </c>
      <c r="G131" s="98">
        <f ca="1">'forecast production'!AG132</f>
        <v>7.6324248755632453</v>
      </c>
      <c r="H131" s="98">
        <f ca="1">'forecast production'!AH132</f>
        <v>177.13327572083116</v>
      </c>
      <c r="I131" s="307">
        <f t="shared" ca="1" si="40"/>
        <v>1</v>
      </c>
      <c r="J131" s="306">
        <f t="shared" ca="1" si="41"/>
        <v>0.75</v>
      </c>
      <c r="K131" s="112">
        <f t="shared" ca="1" si="26"/>
        <v>159.36286430944591</v>
      </c>
      <c r="L131" s="98">
        <f t="shared" ca="1" si="27"/>
        <v>664.24978395311689</v>
      </c>
      <c r="M131" s="98">
        <f t="shared" ca="1" si="28"/>
        <v>5.724318656672434</v>
      </c>
      <c r="N131" s="98">
        <f t="shared" ca="1" si="29"/>
        <v>132.84995679062337</v>
      </c>
      <c r="O131" s="67">
        <f>assumptions!M135</f>
        <v>55</v>
      </c>
      <c r="P131" s="68">
        <f>assumptions!N135</f>
        <v>3</v>
      </c>
      <c r="Q131" s="68">
        <f>assumptions!O135</f>
        <v>22</v>
      </c>
      <c r="R131" s="67">
        <f t="shared" si="30"/>
        <v>52.5</v>
      </c>
      <c r="S131" s="68">
        <f t="shared" si="31"/>
        <v>2.3275000000000001</v>
      </c>
      <c r="T131" s="68">
        <f t="shared" si="32"/>
        <v>22</v>
      </c>
      <c r="U131" s="73">
        <f t="shared" ca="1" si="33"/>
        <v>8366.5503762459102</v>
      </c>
      <c r="V131" s="72">
        <f t="shared" ca="1" si="34"/>
        <v>1546.0413721508796</v>
      </c>
      <c r="W131" s="72">
        <f t="shared" ca="1" si="35"/>
        <v>2922.6990493937142</v>
      </c>
      <c r="X131" s="72">
        <f t="shared" ca="1" si="42"/>
        <v>12835.290797790503</v>
      </c>
      <c r="Y131" s="73">
        <f>mult_opex * fixed_month</f>
        <v>1000</v>
      </c>
      <c r="Z131" s="72">
        <f ca="1">mult_opex * fixed_well *D131</f>
        <v>5000</v>
      </c>
      <c r="AA131" s="72">
        <f ca="1">(Z131+Y131)*WI_current_1</f>
        <v>6000</v>
      </c>
      <c r="AB131" s="72">
        <f ca="1">mult_opex * var_bo*E131</f>
        <v>0</v>
      </c>
      <c r="AC131" s="72">
        <f ca="1">mult_opex * var_mcf*F131</f>
        <v>0</v>
      </c>
      <c r="AD131" s="72">
        <f ca="1">mult_opex * var_bw * G131</f>
        <v>15.264849751126491</v>
      </c>
      <c r="AE131" s="72">
        <f ca="1">SUM(AB131:AD131)*WI_current_1</f>
        <v>15.264849751126491</v>
      </c>
      <c r="AF131" s="73">
        <f ca="1">mult_capex * IFERROR(OFFSET(assumptions!$F$39,MATCH(B131,assumptions!$E$39:$E$45,0)-1,0),0)</f>
        <v>0</v>
      </c>
      <c r="AG131" s="75">
        <f ca="1">mult_capex * capex_new*WI_current_1 *'forecast production'!I132</f>
        <v>0</v>
      </c>
      <c r="AH131" s="146">
        <f t="shared" ca="1" si="43"/>
        <v>0</v>
      </c>
      <c r="AI131" s="73">
        <f t="shared" ca="1" si="36"/>
        <v>720.01684892315643</v>
      </c>
      <c r="AJ131" s="72">
        <f t="shared" ca="1" si="37"/>
        <v>320.88226994476258</v>
      </c>
      <c r="AK131" s="72">
        <f t="shared" ca="1" si="44"/>
        <v>1040.899118867919</v>
      </c>
      <c r="AL131" s="73">
        <f t="shared" ca="1" si="38"/>
        <v>5779.1268291714568</v>
      </c>
      <c r="AM131" s="132">
        <f ca="1">IF(X131*(lease_NRI/J131)  - (Z131+Y131+AB131+AC131+AD131)  - (AK131)*(lease_NRI/J131)&gt;0,1,0)</f>
        <v>1</v>
      </c>
      <c r="AN131" s="73">
        <f t="shared" ca="1" si="45"/>
        <v>5779.1268291714568</v>
      </c>
      <c r="AO131" s="75">
        <f t="shared" ca="1" si="50"/>
        <v>2044231.2544746154</v>
      </c>
      <c r="AP131" s="72">
        <f ca="1">AL131  /  ( 1 + disc_1/12)^(COUNT($AL$6:AL131)-1)</f>
        <v>2048.0789409459003</v>
      </c>
      <c r="AQ131" s="72">
        <f t="shared" ca="1" si="51"/>
        <v>1486125.7571656455</v>
      </c>
      <c r="AS131" s="303">
        <f t="shared" ca="1" si="46"/>
        <v>1</v>
      </c>
      <c r="AT131" s="300">
        <f ca="1">IFERROR(IRR($AN$6:AN131)*12,0)</f>
        <v>0</v>
      </c>
      <c r="AU131" s="297">
        <f t="shared" ca="1" si="47"/>
        <v>0</v>
      </c>
      <c r="AV131" s="303">
        <f t="shared" ca="1" si="48"/>
        <v>0</v>
      </c>
    </row>
    <row r="132" spans="2:48" x14ac:dyDescent="0.25">
      <c r="B132" s="43">
        <f t="shared" si="49"/>
        <v>48030</v>
      </c>
      <c r="C132" s="79">
        <f t="shared" si="39"/>
        <v>2031</v>
      </c>
      <c r="D132" s="64">
        <f ca="1">wellcount_base  +  SUM('forecast production'!I$7:I133)</f>
        <v>1</v>
      </c>
      <c r="E132" s="110">
        <f ca="1">'forecast production'!AE133</f>
        <v>218.06700541522591</v>
      </c>
      <c r="F132" s="98">
        <f ca="1">'forecast production'!AF133</f>
        <v>1213.486429780294</v>
      </c>
      <c r="G132" s="98">
        <f ca="1">'forecast production'!AG133</f>
        <v>7.6195265325417845</v>
      </c>
      <c r="H132" s="98">
        <f ca="1">'forecast production'!AH133</f>
        <v>182.02296446704409</v>
      </c>
      <c r="I132" s="307">
        <f t="shared" ca="1" si="40"/>
        <v>1</v>
      </c>
      <c r="J132" s="306">
        <f t="shared" ca="1" si="41"/>
        <v>0.75</v>
      </c>
      <c r="K132" s="112">
        <f t="shared" ca="1" si="26"/>
        <v>163.55025406141942</v>
      </c>
      <c r="L132" s="98">
        <f t="shared" ca="1" si="27"/>
        <v>682.58611675141537</v>
      </c>
      <c r="M132" s="98">
        <f t="shared" ca="1" si="28"/>
        <v>5.7146448994063386</v>
      </c>
      <c r="N132" s="98">
        <f t="shared" ca="1" si="29"/>
        <v>136.51722335028307</v>
      </c>
      <c r="O132" s="67">
        <f>assumptions!M136</f>
        <v>55</v>
      </c>
      <c r="P132" s="68">
        <f>assumptions!N136</f>
        <v>3</v>
      </c>
      <c r="Q132" s="68">
        <f>assumptions!O136</f>
        <v>22</v>
      </c>
      <c r="R132" s="67">
        <f t="shared" si="30"/>
        <v>52.5</v>
      </c>
      <c r="S132" s="68">
        <f t="shared" si="31"/>
        <v>2.3275000000000001</v>
      </c>
      <c r="T132" s="68">
        <f t="shared" si="32"/>
        <v>22</v>
      </c>
      <c r="U132" s="73">
        <f t="shared" ca="1" si="33"/>
        <v>8586.3883382245203</v>
      </c>
      <c r="V132" s="72">
        <f t="shared" ca="1" si="34"/>
        <v>1588.7191867389195</v>
      </c>
      <c r="W132" s="72">
        <f t="shared" ca="1" si="35"/>
        <v>3003.3789137062276</v>
      </c>
      <c r="X132" s="72">
        <f t="shared" ca="1" si="42"/>
        <v>13178.486438669668</v>
      </c>
      <c r="Y132" s="73">
        <f>mult_opex * fixed_month</f>
        <v>1000</v>
      </c>
      <c r="Z132" s="72">
        <f ca="1">mult_opex * fixed_well *D132</f>
        <v>5000</v>
      </c>
      <c r="AA132" s="72">
        <f ca="1">(Z132+Y132)*WI_current_1</f>
        <v>6000</v>
      </c>
      <c r="AB132" s="72">
        <f ca="1">mult_opex * var_bo*E132</f>
        <v>0</v>
      </c>
      <c r="AC132" s="72">
        <f ca="1">mult_opex * var_mcf*F132</f>
        <v>0</v>
      </c>
      <c r="AD132" s="72">
        <f ca="1">mult_opex * var_bw * G132</f>
        <v>15.239053065083569</v>
      </c>
      <c r="AE132" s="72">
        <f ca="1">SUM(AB132:AD132)*WI_current_1</f>
        <v>15.239053065083569</v>
      </c>
      <c r="AF132" s="73">
        <f ca="1">mult_capex * IFERROR(OFFSET(assumptions!$F$39,MATCH(B132,assumptions!$E$39:$E$45,0)-1,0),0)</f>
        <v>0</v>
      </c>
      <c r="AG132" s="75">
        <f ca="1">mult_capex * capex_new*WI_current_1 *'forecast production'!I133</f>
        <v>0</v>
      </c>
      <c r="AH132" s="146">
        <f t="shared" ca="1" si="43"/>
        <v>0</v>
      </c>
      <c r="AI132" s="73">
        <f t="shared" ca="1" si="36"/>
        <v>739.38122109171388</v>
      </c>
      <c r="AJ132" s="72">
        <f t="shared" ca="1" si="37"/>
        <v>329.46216096674175</v>
      </c>
      <c r="AK132" s="72">
        <f t="shared" ca="1" si="44"/>
        <v>1068.8433820584555</v>
      </c>
      <c r="AL132" s="73">
        <f t="shared" ca="1" si="38"/>
        <v>6094.4040035461294</v>
      </c>
      <c r="AM132" s="132">
        <f ca="1">IF(X132*(lease_NRI/J132)  - (Z132+Y132+AB132+AC132+AD132)  - (AK132)*(lease_NRI/J132)&gt;0,1,0)</f>
        <v>1</v>
      </c>
      <c r="AN132" s="73">
        <f t="shared" ca="1" si="45"/>
        <v>6094.4040035461294</v>
      </c>
      <c r="AO132" s="75">
        <f t="shared" ca="1" si="50"/>
        <v>2050325.6584781616</v>
      </c>
      <c r="AP132" s="72">
        <f ca="1">AL132  /  ( 1 + disc_1/12)^(COUNT($AL$6:AL132)-1)</f>
        <v>2141.9611165990082</v>
      </c>
      <c r="AQ132" s="72">
        <f t="shared" ca="1" si="51"/>
        <v>1488267.7182822444</v>
      </c>
      <c r="AS132" s="303">
        <f t="shared" ca="1" si="46"/>
        <v>1</v>
      </c>
      <c r="AT132" s="300">
        <f ca="1">IFERROR(IRR($AN$6:AN132)*12,0)</f>
        <v>0</v>
      </c>
      <c r="AU132" s="297">
        <f t="shared" ca="1" si="47"/>
        <v>0</v>
      </c>
      <c r="AV132" s="303">
        <f t="shared" ca="1" si="48"/>
        <v>0</v>
      </c>
    </row>
    <row r="133" spans="2:48" x14ac:dyDescent="0.25">
      <c r="B133" s="43">
        <f t="shared" si="49"/>
        <v>48061</v>
      </c>
      <c r="C133" s="79">
        <f t="shared" si="39"/>
        <v>2031</v>
      </c>
      <c r="D133" s="64">
        <f ca="1">wellcount_base  +  SUM('forecast production'!I$7:I134)</f>
        <v>1</v>
      </c>
      <c r="E133" s="108">
        <f ca="1">'forecast production'!AE134</f>
        <v>216.52816993720123</v>
      </c>
      <c r="F133" s="97">
        <f ca="1">'forecast production'!AF134</f>
        <v>1206.5742571202202</v>
      </c>
      <c r="G133" s="97">
        <f ca="1">'forecast production'!AG134</f>
        <v>7.3528641035642197</v>
      </c>
      <c r="H133" s="98">
        <f ca="1">'forecast production'!AH134</f>
        <v>180.98613856803303</v>
      </c>
      <c r="I133" s="307">
        <f t="shared" ca="1" si="40"/>
        <v>1</v>
      </c>
      <c r="J133" s="306">
        <f t="shared" ca="1" si="41"/>
        <v>0.75</v>
      </c>
      <c r="K133" s="112">
        <f t="shared" ca="1" si="26"/>
        <v>162.39612745290091</v>
      </c>
      <c r="L133" s="98">
        <f t="shared" ca="1" si="27"/>
        <v>678.69801963012389</v>
      </c>
      <c r="M133" s="98">
        <f t="shared" ca="1" si="28"/>
        <v>5.514648077673165</v>
      </c>
      <c r="N133" s="98">
        <f t="shared" ca="1" si="29"/>
        <v>135.73960392602476</v>
      </c>
      <c r="O133" s="67">
        <f>assumptions!M137</f>
        <v>55</v>
      </c>
      <c r="P133" s="68">
        <f>assumptions!N137</f>
        <v>3</v>
      </c>
      <c r="Q133" s="68">
        <f>assumptions!O137</f>
        <v>22</v>
      </c>
      <c r="R133" s="67">
        <f t="shared" si="30"/>
        <v>52.5</v>
      </c>
      <c r="S133" s="68">
        <f t="shared" si="31"/>
        <v>2.3275000000000001</v>
      </c>
      <c r="T133" s="68">
        <f t="shared" si="32"/>
        <v>22</v>
      </c>
      <c r="U133" s="73">
        <f t="shared" ca="1" si="33"/>
        <v>8525.7966912772972</v>
      </c>
      <c r="V133" s="72">
        <f t="shared" ca="1" si="34"/>
        <v>1579.6696406891135</v>
      </c>
      <c r="W133" s="72">
        <f t="shared" ca="1" si="35"/>
        <v>2986.2712863725446</v>
      </c>
      <c r="X133" s="72">
        <f t="shared" ca="1" si="42"/>
        <v>13091.737618338955</v>
      </c>
      <c r="Y133" s="73">
        <f>mult_opex * fixed_month</f>
        <v>1000</v>
      </c>
      <c r="Z133" s="72">
        <f ca="1">mult_opex * fixed_well *D133</f>
        <v>5000</v>
      </c>
      <c r="AA133" s="72">
        <f ca="1">(Z133+Y133)*WI_current_1</f>
        <v>6000</v>
      </c>
      <c r="AB133" s="72">
        <f ca="1">mult_opex * var_bo*E133</f>
        <v>0</v>
      </c>
      <c r="AC133" s="72">
        <f ca="1">mult_opex * var_mcf*F133</f>
        <v>0</v>
      </c>
      <c r="AD133" s="72">
        <f ca="1">mult_opex * var_bw * G133</f>
        <v>14.705728207128439</v>
      </c>
      <c r="AE133" s="72">
        <f ca="1">SUM(AB133:AD133)*WI_current_1</f>
        <v>14.705728207128439</v>
      </c>
      <c r="AF133" s="73">
        <f ca="1">mult_capex * IFERROR(OFFSET(assumptions!$F$39,MATCH(B133,assumptions!$E$39:$E$45,0)-1,0),0)</f>
        <v>0</v>
      </c>
      <c r="AG133" s="75">
        <f ca="1">mult_capex * capex_new*WI_current_1 *'forecast production'!I134</f>
        <v>0</v>
      </c>
      <c r="AH133" s="146">
        <f t="shared" ca="1" si="43"/>
        <v>0</v>
      </c>
      <c r="AI133" s="73">
        <f t="shared" ca="1" si="36"/>
        <v>734.63221732837997</v>
      </c>
      <c r="AJ133" s="72">
        <f t="shared" ca="1" si="37"/>
        <v>327.29344045847392</v>
      </c>
      <c r="AK133" s="72">
        <f t="shared" ca="1" si="44"/>
        <v>1061.9256577868539</v>
      </c>
      <c r="AL133" s="73">
        <f t="shared" ca="1" si="38"/>
        <v>6015.1062323449714</v>
      </c>
      <c r="AM133" s="132">
        <f ca="1">IF(X133*(lease_NRI/J133)  - (Z133+Y133+AB133+AC133+AD133)  - (AK133)*(lease_NRI/J133)&gt;0,1,0)</f>
        <v>1</v>
      </c>
      <c r="AN133" s="73">
        <f t="shared" ca="1" si="45"/>
        <v>6015.1062323449714</v>
      </c>
      <c r="AO133" s="75">
        <f t="shared" ca="1" si="50"/>
        <v>2056340.7647105064</v>
      </c>
      <c r="AP133" s="72">
        <f ca="1">AL133  /  ( 1 + disc_1/12)^(COUNT($AL$6:AL133)-1)</f>
        <v>2096.6190120671845</v>
      </c>
      <c r="AQ133" s="72">
        <f t="shared" ca="1" si="51"/>
        <v>1490364.3372943115</v>
      </c>
      <c r="AS133" s="303">
        <f t="shared" ca="1" si="46"/>
        <v>1</v>
      </c>
      <c r="AT133" s="300">
        <f ca="1">IFERROR(IRR($AN$6:AN133)*12,0)</f>
        <v>0</v>
      </c>
      <c r="AU133" s="297">
        <f t="shared" ca="1" si="47"/>
        <v>0</v>
      </c>
      <c r="AV133" s="303">
        <f t="shared" ca="1" si="48"/>
        <v>0</v>
      </c>
    </row>
    <row r="134" spans="2:48" x14ac:dyDescent="0.25">
      <c r="B134" s="43">
        <f t="shared" si="49"/>
        <v>48092</v>
      </c>
      <c r="C134" s="79">
        <f t="shared" si="39"/>
        <v>2031</v>
      </c>
      <c r="D134" s="64">
        <f ca="1">wellcount_base  +  SUM('forecast production'!I$7:I135)</f>
        <v>1</v>
      </c>
      <c r="E134" s="110">
        <f ca="1">'forecast production'!AE135</f>
        <v>208.06470345860947</v>
      </c>
      <c r="F134" s="98">
        <f ca="1">'forecast production'!AF135</f>
        <v>1161.0390809832493</v>
      </c>
      <c r="G134" s="98">
        <f ca="1">'forecast production'!AG135</f>
        <v>6.8666894915166523</v>
      </c>
      <c r="H134" s="98">
        <f ca="1">'forecast production'!AH135</f>
        <v>174.1558621474874</v>
      </c>
      <c r="I134" s="307">
        <f t="shared" ca="1" si="40"/>
        <v>1</v>
      </c>
      <c r="J134" s="306">
        <f t="shared" ca="1" si="41"/>
        <v>0.75</v>
      </c>
      <c r="K134" s="112">
        <f t="shared" ref="K134:K197" ca="1" si="52">E134*NRI_current</f>
        <v>156.04852759395709</v>
      </c>
      <c r="L134" s="98">
        <f t="shared" ref="L134:L197" ca="1" si="53">F134 * NRI_current * ( 1-shrink_ngl-shrink_leaseuse) - vol_leaseuse</f>
        <v>653.08448305307775</v>
      </c>
      <c r="M134" s="98">
        <f t="shared" ref="M134:M197" ca="1" si="54">G134*NRI_current</f>
        <v>5.1500171186374892</v>
      </c>
      <c r="N134" s="98">
        <f t="shared" ref="N134:N197" ca="1" si="55">H134 * NRI_current</f>
        <v>130.61689661061556</v>
      </c>
      <c r="O134" s="67">
        <f>assumptions!M138</f>
        <v>55</v>
      </c>
      <c r="P134" s="68">
        <f>assumptions!N138</f>
        <v>3</v>
      </c>
      <c r="Q134" s="68">
        <f>assumptions!O138</f>
        <v>22</v>
      </c>
      <c r="R134" s="67">
        <f t="shared" ref="R134:R197" si="56" xml:space="preserve"> (O134*mult_oilprice )  *  (1+  pdiff_oil)   + diff_oil</f>
        <v>52.5</v>
      </c>
      <c r="S134" s="68">
        <f t="shared" ref="S134:S197" si="57" xml:space="preserve"> (  (P134*mult_gasprice )  * (1+   pdiff_gas)  +  diff_gas ) *  energy_residue/1000</f>
        <v>2.3275000000000001</v>
      </c>
      <c r="T134" s="68">
        <f t="shared" ref="T134:T197" si="58">mult_oilprice * (1+pdiff_ngl)*O134</f>
        <v>22</v>
      </c>
      <c r="U134" s="73">
        <f t="shared" ref="U134:U197" ca="1" si="59">K134*R134</f>
        <v>8192.5476986827471</v>
      </c>
      <c r="V134" s="72">
        <f t="shared" ref="V134:V197" ca="1" si="60">L134*S134</f>
        <v>1520.0541343060386</v>
      </c>
      <c r="W134" s="72">
        <f t="shared" ref="W134:W197" ca="1" si="61">N134*T134</f>
        <v>2873.5717254335423</v>
      </c>
      <c r="X134" s="72">
        <f t="shared" ca="1" si="42"/>
        <v>12586.173558422328</v>
      </c>
      <c r="Y134" s="73">
        <f>mult_opex * fixed_month</f>
        <v>1000</v>
      </c>
      <c r="Z134" s="72">
        <f ca="1">mult_opex * fixed_well *D134</f>
        <v>5000</v>
      </c>
      <c r="AA134" s="72">
        <f ca="1">(Z134+Y134)*WI_current_1</f>
        <v>6000</v>
      </c>
      <c r="AB134" s="72">
        <f ca="1">mult_opex * var_bo*E134</f>
        <v>0</v>
      </c>
      <c r="AC134" s="72">
        <f ca="1">mult_opex * var_mcf*F134</f>
        <v>0</v>
      </c>
      <c r="AD134" s="72">
        <f ca="1">mult_opex * var_bw * G134</f>
        <v>13.733378983033305</v>
      </c>
      <c r="AE134" s="72">
        <f ca="1">SUM(AB134:AD134)*WI_current_1</f>
        <v>13.733378983033305</v>
      </c>
      <c r="AF134" s="73">
        <f ca="1">mult_capex * IFERROR(OFFSET(assumptions!$F$39,MATCH(B134,assumptions!$E$39:$E$45,0)-1,0),0)</f>
        <v>0</v>
      </c>
      <c r="AG134" s="75">
        <f ca="1">mult_capex * capex_new*WI_current_1 *'forecast production'!I135</f>
        <v>0</v>
      </c>
      <c r="AH134" s="146">
        <f t="shared" ca="1" si="43"/>
        <v>0</v>
      </c>
      <c r="AI134" s="73">
        <f t="shared" ref="AI134:AI197" ca="1" si="62">U134*sev_oil   +  V134*sev_gas  +  W134*sev_ngl</f>
        <v>706.37913361987489</v>
      </c>
      <c r="AJ134" s="72">
        <f t="shared" ref="AJ134:AJ197" ca="1" si="63">adval * X134</f>
        <v>314.65433896055822</v>
      </c>
      <c r="AK134" s="72">
        <f t="shared" ca="1" si="44"/>
        <v>1021.0334725804331</v>
      </c>
      <c r="AL134" s="73">
        <f t="shared" ref="AL134:AL197" ca="1" si="64">X134-AE134-AH134-AK134-AA134</f>
        <v>5551.4067068588611</v>
      </c>
      <c r="AM134" s="132">
        <f ca="1">IF(X134*(lease_NRI/J134)  - (Z134+Y134+AB134+AC134+AD134)  - (AK134)*(lease_NRI/J134)&gt;0,1,0)</f>
        <v>1</v>
      </c>
      <c r="AN134" s="73">
        <f t="shared" ca="1" si="45"/>
        <v>5551.4067068588611</v>
      </c>
      <c r="AO134" s="75">
        <f t="shared" ca="1" si="50"/>
        <v>2061892.1714173653</v>
      </c>
      <c r="AP134" s="72">
        <f ca="1">AL134  /  ( 1 + disc_1/12)^(COUNT($AL$6:AL134)-1)</f>
        <v>1919.0007273613332</v>
      </c>
      <c r="AQ134" s="72">
        <f t="shared" ca="1" si="51"/>
        <v>1492283.3380216728</v>
      </c>
      <c r="AS134" s="303">
        <f t="shared" ca="1" si="46"/>
        <v>1</v>
      </c>
      <c r="AT134" s="300">
        <f ca="1">IFERROR(IRR($AN$6:AN134)*12,0)</f>
        <v>0</v>
      </c>
      <c r="AU134" s="297">
        <f t="shared" ca="1" si="47"/>
        <v>0</v>
      </c>
      <c r="AV134" s="303">
        <f t="shared" ca="1" si="48"/>
        <v>0</v>
      </c>
    </row>
    <row r="135" spans="2:48" x14ac:dyDescent="0.25">
      <c r="B135" s="43">
        <f t="shared" si="49"/>
        <v>48122</v>
      </c>
      <c r="C135" s="79">
        <f t="shared" ref="C135:C198" si="65">YEAR(B135)</f>
        <v>2031</v>
      </c>
      <c r="D135" s="64">
        <f ca="1">wellcount_base  +  SUM('forecast production'!I$7:I136)</f>
        <v>1</v>
      </c>
      <c r="E135" s="110">
        <f ca="1">'forecast production'!AE136</f>
        <v>213.53177391310518</v>
      </c>
      <c r="F135" s="98">
        <f ca="1">'forecast production'!AF136</f>
        <v>1193.2002627710899</v>
      </c>
      <c r="G135" s="98">
        <f ca="1">'forecast production'!AG136</f>
        <v>6.8552101031090764</v>
      </c>
      <c r="H135" s="98">
        <f ca="1">'forecast production'!AH136</f>
        <v>178.9800394156635</v>
      </c>
      <c r="I135" s="307">
        <f t="shared" ref="I135:I198" ca="1" si="66">IF(AV134,WI_APO, WI)</f>
        <v>1</v>
      </c>
      <c r="J135" s="306">
        <f t="shared" ref="J135:J198" ca="1" si="67">IF(AV134,NRI_APO, NRI)</f>
        <v>0.75</v>
      </c>
      <c r="K135" s="112">
        <f t="shared" ca="1" si="52"/>
        <v>160.14883043482888</v>
      </c>
      <c r="L135" s="98">
        <f t="shared" ca="1" si="53"/>
        <v>671.17514780873807</v>
      </c>
      <c r="M135" s="98">
        <f t="shared" ca="1" si="54"/>
        <v>5.1414075773318073</v>
      </c>
      <c r="N135" s="98">
        <f t="shared" ca="1" si="55"/>
        <v>134.23502956174764</v>
      </c>
      <c r="O135" s="67">
        <f>assumptions!M139</f>
        <v>55</v>
      </c>
      <c r="P135" s="68">
        <f>assumptions!N139</f>
        <v>3</v>
      </c>
      <c r="Q135" s="68">
        <f>assumptions!O139</f>
        <v>22</v>
      </c>
      <c r="R135" s="67">
        <f t="shared" si="56"/>
        <v>52.5</v>
      </c>
      <c r="S135" s="68">
        <f t="shared" si="57"/>
        <v>2.3275000000000001</v>
      </c>
      <c r="T135" s="68">
        <f t="shared" si="58"/>
        <v>22</v>
      </c>
      <c r="U135" s="73">
        <f t="shared" ca="1" si="59"/>
        <v>8407.8135978285154</v>
      </c>
      <c r="V135" s="72">
        <f t="shared" ca="1" si="60"/>
        <v>1562.1601565248379</v>
      </c>
      <c r="W135" s="72">
        <f t="shared" ca="1" si="61"/>
        <v>2953.1706503584483</v>
      </c>
      <c r="X135" s="72">
        <f t="shared" ref="X135:X198" ca="1" si="68">SUM(U135:W135)</f>
        <v>12923.144404711802</v>
      </c>
      <c r="Y135" s="73">
        <f>mult_opex * fixed_month</f>
        <v>1000</v>
      </c>
      <c r="Z135" s="72">
        <f ca="1">mult_opex * fixed_well *D135</f>
        <v>5000</v>
      </c>
      <c r="AA135" s="72">
        <f ca="1">(Z135+Y135)*WI_current_1</f>
        <v>6000</v>
      </c>
      <c r="AB135" s="72">
        <f ca="1">mult_opex * var_bo*E135</f>
        <v>0</v>
      </c>
      <c r="AC135" s="72">
        <f ca="1">mult_opex * var_mcf*F135</f>
        <v>0</v>
      </c>
      <c r="AD135" s="72">
        <f ca="1">mult_opex * var_bw * G135</f>
        <v>13.710420206218153</v>
      </c>
      <c r="AE135" s="72">
        <f ca="1">SUM(AB135:AD135)*WI_current_1</f>
        <v>13.710420206218153</v>
      </c>
      <c r="AF135" s="73">
        <f ca="1">mult_capex * IFERROR(OFFSET(assumptions!$F$39,MATCH(B135,assumptions!$E$39:$E$45,0)-1,0),0)</f>
        <v>0</v>
      </c>
      <c r="AG135" s="75">
        <f ca="1">mult_capex * capex_new*WI_current_1 *'forecast production'!I136</f>
        <v>0</v>
      </c>
      <c r="AH135" s="146">
        <f t="shared" ref="AH135:AH198" ca="1" si="69">AG135+AF135</f>
        <v>0</v>
      </c>
      <c r="AI135" s="73">
        <f t="shared" ca="1" si="62"/>
        <v>725.40923601635814</v>
      </c>
      <c r="AJ135" s="72">
        <f t="shared" ca="1" si="63"/>
        <v>323.07861011779505</v>
      </c>
      <c r="AK135" s="72">
        <f t="shared" ref="AK135:AK198" ca="1" si="70">SUM(AI135:AJ135)</f>
        <v>1048.4878461341532</v>
      </c>
      <c r="AL135" s="73">
        <f t="shared" ca="1" si="64"/>
        <v>5860.9461383714297</v>
      </c>
      <c r="AM135" s="132">
        <f ca="1">IF(X135*(lease_NRI/J135)  - (Z135+Y135+AB135+AC135+AD135)  - (AK135)*(lease_NRI/J135)&gt;0,1,0)</f>
        <v>1</v>
      </c>
      <c r="AN135" s="73">
        <f t="shared" ref="AN135:AN198" ca="1" si="71">AL135*AM135</f>
        <v>5860.9461383714297</v>
      </c>
      <c r="AO135" s="75">
        <f t="shared" ca="1" si="50"/>
        <v>2067753.1175557368</v>
      </c>
      <c r="AP135" s="72">
        <f ca="1">AL135  /  ( 1 + disc_1/12)^(COUNT($AL$6:AL135)-1)</f>
        <v>2009.2579695245975</v>
      </c>
      <c r="AQ135" s="72">
        <f t="shared" ca="1" si="51"/>
        <v>1494292.5959911975</v>
      </c>
      <c r="AS135" s="303">
        <f t="shared" ref="AS135:AS198" ca="1" si="72">IF(AO135&gt; (ROI_threshold-1)*initial_investment,1,0)</f>
        <v>1</v>
      </c>
      <c r="AT135" s="300">
        <f ca="1">IFERROR(IRR($AN$6:AN135)*12,0)</f>
        <v>0</v>
      </c>
      <c r="AU135" s="297">
        <f t="shared" ref="AU135:AU198" ca="1" si="73">IF(AT135&gt;ROR_threshold,1,0)</f>
        <v>0</v>
      </c>
      <c r="AV135" s="303">
        <f t="shared" ref="AV135:AV198" ca="1" si="74">IF(AND(AS135,AU135),1,0)</f>
        <v>0</v>
      </c>
    </row>
    <row r="136" spans="2:48" x14ac:dyDescent="0.25">
      <c r="B136" s="43">
        <f t="shared" ref="B136:B199" si="75">EOMONTH(B135,0)+1</f>
        <v>48153</v>
      </c>
      <c r="C136" s="79">
        <f t="shared" si="65"/>
        <v>2031</v>
      </c>
      <c r="D136" s="64">
        <f ca="1">wellcount_base  +  SUM('forecast production'!I$7:I137)</f>
        <v>1</v>
      </c>
      <c r="E136" s="110">
        <f ca="1">'forecast production'!AE137</f>
        <v>205.18542797967794</v>
      </c>
      <c r="F136" s="98">
        <f ca="1">'forecast production'!AF137</f>
        <v>1148.2418972037683</v>
      </c>
      <c r="G136" s="98">
        <f ca="1">'forecast production'!AG137</f>
        <v>6.4020204728359191</v>
      </c>
      <c r="H136" s="98">
        <f ca="1">'forecast production'!AH137</f>
        <v>172.23628458056521</v>
      </c>
      <c r="I136" s="307">
        <f t="shared" ca="1" si="66"/>
        <v>1</v>
      </c>
      <c r="J136" s="306">
        <f t="shared" ca="1" si="67"/>
        <v>0.75</v>
      </c>
      <c r="K136" s="112">
        <f t="shared" ca="1" si="52"/>
        <v>153.88907098475846</v>
      </c>
      <c r="L136" s="98">
        <f t="shared" ca="1" si="53"/>
        <v>645.88606717711968</v>
      </c>
      <c r="M136" s="98">
        <f t="shared" ca="1" si="54"/>
        <v>4.8015153546269396</v>
      </c>
      <c r="N136" s="98">
        <f t="shared" ca="1" si="55"/>
        <v>129.17721343542391</v>
      </c>
      <c r="O136" s="67">
        <f>assumptions!M140</f>
        <v>55</v>
      </c>
      <c r="P136" s="68">
        <f>assumptions!N140</f>
        <v>3</v>
      </c>
      <c r="Q136" s="68">
        <f>assumptions!O140</f>
        <v>22</v>
      </c>
      <c r="R136" s="67">
        <f t="shared" si="56"/>
        <v>52.5</v>
      </c>
      <c r="S136" s="68">
        <f t="shared" si="57"/>
        <v>2.3275000000000001</v>
      </c>
      <c r="T136" s="68">
        <f t="shared" si="58"/>
        <v>22</v>
      </c>
      <c r="U136" s="73">
        <f t="shared" ca="1" si="59"/>
        <v>8079.1762266998194</v>
      </c>
      <c r="V136" s="72">
        <f t="shared" ca="1" si="60"/>
        <v>1503.2998213547462</v>
      </c>
      <c r="W136" s="72">
        <f t="shared" ca="1" si="61"/>
        <v>2841.8986955793262</v>
      </c>
      <c r="X136" s="72">
        <f t="shared" ca="1" si="68"/>
        <v>12424.374743633893</v>
      </c>
      <c r="Y136" s="73">
        <f>mult_opex * fixed_month</f>
        <v>1000</v>
      </c>
      <c r="Z136" s="72">
        <f ca="1">mult_opex * fixed_well *D136</f>
        <v>5000</v>
      </c>
      <c r="AA136" s="72">
        <f ca="1">(Z136+Y136)*WI_current_1</f>
        <v>6000</v>
      </c>
      <c r="AB136" s="72">
        <f ca="1">mult_opex * var_bo*E136</f>
        <v>0</v>
      </c>
      <c r="AC136" s="72">
        <f ca="1">mult_opex * var_mcf*F136</f>
        <v>0</v>
      </c>
      <c r="AD136" s="72">
        <f ca="1">mult_opex * var_bw * G136</f>
        <v>12.804040945671838</v>
      </c>
      <c r="AE136" s="72">
        <f ca="1">SUM(AB136:AD136)*WI_current_1</f>
        <v>12.804040945671838</v>
      </c>
      <c r="AF136" s="73">
        <f ca="1">mult_capex * IFERROR(OFFSET(assumptions!$F$39,MATCH(B136,assumptions!$E$39:$E$45,0)-1,0),0)</f>
        <v>0</v>
      </c>
      <c r="AG136" s="75">
        <f ca="1">mult_capex * capex_new*WI_current_1 *'forecast production'!I137</f>
        <v>0</v>
      </c>
      <c r="AH136" s="146">
        <f t="shared" ca="1" si="69"/>
        <v>0</v>
      </c>
      <c r="AI136" s="73">
        <f t="shared" ca="1" si="62"/>
        <v>697.53199519824716</v>
      </c>
      <c r="AJ136" s="72">
        <f t="shared" ca="1" si="63"/>
        <v>310.60936859084734</v>
      </c>
      <c r="AK136" s="72">
        <f t="shared" ca="1" si="70"/>
        <v>1008.1413637890945</v>
      </c>
      <c r="AL136" s="73">
        <f t="shared" ca="1" si="64"/>
        <v>5403.4293388991264</v>
      </c>
      <c r="AM136" s="132">
        <f ca="1">IF(X136*(lease_NRI/J136)  - (Z136+Y136+AB136+AC136+AD136)  - (AK136)*(lease_NRI/J136)&gt;0,1,0)</f>
        <v>1</v>
      </c>
      <c r="AN136" s="73">
        <f t="shared" ca="1" si="71"/>
        <v>5403.4293388991264</v>
      </c>
      <c r="AO136" s="75">
        <f t="shared" ref="AO136:AO199" ca="1" si="76">AO135+AN136</f>
        <v>2073156.546894636</v>
      </c>
      <c r="AP136" s="72">
        <f ca="1">AL136  /  ( 1 + disc_1/12)^(COUNT($AL$6:AL136)-1)</f>
        <v>1837.1022183348516</v>
      </c>
      <c r="AQ136" s="72">
        <f t="shared" ref="AQ136:AQ199" ca="1" si="77">AQ135+AP136*AM136</f>
        <v>1496129.6982095323</v>
      </c>
      <c r="AS136" s="303">
        <f t="shared" ca="1" si="72"/>
        <v>1</v>
      </c>
      <c r="AT136" s="300">
        <f ca="1">IFERROR(IRR($AN$6:AN136)*12,0)</f>
        <v>0</v>
      </c>
      <c r="AU136" s="297">
        <f t="shared" ca="1" si="73"/>
        <v>0</v>
      </c>
      <c r="AV136" s="303">
        <f t="shared" ca="1" si="74"/>
        <v>0</v>
      </c>
    </row>
    <row r="137" spans="2:48" x14ac:dyDescent="0.25">
      <c r="B137" s="44">
        <f t="shared" si="75"/>
        <v>48183</v>
      </c>
      <c r="C137" s="100">
        <f t="shared" si="65"/>
        <v>2031</v>
      </c>
      <c r="D137" s="65">
        <f ca="1">wellcount_base  +  SUM('forecast production'!I$7:I138)</f>
        <v>1</v>
      </c>
      <c r="E137" s="109">
        <f ca="1">'forecast production'!AE138</f>
        <v>210.57684311330689</v>
      </c>
      <c r="F137" s="101">
        <f ca="1">'forecast production'!AF138</f>
        <v>1180.119500080983</v>
      </c>
      <c r="G137" s="101">
        <f ca="1">'forecast production'!AG138</f>
        <v>6.3913950429242492</v>
      </c>
      <c r="H137" s="102">
        <f ca="1">'forecast production'!AH138</f>
        <v>177.01792501214749</v>
      </c>
      <c r="I137" s="308">
        <f t="shared" ca="1" si="66"/>
        <v>1</v>
      </c>
      <c r="J137" s="309">
        <f t="shared" ca="1" si="67"/>
        <v>0.75</v>
      </c>
      <c r="K137" s="113">
        <f t="shared" ca="1" si="52"/>
        <v>157.93263233498016</v>
      </c>
      <c r="L137" s="102">
        <f t="shared" ca="1" si="53"/>
        <v>663.81721879555289</v>
      </c>
      <c r="M137" s="102">
        <f t="shared" ca="1" si="54"/>
        <v>4.7935462821931871</v>
      </c>
      <c r="N137" s="102">
        <f t="shared" ca="1" si="55"/>
        <v>132.7634437591106</v>
      </c>
      <c r="O137" s="103">
        <f>assumptions!M141</f>
        <v>55</v>
      </c>
      <c r="P137" s="104">
        <f>assumptions!N141</f>
        <v>3</v>
      </c>
      <c r="Q137" s="104">
        <f>assumptions!O141</f>
        <v>22</v>
      </c>
      <c r="R137" s="103">
        <f t="shared" si="56"/>
        <v>52.5</v>
      </c>
      <c r="S137" s="104">
        <f t="shared" si="57"/>
        <v>2.3275000000000001</v>
      </c>
      <c r="T137" s="104">
        <f t="shared" si="58"/>
        <v>22</v>
      </c>
      <c r="U137" s="105">
        <f t="shared" ca="1" si="59"/>
        <v>8291.4631975864577</v>
      </c>
      <c r="V137" s="106">
        <f t="shared" ca="1" si="60"/>
        <v>1545.0345767466495</v>
      </c>
      <c r="W137" s="106">
        <f t="shared" ca="1" si="61"/>
        <v>2920.7957627004334</v>
      </c>
      <c r="X137" s="106">
        <f t="shared" ca="1" si="68"/>
        <v>12757.29353703354</v>
      </c>
      <c r="Y137" s="105">
        <f>mult_opex * fixed_month</f>
        <v>1000</v>
      </c>
      <c r="Z137" s="106">
        <f ca="1">mult_opex * fixed_well *D137</f>
        <v>5000</v>
      </c>
      <c r="AA137" s="106">
        <f ca="1">(Z137+Y137)*WI_current_1</f>
        <v>6000</v>
      </c>
      <c r="AB137" s="106">
        <f ca="1">mult_opex * var_bo*E137</f>
        <v>0</v>
      </c>
      <c r="AC137" s="106">
        <f ca="1">mult_opex * var_mcf*F137</f>
        <v>0</v>
      </c>
      <c r="AD137" s="106">
        <f ca="1">mult_opex * var_bw * G137</f>
        <v>12.782790085848498</v>
      </c>
      <c r="AE137" s="106">
        <f ca="1">SUM(AB137:AD137)*WI_current_1</f>
        <v>12.782790085848498</v>
      </c>
      <c r="AF137" s="105">
        <f ca="1">mult_capex * IFERROR(OFFSET(assumptions!$F$39,MATCH(B137,assumptions!$E$39:$E$45,0)-1,0),0)</f>
        <v>0</v>
      </c>
      <c r="AG137" s="106">
        <f ca="1">mult_capex * capex_new*WI_current_1 *'forecast production'!I138</f>
        <v>0</v>
      </c>
      <c r="AH137" s="147">
        <f t="shared" ca="1" si="69"/>
        <v>0</v>
      </c>
      <c r="AI137" s="105">
        <f t="shared" ca="1" si="62"/>
        <v>716.34458254750825</v>
      </c>
      <c r="AJ137" s="106">
        <f t="shared" ca="1" si="63"/>
        <v>318.93233842583851</v>
      </c>
      <c r="AK137" s="106">
        <f t="shared" ca="1" si="70"/>
        <v>1035.2769209733467</v>
      </c>
      <c r="AL137" s="105">
        <f t="shared" ca="1" si="64"/>
        <v>5709.2338259743447</v>
      </c>
      <c r="AM137" s="133">
        <f ca="1">IF(X137*(lease_NRI/J137)  - (Z137+Y137+AB137+AC137+AD137)  - (AK137)*(lease_NRI/J137)&gt;0,1,0)</f>
        <v>1</v>
      </c>
      <c r="AN137" s="105">
        <f t="shared" ca="1" si="71"/>
        <v>5709.2338259743447</v>
      </c>
      <c r="AO137" s="106">
        <f t="shared" ca="1" si="76"/>
        <v>2078865.7807206104</v>
      </c>
      <c r="AP137" s="106">
        <f ca="1">AL137  /  ( 1 + disc_1/12)^(COUNT($AL$6:AL137)-1)</f>
        <v>1925.0302171733788</v>
      </c>
      <c r="AQ137" s="106">
        <f t="shared" ca="1" si="77"/>
        <v>1498054.7284267056</v>
      </c>
      <c r="AS137" s="304">
        <f t="shared" ca="1" si="72"/>
        <v>1</v>
      </c>
      <c r="AT137" s="301">
        <f ca="1">IFERROR(IRR($AN$6:AN137)*12,0)</f>
        <v>0</v>
      </c>
      <c r="AU137" s="298">
        <f t="shared" ca="1" si="73"/>
        <v>0</v>
      </c>
      <c r="AV137" s="304">
        <f t="shared" ca="1" si="74"/>
        <v>0</v>
      </c>
    </row>
    <row r="138" spans="2:48" x14ac:dyDescent="0.25">
      <c r="B138" s="43">
        <f t="shared" si="75"/>
        <v>48214</v>
      </c>
      <c r="C138" s="79">
        <f t="shared" si="65"/>
        <v>2032</v>
      </c>
      <c r="D138" s="64">
        <f ca="1">wellcount_base  +  SUM('forecast production'!I$7:I139)</f>
        <v>1</v>
      </c>
      <c r="E138" s="110">
        <f ca="1">'forecast production'!AE139</f>
        <v>209.09086353369935</v>
      </c>
      <c r="F138" s="98">
        <f ca="1">'forecast production'!AF139</f>
        <v>1173.5812017958444</v>
      </c>
      <c r="G138" s="98">
        <f ca="1">'forecast production'!AG139</f>
        <v>6.1679068246575852</v>
      </c>
      <c r="H138" s="98">
        <f ca="1">'forecast production'!AH139</f>
        <v>176.03718026937665</v>
      </c>
      <c r="I138" s="307">
        <f t="shared" ca="1" si="66"/>
        <v>1</v>
      </c>
      <c r="J138" s="306">
        <f t="shared" ca="1" si="67"/>
        <v>0.75</v>
      </c>
      <c r="K138" s="112">
        <f t="shared" ca="1" si="52"/>
        <v>156.81814765027451</v>
      </c>
      <c r="L138" s="98">
        <f t="shared" ca="1" si="53"/>
        <v>660.13942601016254</v>
      </c>
      <c r="M138" s="98">
        <f t="shared" ca="1" si="54"/>
        <v>4.6259301184931889</v>
      </c>
      <c r="N138" s="98">
        <f t="shared" ca="1" si="55"/>
        <v>132.02788520203248</v>
      </c>
      <c r="O138" s="67">
        <f>assumptions!M142</f>
        <v>55</v>
      </c>
      <c r="P138" s="68">
        <f>assumptions!N142</f>
        <v>3</v>
      </c>
      <c r="Q138" s="68">
        <f>assumptions!O142</f>
        <v>22</v>
      </c>
      <c r="R138" s="67">
        <f t="shared" si="56"/>
        <v>52.5</v>
      </c>
      <c r="S138" s="68">
        <f t="shared" si="57"/>
        <v>2.3275000000000001</v>
      </c>
      <c r="T138" s="68">
        <f t="shared" si="58"/>
        <v>22</v>
      </c>
      <c r="U138" s="73">
        <f t="shared" ca="1" si="59"/>
        <v>8232.9527516394119</v>
      </c>
      <c r="V138" s="72">
        <f t="shared" ca="1" si="60"/>
        <v>1536.4745140386533</v>
      </c>
      <c r="W138" s="72">
        <f t="shared" ca="1" si="61"/>
        <v>2904.6134744447145</v>
      </c>
      <c r="X138" s="72">
        <f t="shared" ca="1" si="68"/>
        <v>12674.040740122779</v>
      </c>
      <c r="Y138" s="73">
        <f>mult_opex * fixed_month</f>
        <v>1000</v>
      </c>
      <c r="Z138" s="72">
        <f ca="1">mult_opex * fixed_well *D138</f>
        <v>5000</v>
      </c>
      <c r="AA138" s="72">
        <f ca="1">(Z138+Y138)*WI_current_1</f>
        <v>6000</v>
      </c>
      <c r="AB138" s="72">
        <f ca="1">mult_opex * var_bo*E138</f>
        <v>0</v>
      </c>
      <c r="AC138" s="72">
        <f ca="1">mult_opex * var_mcf*F138</f>
        <v>0</v>
      </c>
      <c r="AD138" s="72">
        <f ca="1">mult_opex * var_bw * G138</f>
        <v>12.33581364931517</v>
      </c>
      <c r="AE138" s="72">
        <f ca="1">SUM(AB138:AD138)*WI_current_1</f>
        <v>12.33581364931517</v>
      </c>
      <c r="AF138" s="73">
        <f ca="1">mult_capex * IFERROR(OFFSET(assumptions!$F$39,MATCH(B138,assumptions!$E$39:$E$45,0)-1,0),0)</f>
        <v>0</v>
      </c>
      <c r="AG138" s="75">
        <f ca="1">mult_capex * capex_new*WI_current_1 *'forecast production'!I139</f>
        <v>0</v>
      </c>
      <c r="AH138" s="146">
        <f t="shared" ca="1" si="69"/>
        <v>0</v>
      </c>
      <c r="AI138" s="73">
        <f t="shared" ca="1" si="62"/>
        <v>711.79742571166548</v>
      </c>
      <c r="AJ138" s="72">
        <f t="shared" ca="1" si="63"/>
        <v>316.8510185030695</v>
      </c>
      <c r="AK138" s="72">
        <f t="shared" ca="1" si="70"/>
        <v>1028.648444214735</v>
      </c>
      <c r="AL138" s="73">
        <f t="shared" ca="1" si="64"/>
        <v>5633.0564822587276</v>
      </c>
      <c r="AM138" s="132">
        <f ca="1">IF(X138*(lease_NRI/J138)  - (Z138+Y138+AB138+AC138+AD138)  - (AK138)*(lease_NRI/J138)&gt;0,1,0)</f>
        <v>1</v>
      </c>
      <c r="AN138" s="73">
        <f t="shared" ca="1" si="71"/>
        <v>5633.0564822587276</v>
      </c>
      <c r="AO138" s="75">
        <f t="shared" ca="1" si="76"/>
        <v>2084498.8372028691</v>
      </c>
      <c r="AP138" s="72">
        <f ca="1">AL138  /  ( 1 + disc_1/12)^(COUNT($AL$6:AL138)-1)</f>
        <v>1883.6477987742785</v>
      </c>
      <c r="AQ138" s="72">
        <f t="shared" ca="1" si="77"/>
        <v>1499938.3762254799</v>
      </c>
      <c r="AS138" s="303">
        <f t="shared" ca="1" si="72"/>
        <v>1</v>
      </c>
      <c r="AT138" s="300">
        <f ca="1">IFERROR(IRR($AN$6:AN138)*12,0)</f>
        <v>0</v>
      </c>
      <c r="AU138" s="297">
        <f t="shared" ca="1" si="73"/>
        <v>0</v>
      </c>
      <c r="AV138" s="303">
        <f t="shared" ca="1" si="74"/>
        <v>0</v>
      </c>
    </row>
    <row r="139" spans="2:48" x14ac:dyDescent="0.25">
      <c r="B139" s="43">
        <f t="shared" si="75"/>
        <v>48245</v>
      </c>
      <c r="C139" s="79">
        <f t="shared" si="65"/>
        <v>2032</v>
      </c>
      <c r="D139" s="64">
        <f ca="1">wellcount_base  +  SUM('forecast production'!I$7:I140)</f>
        <v>1</v>
      </c>
      <c r="E139" s="110">
        <f ca="1">'forecast production'!AE140</f>
        <v>194.22083007493097</v>
      </c>
      <c r="F139" s="98">
        <f ca="1">'forecast production'!AF140</f>
        <v>1091.8172145702413</v>
      </c>
      <c r="G139" s="98">
        <f ca="1">'forecast production'!AG140</f>
        <v>5.568253540862508</v>
      </c>
      <c r="H139" s="98">
        <f ca="1">'forecast production'!AH140</f>
        <v>163.77258218553621</v>
      </c>
      <c r="I139" s="307">
        <f t="shared" ca="1" si="66"/>
        <v>1</v>
      </c>
      <c r="J139" s="306">
        <f t="shared" ca="1" si="67"/>
        <v>0.75</v>
      </c>
      <c r="K139" s="112">
        <f t="shared" ca="1" si="52"/>
        <v>145.66562255619823</v>
      </c>
      <c r="L139" s="98">
        <f t="shared" ca="1" si="53"/>
        <v>614.14718319576082</v>
      </c>
      <c r="M139" s="98">
        <f t="shared" ca="1" si="54"/>
        <v>4.1761901556468812</v>
      </c>
      <c r="N139" s="98">
        <f t="shared" ca="1" si="55"/>
        <v>122.82943663915216</v>
      </c>
      <c r="O139" s="67">
        <f>assumptions!M143</f>
        <v>55</v>
      </c>
      <c r="P139" s="68">
        <f>assumptions!N143</f>
        <v>3</v>
      </c>
      <c r="Q139" s="68">
        <f>assumptions!O143</f>
        <v>22</v>
      </c>
      <c r="R139" s="67">
        <f t="shared" si="56"/>
        <v>52.5</v>
      </c>
      <c r="S139" s="68">
        <f t="shared" si="57"/>
        <v>2.3275000000000001</v>
      </c>
      <c r="T139" s="68">
        <f t="shared" si="58"/>
        <v>22</v>
      </c>
      <c r="U139" s="73">
        <f t="shared" ca="1" si="59"/>
        <v>7647.4451842004073</v>
      </c>
      <c r="V139" s="72">
        <f t="shared" ca="1" si="60"/>
        <v>1429.4275688881335</v>
      </c>
      <c r="W139" s="72">
        <f t="shared" ca="1" si="61"/>
        <v>2702.2476060613476</v>
      </c>
      <c r="X139" s="72">
        <f t="shared" ca="1" si="68"/>
        <v>11779.120359149889</v>
      </c>
      <c r="Y139" s="73">
        <f>mult_opex * fixed_month</f>
        <v>1000</v>
      </c>
      <c r="Z139" s="72">
        <f ca="1">mult_opex * fixed_well *D139</f>
        <v>5000</v>
      </c>
      <c r="AA139" s="72">
        <f ca="1">(Z139+Y139)*WI_current_1</f>
        <v>6000</v>
      </c>
      <c r="AB139" s="72">
        <f ca="1">mult_opex * var_bo*E139</f>
        <v>0</v>
      </c>
      <c r="AC139" s="72">
        <f ca="1">mult_opex * var_mcf*F139</f>
        <v>0</v>
      </c>
      <c r="AD139" s="72">
        <f ca="1">mult_opex * var_bw * G139</f>
        <v>11.136507081725016</v>
      </c>
      <c r="AE139" s="72">
        <f ca="1">SUM(AB139:AD139)*WI_current_1</f>
        <v>11.136507081725016</v>
      </c>
      <c r="AF139" s="73">
        <f ca="1">mult_capex * IFERROR(OFFSET(assumptions!$F$39,MATCH(B139,assumptions!$E$39:$E$45,0)-1,0),0)</f>
        <v>0</v>
      </c>
      <c r="AG139" s="75">
        <f ca="1">mult_capex * capex_new*WI_current_1 *'forecast production'!I140</f>
        <v>0</v>
      </c>
      <c r="AH139" s="146">
        <f t="shared" ca="1" si="69"/>
        <v>0</v>
      </c>
      <c r="AI139" s="73">
        <f t="shared" ca="1" si="62"/>
        <v>661.65811659442977</v>
      </c>
      <c r="AJ139" s="72">
        <f t="shared" ca="1" si="63"/>
        <v>294.47800897874725</v>
      </c>
      <c r="AK139" s="72">
        <f t="shared" ca="1" si="70"/>
        <v>956.13612557317697</v>
      </c>
      <c r="AL139" s="73">
        <f t="shared" ca="1" si="64"/>
        <v>4811.847726494987</v>
      </c>
      <c r="AM139" s="132">
        <f ca="1">IF(X139*(lease_NRI/J139)  - (Z139+Y139+AB139+AC139+AD139)  - (AK139)*(lease_NRI/J139)&gt;0,1,0)</f>
        <v>1</v>
      </c>
      <c r="AN139" s="73">
        <f t="shared" ca="1" si="71"/>
        <v>4811.847726494987</v>
      </c>
      <c r="AO139" s="75">
        <f t="shared" ca="1" si="76"/>
        <v>2089310.6849293641</v>
      </c>
      <c r="AP139" s="72">
        <f ca="1">AL139  /  ( 1 + disc_1/12)^(COUNT($AL$6:AL139)-1)</f>
        <v>1595.7444684502811</v>
      </c>
      <c r="AQ139" s="72">
        <f t="shared" ca="1" si="77"/>
        <v>1501534.1206939302</v>
      </c>
      <c r="AS139" s="303">
        <f t="shared" ca="1" si="72"/>
        <v>1</v>
      </c>
      <c r="AT139" s="300">
        <f ca="1">IFERROR(IRR($AN$6:AN139)*12,0)</f>
        <v>0</v>
      </c>
      <c r="AU139" s="297">
        <f t="shared" ca="1" si="73"/>
        <v>0</v>
      </c>
      <c r="AV139" s="303">
        <f t="shared" ca="1" si="74"/>
        <v>0</v>
      </c>
    </row>
    <row r="140" spans="2:48" x14ac:dyDescent="0.25">
      <c r="B140" s="43">
        <f t="shared" si="75"/>
        <v>48274</v>
      </c>
      <c r="C140" s="79">
        <f t="shared" si="65"/>
        <v>2032</v>
      </c>
      <c r="D140" s="64">
        <f ca="1">wellcount_base  +  SUM('forecast production'!I$7:I141)</f>
        <v>1</v>
      </c>
      <c r="E140" s="110">
        <f ca="1">'forecast production'!AE141</f>
        <v>206.24449735821068</v>
      </c>
      <c r="F140" s="98">
        <f ca="1">'forecast production'!AF141</f>
        <v>1161.1300603075172</v>
      </c>
      <c r="G140" s="98">
        <f ca="1">'forecast production'!AG141</f>
        <v>5.7574103482449859</v>
      </c>
      <c r="H140" s="98">
        <f ca="1">'forecast production'!AH141</f>
        <v>174.16950904612759</v>
      </c>
      <c r="I140" s="307">
        <f t="shared" ca="1" si="66"/>
        <v>1</v>
      </c>
      <c r="J140" s="306">
        <f t="shared" ca="1" si="67"/>
        <v>0.75</v>
      </c>
      <c r="K140" s="112">
        <f t="shared" ca="1" si="52"/>
        <v>154.68337301865802</v>
      </c>
      <c r="L140" s="98">
        <f t="shared" ca="1" si="53"/>
        <v>653.13565892297845</v>
      </c>
      <c r="M140" s="98">
        <f t="shared" ca="1" si="54"/>
        <v>4.3180577611837396</v>
      </c>
      <c r="N140" s="98">
        <f t="shared" ca="1" si="55"/>
        <v>130.62713178459569</v>
      </c>
      <c r="O140" s="67">
        <f>assumptions!M144</f>
        <v>55</v>
      </c>
      <c r="P140" s="68">
        <f>assumptions!N144</f>
        <v>3</v>
      </c>
      <c r="Q140" s="68">
        <f>assumptions!O144</f>
        <v>22</v>
      </c>
      <c r="R140" s="67">
        <f t="shared" si="56"/>
        <v>52.5</v>
      </c>
      <c r="S140" s="68">
        <f t="shared" si="57"/>
        <v>2.3275000000000001</v>
      </c>
      <c r="T140" s="68">
        <f t="shared" si="58"/>
        <v>22</v>
      </c>
      <c r="U140" s="73">
        <f t="shared" ca="1" si="59"/>
        <v>8120.8770834795459</v>
      </c>
      <c r="V140" s="72">
        <f t="shared" ca="1" si="60"/>
        <v>1520.1732461432325</v>
      </c>
      <c r="W140" s="72">
        <f t="shared" ca="1" si="61"/>
        <v>2873.796899261105</v>
      </c>
      <c r="X140" s="72">
        <f t="shared" ca="1" si="68"/>
        <v>12514.847228883882</v>
      </c>
      <c r="Y140" s="73">
        <f>mult_opex * fixed_month</f>
        <v>1000</v>
      </c>
      <c r="Z140" s="72">
        <f ca="1">mult_opex * fixed_well *D140</f>
        <v>5000</v>
      </c>
      <c r="AA140" s="72">
        <f ca="1">(Z140+Y140)*WI_current_1</f>
        <v>6000</v>
      </c>
      <c r="AB140" s="72">
        <f ca="1">mult_opex * var_bo*E140</f>
        <v>0</v>
      </c>
      <c r="AC140" s="72">
        <f ca="1">mult_opex * var_mcf*F140</f>
        <v>0</v>
      </c>
      <c r="AD140" s="72">
        <f ca="1">mult_opex * var_bw * G140</f>
        <v>11.514820696489972</v>
      </c>
      <c r="AE140" s="72">
        <f ca="1">SUM(AB140:AD140)*WI_current_1</f>
        <v>11.514820696489972</v>
      </c>
      <c r="AF140" s="73">
        <f ca="1">mult_capex * IFERROR(OFFSET(assumptions!$F$39,MATCH(B140,assumptions!$E$39:$E$45,0)-1,0),0)</f>
        <v>0</v>
      </c>
      <c r="AG140" s="75">
        <f ca="1">mult_capex * capex_new*WI_current_1 *'forecast production'!I141</f>
        <v>0</v>
      </c>
      <c r="AH140" s="146">
        <f t="shared" ca="1" si="69"/>
        <v>0</v>
      </c>
      <c r="AI140" s="73">
        <f t="shared" ca="1" si="62"/>
        <v>703.10810674538436</v>
      </c>
      <c r="AJ140" s="72">
        <f t="shared" ca="1" si="63"/>
        <v>312.87118072209705</v>
      </c>
      <c r="AK140" s="72">
        <f t="shared" ca="1" si="70"/>
        <v>1015.9792874674814</v>
      </c>
      <c r="AL140" s="73">
        <f t="shared" ca="1" si="64"/>
        <v>5487.3531207199103</v>
      </c>
      <c r="AM140" s="132">
        <f ca="1">IF(X140*(lease_NRI/J140)  - (Z140+Y140+AB140+AC140+AD140)  - (AK140)*(lease_NRI/J140)&gt;0,1,0)</f>
        <v>1</v>
      </c>
      <c r="AN140" s="73">
        <f t="shared" ca="1" si="71"/>
        <v>5487.3531207199103</v>
      </c>
      <c r="AO140" s="75">
        <f t="shared" ca="1" si="76"/>
        <v>2094798.0380500841</v>
      </c>
      <c r="AP140" s="72">
        <f ca="1">AL140  /  ( 1 + disc_1/12)^(COUNT($AL$6:AL140)-1)</f>
        <v>1804.72176794081</v>
      </c>
      <c r="AQ140" s="72">
        <f t="shared" ca="1" si="77"/>
        <v>1503338.842461871</v>
      </c>
      <c r="AS140" s="303">
        <f t="shared" ca="1" si="72"/>
        <v>1</v>
      </c>
      <c r="AT140" s="300">
        <f ca="1">IFERROR(IRR($AN$6:AN140)*12,0)</f>
        <v>0</v>
      </c>
      <c r="AU140" s="297">
        <f t="shared" ca="1" si="73"/>
        <v>0</v>
      </c>
      <c r="AV140" s="303">
        <f t="shared" ca="1" si="74"/>
        <v>0</v>
      </c>
    </row>
    <row r="141" spans="2:48" x14ac:dyDescent="0.25">
      <c r="B141" s="43">
        <f t="shared" si="75"/>
        <v>48305</v>
      </c>
      <c r="C141" s="79">
        <f t="shared" si="65"/>
        <v>2032</v>
      </c>
      <c r="D141" s="64">
        <f ca="1">wellcount_base  +  SUM('forecast production'!I$7:I142)</f>
        <v>1</v>
      </c>
      <c r="E141" s="110">
        <f ca="1">'forecast production'!AE142</f>
        <v>198.1829902097806</v>
      </c>
      <c r="F141" s="98">
        <f ca="1">'forecast production'!AF142</f>
        <v>1117.5483114152939</v>
      </c>
      <c r="G141" s="98">
        <f ca="1">'forecast production'!AG142</f>
        <v>5.3769618986325804</v>
      </c>
      <c r="H141" s="98">
        <f ca="1">'forecast production'!AH142</f>
        <v>167.63224671229406</v>
      </c>
      <c r="I141" s="307">
        <f t="shared" ca="1" si="66"/>
        <v>1</v>
      </c>
      <c r="J141" s="306">
        <f t="shared" ca="1" si="67"/>
        <v>0.75</v>
      </c>
      <c r="K141" s="112">
        <f t="shared" ca="1" si="52"/>
        <v>148.63724265733543</v>
      </c>
      <c r="L141" s="98">
        <f t="shared" ca="1" si="53"/>
        <v>628.62092517110284</v>
      </c>
      <c r="M141" s="98">
        <f t="shared" ca="1" si="54"/>
        <v>4.0327214239744356</v>
      </c>
      <c r="N141" s="98">
        <f t="shared" ca="1" si="55"/>
        <v>125.72418503422054</v>
      </c>
      <c r="O141" s="67">
        <f>assumptions!M145</f>
        <v>55</v>
      </c>
      <c r="P141" s="68">
        <f>assumptions!N145</f>
        <v>3</v>
      </c>
      <c r="Q141" s="68">
        <f>assumptions!O145</f>
        <v>22</v>
      </c>
      <c r="R141" s="67">
        <f t="shared" si="56"/>
        <v>52.5</v>
      </c>
      <c r="S141" s="68">
        <f t="shared" si="57"/>
        <v>2.3275000000000001</v>
      </c>
      <c r="T141" s="68">
        <f t="shared" si="58"/>
        <v>22</v>
      </c>
      <c r="U141" s="73">
        <f t="shared" ca="1" si="59"/>
        <v>7803.45523951011</v>
      </c>
      <c r="V141" s="72">
        <f t="shared" ca="1" si="60"/>
        <v>1463.1152033357419</v>
      </c>
      <c r="W141" s="72">
        <f t="shared" ca="1" si="61"/>
        <v>2765.9320707528518</v>
      </c>
      <c r="X141" s="72">
        <f t="shared" ca="1" si="68"/>
        <v>12032.502513598703</v>
      </c>
      <c r="Y141" s="73">
        <f>mult_opex * fixed_month</f>
        <v>1000</v>
      </c>
      <c r="Z141" s="72">
        <f ca="1">mult_opex * fixed_well *D141</f>
        <v>5000</v>
      </c>
      <c r="AA141" s="72">
        <f ca="1">(Z141+Y141)*WI_current_1</f>
        <v>6000</v>
      </c>
      <c r="AB141" s="72">
        <f ca="1">mult_opex * var_bo*E141</f>
        <v>0</v>
      </c>
      <c r="AC141" s="72">
        <f ca="1">mult_opex * var_mcf*F141</f>
        <v>0</v>
      </c>
      <c r="AD141" s="72">
        <f ca="1">mult_opex * var_bw * G141</f>
        <v>10.753923797265161</v>
      </c>
      <c r="AE141" s="72">
        <f ca="1">SUM(AB141:AD141)*WI_current_1</f>
        <v>10.753923797265161</v>
      </c>
      <c r="AF141" s="73">
        <f ca="1">mult_capex * IFERROR(OFFSET(assumptions!$F$39,MATCH(B141,assumptions!$E$39:$E$45,0)-1,0),0)</f>
        <v>0</v>
      </c>
      <c r="AG141" s="75">
        <f ca="1">mult_capex * capex_new*WI_current_1 *'forecast production'!I142</f>
        <v>0</v>
      </c>
      <c r="AH141" s="146">
        <f t="shared" ca="1" si="69"/>
        <v>0</v>
      </c>
      <c r="AI141" s="73">
        <f t="shared" ca="1" si="62"/>
        <v>676.13748657410963</v>
      </c>
      <c r="AJ141" s="72">
        <f t="shared" ca="1" si="63"/>
        <v>300.8125628399676</v>
      </c>
      <c r="AK141" s="72">
        <f t="shared" ca="1" si="70"/>
        <v>976.95004941407728</v>
      </c>
      <c r="AL141" s="73">
        <f t="shared" ca="1" si="64"/>
        <v>5044.7985403873608</v>
      </c>
      <c r="AM141" s="132">
        <f ca="1">IF(X141*(lease_NRI/J141)  - (Z141+Y141+AB141+AC141+AD141)  - (AK141)*(lease_NRI/J141)&gt;0,1,0)</f>
        <v>1</v>
      </c>
      <c r="AN141" s="73">
        <f t="shared" ca="1" si="71"/>
        <v>5044.7985403873608</v>
      </c>
      <c r="AO141" s="75">
        <f t="shared" ca="1" si="76"/>
        <v>2099842.8365904717</v>
      </c>
      <c r="AP141" s="72">
        <f ca="1">AL141  /  ( 1 + disc_1/12)^(COUNT($AL$6:AL141)-1)</f>
        <v>1645.4589470863007</v>
      </c>
      <c r="AQ141" s="72">
        <f t="shared" ca="1" si="77"/>
        <v>1504984.3014089572</v>
      </c>
      <c r="AS141" s="303">
        <f t="shared" ca="1" si="72"/>
        <v>1</v>
      </c>
      <c r="AT141" s="300">
        <f ca="1">IFERROR(IRR($AN$6:AN141)*12,0)</f>
        <v>0</v>
      </c>
      <c r="AU141" s="297">
        <f t="shared" ca="1" si="73"/>
        <v>0</v>
      </c>
      <c r="AV141" s="303">
        <f t="shared" ca="1" si="74"/>
        <v>0</v>
      </c>
    </row>
    <row r="142" spans="2:48" x14ac:dyDescent="0.25">
      <c r="B142" s="43">
        <f t="shared" si="75"/>
        <v>48335</v>
      </c>
      <c r="C142" s="79">
        <f t="shared" si="65"/>
        <v>2032</v>
      </c>
      <c r="D142" s="64">
        <f ca="1">wellcount_base  +  SUM('forecast production'!I$7:I143)</f>
        <v>1</v>
      </c>
      <c r="E142" s="110">
        <f ca="1">'forecast production'!AE143</f>
        <v>203.3904105571489</v>
      </c>
      <c r="F142" s="98">
        <f ca="1">'forecast production'!AF143</f>
        <v>1148.7393527347533</v>
      </c>
      <c r="G142" s="98">
        <f ca="1">'forecast production'!AG143</f>
        <v>5.3681990216214768</v>
      </c>
      <c r="H142" s="98">
        <f ca="1">'forecast production'!AH143</f>
        <v>172.31090291021297</v>
      </c>
      <c r="I142" s="307">
        <f t="shared" ca="1" si="66"/>
        <v>1</v>
      </c>
      <c r="J142" s="306">
        <f t="shared" ca="1" si="67"/>
        <v>0.75</v>
      </c>
      <c r="K142" s="112">
        <f t="shared" ca="1" si="52"/>
        <v>152.54280791786167</v>
      </c>
      <c r="L142" s="98">
        <f t="shared" ca="1" si="53"/>
        <v>646.16588591329878</v>
      </c>
      <c r="M142" s="98">
        <f t="shared" ca="1" si="54"/>
        <v>4.0261492662161071</v>
      </c>
      <c r="N142" s="98">
        <f t="shared" ca="1" si="55"/>
        <v>129.23317718265974</v>
      </c>
      <c r="O142" s="67">
        <f>assumptions!M146</f>
        <v>55</v>
      </c>
      <c r="P142" s="68">
        <f>assumptions!N146</f>
        <v>3</v>
      </c>
      <c r="Q142" s="68">
        <f>assumptions!O146</f>
        <v>22</v>
      </c>
      <c r="R142" s="67">
        <f t="shared" si="56"/>
        <v>52.5</v>
      </c>
      <c r="S142" s="68">
        <f t="shared" si="57"/>
        <v>2.3275000000000001</v>
      </c>
      <c r="T142" s="68">
        <f t="shared" si="58"/>
        <v>22</v>
      </c>
      <c r="U142" s="73">
        <f t="shared" ca="1" si="59"/>
        <v>8008.4974156877379</v>
      </c>
      <c r="V142" s="72">
        <f t="shared" ca="1" si="60"/>
        <v>1503.951099463203</v>
      </c>
      <c r="W142" s="72">
        <f t="shared" ca="1" si="61"/>
        <v>2843.1298980185143</v>
      </c>
      <c r="X142" s="72">
        <f t="shared" ca="1" si="68"/>
        <v>12355.578413169456</v>
      </c>
      <c r="Y142" s="73">
        <f>mult_opex * fixed_month</f>
        <v>1000</v>
      </c>
      <c r="Z142" s="72">
        <f ca="1">mult_opex * fixed_well *D142</f>
        <v>5000</v>
      </c>
      <c r="AA142" s="72">
        <f ca="1">(Z142+Y142)*WI_current_1</f>
        <v>6000</v>
      </c>
      <c r="AB142" s="72">
        <f ca="1">mult_opex * var_bo*E142</f>
        <v>0</v>
      </c>
      <c r="AC142" s="72">
        <f ca="1">mult_opex * var_mcf*F142</f>
        <v>0</v>
      </c>
      <c r="AD142" s="72">
        <f ca="1">mult_opex * var_bw * G142</f>
        <v>10.736398043242954</v>
      </c>
      <c r="AE142" s="72">
        <f ca="1">SUM(AB142:AD142)*WI_current_1</f>
        <v>10.736398043242954</v>
      </c>
      <c r="AF142" s="73">
        <f ca="1">mult_capex * IFERROR(OFFSET(assumptions!$F$39,MATCH(B142,assumptions!$E$39:$E$45,0)-1,0),0)</f>
        <v>0</v>
      </c>
      <c r="AG142" s="75">
        <f ca="1">mult_capex * capex_new*WI_current_1 *'forecast production'!I143</f>
        <v>0</v>
      </c>
      <c r="AH142" s="146">
        <f t="shared" ca="1" si="69"/>
        <v>0</v>
      </c>
      <c r="AI142" s="73">
        <f t="shared" ca="1" si="62"/>
        <v>694.42195593276472</v>
      </c>
      <c r="AJ142" s="72">
        <f t="shared" ca="1" si="63"/>
        <v>308.88946032923644</v>
      </c>
      <c r="AK142" s="72">
        <f t="shared" ca="1" si="70"/>
        <v>1003.3114162620011</v>
      </c>
      <c r="AL142" s="73">
        <f t="shared" ca="1" si="64"/>
        <v>5341.5305988642122</v>
      </c>
      <c r="AM142" s="132">
        <f ca="1">IF(X142*(lease_NRI/J142)  - (Z142+Y142+AB142+AC142+AD142)  - (AK142)*(lease_NRI/J142)&gt;0,1,0)</f>
        <v>1</v>
      </c>
      <c r="AN142" s="73">
        <f t="shared" ca="1" si="71"/>
        <v>5341.5305988642122</v>
      </c>
      <c r="AO142" s="75">
        <f t="shared" ca="1" si="76"/>
        <v>2105184.3671893361</v>
      </c>
      <c r="AP142" s="72">
        <f ca="1">AL142  /  ( 1 + disc_1/12)^(COUNT($AL$6:AL142)-1)</f>
        <v>1727.8451569220833</v>
      </c>
      <c r="AQ142" s="72">
        <f t="shared" ca="1" si="77"/>
        <v>1506712.1465658792</v>
      </c>
      <c r="AS142" s="303">
        <f t="shared" ca="1" si="72"/>
        <v>1</v>
      </c>
      <c r="AT142" s="300">
        <f ca="1">IFERROR(IRR($AN$6:AN142)*12,0)</f>
        <v>0</v>
      </c>
      <c r="AU142" s="297">
        <f t="shared" ca="1" si="73"/>
        <v>0</v>
      </c>
      <c r="AV142" s="303">
        <f t="shared" ca="1" si="74"/>
        <v>0</v>
      </c>
    </row>
    <row r="143" spans="2:48" x14ac:dyDescent="0.25">
      <c r="B143" s="43">
        <f t="shared" si="75"/>
        <v>48366</v>
      </c>
      <c r="C143" s="79">
        <f t="shared" si="65"/>
        <v>2032</v>
      </c>
      <c r="D143" s="64">
        <f ca="1">wellcount_base  +  SUM('forecast production'!I$7:I144)</f>
        <v>1</v>
      </c>
      <c r="E143" s="110">
        <f ca="1">'forecast production'!AE144</f>
        <v>195.44046149363126</v>
      </c>
      <c r="F143" s="98">
        <f ca="1">'forecast production'!AF144</f>
        <v>1105.6870005198102</v>
      </c>
      <c r="G143" s="98">
        <f ca="1">'forecast production'!AG144</f>
        <v>5.0135319763048507</v>
      </c>
      <c r="H143" s="98">
        <f ca="1">'forecast production'!AH144</f>
        <v>165.85305007797152</v>
      </c>
      <c r="I143" s="307">
        <f t="shared" ca="1" si="66"/>
        <v>1</v>
      </c>
      <c r="J143" s="306">
        <f t="shared" ca="1" si="67"/>
        <v>0.75</v>
      </c>
      <c r="K143" s="112">
        <f t="shared" ca="1" si="52"/>
        <v>146.58034612022345</v>
      </c>
      <c r="L143" s="98">
        <f t="shared" ca="1" si="53"/>
        <v>621.94893779239328</v>
      </c>
      <c r="M143" s="98">
        <f t="shared" ca="1" si="54"/>
        <v>3.760148982228638</v>
      </c>
      <c r="N143" s="98">
        <f t="shared" ca="1" si="55"/>
        <v>124.38978755847864</v>
      </c>
      <c r="O143" s="67">
        <f>assumptions!M147</f>
        <v>55</v>
      </c>
      <c r="P143" s="68">
        <f>assumptions!N147</f>
        <v>3</v>
      </c>
      <c r="Q143" s="68">
        <f>assumptions!O147</f>
        <v>22</v>
      </c>
      <c r="R143" s="67">
        <f t="shared" si="56"/>
        <v>52.5</v>
      </c>
      <c r="S143" s="68">
        <f t="shared" si="57"/>
        <v>2.3275000000000001</v>
      </c>
      <c r="T143" s="68">
        <f t="shared" si="58"/>
        <v>22</v>
      </c>
      <c r="U143" s="73">
        <f t="shared" ca="1" si="59"/>
        <v>7695.4681713117316</v>
      </c>
      <c r="V143" s="72">
        <f t="shared" ca="1" si="60"/>
        <v>1447.5861527117954</v>
      </c>
      <c r="W143" s="72">
        <f t="shared" ca="1" si="61"/>
        <v>2736.5753262865301</v>
      </c>
      <c r="X143" s="72">
        <f t="shared" ca="1" si="68"/>
        <v>11879.629650310057</v>
      </c>
      <c r="Y143" s="73">
        <f>mult_opex * fixed_month</f>
        <v>1000</v>
      </c>
      <c r="Z143" s="72">
        <f ca="1">mult_opex * fixed_well *D143</f>
        <v>5000</v>
      </c>
      <c r="AA143" s="72">
        <f ca="1">(Z143+Y143)*WI_current_1</f>
        <v>6000</v>
      </c>
      <c r="AB143" s="72">
        <f ca="1">mult_opex * var_bo*E143</f>
        <v>0</v>
      </c>
      <c r="AC143" s="72">
        <f ca="1">mult_opex * var_mcf*F143</f>
        <v>0</v>
      </c>
      <c r="AD143" s="72">
        <f ca="1">mult_opex * var_bw * G143</f>
        <v>10.027063952609701</v>
      </c>
      <c r="AE143" s="72">
        <f ca="1">SUM(AB143:AD143)*WI_current_1</f>
        <v>10.027063952609701</v>
      </c>
      <c r="AF143" s="73">
        <f ca="1">mult_capex * IFERROR(OFFSET(assumptions!$F$39,MATCH(B143,assumptions!$E$39:$E$45,0)-1,0),0)</f>
        <v>0</v>
      </c>
      <c r="AG143" s="75">
        <f ca="1">mult_capex * capex_new*WI_current_1 *'forecast production'!I144</f>
        <v>0</v>
      </c>
      <c r="AH143" s="146">
        <f t="shared" ca="1" si="69"/>
        <v>0</v>
      </c>
      <c r="AI143" s="73">
        <f t="shared" ca="1" si="62"/>
        <v>667.80364680521404</v>
      </c>
      <c r="AJ143" s="72">
        <f t="shared" ca="1" si="63"/>
        <v>296.99074125775144</v>
      </c>
      <c r="AK143" s="72">
        <f t="shared" ca="1" si="70"/>
        <v>964.79438806296548</v>
      </c>
      <c r="AL143" s="73">
        <f t="shared" ca="1" si="64"/>
        <v>4904.8081982944823</v>
      </c>
      <c r="AM143" s="132">
        <f ca="1">IF(X143*(lease_NRI/J143)  - (Z143+Y143+AB143+AC143+AD143)  - (AK143)*(lease_NRI/J143)&gt;0,1,0)</f>
        <v>1</v>
      </c>
      <c r="AN143" s="73">
        <f t="shared" ca="1" si="71"/>
        <v>4904.8081982944823</v>
      </c>
      <c r="AO143" s="75">
        <f t="shared" ca="1" si="76"/>
        <v>2110089.1753876307</v>
      </c>
      <c r="AP143" s="72">
        <f ca="1">AL143  /  ( 1 + disc_1/12)^(COUNT($AL$6:AL143)-1)</f>
        <v>1573.4647002032657</v>
      </c>
      <c r="AQ143" s="72">
        <f t="shared" ca="1" si="77"/>
        <v>1508285.6112660824</v>
      </c>
      <c r="AS143" s="303">
        <f t="shared" ca="1" si="72"/>
        <v>1</v>
      </c>
      <c r="AT143" s="300">
        <f ca="1">IFERROR(IRR($AN$6:AN143)*12,0)</f>
        <v>0</v>
      </c>
      <c r="AU143" s="297">
        <f t="shared" ca="1" si="73"/>
        <v>0</v>
      </c>
      <c r="AV143" s="303">
        <f t="shared" ca="1" si="74"/>
        <v>0</v>
      </c>
    </row>
    <row r="144" spans="2:48" x14ac:dyDescent="0.25">
      <c r="B144" s="43">
        <f t="shared" si="75"/>
        <v>48396</v>
      </c>
      <c r="C144" s="79">
        <f t="shared" si="65"/>
        <v>2032</v>
      </c>
      <c r="D144" s="64">
        <f ca="1">wellcount_base  +  SUM('forecast production'!I$7:I145)</f>
        <v>1</v>
      </c>
      <c r="E144" s="110">
        <f ca="1">'forecast production'!AE145</f>
        <v>200.57581965329817</v>
      </c>
      <c r="F144" s="98">
        <f ca="1">'forecast production'!AF145</f>
        <v>1136.6103016036238</v>
      </c>
      <c r="G144" s="98">
        <f ca="1">'forecast production'!AG145</f>
        <v>5.0054216548526735</v>
      </c>
      <c r="H144" s="98">
        <f ca="1">'forecast production'!AH145</f>
        <v>170.49154524054356</v>
      </c>
      <c r="I144" s="307">
        <f t="shared" ca="1" si="66"/>
        <v>1</v>
      </c>
      <c r="J144" s="306">
        <f t="shared" ca="1" si="67"/>
        <v>0.75</v>
      </c>
      <c r="K144" s="112">
        <f t="shared" ca="1" si="52"/>
        <v>150.43186473997363</v>
      </c>
      <c r="L144" s="98">
        <f t="shared" ca="1" si="53"/>
        <v>639.34329465203837</v>
      </c>
      <c r="M144" s="98">
        <f t="shared" ca="1" si="54"/>
        <v>3.7540662411395052</v>
      </c>
      <c r="N144" s="98">
        <f t="shared" ca="1" si="55"/>
        <v>127.86865893040766</v>
      </c>
      <c r="O144" s="67">
        <f>assumptions!M148</f>
        <v>55</v>
      </c>
      <c r="P144" s="68">
        <f>assumptions!N148</f>
        <v>3</v>
      </c>
      <c r="Q144" s="68">
        <f>assumptions!O148</f>
        <v>22</v>
      </c>
      <c r="R144" s="67">
        <f t="shared" si="56"/>
        <v>52.5</v>
      </c>
      <c r="S144" s="68">
        <f t="shared" si="57"/>
        <v>2.3275000000000001</v>
      </c>
      <c r="T144" s="68">
        <f t="shared" si="58"/>
        <v>22</v>
      </c>
      <c r="U144" s="73">
        <f t="shared" ca="1" si="59"/>
        <v>7897.6728988486157</v>
      </c>
      <c r="V144" s="72">
        <f t="shared" ca="1" si="60"/>
        <v>1488.0715183026193</v>
      </c>
      <c r="W144" s="72">
        <f t="shared" ca="1" si="61"/>
        <v>2813.1104964689684</v>
      </c>
      <c r="X144" s="72">
        <f t="shared" ca="1" si="68"/>
        <v>12198.854913620202</v>
      </c>
      <c r="Y144" s="73">
        <f>mult_opex * fixed_month</f>
        <v>1000</v>
      </c>
      <c r="Z144" s="72">
        <f ca="1">mult_opex * fixed_well *D144</f>
        <v>5000</v>
      </c>
      <c r="AA144" s="72">
        <f ca="1">(Z144+Y144)*WI_current_1</f>
        <v>6000</v>
      </c>
      <c r="AB144" s="72">
        <f ca="1">mult_opex * var_bo*E144</f>
        <v>0</v>
      </c>
      <c r="AC144" s="72">
        <f ca="1">mult_opex * var_mcf*F144</f>
        <v>0</v>
      </c>
      <c r="AD144" s="72">
        <f ca="1">mult_opex * var_bw * G144</f>
        <v>10.010843309705347</v>
      </c>
      <c r="AE144" s="72">
        <f ca="1">SUM(AB144:AD144)*WI_current_1</f>
        <v>10.010843309705347</v>
      </c>
      <c r="AF144" s="73">
        <f ca="1">mult_capex * IFERROR(OFFSET(assumptions!$F$39,MATCH(B144,assumptions!$E$39:$E$45,0)-1,0),0)</f>
        <v>0</v>
      </c>
      <c r="AG144" s="75">
        <f ca="1">mult_capex * capex_new*WI_current_1 *'forecast production'!I145</f>
        <v>0</v>
      </c>
      <c r="AH144" s="146">
        <f t="shared" ca="1" si="69"/>
        <v>0</v>
      </c>
      <c r="AI144" s="73">
        <f t="shared" ca="1" si="62"/>
        <v>685.88160445490541</v>
      </c>
      <c r="AJ144" s="72">
        <f t="shared" ca="1" si="63"/>
        <v>304.97137284050507</v>
      </c>
      <c r="AK144" s="72">
        <f t="shared" ca="1" si="70"/>
        <v>990.85297729541048</v>
      </c>
      <c r="AL144" s="73">
        <f t="shared" ca="1" si="64"/>
        <v>5197.9910930150872</v>
      </c>
      <c r="AM144" s="132">
        <f ca="1">IF(X144*(lease_NRI/J144)  - (Z144+Y144+AB144+AC144+AD144)  - (AK144)*(lease_NRI/J144)&gt;0,1,0)</f>
        <v>1</v>
      </c>
      <c r="AN144" s="73">
        <f t="shared" ca="1" si="71"/>
        <v>5197.9910930150872</v>
      </c>
      <c r="AO144" s="75">
        <f t="shared" ca="1" si="76"/>
        <v>2115287.166480646</v>
      </c>
      <c r="AP144" s="72">
        <f ca="1">AL144  /  ( 1 + disc_1/12)^(COUNT($AL$6:AL144)-1)</f>
        <v>1653.7367664181986</v>
      </c>
      <c r="AQ144" s="72">
        <f t="shared" ca="1" si="77"/>
        <v>1509939.3480325006</v>
      </c>
      <c r="AS144" s="303">
        <f t="shared" ca="1" si="72"/>
        <v>1</v>
      </c>
      <c r="AT144" s="300">
        <f ca="1">IFERROR(IRR($AN$6:AN144)*12,0)</f>
        <v>0</v>
      </c>
      <c r="AU144" s="297">
        <f t="shared" ca="1" si="73"/>
        <v>0</v>
      </c>
      <c r="AV144" s="303">
        <f t="shared" ca="1" si="74"/>
        <v>0</v>
      </c>
    </row>
    <row r="145" spans="2:48" x14ac:dyDescent="0.25">
      <c r="B145" s="43">
        <f t="shared" si="75"/>
        <v>48427</v>
      </c>
      <c r="C145" s="79">
        <f t="shared" si="65"/>
        <v>2032</v>
      </c>
      <c r="D145" s="64">
        <f ca="1">wellcount_base  +  SUM('forecast production'!I$7:I146)</f>
        <v>1</v>
      </c>
      <c r="E145" s="110">
        <f ca="1">'forecast production'!AE146</f>
        <v>199.16041438954142</v>
      </c>
      <c r="F145" s="98">
        <f ca="1">'forecast production'!AF146</f>
        <v>1130.5439908670849</v>
      </c>
      <c r="G145" s="98">
        <f ca="1">'forecast production'!AG146</f>
        <v>4.8306068154982196</v>
      </c>
      <c r="H145" s="98">
        <f ca="1">'forecast production'!AH146</f>
        <v>169.58159863006273</v>
      </c>
      <c r="I145" s="307">
        <f t="shared" ca="1" si="66"/>
        <v>1</v>
      </c>
      <c r="J145" s="306">
        <f t="shared" ca="1" si="67"/>
        <v>0.75</v>
      </c>
      <c r="K145" s="112">
        <f t="shared" ca="1" si="52"/>
        <v>149.37031079215606</v>
      </c>
      <c r="L145" s="98">
        <f t="shared" ca="1" si="53"/>
        <v>635.93099486273513</v>
      </c>
      <c r="M145" s="98">
        <f t="shared" ca="1" si="54"/>
        <v>3.6229551116236647</v>
      </c>
      <c r="N145" s="98">
        <f t="shared" ca="1" si="55"/>
        <v>127.18619897254705</v>
      </c>
      <c r="O145" s="67">
        <f>assumptions!M149</f>
        <v>55</v>
      </c>
      <c r="P145" s="68">
        <f>assumptions!N149</f>
        <v>3</v>
      </c>
      <c r="Q145" s="68">
        <f>assumptions!O149</f>
        <v>22</v>
      </c>
      <c r="R145" s="67">
        <f t="shared" si="56"/>
        <v>52.5</v>
      </c>
      <c r="S145" s="68">
        <f t="shared" si="57"/>
        <v>2.3275000000000001</v>
      </c>
      <c r="T145" s="68">
        <f t="shared" si="58"/>
        <v>22</v>
      </c>
      <c r="U145" s="73">
        <f t="shared" ca="1" si="59"/>
        <v>7841.9413165881933</v>
      </c>
      <c r="V145" s="72">
        <f t="shared" ca="1" si="60"/>
        <v>1480.1293905430161</v>
      </c>
      <c r="W145" s="72">
        <f t="shared" ca="1" si="61"/>
        <v>2798.0963773960352</v>
      </c>
      <c r="X145" s="72">
        <f t="shared" ca="1" si="68"/>
        <v>12120.167084527246</v>
      </c>
      <c r="Y145" s="73">
        <f>mult_opex * fixed_month</f>
        <v>1000</v>
      </c>
      <c r="Z145" s="72">
        <f ca="1">mult_opex * fixed_well *D145</f>
        <v>5000</v>
      </c>
      <c r="AA145" s="72">
        <f ca="1">(Z145+Y145)*WI_current_1</f>
        <v>6000</v>
      </c>
      <c r="AB145" s="72">
        <f ca="1">mult_opex * var_bo*E145</f>
        <v>0</v>
      </c>
      <c r="AC145" s="72">
        <f ca="1">mult_opex * var_mcf*F145</f>
        <v>0</v>
      </c>
      <c r="AD145" s="72">
        <f ca="1">mult_opex * var_bw * G145</f>
        <v>9.6612136309964392</v>
      </c>
      <c r="AE145" s="72">
        <f ca="1">SUM(AB145:AD145)*WI_current_1</f>
        <v>9.6612136309964392</v>
      </c>
      <c r="AF145" s="73">
        <f ca="1">mult_capex * IFERROR(OFFSET(assumptions!$F$39,MATCH(B145,assumptions!$E$39:$E$45,0)-1,0),0)</f>
        <v>0</v>
      </c>
      <c r="AG145" s="75">
        <f ca="1">mult_capex * capex_new*WI_current_1 *'forecast production'!I146</f>
        <v>0</v>
      </c>
      <c r="AH145" s="146">
        <f t="shared" ca="1" si="69"/>
        <v>0</v>
      </c>
      <c r="AI145" s="73">
        <f t="shared" ca="1" si="62"/>
        <v>681.59623315848569</v>
      </c>
      <c r="AJ145" s="72">
        <f t="shared" ca="1" si="63"/>
        <v>303.00417711318113</v>
      </c>
      <c r="AK145" s="72">
        <f t="shared" ca="1" si="70"/>
        <v>984.60041027166676</v>
      </c>
      <c r="AL145" s="73">
        <f t="shared" ca="1" si="64"/>
        <v>5125.9054606245827</v>
      </c>
      <c r="AM145" s="132">
        <f ca="1">IF(X145*(lease_NRI/J145)  - (Z145+Y145+AB145+AC145+AD145)  - (AK145)*(lease_NRI/J145)&gt;0,1,0)</f>
        <v>1</v>
      </c>
      <c r="AN145" s="73">
        <f t="shared" ca="1" si="71"/>
        <v>5125.9054606245827</v>
      </c>
      <c r="AO145" s="75">
        <f t="shared" ca="1" si="76"/>
        <v>2120413.0719412705</v>
      </c>
      <c r="AP145" s="72">
        <f ca="1">AL145  /  ( 1 + disc_1/12)^(COUNT($AL$6:AL145)-1)</f>
        <v>1617.3250704093634</v>
      </c>
      <c r="AQ145" s="72">
        <f t="shared" ca="1" si="77"/>
        <v>1511556.6731029099</v>
      </c>
      <c r="AS145" s="303">
        <f t="shared" ca="1" si="72"/>
        <v>1</v>
      </c>
      <c r="AT145" s="300">
        <f ca="1">IFERROR(IRR($AN$6:AN145)*12,0)</f>
        <v>0</v>
      </c>
      <c r="AU145" s="297">
        <f t="shared" ca="1" si="73"/>
        <v>0</v>
      </c>
      <c r="AV145" s="303">
        <f t="shared" ca="1" si="74"/>
        <v>0</v>
      </c>
    </row>
    <row r="146" spans="2:48" x14ac:dyDescent="0.25">
      <c r="B146" s="43">
        <f t="shared" si="75"/>
        <v>48458</v>
      </c>
      <c r="C146" s="79">
        <f t="shared" si="65"/>
        <v>2032</v>
      </c>
      <c r="D146" s="64">
        <f ca="1">wellcount_base  +  SUM('forecast production'!I$7:I147)</f>
        <v>1</v>
      </c>
      <c r="E146" s="110">
        <f ca="1">'forecast production'!AE147</f>
        <v>191.37580377034487</v>
      </c>
      <c r="F146" s="98">
        <f ca="1">'forecast production'!AF147</f>
        <v>1088.2665392182248</v>
      </c>
      <c r="G146" s="98">
        <f ca="1">'forecast production'!AG147</f>
        <v>4.5115421169413832</v>
      </c>
      <c r="H146" s="98">
        <f ca="1">'forecast production'!AH147</f>
        <v>163.2399808827337</v>
      </c>
      <c r="I146" s="307">
        <f t="shared" ca="1" si="66"/>
        <v>1</v>
      </c>
      <c r="J146" s="306">
        <f t="shared" ca="1" si="67"/>
        <v>0.75</v>
      </c>
      <c r="K146" s="112">
        <f t="shared" ca="1" si="52"/>
        <v>143.53185282775866</v>
      </c>
      <c r="L146" s="98">
        <f t="shared" ca="1" si="53"/>
        <v>612.14992831025143</v>
      </c>
      <c r="M146" s="98">
        <f t="shared" ca="1" si="54"/>
        <v>3.3836565877060374</v>
      </c>
      <c r="N146" s="98">
        <f t="shared" ca="1" si="55"/>
        <v>122.42998566205029</v>
      </c>
      <c r="O146" s="67">
        <f>assumptions!M150</f>
        <v>55</v>
      </c>
      <c r="P146" s="68">
        <f>assumptions!N150</f>
        <v>3</v>
      </c>
      <c r="Q146" s="68">
        <f>assumptions!O150</f>
        <v>22</v>
      </c>
      <c r="R146" s="67">
        <f t="shared" si="56"/>
        <v>52.5</v>
      </c>
      <c r="S146" s="68">
        <f t="shared" si="57"/>
        <v>2.3275000000000001</v>
      </c>
      <c r="T146" s="68">
        <f t="shared" si="58"/>
        <v>22</v>
      </c>
      <c r="U146" s="73">
        <f t="shared" ca="1" si="59"/>
        <v>7535.4222734573295</v>
      </c>
      <c r="V146" s="72">
        <f t="shared" ca="1" si="60"/>
        <v>1424.7789581421102</v>
      </c>
      <c r="W146" s="72">
        <f t="shared" ca="1" si="61"/>
        <v>2693.4596845651063</v>
      </c>
      <c r="X146" s="72">
        <f t="shared" ca="1" si="68"/>
        <v>11653.660916164547</v>
      </c>
      <c r="Y146" s="73">
        <f>mult_opex * fixed_month</f>
        <v>1000</v>
      </c>
      <c r="Z146" s="72">
        <f ca="1">mult_opex * fixed_well *D146</f>
        <v>5000</v>
      </c>
      <c r="AA146" s="72">
        <f ca="1">(Z146+Y146)*WI_current_1</f>
        <v>6000</v>
      </c>
      <c r="AB146" s="72">
        <f ca="1">mult_opex * var_bo*E146</f>
        <v>0</v>
      </c>
      <c r="AC146" s="72">
        <f ca="1">mult_opex * var_mcf*F146</f>
        <v>0</v>
      </c>
      <c r="AD146" s="72">
        <f ca="1">mult_opex * var_bw * G146</f>
        <v>9.0230842338827664</v>
      </c>
      <c r="AE146" s="72">
        <f ca="1">SUM(AB146:AD146)*WI_current_1</f>
        <v>9.0230842338827664</v>
      </c>
      <c r="AF146" s="73">
        <f ca="1">mult_capex * IFERROR(OFFSET(assumptions!$F$39,MATCH(B146,assumptions!$E$39:$E$45,0)-1,0),0)</f>
        <v>0</v>
      </c>
      <c r="AG146" s="75">
        <f ca="1">mult_capex * capex_new*WI_current_1 *'forecast production'!I147</f>
        <v>0</v>
      </c>
      <c r="AH146" s="146">
        <f t="shared" ca="1" si="69"/>
        <v>0</v>
      </c>
      <c r="AI146" s="73">
        <f t="shared" ca="1" si="62"/>
        <v>655.49732278207841</v>
      </c>
      <c r="AJ146" s="72">
        <f t="shared" ca="1" si="63"/>
        <v>291.34152290411367</v>
      </c>
      <c r="AK146" s="72">
        <f t="shared" ca="1" si="70"/>
        <v>946.83884568619214</v>
      </c>
      <c r="AL146" s="73">
        <f t="shared" ca="1" si="64"/>
        <v>4697.798986244472</v>
      </c>
      <c r="AM146" s="132">
        <f ca="1">IF(X146*(lease_NRI/J146)  - (Z146+Y146+AB146+AC146+AD146)  - (AK146)*(lease_NRI/J146)&gt;0,1,0)</f>
        <v>1</v>
      </c>
      <c r="AN146" s="73">
        <f t="shared" ca="1" si="71"/>
        <v>4697.798986244472</v>
      </c>
      <c r="AO146" s="75">
        <f t="shared" ca="1" si="76"/>
        <v>2125110.870927515</v>
      </c>
      <c r="AP146" s="72">
        <f ca="1">AL146  /  ( 1 + disc_1/12)^(COUNT($AL$6:AL146)-1)</f>
        <v>1469.9989759718183</v>
      </c>
      <c r="AQ146" s="72">
        <f t="shared" ca="1" si="77"/>
        <v>1513026.6720788816</v>
      </c>
      <c r="AS146" s="303">
        <f t="shared" ca="1" si="72"/>
        <v>1</v>
      </c>
      <c r="AT146" s="300">
        <f ca="1">IFERROR(IRR($AN$6:AN146)*12,0)</f>
        <v>0</v>
      </c>
      <c r="AU146" s="297">
        <f t="shared" ca="1" si="73"/>
        <v>0</v>
      </c>
      <c r="AV146" s="303">
        <f t="shared" ca="1" si="74"/>
        <v>0</v>
      </c>
    </row>
    <row r="147" spans="2:48" x14ac:dyDescent="0.25">
      <c r="B147" s="43">
        <f t="shared" si="75"/>
        <v>48488</v>
      </c>
      <c r="C147" s="79">
        <f t="shared" si="65"/>
        <v>2032</v>
      </c>
      <c r="D147" s="64">
        <f ca="1">wellcount_base  +  SUM('forecast production'!I$7:I148)</f>
        <v>1</v>
      </c>
      <c r="E147" s="110">
        <f ca="1">'forecast production'!AE148</f>
        <v>196.40435972003945</v>
      </c>
      <c r="F147" s="98">
        <f ca="1">'forecast production'!AF148</f>
        <v>1118.7941658548746</v>
      </c>
      <c r="G147" s="98">
        <f ca="1">'forecast production'!AG148</f>
        <v>4.5043255859295241</v>
      </c>
      <c r="H147" s="98">
        <f ca="1">'forecast production'!AH148</f>
        <v>167.81912487823121</v>
      </c>
      <c r="I147" s="307">
        <f t="shared" ca="1" si="66"/>
        <v>1</v>
      </c>
      <c r="J147" s="306">
        <f t="shared" ca="1" si="67"/>
        <v>0.75</v>
      </c>
      <c r="K147" s="112">
        <f t="shared" ca="1" si="52"/>
        <v>147.30326979002959</v>
      </c>
      <c r="L147" s="98">
        <f t="shared" ca="1" si="53"/>
        <v>629.32171829336698</v>
      </c>
      <c r="M147" s="98">
        <f t="shared" ca="1" si="54"/>
        <v>3.3782441894471429</v>
      </c>
      <c r="N147" s="98">
        <f t="shared" ca="1" si="55"/>
        <v>125.86434365867341</v>
      </c>
      <c r="O147" s="67">
        <f>assumptions!M151</f>
        <v>55</v>
      </c>
      <c r="P147" s="68">
        <f>assumptions!N151</f>
        <v>3</v>
      </c>
      <c r="Q147" s="68">
        <f>assumptions!O151</f>
        <v>22</v>
      </c>
      <c r="R147" s="67">
        <f t="shared" si="56"/>
        <v>52.5</v>
      </c>
      <c r="S147" s="68">
        <f t="shared" si="57"/>
        <v>2.3275000000000001</v>
      </c>
      <c r="T147" s="68">
        <f t="shared" si="58"/>
        <v>22</v>
      </c>
      <c r="U147" s="73">
        <f t="shared" ca="1" si="59"/>
        <v>7733.4216639765536</v>
      </c>
      <c r="V147" s="72">
        <f t="shared" ca="1" si="60"/>
        <v>1464.7462993278118</v>
      </c>
      <c r="W147" s="72">
        <f t="shared" ca="1" si="61"/>
        <v>2769.015560490815</v>
      </c>
      <c r="X147" s="72">
        <f t="shared" ca="1" si="68"/>
        <v>11967.183523795182</v>
      </c>
      <c r="Y147" s="73">
        <f>mult_opex * fixed_month</f>
        <v>1000</v>
      </c>
      <c r="Z147" s="72">
        <f ca="1">mult_opex * fixed_well *D147</f>
        <v>5000</v>
      </c>
      <c r="AA147" s="72">
        <f ca="1">(Z147+Y147)*WI_current_1</f>
        <v>6000</v>
      </c>
      <c r="AB147" s="72">
        <f ca="1">mult_opex * var_bo*E147</f>
        <v>0</v>
      </c>
      <c r="AC147" s="72">
        <f ca="1">mult_opex * var_mcf*F147</f>
        <v>0</v>
      </c>
      <c r="AD147" s="72">
        <f ca="1">mult_opex * var_bw * G147</f>
        <v>9.0086511718590483</v>
      </c>
      <c r="AE147" s="72">
        <f ca="1">SUM(AB147:AD147)*WI_current_1</f>
        <v>9.0086511718590483</v>
      </c>
      <c r="AF147" s="73">
        <f ca="1">mult_capex * IFERROR(OFFSET(assumptions!$F$39,MATCH(B147,assumptions!$E$39:$E$45,0)-1,0),0)</f>
        <v>0</v>
      </c>
      <c r="AG147" s="75">
        <f ca="1">mult_capex * capex_new*WI_current_1 *'forecast production'!I148</f>
        <v>0</v>
      </c>
      <c r="AH147" s="146">
        <f t="shared" ca="1" si="69"/>
        <v>0</v>
      </c>
      <c r="AI147" s="73">
        <f t="shared" ca="1" si="62"/>
        <v>673.26953602931849</v>
      </c>
      <c r="AJ147" s="72">
        <f t="shared" ca="1" si="63"/>
        <v>299.17958809487953</v>
      </c>
      <c r="AK147" s="72">
        <f t="shared" ca="1" si="70"/>
        <v>972.44912412419808</v>
      </c>
      <c r="AL147" s="73">
        <f t="shared" ca="1" si="64"/>
        <v>4985.725748499126</v>
      </c>
      <c r="AM147" s="132">
        <f ca="1">IF(X147*(lease_NRI/J147)  - (Z147+Y147+AB147+AC147+AD147)  - (AK147)*(lease_NRI/J147)&gt;0,1,0)</f>
        <v>1</v>
      </c>
      <c r="AN147" s="73">
        <f t="shared" ca="1" si="71"/>
        <v>4985.725748499126</v>
      </c>
      <c r="AO147" s="75">
        <f t="shared" ca="1" si="76"/>
        <v>2130096.5966760139</v>
      </c>
      <c r="AP147" s="72">
        <f ca="1">AL147  /  ( 1 + disc_1/12)^(COUNT($AL$6:AL147)-1)</f>
        <v>1547.2014492434687</v>
      </c>
      <c r="AQ147" s="72">
        <f t="shared" ca="1" si="77"/>
        <v>1514573.8735281252</v>
      </c>
      <c r="AS147" s="303">
        <f t="shared" ca="1" si="72"/>
        <v>1</v>
      </c>
      <c r="AT147" s="300">
        <f ca="1">IFERROR(IRR($AN$6:AN147)*12,0)</f>
        <v>0</v>
      </c>
      <c r="AU147" s="297">
        <f t="shared" ca="1" si="73"/>
        <v>0</v>
      </c>
      <c r="AV147" s="303">
        <f t="shared" ca="1" si="74"/>
        <v>0</v>
      </c>
    </row>
    <row r="148" spans="2:48" x14ac:dyDescent="0.25">
      <c r="B148" s="43">
        <f t="shared" si="75"/>
        <v>48519</v>
      </c>
      <c r="C148" s="79">
        <f t="shared" si="65"/>
        <v>2032</v>
      </c>
      <c r="D148" s="64">
        <f ca="1">wellcount_base  +  SUM('forecast production'!I$7:I149)</f>
        <v>1</v>
      </c>
      <c r="E148" s="110">
        <f ca="1">'forecast production'!AE149</f>
        <v>188.72747539029183</v>
      </c>
      <c r="F148" s="98">
        <f ca="1">'forecast production'!AF149</f>
        <v>1077.0155315312763</v>
      </c>
      <c r="G148" s="98">
        <f ca="1">'forecast production'!AG149</f>
        <v>4.2068642436638317</v>
      </c>
      <c r="H148" s="98">
        <f ca="1">'forecast production'!AH149</f>
        <v>161.55232972969145</v>
      </c>
      <c r="I148" s="307">
        <f t="shared" ca="1" si="66"/>
        <v>1</v>
      </c>
      <c r="J148" s="306">
        <f t="shared" ca="1" si="67"/>
        <v>0.75</v>
      </c>
      <c r="K148" s="112">
        <f t="shared" ca="1" si="52"/>
        <v>141.54560654271887</v>
      </c>
      <c r="L148" s="98">
        <f t="shared" ca="1" si="53"/>
        <v>605.82123648634297</v>
      </c>
      <c r="M148" s="98">
        <f t="shared" ca="1" si="54"/>
        <v>3.1551481827478738</v>
      </c>
      <c r="N148" s="98">
        <f t="shared" ca="1" si="55"/>
        <v>121.16424729726859</v>
      </c>
      <c r="O148" s="67">
        <f>assumptions!M152</f>
        <v>55</v>
      </c>
      <c r="P148" s="68">
        <f>assumptions!N152</f>
        <v>3</v>
      </c>
      <c r="Q148" s="68">
        <f>assumptions!O152</f>
        <v>22</v>
      </c>
      <c r="R148" s="67">
        <f t="shared" si="56"/>
        <v>52.5</v>
      </c>
      <c r="S148" s="68">
        <f t="shared" si="57"/>
        <v>2.3275000000000001</v>
      </c>
      <c r="T148" s="68">
        <f t="shared" si="58"/>
        <v>22</v>
      </c>
      <c r="U148" s="73">
        <f t="shared" ca="1" si="59"/>
        <v>7431.1443434927405</v>
      </c>
      <c r="V148" s="72">
        <f t="shared" ca="1" si="60"/>
        <v>1410.0489279219632</v>
      </c>
      <c r="W148" s="72">
        <f t="shared" ca="1" si="61"/>
        <v>2665.6134405399089</v>
      </c>
      <c r="X148" s="72">
        <f t="shared" ca="1" si="68"/>
        <v>11506.806711954614</v>
      </c>
      <c r="Y148" s="73">
        <f>mult_opex * fixed_month</f>
        <v>1000</v>
      </c>
      <c r="Z148" s="72">
        <f ca="1">mult_opex * fixed_well *D148</f>
        <v>5000</v>
      </c>
      <c r="AA148" s="72">
        <f ca="1">(Z148+Y148)*WI_current_1</f>
        <v>6000</v>
      </c>
      <c r="AB148" s="72">
        <f ca="1">mult_opex * var_bo*E148</f>
        <v>0</v>
      </c>
      <c r="AC148" s="72">
        <f ca="1">mult_opex * var_mcf*F148</f>
        <v>0</v>
      </c>
      <c r="AD148" s="72">
        <f ca="1">mult_opex * var_bw * G148</f>
        <v>8.4137284873276634</v>
      </c>
      <c r="AE148" s="72">
        <f ca="1">SUM(AB148:AD148)*WI_current_1</f>
        <v>8.4137284873276634</v>
      </c>
      <c r="AF148" s="73">
        <f ca="1">mult_capex * IFERROR(OFFSET(assumptions!$F$39,MATCH(B148,assumptions!$E$39:$E$45,0)-1,0),0)</f>
        <v>0</v>
      </c>
      <c r="AG148" s="75">
        <f ca="1">mult_capex * capex_new*WI_current_1 *'forecast production'!I149</f>
        <v>0</v>
      </c>
      <c r="AH148" s="146">
        <f t="shared" ca="1" si="69"/>
        <v>0</v>
      </c>
      <c r="AI148" s="73">
        <f t="shared" ca="1" si="62"/>
        <v>647.5073174353065</v>
      </c>
      <c r="AJ148" s="72">
        <f t="shared" ca="1" si="63"/>
        <v>287.67016779886535</v>
      </c>
      <c r="AK148" s="72">
        <f t="shared" ca="1" si="70"/>
        <v>935.17748523417185</v>
      </c>
      <c r="AL148" s="73">
        <f t="shared" ca="1" si="64"/>
        <v>4563.2154982331158</v>
      </c>
      <c r="AM148" s="132">
        <f ca="1">IF(X148*(lease_NRI/J148)  - (Z148+Y148+AB148+AC148+AD148)  - (AK148)*(lease_NRI/J148)&gt;0,1,0)</f>
        <v>1</v>
      </c>
      <c r="AN148" s="73">
        <f t="shared" ca="1" si="71"/>
        <v>4563.2154982331158</v>
      </c>
      <c r="AO148" s="75">
        <f t="shared" ca="1" si="76"/>
        <v>2134659.8121742471</v>
      </c>
      <c r="AP148" s="72">
        <f ca="1">AL148  /  ( 1 + disc_1/12)^(COUNT($AL$6:AL148)-1)</f>
        <v>1404.3822529131223</v>
      </c>
      <c r="AQ148" s="72">
        <f t="shared" ca="1" si="77"/>
        <v>1515978.2557810384</v>
      </c>
      <c r="AS148" s="303">
        <f t="shared" ca="1" si="72"/>
        <v>1</v>
      </c>
      <c r="AT148" s="300">
        <f ca="1">IFERROR(IRR($AN$6:AN148)*12,0)</f>
        <v>0</v>
      </c>
      <c r="AU148" s="297">
        <f t="shared" ca="1" si="73"/>
        <v>0</v>
      </c>
      <c r="AV148" s="303">
        <f t="shared" ca="1" si="74"/>
        <v>0</v>
      </c>
    </row>
    <row r="149" spans="2:48" x14ac:dyDescent="0.25">
      <c r="B149" s="44">
        <f t="shared" si="75"/>
        <v>48549</v>
      </c>
      <c r="C149" s="100">
        <f t="shared" si="65"/>
        <v>2032</v>
      </c>
      <c r="D149" s="65">
        <f ca="1">wellcount_base  +  SUM('forecast production'!I$7:I150)</f>
        <v>1</v>
      </c>
      <c r="E149" s="109">
        <f ca="1">'forecast production'!AE150</f>
        <v>193.68644434325068</v>
      </c>
      <c r="F149" s="101">
        <f ca="1">'forecast production'!AF150</f>
        <v>1107.9201489484594</v>
      </c>
      <c r="G149" s="101">
        <f ca="1">'forecast production'!AG150</f>
        <v>4.2001855528349079</v>
      </c>
      <c r="H149" s="102">
        <f ca="1">'forecast production'!AH150</f>
        <v>166.18802234226894</v>
      </c>
      <c r="I149" s="308">
        <f t="shared" ca="1" si="66"/>
        <v>1</v>
      </c>
      <c r="J149" s="309">
        <f t="shared" ca="1" si="67"/>
        <v>0.75</v>
      </c>
      <c r="K149" s="113">
        <f t="shared" ca="1" si="52"/>
        <v>145.264833257438</v>
      </c>
      <c r="L149" s="102">
        <f t="shared" ca="1" si="53"/>
        <v>623.20508378350837</v>
      </c>
      <c r="M149" s="102">
        <f t="shared" ca="1" si="54"/>
        <v>3.1501391646261809</v>
      </c>
      <c r="N149" s="102">
        <f t="shared" ca="1" si="55"/>
        <v>124.6410167567017</v>
      </c>
      <c r="O149" s="103">
        <f>assumptions!M153</f>
        <v>55</v>
      </c>
      <c r="P149" s="104">
        <f>assumptions!N153</f>
        <v>3</v>
      </c>
      <c r="Q149" s="104">
        <f>assumptions!O153</f>
        <v>22</v>
      </c>
      <c r="R149" s="103">
        <f t="shared" si="56"/>
        <v>52.5</v>
      </c>
      <c r="S149" s="104">
        <f t="shared" si="57"/>
        <v>2.3275000000000001</v>
      </c>
      <c r="T149" s="104">
        <f t="shared" si="58"/>
        <v>22</v>
      </c>
      <c r="U149" s="105">
        <f t="shared" ca="1" si="59"/>
        <v>7626.403746015495</v>
      </c>
      <c r="V149" s="106">
        <f t="shared" ca="1" si="60"/>
        <v>1450.5098325061158</v>
      </c>
      <c r="W149" s="106">
        <f t="shared" ca="1" si="61"/>
        <v>2742.1023686474373</v>
      </c>
      <c r="X149" s="106">
        <f t="shared" ca="1" si="68"/>
        <v>11819.015947169049</v>
      </c>
      <c r="Y149" s="105">
        <f>mult_opex * fixed_month</f>
        <v>1000</v>
      </c>
      <c r="Z149" s="106">
        <f ca="1">mult_opex * fixed_well *D149</f>
        <v>5000</v>
      </c>
      <c r="AA149" s="106">
        <f ca="1">(Z149+Y149)*WI_current_1</f>
        <v>6000</v>
      </c>
      <c r="AB149" s="106">
        <f ca="1">mult_opex * var_bo*E149</f>
        <v>0</v>
      </c>
      <c r="AC149" s="106">
        <f ca="1">mult_opex * var_mcf*F149</f>
        <v>0</v>
      </c>
      <c r="AD149" s="106">
        <f ca="1">mult_opex * var_bw * G149</f>
        <v>8.4003711056698158</v>
      </c>
      <c r="AE149" s="106">
        <f ca="1">SUM(AB149:AD149)*WI_current_1</f>
        <v>8.4003711056698158</v>
      </c>
      <c r="AF149" s="105">
        <f ca="1">mult_capex * IFERROR(OFFSET(assumptions!$F$39,MATCH(B149,assumptions!$E$39:$E$45,0)-1,0),0)</f>
        <v>0</v>
      </c>
      <c r="AG149" s="106">
        <f ca="1">mult_capex * capex_new*WI_current_1 *'forecast production'!I150</f>
        <v>0</v>
      </c>
      <c r="AH149" s="147">
        <f t="shared" ca="1" si="69"/>
        <v>0</v>
      </c>
      <c r="AI149" s="105">
        <f t="shared" ca="1" si="62"/>
        <v>665.26048740322926</v>
      </c>
      <c r="AJ149" s="106">
        <f t="shared" ca="1" si="63"/>
        <v>295.47539867922626</v>
      </c>
      <c r="AK149" s="106">
        <f t="shared" ca="1" si="70"/>
        <v>960.73588608245552</v>
      </c>
      <c r="AL149" s="105">
        <f t="shared" ca="1" si="64"/>
        <v>4849.879689980924</v>
      </c>
      <c r="AM149" s="133">
        <f ca="1">IF(X149*(lease_NRI/J149)  - (Z149+Y149+AB149+AC149+AD149)  - (AK149)*(lease_NRI/J149)&gt;0,1,0)</f>
        <v>1</v>
      </c>
      <c r="AN149" s="105">
        <f t="shared" ca="1" si="71"/>
        <v>4849.879689980924</v>
      </c>
      <c r="AO149" s="106">
        <f t="shared" ca="1" si="76"/>
        <v>2139509.6918642279</v>
      </c>
      <c r="AP149" s="106">
        <f ca="1">AL149  /  ( 1 + disc_1/12)^(COUNT($AL$6:AL149)-1)</f>
        <v>1480.2708768842849</v>
      </c>
      <c r="AQ149" s="106">
        <f t="shared" ca="1" si="77"/>
        <v>1517458.5266579227</v>
      </c>
      <c r="AS149" s="304">
        <f t="shared" ca="1" si="72"/>
        <v>1</v>
      </c>
      <c r="AT149" s="301">
        <f ca="1">IFERROR(IRR($AN$6:AN149)*12,0)</f>
        <v>0</v>
      </c>
      <c r="AU149" s="298">
        <f t="shared" ca="1" si="73"/>
        <v>0</v>
      </c>
      <c r="AV149" s="304">
        <f t="shared" ca="1" si="74"/>
        <v>0</v>
      </c>
    </row>
    <row r="150" spans="2:48" x14ac:dyDescent="0.25">
      <c r="B150" s="43">
        <f t="shared" si="75"/>
        <v>48580</v>
      </c>
      <c r="C150" s="79">
        <f t="shared" si="65"/>
        <v>2033</v>
      </c>
      <c r="D150" s="64">
        <f ca="1">wellcount_base  +  SUM('forecast production'!I$7:I151)</f>
        <v>1</v>
      </c>
      <c r="E150" s="110">
        <f ca="1">'forecast production'!AE151</f>
        <v>192.31965539872272</v>
      </c>
      <c r="F150" s="98">
        <f ca="1">'forecast production'!AF151</f>
        <v>1102.1131106617804</v>
      </c>
      <c r="G150" s="98">
        <f ca="1">'forecast production'!AG151</f>
        <v>4.0536199687696914</v>
      </c>
      <c r="H150" s="98">
        <f ca="1">'forecast production'!AH151</f>
        <v>165.31696659926706</v>
      </c>
      <c r="I150" s="307">
        <f t="shared" ca="1" si="66"/>
        <v>1</v>
      </c>
      <c r="J150" s="306">
        <f t="shared" ca="1" si="67"/>
        <v>0.75</v>
      </c>
      <c r="K150" s="112">
        <f t="shared" ca="1" si="52"/>
        <v>144.23974154904204</v>
      </c>
      <c r="L150" s="98">
        <f t="shared" ca="1" si="53"/>
        <v>619.93862474725142</v>
      </c>
      <c r="M150" s="98">
        <f t="shared" ca="1" si="54"/>
        <v>3.0402149765772686</v>
      </c>
      <c r="N150" s="98">
        <f t="shared" ca="1" si="55"/>
        <v>123.9877249494503</v>
      </c>
      <c r="O150" s="67">
        <f>assumptions!M154</f>
        <v>55</v>
      </c>
      <c r="P150" s="68">
        <f>assumptions!N154</f>
        <v>3</v>
      </c>
      <c r="Q150" s="68">
        <f>assumptions!O154</f>
        <v>22</v>
      </c>
      <c r="R150" s="67">
        <f t="shared" si="56"/>
        <v>52.5</v>
      </c>
      <c r="S150" s="68">
        <f t="shared" si="57"/>
        <v>2.3275000000000001</v>
      </c>
      <c r="T150" s="68">
        <f t="shared" si="58"/>
        <v>22</v>
      </c>
      <c r="U150" s="73">
        <f t="shared" ca="1" si="59"/>
        <v>7572.5864313247066</v>
      </c>
      <c r="V150" s="72">
        <f t="shared" ca="1" si="60"/>
        <v>1442.9071490992278</v>
      </c>
      <c r="W150" s="72">
        <f t="shared" ca="1" si="61"/>
        <v>2727.7299488879066</v>
      </c>
      <c r="X150" s="72">
        <f t="shared" ca="1" si="68"/>
        <v>11743.223529311841</v>
      </c>
      <c r="Y150" s="73">
        <f>mult_opex * fixed_month</f>
        <v>1000</v>
      </c>
      <c r="Z150" s="72">
        <f ca="1">mult_opex * fixed_well *D150</f>
        <v>5000</v>
      </c>
      <c r="AA150" s="72">
        <f ca="1">(Z150+Y150)*WI_current_1</f>
        <v>6000</v>
      </c>
      <c r="AB150" s="72">
        <f ca="1">mult_opex * var_bo*E150</f>
        <v>0</v>
      </c>
      <c r="AC150" s="72">
        <f ca="1">mult_opex * var_mcf*F150</f>
        <v>0</v>
      </c>
      <c r="AD150" s="72">
        <f ca="1">mult_opex * var_bw * G150</f>
        <v>8.1072399375393829</v>
      </c>
      <c r="AE150" s="72">
        <f ca="1">SUM(AB150:AD150)*WI_current_1</f>
        <v>8.1072399375393829</v>
      </c>
      <c r="AF150" s="73">
        <f ca="1">mult_capex * IFERROR(OFFSET(assumptions!$F$39,MATCH(B150,assumptions!$E$39:$E$45,0)-1,0),0)</f>
        <v>0</v>
      </c>
      <c r="AG150" s="75">
        <f ca="1">mult_capex * capex_new*WI_current_1 *'forecast production'!I151</f>
        <v>0</v>
      </c>
      <c r="AH150" s="146">
        <f t="shared" ca="1" si="69"/>
        <v>0</v>
      </c>
      <c r="AI150" s="73">
        <f t="shared" ca="1" si="62"/>
        <v>661.13675818997149</v>
      </c>
      <c r="AJ150" s="72">
        <f t="shared" ca="1" si="63"/>
        <v>293.58058823279606</v>
      </c>
      <c r="AK150" s="72">
        <f t="shared" ca="1" si="70"/>
        <v>954.7173464227676</v>
      </c>
      <c r="AL150" s="73">
        <f t="shared" ca="1" si="64"/>
        <v>4780.398942951535</v>
      </c>
      <c r="AM150" s="132">
        <f ca="1">IF(X150*(lease_NRI/J150)  - (Z150+Y150+AB150+AC150+AD150)  - (AK150)*(lease_NRI/J150)&gt;0,1,0)</f>
        <v>1</v>
      </c>
      <c r="AN150" s="73">
        <f t="shared" ca="1" si="71"/>
        <v>4780.398942951535</v>
      </c>
      <c r="AO150" s="75">
        <f t="shared" ca="1" si="76"/>
        <v>2144290.0908071795</v>
      </c>
      <c r="AP150" s="72">
        <f ca="1">AL150  /  ( 1 + disc_1/12)^(COUNT($AL$6:AL150)-1)</f>
        <v>1447.0057169980139</v>
      </c>
      <c r="AQ150" s="72">
        <f t="shared" ca="1" si="77"/>
        <v>1518905.5323749208</v>
      </c>
      <c r="AS150" s="303">
        <f t="shared" ca="1" si="72"/>
        <v>1</v>
      </c>
      <c r="AT150" s="300">
        <f ca="1">IFERROR(IRR($AN$6:AN150)*12,0)</f>
        <v>0</v>
      </c>
      <c r="AU150" s="297">
        <f t="shared" ca="1" si="73"/>
        <v>0</v>
      </c>
      <c r="AV150" s="303">
        <f t="shared" ca="1" si="74"/>
        <v>0</v>
      </c>
    </row>
    <row r="151" spans="2:48" x14ac:dyDescent="0.25">
      <c r="B151" s="43">
        <f t="shared" si="75"/>
        <v>48611</v>
      </c>
      <c r="C151" s="79">
        <f t="shared" si="65"/>
        <v>2033</v>
      </c>
      <c r="D151" s="64">
        <f ca="1">wellcount_base  +  SUM('forecast production'!I$7:I152)</f>
        <v>1</v>
      </c>
      <c r="E151" s="110">
        <f ca="1">'forecast production'!AE152</f>
        <v>172.48226843944786</v>
      </c>
      <c r="F151" s="98">
        <f ca="1">'forecast production'!AF152</f>
        <v>990.23942776404715</v>
      </c>
      <c r="G151" s="98">
        <f ca="1">'forecast production'!AG152</f>
        <v>3.5335940995734276</v>
      </c>
      <c r="H151" s="98">
        <f ca="1">'forecast production'!AH152</f>
        <v>148.53591416460708</v>
      </c>
      <c r="I151" s="307">
        <f t="shared" ca="1" si="66"/>
        <v>1</v>
      </c>
      <c r="J151" s="306">
        <f t="shared" ca="1" si="67"/>
        <v>0.75</v>
      </c>
      <c r="K151" s="112">
        <f t="shared" ca="1" si="52"/>
        <v>129.36170132958591</v>
      </c>
      <c r="L151" s="98">
        <f t="shared" ca="1" si="53"/>
        <v>557.00967811727651</v>
      </c>
      <c r="M151" s="98">
        <f t="shared" ca="1" si="54"/>
        <v>2.6501955746800707</v>
      </c>
      <c r="N151" s="98">
        <f t="shared" ca="1" si="55"/>
        <v>111.4019356234553</v>
      </c>
      <c r="O151" s="67">
        <f>assumptions!M155</f>
        <v>55</v>
      </c>
      <c r="P151" s="68">
        <f>assumptions!N155</f>
        <v>3</v>
      </c>
      <c r="Q151" s="68">
        <f>assumptions!O155</f>
        <v>22</v>
      </c>
      <c r="R151" s="67">
        <f t="shared" si="56"/>
        <v>52.5</v>
      </c>
      <c r="S151" s="68">
        <f t="shared" si="57"/>
        <v>2.3275000000000001</v>
      </c>
      <c r="T151" s="68">
        <f t="shared" si="58"/>
        <v>22</v>
      </c>
      <c r="U151" s="73">
        <f t="shared" ca="1" si="59"/>
        <v>6791.4893198032605</v>
      </c>
      <c r="V151" s="72">
        <f t="shared" ca="1" si="60"/>
        <v>1296.4400258179612</v>
      </c>
      <c r="W151" s="72">
        <f t="shared" ca="1" si="61"/>
        <v>2450.8425837160166</v>
      </c>
      <c r="X151" s="72">
        <f t="shared" ca="1" si="68"/>
        <v>10538.771929337239</v>
      </c>
      <c r="Y151" s="73">
        <f>mult_opex * fixed_month</f>
        <v>1000</v>
      </c>
      <c r="Z151" s="72">
        <f ca="1">mult_opex * fixed_well *D151</f>
        <v>5000</v>
      </c>
      <c r="AA151" s="72">
        <f ca="1">(Z151+Y151)*WI_current_1</f>
        <v>6000</v>
      </c>
      <c r="AB151" s="72">
        <f ca="1">mult_opex * var_bo*E151</f>
        <v>0</v>
      </c>
      <c r="AC151" s="72">
        <f ca="1">mult_opex * var_mcf*F151</f>
        <v>0</v>
      </c>
      <c r="AD151" s="72">
        <f ca="1">mult_opex * var_bw * G151</f>
        <v>7.0671881991468553</v>
      </c>
      <c r="AE151" s="72">
        <f ca="1">SUM(AB151:AD151)*WI_current_1</f>
        <v>7.0671881991468553</v>
      </c>
      <c r="AF151" s="73">
        <f ca="1">mult_capex * IFERROR(OFFSET(assumptions!$F$39,MATCH(B151,assumptions!$E$39:$E$45,0)-1,0),0)</f>
        <v>0</v>
      </c>
      <c r="AG151" s="75">
        <f ca="1">mult_capex * capex_new*WI_current_1 *'forecast production'!I152</f>
        <v>0</v>
      </c>
      <c r="AH151" s="146">
        <f t="shared" ca="1" si="69"/>
        <v>0</v>
      </c>
      <c r="AI151" s="73">
        <f t="shared" ca="1" si="62"/>
        <v>593.45470442599833</v>
      </c>
      <c r="AJ151" s="72">
        <f t="shared" ca="1" si="63"/>
        <v>263.469298233431</v>
      </c>
      <c r="AK151" s="72">
        <f t="shared" ca="1" si="70"/>
        <v>856.92400265942933</v>
      </c>
      <c r="AL151" s="73">
        <f t="shared" ca="1" si="64"/>
        <v>3674.7807384786629</v>
      </c>
      <c r="AM151" s="132">
        <f ca="1">IF(X151*(lease_NRI/J151)  - (Z151+Y151+AB151+AC151+AD151)  - (AK151)*(lease_NRI/J151)&gt;0,1,0)</f>
        <v>1</v>
      </c>
      <c r="AN151" s="73">
        <f t="shared" ca="1" si="71"/>
        <v>3674.7807384786629</v>
      </c>
      <c r="AO151" s="75">
        <f t="shared" ca="1" si="76"/>
        <v>2147964.871545658</v>
      </c>
      <c r="AP151" s="72">
        <f ca="1">AL151  /  ( 1 + disc_1/12)^(COUNT($AL$6:AL151)-1)</f>
        <v>1103.1470611934094</v>
      </c>
      <c r="AQ151" s="72">
        <f t="shared" ca="1" si="77"/>
        <v>1520008.6794361142</v>
      </c>
      <c r="AS151" s="303">
        <f t="shared" ca="1" si="72"/>
        <v>1</v>
      </c>
      <c r="AT151" s="300">
        <f ca="1">IFERROR(IRR($AN$6:AN151)*12,0)</f>
        <v>0</v>
      </c>
      <c r="AU151" s="297">
        <f t="shared" ca="1" si="73"/>
        <v>0</v>
      </c>
      <c r="AV151" s="303">
        <f t="shared" ca="1" si="74"/>
        <v>0</v>
      </c>
    </row>
    <row r="152" spans="2:48" x14ac:dyDescent="0.25">
      <c r="B152" s="43">
        <f t="shared" si="75"/>
        <v>48639</v>
      </c>
      <c r="C152" s="79">
        <f t="shared" si="65"/>
        <v>2033</v>
      </c>
      <c r="D152" s="64">
        <f ca="1">wellcount_base  +  SUM('forecast production'!I$7:I153)</f>
        <v>1</v>
      </c>
      <c r="E152" s="110">
        <f ca="1">'forecast production'!AE153</f>
        <v>189.7449375695538</v>
      </c>
      <c r="F152" s="98">
        <f ca="1">'forecast production'!AF153</f>
        <v>1091.1449623763144</v>
      </c>
      <c r="G152" s="98">
        <f ca="1">'forecast production'!AG153</f>
        <v>3.7887198194083576</v>
      </c>
      <c r="H152" s="98">
        <f ca="1">'forecast production'!AH153</f>
        <v>163.67174435644716</v>
      </c>
      <c r="I152" s="307">
        <f t="shared" ca="1" si="66"/>
        <v>1</v>
      </c>
      <c r="J152" s="306">
        <f t="shared" ca="1" si="67"/>
        <v>0.75</v>
      </c>
      <c r="K152" s="112">
        <f t="shared" ca="1" si="52"/>
        <v>142.30870317716534</v>
      </c>
      <c r="L152" s="98">
        <f t="shared" ca="1" si="53"/>
        <v>613.76904133667676</v>
      </c>
      <c r="M152" s="98">
        <f t="shared" ca="1" si="54"/>
        <v>2.8415398645562684</v>
      </c>
      <c r="N152" s="98">
        <f t="shared" ca="1" si="55"/>
        <v>122.75380826733537</v>
      </c>
      <c r="O152" s="67">
        <f>assumptions!M156</f>
        <v>55</v>
      </c>
      <c r="P152" s="68">
        <f>assumptions!N156</f>
        <v>3</v>
      </c>
      <c r="Q152" s="68">
        <f>assumptions!O156</f>
        <v>22</v>
      </c>
      <c r="R152" s="67">
        <f t="shared" si="56"/>
        <v>52.5</v>
      </c>
      <c r="S152" s="68">
        <f t="shared" si="57"/>
        <v>2.3275000000000001</v>
      </c>
      <c r="T152" s="68">
        <f t="shared" si="58"/>
        <v>22</v>
      </c>
      <c r="U152" s="73">
        <f t="shared" ca="1" si="59"/>
        <v>7471.2069168011803</v>
      </c>
      <c r="V152" s="72">
        <f t="shared" ca="1" si="60"/>
        <v>1428.5474437111152</v>
      </c>
      <c r="W152" s="72">
        <f t="shared" ca="1" si="61"/>
        <v>2700.5837818813784</v>
      </c>
      <c r="X152" s="72">
        <f t="shared" ca="1" si="68"/>
        <v>11600.338142393673</v>
      </c>
      <c r="Y152" s="73">
        <f>mult_opex * fixed_month</f>
        <v>1000</v>
      </c>
      <c r="Z152" s="72">
        <f ca="1">mult_opex * fixed_well *D152</f>
        <v>5000</v>
      </c>
      <c r="AA152" s="72">
        <f ca="1">(Z152+Y152)*WI_current_1</f>
        <v>6000</v>
      </c>
      <c r="AB152" s="72">
        <f ca="1">mult_opex * var_bo*E152</f>
        <v>0</v>
      </c>
      <c r="AC152" s="72">
        <f ca="1">mult_opex * var_mcf*F152</f>
        <v>0</v>
      </c>
      <c r="AD152" s="72">
        <f ca="1">mult_opex * var_bw * G152</f>
        <v>7.5774396388167151</v>
      </c>
      <c r="AE152" s="72">
        <f ca="1">SUM(AB152:AD152)*WI_current_1</f>
        <v>7.5774396388167151</v>
      </c>
      <c r="AF152" s="73">
        <f ca="1">mult_capex * IFERROR(OFFSET(assumptions!$F$39,MATCH(B152,assumptions!$E$39:$E$45,0)-1,0),0)</f>
        <v>0</v>
      </c>
      <c r="AG152" s="75">
        <f ca="1">mult_capex * capex_new*WI_current_1 *'forecast production'!I153</f>
        <v>0</v>
      </c>
      <c r="AH152" s="146">
        <f t="shared" ca="1" si="69"/>
        <v>0</v>
      </c>
      <c r="AI152" s="73">
        <f t="shared" ca="1" si="62"/>
        <v>653.36036009229133</v>
      </c>
      <c r="AJ152" s="72">
        <f t="shared" ca="1" si="63"/>
        <v>290.00845355984183</v>
      </c>
      <c r="AK152" s="72">
        <f t="shared" ca="1" si="70"/>
        <v>943.36881365213321</v>
      </c>
      <c r="AL152" s="73">
        <f t="shared" ca="1" si="64"/>
        <v>4649.3918891027242</v>
      </c>
      <c r="AM152" s="132">
        <f ca="1">IF(X152*(lease_NRI/J152)  - (Z152+Y152+AB152+AC152+AD152)  - (AK152)*(lease_NRI/J152)&gt;0,1,0)</f>
        <v>1</v>
      </c>
      <c r="AN152" s="73">
        <f t="shared" ca="1" si="71"/>
        <v>4649.3918891027242</v>
      </c>
      <c r="AO152" s="75">
        <f t="shared" ca="1" si="76"/>
        <v>2152614.2634347607</v>
      </c>
      <c r="AP152" s="72">
        <f ca="1">AL152  /  ( 1 + disc_1/12)^(COUNT($AL$6:AL152)-1)</f>
        <v>1384.184591363927</v>
      </c>
      <c r="AQ152" s="72">
        <f t="shared" ca="1" si="77"/>
        <v>1521392.864027478</v>
      </c>
      <c r="AS152" s="303">
        <f t="shared" ca="1" si="72"/>
        <v>1</v>
      </c>
      <c r="AT152" s="300">
        <f ca="1">IFERROR(IRR($AN$6:AN152)*12,0)</f>
        <v>0</v>
      </c>
      <c r="AU152" s="297">
        <f t="shared" ca="1" si="73"/>
        <v>0</v>
      </c>
      <c r="AV152" s="303">
        <f t="shared" ca="1" si="74"/>
        <v>0</v>
      </c>
    </row>
    <row r="153" spans="2:48" x14ac:dyDescent="0.25">
      <c r="B153" s="43">
        <f t="shared" si="75"/>
        <v>48670</v>
      </c>
      <c r="C153" s="79">
        <f t="shared" si="65"/>
        <v>2033</v>
      </c>
      <c r="D153" s="64">
        <f ca="1">wellcount_base  +  SUM('forecast production'!I$7:I154)</f>
        <v>1</v>
      </c>
      <c r="E153" s="110">
        <f ca="1">'forecast production'!AE154</f>
        <v>182.32835099299817</v>
      </c>
      <c r="F153" s="98">
        <f ca="1">'forecast production'!AF154</f>
        <v>1050.412112259459</v>
      </c>
      <c r="G153" s="98">
        <f ca="1">'forecast production'!AG154</f>
        <v>3.5386251003313429</v>
      </c>
      <c r="H153" s="98">
        <f ca="1">'forecast production'!AH154</f>
        <v>157.56181683891884</v>
      </c>
      <c r="I153" s="307">
        <f t="shared" ca="1" si="66"/>
        <v>1</v>
      </c>
      <c r="J153" s="306">
        <f t="shared" ca="1" si="67"/>
        <v>0.75</v>
      </c>
      <c r="K153" s="112">
        <f t="shared" ca="1" si="52"/>
        <v>136.74626324474863</v>
      </c>
      <c r="L153" s="98">
        <f t="shared" ca="1" si="53"/>
        <v>590.85681314594581</v>
      </c>
      <c r="M153" s="98">
        <f t="shared" ca="1" si="54"/>
        <v>2.6539688252485072</v>
      </c>
      <c r="N153" s="98">
        <f t="shared" ca="1" si="55"/>
        <v>118.17136262918913</v>
      </c>
      <c r="O153" s="67">
        <f>assumptions!M157</f>
        <v>55</v>
      </c>
      <c r="P153" s="68">
        <f>assumptions!N157</f>
        <v>3</v>
      </c>
      <c r="Q153" s="68">
        <f>assumptions!O157</f>
        <v>22</v>
      </c>
      <c r="R153" s="67">
        <f t="shared" si="56"/>
        <v>52.5</v>
      </c>
      <c r="S153" s="68">
        <f t="shared" si="57"/>
        <v>2.3275000000000001</v>
      </c>
      <c r="T153" s="68">
        <f t="shared" si="58"/>
        <v>22</v>
      </c>
      <c r="U153" s="73">
        <f t="shared" ca="1" si="59"/>
        <v>7179.1788203493034</v>
      </c>
      <c r="V153" s="72">
        <f t="shared" ca="1" si="60"/>
        <v>1375.2192325971889</v>
      </c>
      <c r="W153" s="72">
        <f t="shared" ca="1" si="61"/>
        <v>2599.7699778421611</v>
      </c>
      <c r="X153" s="72">
        <f t="shared" ca="1" si="68"/>
        <v>11154.168030788653</v>
      </c>
      <c r="Y153" s="73">
        <f>mult_opex * fixed_month</f>
        <v>1000</v>
      </c>
      <c r="Z153" s="72">
        <f ca="1">mult_opex * fixed_well *D153</f>
        <v>5000</v>
      </c>
      <c r="AA153" s="72">
        <f ca="1">(Z153+Y153)*WI_current_1</f>
        <v>6000</v>
      </c>
      <c r="AB153" s="72">
        <f ca="1">mult_opex * var_bo*E153</f>
        <v>0</v>
      </c>
      <c r="AC153" s="72">
        <f ca="1">mult_opex * var_mcf*F153</f>
        <v>0</v>
      </c>
      <c r="AD153" s="72">
        <f ca="1">mult_opex * var_bw * G153</f>
        <v>7.0772502006626858</v>
      </c>
      <c r="AE153" s="72">
        <f ca="1">SUM(AB153:AD153)*WI_current_1</f>
        <v>7.0772502006626858</v>
      </c>
      <c r="AF153" s="73">
        <f ca="1">mult_capex * IFERROR(OFFSET(assumptions!$F$39,MATCH(B153,assumptions!$E$39:$E$45,0)-1,0),0)</f>
        <v>0</v>
      </c>
      <c r="AG153" s="75">
        <f ca="1">mult_capex * capex_new*WI_current_1 *'forecast production'!I154</f>
        <v>0</v>
      </c>
      <c r="AH153" s="146">
        <f t="shared" ca="1" si="69"/>
        <v>0</v>
      </c>
      <c r="AI153" s="73">
        <f t="shared" ca="1" si="62"/>
        <v>628.36641651901914</v>
      </c>
      <c r="AJ153" s="72">
        <f t="shared" ca="1" si="63"/>
        <v>278.85420076971633</v>
      </c>
      <c r="AK153" s="72">
        <f t="shared" ca="1" si="70"/>
        <v>907.22061728873541</v>
      </c>
      <c r="AL153" s="73">
        <f t="shared" ca="1" si="64"/>
        <v>4239.8701632992561</v>
      </c>
      <c r="AM153" s="132">
        <f ca="1">IF(X153*(lease_NRI/J153)  - (Z153+Y153+AB153+AC153+AD153)  - (AK153)*(lease_NRI/J153)&gt;0,1,0)</f>
        <v>1</v>
      </c>
      <c r="AN153" s="73">
        <f t="shared" ca="1" si="71"/>
        <v>4239.8701632992561</v>
      </c>
      <c r="AO153" s="75">
        <f t="shared" ca="1" si="76"/>
        <v>2156854.1335980599</v>
      </c>
      <c r="AP153" s="72">
        <f ca="1">AL153  /  ( 1 + disc_1/12)^(COUNT($AL$6:AL153)-1)</f>
        <v>1251.8326944924413</v>
      </c>
      <c r="AQ153" s="72">
        <f t="shared" ca="1" si="77"/>
        <v>1522644.6967219706</v>
      </c>
      <c r="AS153" s="303">
        <f t="shared" ca="1" si="72"/>
        <v>1</v>
      </c>
      <c r="AT153" s="300">
        <f ca="1">IFERROR(IRR($AN$6:AN153)*12,0)</f>
        <v>0</v>
      </c>
      <c r="AU153" s="297">
        <f t="shared" ca="1" si="73"/>
        <v>0</v>
      </c>
      <c r="AV153" s="303">
        <f t="shared" ca="1" si="74"/>
        <v>0</v>
      </c>
    </row>
    <row r="154" spans="2:48" x14ac:dyDescent="0.25">
      <c r="B154" s="43">
        <f t="shared" si="75"/>
        <v>48700</v>
      </c>
      <c r="C154" s="79">
        <f t="shared" si="65"/>
        <v>2033</v>
      </c>
      <c r="D154" s="64">
        <f ca="1">wellcount_base  +  SUM('forecast production'!I$7:I155)</f>
        <v>1</v>
      </c>
      <c r="E154" s="110">
        <f ca="1">'forecast production'!AE155</f>
        <v>187.119177712577</v>
      </c>
      <c r="F154" s="98">
        <f ca="1">'forecast production'!AF155</f>
        <v>1079.9197666468731</v>
      </c>
      <c r="G154" s="98">
        <f ca="1">'forecast production'!AG155</f>
        <v>3.5331122832889768</v>
      </c>
      <c r="H154" s="98">
        <f ca="1">'forecast production'!AH155</f>
        <v>161.98796499703096</v>
      </c>
      <c r="I154" s="307">
        <f t="shared" ca="1" si="66"/>
        <v>1</v>
      </c>
      <c r="J154" s="306">
        <f t="shared" ca="1" si="67"/>
        <v>0.75</v>
      </c>
      <c r="K154" s="112">
        <f t="shared" ca="1" si="52"/>
        <v>140.33938328443276</v>
      </c>
      <c r="L154" s="98">
        <f t="shared" ca="1" si="53"/>
        <v>607.45486873886614</v>
      </c>
      <c r="M154" s="98">
        <f t="shared" ca="1" si="54"/>
        <v>2.6498342124667325</v>
      </c>
      <c r="N154" s="98">
        <f t="shared" ca="1" si="55"/>
        <v>121.49097374777321</v>
      </c>
      <c r="O154" s="67">
        <f>assumptions!M158</f>
        <v>55</v>
      </c>
      <c r="P154" s="68">
        <f>assumptions!N158</f>
        <v>3</v>
      </c>
      <c r="Q154" s="68">
        <f>assumptions!O158</f>
        <v>22</v>
      </c>
      <c r="R154" s="67">
        <f t="shared" si="56"/>
        <v>52.5</v>
      </c>
      <c r="S154" s="68">
        <f t="shared" si="57"/>
        <v>2.3275000000000001</v>
      </c>
      <c r="T154" s="68">
        <f t="shared" si="58"/>
        <v>22</v>
      </c>
      <c r="U154" s="73">
        <f t="shared" ca="1" si="59"/>
        <v>7367.8176224327199</v>
      </c>
      <c r="V154" s="72">
        <f t="shared" ca="1" si="60"/>
        <v>1413.851206989711</v>
      </c>
      <c r="W154" s="72">
        <f t="shared" ca="1" si="61"/>
        <v>2672.8014224510107</v>
      </c>
      <c r="X154" s="72">
        <f t="shared" ca="1" si="68"/>
        <v>11454.470251873441</v>
      </c>
      <c r="Y154" s="73">
        <f>mult_opex * fixed_month</f>
        <v>1000</v>
      </c>
      <c r="Z154" s="72">
        <f ca="1">mult_opex * fixed_well *D154</f>
        <v>5000</v>
      </c>
      <c r="AA154" s="72">
        <f ca="1">(Z154+Y154)*WI_current_1</f>
        <v>6000</v>
      </c>
      <c r="AB154" s="72">
        <f ca="1">mult_opex * var_bo*E154</f>
        <v>0</v>
      </c>
      <c r="AC154" s="72">
        <f ca="1">mult_opex * var_mcf*F154</f>
        <v>0</v>
      </c>
      <c r="AD154" s="72">
        <f ca="1">mult_opex * var_bw * G154</f>
        <v>7.0662245665779535</v>
      </c>
      <c r="AE154" s="72">
        <f ca="1">SUM(AB154:AD154)*WI_current_1</f>
        <v>7.0662245665779535</v>
      </c>
      <c r="AF154" s="73">
        <f ca="1">mult_capex * IFERROR(OFFSET(assumptions!$F$39,MATCH(B154,assumptions!$E$39:$E$45,0)-1,0),0)</f>
        <v>0</v>
      </c>
      <c r="AG154" s="75">
        <f ca="1">mult_capex * capex_new*WI_current_1 *'forecast production'!I155</f>
        <v>0</v>
      </c>
      <c r="AH154" s="146">
        <f t="shared" ca="1" si="69"/>
        <v>0</v>
      </c>
      <c r="AI154" s="73">
        <f t="shared" ca="1" si="62"/>
        <v>645.41855783995925</v>
      </c>
      <c r="AJ154" s="72">
        <f t="shared" ca="1" si="63"/>
        <v>286.36175629683606</v>
      </c>
      <c r="AK154" s="72">
        <f t="shared" ca="1" si="70"/>
        <v>931.78031413679537</v>
      </c>
      <c r="AL154" s="73">
        <f t="shared" ca="1" si="64"/>
        <v>4515.6237131700691</v>
      </c>
      <c r="AM154" s="132">
        <f ca="1">IF(X154*(lease_NRI/J154)  - (Z154+Y154+AB154+AC154+AD154)  - (AK154)*(lease_NRI/J154)&gt;0,1,0)</f>
        <v>1</v>
      </c>
      <c r="AN154" s="73">
        <f t="shared" ca="1" si="71"/>
        <v>4515.6237131700691</v>
      </c>
      <c r="AO154" s="75">
        <f t="shared" ca="1" si="76"/>
        <v>2161369.7573112301</v>
      </c>
      <c r="AP154" s="72">
        <f ca="1">AL154  /  ( 1 + disc_1/12)^(COUNT($AL$6:AL154)-1)</f>
        <v>1322.2310552566198</v>
      </c>
      <c r="AQ154" s="72">
        <f t="shared" ca="1" si="77"/>
        <v>1523966.9277772272</v>
      </c>
      <c r="AS154" s="303">
        <f t="shared" ca="1" si="72"/>
        <v>1</v>
      </c>
      <c r="AT154" s="300">
        <f ca="1">IFERROR(IRR($AN$6:AN154)*12,0)</f>
        <v>0</v>
      </c>
      <c r="AU154" s="297">
        <f t="shared" ca="1" si="73"/>
        <v>0</v>
      </c>
      <c r="AV154" s="303">
        <f t="shared" ca="1" si="74"/>
        <v>0</v>
      </c>
    </row>
    <row r="155" spans="2:48" x14ac:dyDescent="0.25">
      <c r="B155" s="43">
        <f t="shared" si="75"/>
        <v>48731</v>
      </c>
      <c r="C155" s="79">
        <f t="shared" si="65"/>
        <v>2033</v>
      </c>
      <c r="D155" s="64">
        <f ca="1">wellcount_base  +  SUM('forecast production'!I$7:I156)</f>
        <v>1</v>
      </c>
      <c r="E155" s="110">
        <f ca="1">'forecast production'!AE156</f>
        <v>179.80522457414074</v>
      </c>
      <c r="F155" s="98">
        <f ca="1">'forecast production'!AF156</f>
        <v>1039.6059572908196</v>
      </c>
      <c r="G155" s="98">
        <f ca="1">'forecast production'!AG156</f>
        <v>3.29993120928859</v>
      </c>
      <c r="H155" s="98">
        <f ca="1">'forecast production'!AH156</f>
        <v>155.94089359362295</v>
      </c>
      <c r="I155" s="307">
        <f t="shared" ca="1" si="66"/>
        <v>1</v>
      </c>
      <c r="J155" s="306">
        <f t="shared" ca="1" si="67"/>
        <v>0.75</v>
      </c>
      <c r="K155" s="112">
        <f t="shared" ca="1" si="52"/>
        <v>134.85391843060555</v>
      </c>
      <c r="L155" s="98">
        <f t="shared" ca="1" si="53"/>
        <v>584.7783509760859</v>
      </c>
      <c r="M155" s="98">
        <f t="shared" ca="1" si="54"/>
        <v>2.4749484069664422</v>
      </c>
      <c r="N155" s="98">
        <f t="shared" ca="1" si="55"/>
        <v>116.95567019521721</v>
      </c>
      <c r="O155" s="67">
        <f>assumptions!M159</f>
        <v>55</v>
      </c>
      <c r="P155" s="68">
        <f>assumptions!N159</f>
        <v>3</v>
      </c>
      <c r="Q155" s="68">
        <f>assumptions!O159</f>
        <v>22</v>
      </c>
      <c r="R155" s="67">
        <f t="shared" si="56"/>
        <v>52.5</v>
      </c>
      <c r="S155" s="68">
        <f t="shared" si="57"/>
        <v>2.3275000000000001</v>
      </c>
      <c r="T155" s="68">
        <f t="shared" si="58"/>
        <v>22</v>
      </c>
      <c r="U155" s="73">
        <f t="shared" ca="1" si="59"/>
        <v>7079.830717606791</v>
      </c>
      <c r="V155" s="72">
        <f t="shared" ca="1" si="60"/>
        <v>1361.0716118968401</v>
      </c>
      <c r="W155" s="72">
        <f t="shared" ca="1" si="61"/>
        <v>2573.0247442947784</v>
      </c>
      <c r="X155" s="72">
        <f t="shared" ca="1" si="68"/>
        <v>11013.92707379841</v>
      </c>
      <c r="Y155" s="73">
        <f>mult_opex * fixed_month</f>
        <v>1000</v>
      </c>
      <c r="Z155" s="72">
        <f ca="1">mult_opex * fixed_well *D155</f>
        <v>5000</v>
      </c>
      <c r="AA155" s="72">
        <f ca="1">(Z155+Y155)*WI_current_1</f>
        <v>6000</v>
      </c>
      <c r="AB155" s="72">
        <f ca="1">mult_opex * var_bo*E155</f>
        <v>0</v>
      </c>
      <c r="AC155" s="72">
        <f ca="1">mult_opex * var_mcf*F155</f>
        <v>0</v>
      </c>
      <c r="AD155" s="72">
        <f ca="1">mult_opex * var_bw * G155</f>
        <v>6.5998624185771799</v>
      </c>
      <c r="AE155" s="72">
        <f ca="1">SUM(AB155:AD155)*WI_current_1</f>
        <v>6.5998624185771799</v>
      </c>
      <c r="AF155" s="73">
        <f ca="1">mult_capex * IFERROR(OFFSET(assumptions!$F$39,MATCH(B155,assumptions!$E$39:$E$45,0)-1,0),0)</f>
        <v>0</v>
      </c>
      <c r="AG155" s="75">
        <f ca="1">mult_capex * capex_new*WI_current_1 *'forecast production'!I156</f>
        <v>0</v>
      </c>
      <c r="AH155" s="146">
        <f t="shared" ca="1" si="69"/>
        <v>0</v>
      </c>
      <c r="AI155" s="73">
        <f t="shared" ca="1" si="62"/>
        <v>620.72943972428379</v>
      </c>
      <c r="AJ155" s="72">
        <f t="shared" ca="1" si="63"/>
        <v>275.34817684496028</v>
      </c>
      <c r="AK155" s="72">
        <f t="shared" ca="1" si="70"/>
        <v>896.07761656924413</v>
      </c>
      <c r="AL155" s="73">
        <f t="shared" ca="1" si="64"/>
        <v>4111.249594810588</v>
      </c>
      <c r="AM155" s="132">
        <f ca="1">IF(X155*(lease_NRI/J155)  - (Z155+Y155+AB155+AC155+AD155)  - (AK155)*(lease_NRI/J155)&gt;0,1,0)</f>
        <v>1</v>
      </c>
      <c r="AN155" s="73">
        <f t="shared" ca="1" si="71"/>
        <v>4111.249594810588</v>
      </c>
      <c r="AO155" s="75">
        <f t="shared" ca="1" si="76"/>
        <v>2165481.0069060405</v>
      </c>
      <c r="AP155" s="72">
        <f ca="1">AL155  /  ( 1 + disc_1/12)^(COUNT($AL$6:AL155)-1)</f>
        <v>1193.8762908213803</v>
      </c>
      <c r="AQ155" s="72">
        <f t="shared" ca="1" si="77"/>
        <v>1525160.8040680487</v>
      </c>
      <c r="AS155" s="303">
        <f t="shared" ca="1" si="72"/>
        <v>1</v>
      </c>
      <c r="AT155" s="300">
        <f ca="1">IFERROR(IRR($AN$6:AN155)*12,0)</f>
        <v>0</v>
      </c>
      <c r="AU155" s="297">
        <f t="shared" ca="1" si="73"/>
        <v>0</v>
      </c>
      <c r="AV155" s="303">
        <f t="shared" ca="1" si="74"/>
        <v>0</v>
      </c>
    </row>
    <row r="156" spans="2:48" x14ac:dyDescent="0.25">
      <c r="B156" s="43">
        <f t="shared" si="75"/>
        <v>48761</v>
      </c>
      <c r="C156" s="79">
        <f t="shared" si="65"/>
        <v>2033</v>
      </c>
      <c r="D156" s="64">
        <f ca="1">wellcount_base  +  SUM('forecast production'!I$7:I157)</f>
        <v>1</v>
      </c>
      <c r="E156" s="110">
        <f ca="1">'forecast production'!AE157</f>
        <v>184.5297540810343</v>
      </c>
      <c r="F156" s="98">
        <f ca="1">'forecast production'!AF157</f>
        <v>1068.8100505498444</v>
      </c>
      <c r="G156" s="98">
        <f ca="1">'forecast production'!AG157</f>
        <v>3.2948297608821506</v>
      </c>
      <c r="H156" s="98">
        <f ca="1">'forecast production'!AH157</f>
        <v>160.32150758247667</v>
      </c>
      <c r="I156" s="307">
        <f t="shared" ca="1" si="66"/>
        <v>1</v>
      </c>
      <c r="J156" s="306">
        <f t="shared" ca="1" si="67"/>
        <v>0.75</v>
      </c>
      <c r="K156" s="112">
        <f t="shared" ca="1" si="52"/>
        <v>138.39731556077572</v>
      </c>
      <c r="L156" s="98">
        <f t="shared" ca="1" si="53"/>
        <v>601.20565343428757</v>
      </c>
      <c r="M156" s="98">
        <f t="shared" ca="1" si="54"/>
        <v>2.4711223206616131</v>
      </c>
      <c r="N156" s="98">
        <f t="shared" ca="1" si="55"/>
        <v>120.2411306868575</v>
      </c>
      <c r="O156" s="67">
        <f>assumptions!M160</f>
        <v>55</v>
      </c>
      <c r="P156" s="68">
        <f>assumptions!N160</f>
        <v>3</v>
      </c>
      <c r="Q156" s="68">
        <f>assumptions!O160</f>
        <v>22</v>
      </c>
      <c r="R156" s="67">
        <f t="shared" si="56"/>
        <v>52.5</v>
      </c>
      <c r="S156" s="68">
        <f t="shared" si="57"/>
        <v>2.3275000000000001</v>
      </c>
      <c r="T156" s="68">
        <f t="shared" si="58"/>
        <v>22</v>
      </c>
      <c r="U156" s="73">
        <f t="shared" ca="1" si="59"/>
        <v>7265.8590669407258</v>
      </c>
      <c r="V156" s="72">
        <f t="shared" ca="1" si="60"/>
        <v>1399.3061583683043</v>
      </c>
      <c r="W156" s="72">
        <f t="shared" ca="1" si="61"/>
        <v>2645.3048751108649</v>
      </c>
      <c r="X156" s="72">
        <f t="shared" ca="1" si="68"/>
        <v>11310.470100419896</v>
      </c>
      <c r="Y156" s="73">
        <f>mult_opex * fixed_month</f>
        <v>1000</v>
      </c>
      <c r="Z156" s="72">
        <f ca="1">mult_opex * fixed_well *D156</f>
        <v>5000</v>
      </c>
      <c r="AA156" s="72">
        <f ca="1">(Z156+Y156)*WI_current_1</f>
        <v>6000</v>
      </c>
      <c r="AB156" s="72">
        <f ca="1">mult_opex * var_bo*E156</f>
        <v>0</v>
      </c>
      <c r="AC156" s="72">
        <f ca="1">mult_opex * var_mcf*F156</f>
        <v>0</v>
      </c>
      <c r="AD156" s="72">
        <f ca="1">mult_opex * var_bw * G156</f>
        <v>6.5896595217643013</v>
      </c>
      <c r="AE156" s="72">
        <f ca="1">SUM(AB156:AD156)*WI_current_1</f>
        <v>6.5896595217643013</v>
      </c>
      <c r="AF156" s="73">
        <f ca="1">mult_capex * IFERROR(OFFSET(assumptions!$F$39,MATCH(B156,assumptions!$E$39:$E$45,0)-1,0),0)</f>
        <v>0</v>
      </c>
      <c r="AG156" s="75">
        <f ca="1">mult_capex * capex_new*WI_current_1 *'forecast production'!I157</f>
        <v>0</v>
      </c>
      <c r="AH156" s="146">
        <f t="shared" ca="1" si="69"/>
        <v>0</v>
      </c>
      <c r="AI156" s="73">
        <f t="shared" ca="1" si="62"/>
        <v>637.57534459021099</v>
      </c>
      <c r="AJ156" s="72">
        <f t="shared" ca="1" si="63"/>
        <v>282.76175251049739</v>
      </c>
      <c r="AK156" s="72">
        <f t="shared" ca="1" si="70"/>
        <v>920.33709710070843</v>
      </c>
      <c r="AL156" s="73">
        <f t="shared" ca="1" si="64"/>
        <v>4383.5433437974243</v>
      </c>
      <c r="AM156" s="132">
        <f ca="1">IF(X156*(lease_NRI/J156)  - (Z156+Y156+AB156+AC156+AD156)  - (AK156)*(lease_NRI/J156)&gt;0,1,0)</f>
        <v>1</v>
      </c>
      <c r="AN156" s="73">
        <f t="shared" ca="1" si="71"/>
        <v>4383.5433437974243</v>
      </c>
      <c r="AO156" s="75">
        <f t="shared" ca="1" si="76"/>
        <v>2169864.5502498378</v>
      </c>
      <c r="AP156" s="72">
        <f ca="1">AL156  /  ( 1 + disc_1/12)^(COUNT($AL$6:AL156)-1)</f>
        <v>1262.4281349510909</v>
      </c>
      <c r="AQ156" s="72">
        <f t="shared" ca="1" si="77"/>
        <v>1526423.2322029998</v>
      </c>
      <c r="AS156" s="303">
        <f t="shared" ca="1" si="72"/>
        <v>1</v>
      </c>
      <c r="AT156" s="300">
        <f ca="1">IFERROR(IRR($AN$6:AN156)*12,0)</f>
        <v>0</v>
      </c>
      <c r="AU156" s="297">
        <f t="shared" ca="1" si="73"/>
        <v>0</v>
      </c>
      <c r="AV156" s="303">
        <f t="shared" ca="1" si="74"/>
        <v>0</v>
      </c>
    </row>
    <row r="157" spans="2:48" x14ac:dyDescent="0.25">
      <c r="B157" s="43">
        <f t="shared" si="75"/>
        <v>48792</v>
      </c>
      <c r="C157" s="79">
        <f t="shared" si="65"/>
        <v>2033</v>
      </c>
      <c r="D157" s="64">
        <f ca="1">wellcount_base  +  SUM('forecast production'!I$7:I158)</f>
        <v>1</v>
      </c>
      <c r="E157" s="110">
        <f ca="1">'forecast production'!AE158</f>
        <v>183.22758123837812</v>
      </c>
      <c r="F157" s="98">
        <f ca="1">'forecast production'!AF158</f>
        <v>1063.2080034252197</v>
      </c>
      <c r="G157" s="98">
        <f ca="1">'forecast production'!AG158</f>
        <v>3.1799935970895552</v>
      </c>
      <c r="H157" s="98">
        <f ca="1">'forecast production'!AH158</f>
        <v>159.48120051378291</v>
      </c>
      <c r="I157" s="307">
        <f t="shared" ca="1" si="66"/>
        <v>1</v>
      </c>
      <c r="J157" s="306">
        <f t="shared" ca="1" si="67"/>
        <v>0.75</v>
      </c>
      <c r="K157" s="112">
        <f t="shared" ca="1" si="52"/>
        <v>137.4206859287836</v>
      </c>
      <c r="L157" s="98">
        <f t="shared" ca="1" si="53"/>
        <v>598.05450192668604</v>
      </c>
      <c r="M157" s="98">
        <f t="shared" ca="1" si="54"/>
        <v>2.3849951978171662</v>
      </c>
      <c r="N157" s="98">
        <f t="shared" ca="1" si="55"/>
        <v>119.61090038533717</v>
      </c>
      <c r="O157" s="67">
        <f>assumptions!M161</f>
        <v>55</v>
      </c>
      <c r="P157" s="68">
        <f>assumptions!N161</f>
        <v>3</v>
      </c>
      <c r="Q157" s="68">
        <f>assumptions!O161</f>
        <v>22</v>
      </c>
      <c r="R157" s="67">
        <f t="shared" si="56"/>
        <v>52.5</v>
      </c>
      <c r="S157" s="68">
        <f t="shared" si="57"/>
        <v>2.3275000000000001</v>
      </c>
      <c r="T157" s="68">
        <f t="shared" si="58"/>
        <v>22</v>
      </c>
      <c r="U157" s="73">
        <f t="shared" ca="1" si="59"/>
        <v>7214.586011261139</v>
      </c>
      <c r="V157" s="72">
        <f t="shared" ca="1" si="60"/>
        <v>1391.9718532343618</v>
      </c>
      <c r="W157" s="72">
        <f t="shared" ca="1" si="61"/>
        <v>2631.439808477418</v>
      </c>
      <c r="X157" s="72">
        <f t="shared" ca="1" si="68"/>
        <v>11237.997672972919</v>
      </c>
      <c r="Y157" s="73">
        <f>mult_opex * fixed_month</f>
        <v>1000</v>
      </c>
      <c r="Z157" s="72">
        <f ca="1">mult_opex * fixed_well *D157</f>
        <v>5000</v>
      </c>
      <c r="AA157" s="72">
        <f ca="1">(Z157+Y157)*WI_current_1</f>
        <v>6000</v>
      </c>
      <c r="AB157" s="72">
        <f ca="1">mult_opex * var_bo*E157</f>
        <v>0</v>
      </c>
      <c r="AC157" s="72">
        <f ca="1">mult_opex * var_mcf*F157</f>
        <v>0</v>
      </c>
      <c r="AD157" s="72">
        <f ca="1">mult_opex * var_bw * G157</f>
        <v>6.3599871941791104</v>
      </c>
      <c r="AE157" s="72">
        <f ca="1">SUM(AB157:AD157)*WI_current_1</f>
        <v>6.3599871941791104</v>
      </c>
      <c r="AF157" s="73">
        <f ca="1">mult_capex * IFERROR(OFFSET(assumptions!$F$39,MATCH(B157,assumptions!$E$39:$E$45,0)-1,0),0)</f>
        <v>0</v>
      </c>
      <c r="AG157" s="75">
        <f ca="1">mult_capex * capex_new*WI_current_1 *'forecast production'!I158</f>
        <v>0</v>
      </c>
      <c r="AH157" s="146">
        <f t="shared" ca="1" si="69"/>
        <v>0</v>
      </c>
      <c r="AI157" s="73">
        <f t="shared" ca="1" si="62"/>
        <v>633.62683114639583</v>
      </c>
      <c r="AJ157" s="72">
        <f t="shared" ca="1" si="63"/>
        <v>280.94994182432299</v>
      </c>
      <c r="AK157" s="72">
        <f t="shared" ca="1" si="70"/>
        <v>914.57677297071882</v>
      </c>
      <c r="AL157" s="73">
        <f t="shared" ca="1" si="64"/>
        <v>4317.0609128080214</v>
      </c>
      <c r="AM157" s="132">
        <f ca="1">IF(X157*(lease_NRI/J157)  - (Z157+Y157+AB157+AC157+AD157)  - (AK157)*(lease_NRI/J157)&gt;0,1,0)</f>
        <v>1</v>
      </c>
      <c r="AN157" s="73">
        <f t="shared" ca="1" si="71"/>
        <v>4317.0609128080214</v>
      </c>
      <c r="AO157" s="75">
        <f t="shared" ca="1" si="76"/>
        <v>2174181.6111626457</v>
      </c>
      <c r="AP157" s="72">
        <f ca="1">AL157  /  ( 1 + disc_1/12)^(COUNT($AL$6:AL157)-1)</f>
        <v>1233.0066301772829</v>
      </c>
      <c r="AQ157" s="72">
        <f t="shared" ca="1" si="77"/>
        <v>1527656.2388331771</v>
      </c>
      <c r="AS157" s="303">
        <f t="shared" ca="1" si="72"/>
        <v>1</v>
      </c>
      <c r="AT157" s="300">
        <f ca="1">IFERROR(IRR($AN$6:AN157)*12,0)</f>
        <v>0</v>
      </c>
      <c r="AU157" s="297">
        <f t="shared" ca="1" si="73"/>
        <v>0</v>
      </c>
      <c r="AV157" s="303">
        <f t="shared" ca="1" si="74"/>
        <v>0</v>
      </c>
    </row>
    <row r="158" spans="2:48" x14ac:dyDescent="0.25">
      <c r="B158" s="43">
        <f t="shared" si="75"/>
        <v>48823</v>
      </c>
      <c r="C158" s="79">
        <f t="shared" si="65"/>
        <v>2033</v>
      </c>
      <c r="D158" s="64">
        <f ca="1">wellcount_base  +  SUM('forecast production'!I$7:I159)</f>
        <v>1</v>
      </c>
      <c r="E158" s="110">
        <f ca="1">'forecast production'!AE159</f>
        <v>176.06573946871731</v>
      </c>
      <c r="F158" s="98">
        <f ca="1">'forecast production'!AF159</f>
        <v>1023.5180504493611</v>
      </c>
      <c r="G158" s="98">
        <f ca="1">'forecast production'!AG159</f>
        <v>2.9701733984223946</v>
      </c>
      <c r="H158" s="98">
        <f ca="1">'forecast production'!AH159</f>
        <v>153.52770756740418</v>
      </c>
      <c r="I158" s="307">
        <f t="shared" ca="1" si="66"/>
        <v>1</v>
      </c>
      <c r="J158" s="306">
        <f t="shared" ca="1" si="67"/>
        <v>0.75</v>
      </c>
      <c r="K158" s="112">
        <f t="shared" ca="1" si="52"/>
        <v>132.04930460153798</v>
      </c>
      <c r="L158" s="98">
        <f t="shared" ca="1" si="53"/>
        <v>575.72890337776562</v>
      </c>
      <c r="M158" s="98">
        <f t="shared" ca="1" si="54"/>
        <v>2.2276300488167959</v>
      </c>
      <c r="N158" s="98">
        <f t="shared" ca="1" si="55"/>
        <v>115.14578067555314</v>
      </c>
      <c r="O158" s="67">
        <f>assumptions!M162</f>
        <v>55</v>
      </c>
      <c r="P158" s="68">
        <f>assumptions!N162</f>
        <v>3</v>
      </c>
      <c r="Q158" s="68">
        <f>assumptions!O162</f>
        <v>22</v>
      </c>
      <c r="R158" s="67">
        <f t="shared" si="56"/>
        <v>52.5</v>
      </c>
      <c r="S158" s="68">
        <f t="shared" si="57"/>
        <v>2.3275000000000001</v>
      </c>
      <c r="T158" s="68">
        <f t="shared" si="58"/>
        <v>22</v>
      </c>
      <c r="U158" s="73">
        <f t="shared" ca="1" si="59"/>
        <v>6932.5884915807437</v>
      </c>
      <c r="V158" s="72">
        <f t="shared" ca="1" si="60"/>
        <v>1340.0090226117495</v>
      </c>
      <c r="W158" s="72">
        <f t="shared" ca="1" si="61"/>
        <v>2533.2071748621693</v>
      </c>
      <c r="X158" s="72">
        <f t="shared" ca="1" si="68"/>
        <v>10805.804689054663</v>
      </c>
      <c r="Y158" s="73">
        <f>mult_opex * fixed_month</f>
        <v>1000</v>
      </c>
      <c r="Z158" s="72">
        <f ca="1">mult_opex * fixed_well *D158</f>
        <v>5000</v>
      </c>
      <c r="AA158" s="72">
        <f ca="1">(Z158+Y158)*WI_current_1</f>
        <v>6000</v>
      </c>
      <c r="AB158" s="72">
        <f ca="1">mult_opex * var_bo*E158</f>
        <v>0</v>
      </c>
      <c r="AC158" s="72">
        <f ca="1">mult_opex * var_mcf*F158</f>
        <v>0</v>
      </c>
      <c r="AD158" s="72">
        <f ca="1">mult_opex * var_bw * G158</f>
        <v>5.9403467968447892</v>
      </c>
      <c r="AE158" s="72">
        <f ca="1">SUM(AB158:AD158)*WI_current_1</f>
        <v>5.9403467968447892</v>
      </c>
      <c r="AF158" s="73">
        <f ca="1">mult_capex * IFERROR(OFFSET(assumptions!$F$39,MATCH(B158,assumptions!$E$39:$E$45,0)-1,0),0)</f>
        <v>0</v>
      </c>
      <c r="AG158" s="75">
        <f ca="1">mult_capex * capex_new*WI_current_1 *'forecast production'!I159</f>
        <v>0</v>
      </c>
      <c r="AH158" s="146">
        <f t="shared" ca="1" si="69"/>
        <v>0</v>
      </c>
      <c r="AI158" s="73">
        <f t="shared" ca="1" si="62"/>
        <v>609.39028542325809</v>
      </c>
      <c r="AJ158" s="72">
        <f t="shared" ca="1" si="63"/>
        <v>270.14511722636661</v>
      </c>
      <c r="AK158" s="72">
        <f t="shared" ca="1" si="70"/>
        <v>879.53540264962476</v>
      </c>
      <c r="AL158" s="73">
        <f t="shared" ca="1" si="64"/>
        <v>3920.3289396081946</v>
      </c>
      <c r="AM158" s="132">
        <f ca="1">IF(X158*(lease_NRI/J158)  - (Z158+Y158+AB158+AC158+AD158)  - (AK158)*(lease_NRI/J158)&gt;0,1,0)</f>
        <v>1</v>
      </c>
      <c r="AN158" s="73">
        <f t="shared" ca="1" si="71"/>
        <v>3920.3289396081946</v>
      </c>
      <c r="AO158" s="75">
        <f t="shared" ca="1" si="76"/>
        <v>2178101.940102254</v>
      </c>
      <c r="AP158" s="72">
        <f ca="1">AL158  /  ( 1 + disc_1/12)^(COUNT($AL$6:AL158)-1)</f>
        <v>1110.4413352351921</v>
      </c>
      <c r="AQ158" s="72">
        <f t="shared" ca="1" si="77"/>
        <v>1528766.6801684124</v>
      </c>
      <c r="AS158" s="303">
        <f t="shared" ca="1" si="72"/>
        <v>1</v>
      </c>
      <c r="AT158" s="300">
        <f ca="1">IFERROR(IRR($AN$6:AN158)*12,0)</f>
        <v>0</v>
      </c>
      <c r="AU158" s="297">
        <f t="shared" ca="1" si="73"/>
        <v>0</v>
      </c>
      <c r="AV158" s="303">
        <f t="shared" ca="1" si="74"/>
        <v>0</v>
      </c>
    </row>
    <row r="159" spans="2:48" x14ac:dyDescent="0.25">
      <c r="B159" s="43">
        <f t="shared" si="75"/>
        <v>48853</v>
      </c>
      <c r="C159" s="79">
        <f t="shared" si="65"/>
        <v>2033</v>
      </c>
      <c r="D159" s="64">
        <f ca="1">wellcount_base  +  SUM('forecast production'!I$7:I160)</f>
        <v>1</v>
      </c>
      <c r="E159" s="110">
        <f ca="1">'forecast production'!AE160</f>
        <v>180.6920109424363</v>
      </c>
      <c r="F159" s="98">
        <f ca="1">'forecast production'!AF160</f>
        <v>1052.2702102345097</v>
      </c>
      <c r="G159" s="98">
        <f ca="1">'forecast production'!AG160</f>
        <v>2.9656353163151552</v>
      </c>
      <c r="H159" s="98">
        <f ca="1">'forecast production'!AH160</f>
        <v>157.84053153517644</v>
      </c>
      <c r="I159" s="307">
        <f t="shared" ca="1" si="66"/>
        <v>1</v>
      </c>
      <c r="J159" s="306">
        <f t="shared" ca="1" si="67"/>
        <v>0.75</v>
      </c>
      <c r="K159" s="112">
        <f t="shared" ca="1" si="52"/>
        <v>135.51900820682721</v>
      </c>
      <c r="L159" s="98">
        <f t="shared" ca="1" si="53"/>
        <v>591.90199325691174</v>
      </c>
      <c r="M159" s="98">
        <f t="shared" ca="1" si="54"/>
        <v>2.2242264872363666</v>
      </c>
      <c r="N159" s="98">
        <f t="shared" ca="1" si="55"/>
        <v>118.38039865138234</v>
      </c>
      <c r="O159" s="67">
        <f>assumptions!M163</f>
        <v>55</v>
      </c>
      <c r="P159" s="68">
        <f>assumptions!N163</f>
        <v>3</v>
      </c>
      <c r="Q159" s="68">
        <f>assumptions!O163</f>
        <v>22</v>
      </c>
      <c r="R159" s="67">
        <f t="shared" si="56"/>
        <v>52.5</v>
      </c>
      <c r="S159" s="68">
        <f t="shared" si="57"/>
        <v>2.3275000000000001</v>
      </c>
      <c r="T159" s="68">
        <f t="shared" si="58"/>
        <v>22</v>
      </c>
      <c r="U159" s="73">
        <f t="shared" ca="1" si="59"/>
        <v>7114.7479308584288</v>
      </c>
      <c r="V159" s="72">
        <f t="shared" ca="1" si="60"/>
        <v>1377.6518893054622</v>
      </c>
      <c r="W159" s="72">
        <f t="shared" ca="1" si="61"/>
        <v>2604.3687703304113</v>
      </c>
      <c r="X159" s="72">
        <f t="shared" ca="1" si="68"/>
        <v>11096.768590494303</v>
      </c>
      <c r="Y159" s="73">
        <f>mult_opex * fixed_month</f>
        <v>1000</v>
      </c>
      <c r="Z159" s="72">
        <f ca="1">mult_opex * fixed_well *D159</f>
        <v>5000</v>
      </c>
      <c r="AA159" s="72">
        <f ca="1">(Z159+Y159)*WI_current_1</f>
        <v>6000</v>
      </c>
      <c r="AB159" s="72">
        <f ca="1">mult_opex * var_bo*E159</f>
        <v>0</v>
      </c>
      <c r="AC159" s="72">
        <f ca="1">mult_opex * var_mcf*F159</f>
        <v>0</v>
      </c>
      <c r="AD159" s="72">
        <f ca="1">mult_opex * var_bw * G159</f>
        <v>5.9312706326303104</v>
      </c>
      <c r="AE159" s="72">
        <f ca="1">SUM(AB159:AD159)*WI_current_1</f>
        <v>5.9312706326303104</v>
      </c>
      <c r="AF159" s="73">
        <f ca="1">mult_capex * IFERROR(OFFSET(assumptions!$F$39,MATCH(B159,assumptions!$E$39:$E$45,0)-1,0),0)</f>
        <v>0</v>
      </c>
      <c r="AG159" s="75">
        <f ca="1">mult_capex * capex_new*WI_current_1 *'forecast production'!I160</f>
        <v>0</v>
      </c>
      <c r="AH159" s="146">
        <f t="shared" ca="1" si="69"/>
        <v>0</v>
      </c>
      <c r="AI159" s="73">
        <f t="shared" ca="1" si="62"/>
        <v>625.92995429217819</v>
      </c>
      <c r="AJ159" s="72">
        <f t="shared" ca="1" si="63"/>
        <v>277.41921476235757</v>
      </c>
      <c r="AK159" s="72">
        <f t="shared" ca="1" si="70"/>
        <v>903.34916905453576</v>
      </c>
      <c r="AL159" s="73">
        <f t="shared" ca="1" si="64"/>
        <v>4187.4881508071358</v>
      </c>
      <c r="AM159" s="132">
        <f ca="1">IF(X159*(lease_NRI/J159)  - (Z159+Y159+AB159+AC159+AD159)  - (AK159)*(lease_NRI/J159)&gt;0,1,0)</f>
        <v>1</v>
      </c>
      <c r="AN159" s="73">
        <f t="shared" ca="1" si="71"/>
        <v>4187.4881508071358</v>
      </c>
      <c r="AO159" s="75">
        <f t="shared" ca="1" si="76"/>
        <v>2182289.4282530611</v>
      </c>
      <c r="AP159" s="72">
        <f ca="1">AL159  /  ( 1 + disc_1/12)^(COUNT($AL$6:AL159)-1)</f>
        <v>1176.3121369573109</v>
      </c>
      <c r="AQ159" s="72">
        <f t="shared" ca="1" si="77"/>
        <v>1529942.9923053698</v>
      </c>
      <c r="AS159" s="303">
        <f t="shared" ca="1" si="72"/>
        <v>1</v>
      </c>
      <c r="AT159" s="300">
        <f ca="1">IFERROR(IRR($AN$6:AN159)*12,0)</f>
        <v>0</v>
      </c>
      <c r="AU159" s="297">
        <f t="shared" ca="1" si="73"/>
        <v>0</v>
      </c>
      <c r="AV159" s="303">
        <f t="shared" ca="1" si="74"/>
        <v>0</v>
      </c>
    </row>
    <row r="160" spans="2:48" x14ac:dyDescent="0.25">
      <c r="B160" s="43">
        <f t="shared" si="75"/>
        <v>48884</v>
      </c>
      <c r="C160" s="79">
        <f t="shared" si="65"/>
        <v>2033</v>
      </c>
      <c r="D160" s="64">
        <f ca="1">wellcount_base  +  SUM('forecast production'!I$7:I161)</f>
        <v>1</v>
      </c>
      <c r="E160" s="110">
        <f ca="1">'forecast production'!AE161</f>
        <v>173.62927735906848</v>
      </c>
      <c r="F160" s="98">
        <f ca="1">'forecast production'!AF161</f>
        <v>1012.9885691750405</v>
      </c>
      <c r="G160" s="98">
        <f ca="1">'forecast production'!AG161</f>
        <v>2.7699930352644695</v>
      </c>
      <c r="H160" s="98">
        <f ca="1">'forecast production'!AH161</f>
        <v>151.94828537625605</v>
      </c>
      <c r="I160" s="307">
        <f t="shared" ca="1" si="66"/>
        <v>1</v>
      </c>
      <c r="J160" s="306">
        <f t="shared" ca="1" si="67"/>
        <v>0.75</v>
      </c>
      <c r="K160" s="112">
        <f t="shared" ca="1" si="52"/>
        <v>130.22195801930135</v>
      </c>
      <c r="L160" s="98">
        <f t="shared" ca="1" si="53"/>
        <v>569.8060701609603</v>
      </c>
      <c r="M160" s="98">
        <f t="shared" ca="1" si="54"/>
        <v>2.077494776448352</v>
      </c>
      <c r="N160" s="98">
        <f t="shared" ca="1" si="55"/>
        <v>113.96121403219203</v>
      </c>
      <c r="O160" s="67">
        <f>assumptions!M164</f>
        <v>55</v>
      </c>
      <c r="P160" s="68">
        <f>assumptions!N164</f>
        <v>3</v>
      </c>
      <c r="Q160" s="68">
        <f>assumptions!O164</f>
        <v>22</v>
      </c>
      <c r="R160" s="67">
        <f t="shared" si="56"/>
        <v>52.5</v>
      </c>
      <c r="S160" s="68">
        <f t="shared" si="57"/>
        <v>2.3275000000000001</v>
      </c>
      <c r="T160" s="68">
        <f t="shared" si="58"/>
        <v>22</v>
      </c>
      <c r="U160" s="73">
        <f t="shared" ca="1" si="59"/>
        <v>6836.6527960133208</v>
      </c>
      <c r="V160" s="72">
        <f t="shared" ca="1" si="60"/>
        <v>1326.2236282996353</v>
      </c>
      <c r="W160" s="72">
        <f t="shared" ca="1" si="61"/>
        <v>2507.1467087082247</v>
      </c>
      <c r="X160" s="72">
        <f t="shared" ca="1" si="68"/>
        <v>10670.023133021181</v>
      </c>
      <c r="Y160" s="73">
        <f>mult_opex * fixed_month</f>
        <v>1000</v>
      </c>
      <c r="Z160" s="72">
        <f ca="1">mult_opex * fixed_well *D160</f>
        <v>5000</v>
      </c>
      <c r="AA160" s="72">
        <f ca="1">(Z160+Y160)*WI_current_1</f>
        <v>6000</v>
      </c>
      <c r="AB160" s="72">
        <f ca="1">mult_opex * var_bo*E160</f>
        <v>0</v>
      </c>
      <c r="AC160" s="72">
        <f ca="1">mult_opex * var_mcf*F160</f>
        <v>0</v>
      </c>
      <c r="AD160" s="72">
        <f ca="1">mult_opex * var_bw * G160</f>
        <v>5.539986070528939</v>
      </c>
      <c r="AE160" s="72">
        <f ca="1">SUM(AB160:AD160)*WI_current_1</f>
        <v>5.539986070528939</v>
      </c>
      <c r="AF160" s="73">
        <f ca="1">mult_capex * IFERROR(OFFSET(assumptions!$F$39,MATCH(B160,assumptions!$E$39:$E$45,0)-1,0),0)</f>
        <v>0</v>
      </c>
      <c r="AG160" s="75">
        <f ca="1">mult_capex * capex_new*WI_current_1 *'forecast production'!I161</f>
        <v>0</v>
      </c>
      <c r="AH160" s="146">
        <f t="shared" ca="1" si="69"/>
        <v>0</v>
      </c>
      <c r="AI160" s="73">
        <f t="shared" ca="1" si="62"/>
        <v>601.98880389220221</v>
      </c>
      <c r="AJ160" s="72">
        <f t="shared" ca="1" si="63"/>
        <v>266.75057832552955</v>
      </c>
      <c r="AK160" s="72">
        <f t="shared" ca="1" si="70"/>
        <v>868.73938221773176</v>
      </c>
      <c r="AL160" s="73">
        <f t="shared" ca="1" si="64"/>
        <v>3795.7437647329207</v>
      </c>
      <c r="AM160" s="132">
        <f ca="1">IF(X160*(lease_NRI/J160)  - (Z160+Y160+AB160+AC160+AD160)  - (AK160)*(lease_NRI/J160)&gt;0,1,0)</f>
        <v>1</v>
      </c>
      <c r="AN160" s="73">
        <f t="shared" ca="1" si="71"/>
        <v>3795.7437647329207</v>
      </c>
      <c r="AO160" s="75">
        <f t="shared" ca="1" si="76"/>
        <v>2186085.1720177941</v>
      </c>
      <c r="AP160" s="72">
        <f ca="1">AL160  /  ( 1 + disc_1/12)^(COUNT($AL$6:AL160)-1)</f>
        <v>1057.454646574693</v>
      </c>
      <c r="AQ160" s="72">
        <f t="shared" ca="1" si="77"/>
        <v>1531000.4469519446</v>
      </c>
      <c r="AS160" s="303">
        <f t="shared" ca="1" si="72"/>
        <v>1</v>
      </c>
      <c r="AT160" s="300">
        <f ca="1">IFERROR(IRR($AN$6:AN160)*12,0)</f>
        <v>0</v>
      </c>
      <c r="AU160" s="297">
        <f t="shared" ca="1" si="73"/>
        <v>0</v>
      </c>
      <c r="AV160" s="303">
        <f t="shared" ca="1" si="74"/>
        <v>0</v>
      </c>
    </row>
    <row r="161" spans="2:48" x14ac:dyDescent="0.25">
      <c r="B161" s="44">
        <f t="shared" si="75"/>
        <v>48914</v>
      </c>
      <c r="C161" s="100">
        <f t="shared" si="65"/>
        <v>2033</v>
      </c>
      <c r="D161" s="65">
        <f ca="1">wellcount_base  +  SUM('forecast production'!I$7:I162)</f>
        <v>1</v>
      </c>
      <c r="E161" s="109">
        <f ca="1">'forecast production'!AE162</f>
        <v>178.19152879579065</v>
      </c>
      <c r="F161" s="101">
        <f ca="1">'forecast production'!AF162</f>
        <v>1041.4449400115518</v>
      </c>
      <c r="G161" s="101">
        <f ca="1">'forecast production'!AG162</f>
        <v>2.7657939119270809</v>
      </c>
      <c r="H161" s="102">
        <f ca="1">'forecast production'!AH162</f>
        <v>156.21674100173277</v>
      </c>
      <c r="I161" s="308">
        <f t="shared" ca="1" si="66"/>
        <v>1</v>
      </c>
      <c r="J161" s="309">
        <f t="shared" ca="1" si="67"/>
        <v>0.75</v>
      </c>
      <c r="K161" s="113">
        <f t="shared" ca="1" si="52"/>
        <v>133.64364659684298</v>
      </c>
      <c r="L161" s="102">
        <f t="shared" ca="1" si="53"/>
        <v>585.81277875649789</v>
      </c>
      <c r="M161" s="102">
        <f t="shared" ca="1" si="54"/>
        <v>2.0743454339453109</v>
      </c>
      <c r="N161" s="102">
        <f t="shared" ca="1" si="55"/>
        <v>117.16255575129958</v>
      </c>
      <c r="O161" s="103">
        <f>assumptions!M165</f>
        <v>55</v>
      </c>
      <c r="P161" s="104">
        <f>assumptions!N165</f>
        <v>3</v>
      </c>
      <c r="Q161" s="104">
        <f>assumptions!O165</f>
        <v>22</v>
      </c>
      <c r="R161" s="103">
        <f t="shared" si="56"/>
        <v>52.5</v>
      </c>
      <c r="S161" s="104">
        <f t="shared" si="57"/>
        <v>2.3275000000000001</v>
      </c>
      <c r="T161" s="104">
        <f t="shared" si="58"/>
        <v>22</v>
      </c>
      <c r="U161" s="105">
        <f t="shared" ca="1" si="59"/>
        <v>7016.2914463342568</v>
      </c>
      <c r="V161" s="106">
        <f t="shared" ca="1" si="60"/>
        <v>1363.4792425557489</v>
      </c>
      <c r="W161" s="106">
        <f t="shared" ca="1" si="61"/>
        <v>2577.5762265285907</v>
      </c>
      <c r="X161" s="106">
        <f t="shared" ca="1" si="68"/>
        <v>10957.346915418597</v>
      </c>
      <c r="Y161" s="105">
        <f>mult_opex * fixed_month</f>
        <v>1000</v>
      </c>
      <c r="Z161" s="106">
        <f ca="1">mult_opex * fixed_well *D161</f>
        <v>5000</v>
      </c>
      <c r="AA161" s="106">
        <f ca="1">(Z161+Y161)*WI_current_1</f>
        <v>6000</v>
      </c>
      <c r="AB161" s="106">
        <f ca="1">mult_opex * var_bo*E161</f>
        <v>0</v>
      </c>
      <c r="AC161" s="106">
        <f ca="1">mult_opex * var_mcf*F161</f>
        <v>0</v>
      </c>
      <c r="AD161" s="106">
        <f ca="1">mult_opex * var_bw * G161</f>
        <v>5.5315878238541618</v>
      </c>
      <c r="AE161" s="106">
        <f ca="1">SUM(AB161:AD161)*WI_current_1</f>
        <v>5.5315878238541618</v>
      </c>
      <c r="AF161" s="105">
        <f ca="1">mult_capex * IFERROR(OFFSET(assumptions!$F$39,MATCH(B161,assumptions!$E$39:$E$45,0)-1,0),0)</f>
        <v>0</v>
      </c>
      <c r="AG161" s="106">
        <f ca="1">mult_capex * capex_new*WI_current_1 *'forecast production'!I162</f>
        <v>0</v>
      </c>
      <c r="AH161" s="147">
        <f t="shared" ca="1" si="69"/>
        <v>0</v>
      </c>
      <c r="AI161" s="105">
        <f t="shared" ca="1" si="62"/>
        <v>618.32856671270133</v>
      </c>
      <c r="AJ161" s="106">
        <f t="shared" ca="1" si="63"/>
        <v>273.93367288546494</v>
      </c>
      <c r="AK161" s="106">
        <f t="shared" ca="1" si="70"/>
        <v>892.26223959816627</v>
      </c>
      <c r="AL161" s="105">
        <f t="shared" ca="1" si="64"/>
        <v>4059.5530879965754</v>
      </c>
      <c r="AM161" s="133">
        <f ca="1">IF(X161*(lease_NRI/J161)  - (Z161+Y161+AB161+AC161+AD161)  - (AK161)*(lease_NRI/J161)&gt;0,1,0)</f>
        <v>1</v>
      </c>
      <c r="AN161" s="105">
        <f t="shared" ca="1" si="71"/>
        <v>4059.5530879965754</v>
      </c>
      <c r="AO161" s="106">
        <f t="shared" ca="1" si="76"/>
        <v>2190144.7251057909</v>
      </c>
      <c r="AP161" s="106">
        <f ca="1">AL161  /  ( 1 + disc_1/12)^(COUNT($AL$6:AL161)-1)</f>
        <v>1121.602486736532</v>
      </c>
      <c r="AQ161" s="106">
        <f t="shared" ca="1" si="77"/>
        <v>1532122.0494386812</v>
      </c>
      <c r="AS161" s="304">
        <f t="shared" ca="1" si="72"/>
        <v>1</v>
      </c>
      <c r="AT161" s="301">
        <f ca="1">IFERROR(IRR($AN$6:AN161)*12,0)</f>
        <v>0</v>
      </c>
      <c r="AU161" s="298">
        <f t="shared" ca="1" si="73"/>
        <v>0</v>
      </c>
      <c r="AV161" s="304">
        <f t="shared" ca="1" si="74"/>
        <v>0</v>
      </c>
    </row>
    <row r="162" spans="2:48" x14ac:dyDescent="0.25">
      <c r="B162" s="43">
        <f t="shared" si="75"/>
        <v>48945</v>
      </c>
      <c r="C162" s="79">
        <f t="shared" si="65"/>
        <v>2034</v>
      </c>
      <c r="D162" s="64">
        <f ca="1">wellcount_base  +  SUM('forecast production'!I$7:I163)</f>
        <v>1</v>
      </c>
      <c r="E162" s="110">
        <f ca="1">'forecast production'!AE163</f>
        <v>176.93408296682492</v>
      </c>
      <c r="F162" s="98">
        <f ca="1">'forecast production'!AF163</f>
        <v>1035.9863240220734</v>
      </c>
      <c r="G162" s="98">
        <f ca="1">'forecast production'!AG163</f>
        <v>2.6694793001952184</v>
      </c>
      <c r="H162" s="98">
        <f ca="1">'forecast production'!AH163</f>
        <v>155.39794860331105</v>
      </c>
      <c r="I162" s="307">
        <f t="shared" ca="1" si="66"/>
        <v>1</v>
      </c>
      <c r="J162" s="306">
        <f t="shared" ca="1" si="67"/>
        <v>0.75</v>
      </c>
      <c r="K162" s="112">
        <f t="shared" ca="1" si="52"/>
        <v>132.70056222511869</v>
      </c>
      <c r="L162" s="98">
        <f t="shared" ca="1" si="53"/>
        <v>582.74230726241626</v>
      </c>
      <c r="M162" s="98">
        <f t="shared" ca="1" si="54"/>
        <v>2.0021094751464137</v>
      </c>
      <c r="N162" s="98">
        <f t="shared" ca="1" si="55"/>
        <v>116.54846145248328</v>
      </c>
      <c r="O162" s="67">
        <f>assumptions!M166</f>
        <v>55</v>
      </c>
      <c r="P162" s="68">
        <f>assumptions!N166</f>
        <v>3</v>
      </c>
      <c r="Q162" s="68">
        <f>assumptions!O166</f>
        <v>22</v>
      </c>
      <c r="R162" s="67">
        <f t="shared" si="56"/>
        <v>52.5</v>
      </c>
      <c r="S162" s="68">
        <f t="shared" si="57"/>
        <v>2.3275000000000001</v>
      </c>
      <c r="T162" s="68">
        <f t="shared" si="58"/>
        <v>22</v>
      </c>
      <c r="U162" s="73">
        <f t="shared" ca="1" si="59"/>
        <v>6966.7795168187313</v>
      </c>
      <c r="V162" s="72">
        <f t="shared" ca="1" si="60"/>
        <v>1356.3327201532738</v>
      </c>
      <c r="W162" s="72">
        <f t="shared" ca="1" si="61"/>
        <v>2564.066151954632</v>
      </c>
      <c r="X162" s="72">
        <f t="shared" ca="1" si="68"/>
        <v>10887.178388926637</v>
      </c>
      <c r="Y162" s="73">
        <f>mult_opex * fixed_month</f>
        <v>1000</v>
      </c>
      <c r="Z162" s="72">
        <f ca="1">mult_opex * fixed_well *D162</f>
        <v>5000</v>
      </c>
      <c r="AA162" s="72">
        <f ca="1">(Z162+Y162)*WI_current_1</f>
        <v>6000</v>
      </c>
      <c r="AB162" s="72">
        <f ca="1">mult_opex * var_bo*E162</f>
        <v>0</v>
      </c>
      <c r="AC162" s="72">
        <f ca="1">mult_opex * var_mcf*F162</f>
        <v>0</v>
      </c>
      <c r="AD162" s="72">
        <f ca="1">mult_opex * var_bw * G162</f>
        <v>5.3389586003904368</v>
      </c>
      <c r="AE162" s="72">
        <f ca="1">SUM(AB162:AD162)*WI_current_1</f>
        <v>5.3389586003904368</v>
      </c>
      <c r="AF162" s="73">
        <f ca="1">mult_capex * IFERROR(OFFSET(assumptions!$F$39,MATCH(B162,assumptions!$E$39:$E$45,0)-1,0),0)</f>
        <v>0</v>
      </c>
      <c r="AG162" s="75">
        <f ca="1">mult_capex * capex_new*WI_current_1 *'forecast production'!I163</f>
        <v>0</v>
      </c>
      <c r="AH162" s="146">
        <f t="shared" ca="1" si="69"/>
        <v>0</v>
      </c>
      <c r="AI162" s="73">
        <f t="shared" ca="1" si="62"/>
        <v>614.50177318175452</v>
      </c>
      <c r="AJ162" s="72">
        <f t="shared" ca="1" si="63"/>
        <v>272.17945972316596</v>
      </c>
      <c r="AK162" s="72">
        <f t="shared" ca="1" si="70"/>
        <v>886.68123290492053</v>
      </c>
      <c r="AL162" s="73">
        <f t="shared" ca="1" si="64"/>
        <v>3995.1581974213259</v>
      </c>
      <c r="AM162" s="132">
        <f ca="1">IF(X162*(lease_NRI/J162)  - (Z162+Y162+AB162+AC162+AD162)  - (AK162)*(lease_NRI/J162)&gt;0,1,0)</f>
        <v>1</v>
      </c>
      <c r="AN162" s="73">
        <f t="shared" ca="1" si="71"/>
        <v>3995.1581974213259</v>
      </c>
      <c r="AO162" s="75">
        <f t="shared" ca="1" si="76"/>
        <v>2194139.883303212</v>
      </c>
      <c r="AP162" s="72">
        <f ca="1">AL162  /  ( 1 + disc_1/12)^(COUNT($AL$6:AL162)-1)</f>
        <v>1094.688598832566</v>
      </c>
      <c r="AQ162" s="72">
        <f t="shared" ca="1" si="77"/>
        <v>1533216.7380375138</v>
      </c>
      <c r="AS162" s="303">
        <f t="shared" ca="1" si="72"/>
        <v>1</v>
      </c>
      <c r="AT162" s="300">
        <f ca="1">IFERROR(IRR($AN$6:AN162)*12,0)</f>
        <v>0</v>
      </c>
      <c r="AU162" s="297">
        <f t="shared" ca="1" si="73"/>
        <v>0</v>
      </c>
      <c r="AV162" s="303">
        <f t="shared" ca="1" si="74"/>
        <v>0</v>
      </c>
    </row>
    <row r="163" spans="2:48" x14ac:dyDescent="0.25">
      <c r="B163" s="43">
        <f t="shared" si="75"/>
        <v>48976</v>
      </c>
      <c r="C163" s="79">
        <f t="shared" si="65"/>
        <v>2034</v>
      </c>
      <c r="D163" s="64">
        <f ca="1">wellcount_base  +  SUM('forecast production'!I$7:I164)</f>
        <v>1</v>
      </c>
      <c r="E163" s="110">
        <f ca="1">'forecast production'!AE164</f>
        <v>158.68368696429204</v>
      </c>
      <c r="F163" s="98">
        <f ca="1">'forecast production'!AF164</f>
        <v>930.82506209820428</v>
      </c>
      <c r="G163" s="98">
        <f ca="1">'forecast production'!AG164</f>
        <v>2.327192796158839</v>
      </c>
      <c r="H163" s="98">
        <f ca="1">'forecast production'!AH164</f>
        <v>139.62375931473062</v>
      </c>
      <c r="I163" s="307">
        <f t="shared" ca="1" si="66"/>
        <v>1</v>
      </c>
      <c r="J163" s="306">
        <f t="shared" ca="1" si="67"/>
        <v>0.75</v>
      </c>
      <c r="K163" s="112">
        <f t="shared" ca="1" si="52"/>
        <v>119.01276522321902</v>
      </c>
      <c r="L163" s="98">
        <f t="shared" ca="1" si="53"/>
        <v>523.58909743023992</v>
      </c>
      <c r="M163" s="98">
        <f t="shared" ca="1" si="54"/>
        <v>1.7453945971191294</v>
      </c>
      <c r="N163" s="98">
        <f t="shared" ca="1" si="55"/>
        <v>104.71781948604797</v>
      </c>
      <c r="O163" s="67">
        <f>assumptions!M167</f>
        <v>55</v>
      </c>
      <c r="P163" s="68">
        <f>assumptions!N167</f>
        <v>3</v>
      </c>
      <c r="Q163" s="68">
        <f>assumptions!O167</f>
        <v>22</v>
      </c>
      <c r="R163" s="67">
        <f t="shared" si="56"/>
        <v>52.5</v>
      </c>
      <c r="S163" s="68">
        <f t="shared" si="57"/>
        <v>2.3275000000000001</v>
      </c>
      <c r="T163" s="68">
        <f t="shared" si="58"/>
        <v>22</v>
      </c>
      <c r="U163" s="73">
        <f t="shared" ca="1" si="59"/>
        <v>6248.1701742189989</v>
      </c>
      <c r="V163" s="72">
        <f t="shared" ca="1" si="60"/>
        <v>1218.6536242688835</v>
      </c>
      <c r="W163" s="72">
        <f t="shared" ca="1" si="61"/>
        <v>2303.7920286930553</v>
      </c>
      <c r="X163" s="72">
        <f t="shared" ca="1" si="68"/>
        <v>9770.6158271809381</v>
      </c>
      <c r="Y163" s="73">
        <f>mult_opex * fixed_month</f>
        <v>1000</v>
      </c>
      <c r="Z163" s="72">
        <f ca="1">mult_opex * fixed_well *D163</f>
        <v>5000</v>
      </c>
      <c r="AA163" s="72">
        <f ca="1">(Z163+Y163)*WI_current_1</f>
        <v>6000</v>
      </c>
      <c r="AB163" s="72">
        <f ca="1">mult_opex * var_bo*E163</f>
        <v>0</v>
      </c>
      <c r="AC163" s="72">
        <f ca="1">mult_opex * var_mcf*F163</f>
        <v>0</v>
      </c>
      <c r="AD163" s="72">
        <f ca="1">mult_opex * var_bw * G163</f>
        <v>4.654385592317678</v>
      </c>
      <c r="AE163" s="72">
        <f ca="1">SUM(AB163:AD163)*WI_current_1</f>
        <v>4.654385592317678</v>
      </c>
      <c r="AF163" s="73">
        <f ca="1">mult_capex * IFERROR(OFFSET(assumptions!$F$39,MATCH(B163,assumptions!$E$39:$E$45,0)-1,0),0)</f>
        <v>0</v>
      </c>
      <c r="AG163" s="75">
        <f ca="1">mult_capex * capex_new*WI_current_1 *'forecast production'!I164</f>
        <v>0</v>
      </c>
      <c r="AH163" s="146">
        <f t="shared" ca="1" si="69"/>
        <v>0</v>
      </c>
      <c r="AI163" s="73">
        <f t="shared" ca="1" si="62"/>
        <v>551.59925198621931</v>
      </c>
      <c r="AJ163" s="72">
        <f t="shared" ca="1" si="63"/>
        <v>244.26539567952346</v>
      </c>
      <c r="AK163" s="72">
        <f t="shared" ca="1" si="70"/>
        <v>795.86464766574272</v>
      </c>
      <c r="AL163" s="73">
        <f t="shared" ca="1" si="64"/>
        <v>2970.0967939228776</v>
      </c>
      <c r="AM163" s="132">
        <f ca="1">IF(X163*(lease_NRI/J163)  - (Z163+Y163+AB163+AC163+AD163)  - (AK163)*(lease_NRI/J163)&gt;0,1,0)</f>
        <v>1</v>
      </c>
      <c r="AN163" s="73">
        <f t="shared" ca="1" si="71"/>
        <v>2970.0967939228776</v>
      </c>
      <c r="AO163" s="75">
        <f t="shared" ca="1" si="76"/>
        <v>2197109.9800971351</v>
      </c>
      <c r="AP163" s="72">
        <f ca="1">AL163  /  ( 1 + disc_1/12)^(COUNT($AL$6:AL163)-1)</f>
        <v>807.09209334383524</v>
      </c>
      <c r="AQ163" s="72">
        <f t="shared" ca="1" si="77"/>
        <v>1534023.8301308576</v>
      </c>
      <c r="AS163" s="303">
        <f t="shared" ca="1" si="72"/>
        <v>1</v>
      </c>
      <c r="AT163" s="300">
        <f ca="1">IFERROR(IRR($AN$6:AN163)*12,0)</f>
        <v>0</v>
      </c>
      <c r="AU163" s="297">
        <f t="shared" ca="1" si="73"/>
        <v>0</v>
      </c>
      <c r="AV163" s="303">
        <f t="shared" ca="1" si="74"/>
        <v>0</v>
      </c>
    </row>
    <row r="164" spans="2:48" x14ac:dyDescent="0.25">
      <c r="B164" s="43">
        <f t="shared" si="75"/>
        <v>49004</v>
      </c>
      <c r="C164" s="79">
        <f t="shared" si="65"/>
        <v>2034</v>
      </c>
      <c r="D164" s="64">
        <f ca="1">wellcount_base  +  SUM('forecast production'!I$7:I165)</f>
        <v>1</v>
      </c>
      <c r="E164" s="110">
        <f ca="1">'forecast production'!AE165</f>
        <v>174.5653425639895</v>
      </c>
      <c r="F164" s="98">
        <f ca="1">'forecast production'!AF165</f>
        <v>1025.6762646337356</v>
      </c>
      <c r="G164" s="98">
        <f ca="1">'forecast production'!AG165</f>
        <v>2.4953831889539604</v>
      </c>
      <c r="H164" s="98">
        <f ca="1">'forecast production'!AH165</f>
        <v>153.85143969506032</v>
      </c>
      <c r="I164" s="307">
        <f t="shared" ca="1" si="66"/>
        <v>1</v>
      </c>
      <c r="J164" s="306">
        <f t="shared" ca="1" si="67"/>
        <v>0.75</v>
      </c>
      <c r="K164" s="112">
        <f t="shared" ca="1" si="52"/>
        <v>130.92400692299213</v>
      </c>
      <c r="L164" s="98">
        <f t="shared" ca="1" si="53"/>
        <v>576.94289885647629</v>
      </c>
      <c r="M164" s="98">
        <f t="shared" ca="1" si="54"/>
        <v>1.8715373917154703</v>
      </c>
      <c r="N164" s="98">
        <f t="shared" ca="1" si="55"/>
        <v>115.38857977129524</v>
      </c>
      <c r="O164" s="67">
        <f>assumptions!M168</f>
        <v>55</v>
      </c>
      <c r="P164" s="68">
        <f>assumptions!N168</f>
        <v>3</v>
      </c>
      <c r="Q164" s="68">
        <f>assumptions!O168</f>
        <v>22</v>
      </c>
      <c r="R164" s="67">
        <f t="shared" si="56"/>
        <v>52.5</v>
      </c>
      <c r="S164" s="68">
        <f t="shared" si="57"/>
        <v>2.3275000000000001</v>
      </c>
      <c r="T164" s="68">
        <f t="shared" si="58"/>
        <v>22</v>
      </c>
      <c r="U164" s="73">
        <f t="shared" ca="1" si="59"/>
        <v>6873.5103634570869</v>
      </c>
      <c r="V164" s="72">
        <f t="shared" ca="1" si="60"/>
        <v>1342.8345970884486</v>
      </c>
      <c r="W164" s="72">
        <f t="shared" ca="1" si="61"/>
        <v>2538.5487549684954</v>
      </c>
      <c r="X164" s="72">
        <f t="shared" ca="1" si="68"/>
        <v>10754.89371551403</v>
      </c>
      <c r="Y164" s="73">
        <f>mult_opex * fixed_month</f>
        <v>1000</v>
      </c>
      <c r="Z164" s="72">
        <f ca="1">mult_opex * fixed_well *D164</f>
        <v>5000</v>
      </c>
      <c r="AA164" s="72">
        <f ca="1">(Z164+Y164)*WI_current_1</f>
        <v>6000</v>
      </c>
      <c r="AB164" s="72">
        <f ca="1">mult_opex * var_bo*E164</f>
        <v>0</v>
      </c>
      <c r="AC164" s="72">
        <f ca="1">mult_opex * var_mcf*F164</f>
        <v>0</v>
      </c>
      <c r="AD164" s="72">
        <f ca="1">mult_opex * var_bw * G164</f>
        <v>4.9907663779079208</v>
      </c>
      <c r="AE164" s="72">
        <f ca="1">SUM(AB164:AD164)*WI_current_1</f>
        <v>4.9907663779079208</v>
      </c>
      <c r="AF164" s="73">
        <f ca="1">mult_capex * IFERROR(OFFSET(assumptions!$F$39,MATCH(B164,assumptions!$E$39:$E$45,0)-1,0),0)</f>
        <v>0</v>
      </c>
      <c r="AG164" s="75">
        <f ca="1">mult_capex * capex_new*WI_current_1 *'forecast production'!I165</f>
        <v>0</v>
      </c>
      <c r="AH164" s="146">
        <f t="shared" ca="1" si="69"/>
        <v>0</v>
      </c>
      <c r="AI164" s="73">
        <f t="shared" ca="1" si="62"/>
        <v>607.28522812329675</v>
      </c>
      <c r="AJ164" s="72">
        <f t="shared" ca="1" si="63"/>
        <v>268.87234288785078</v>
      </c>
      <c r="AK164" s="72">
        <f t="shared" ca="1" si="70"/>
        <v>876.15757101114752</v>
      </c>
      <c r="AL164" s="73">
        <f t="shared" ca="1" si="64"/>
        <v>3873.7453781249733</v>
      </c>
      <c r="AM164" s="132">
        <f ca="1">IF(X164*(lease_NRI/J164)  - (Z164+Y164+AB164+AC164+AD164)  - (AK164)*(lease_NRI/J164)&gt;0,1,0)</f>
        <v>1</v>
      </c>
      <c r="AN164" s="73">
        <f t="shared" ca="1" si="71"/>
        <v>3873.7453781249733</v>
      </c>
      <c r="AO164" s="75">
        <f t="shared" ca="1" si="76"/>
        <v>2200983.7254752601</v>
      </c>
      <c r="AP164" s="72">
        <f ca="1">AL164  /  ( 1 + disc_1/12)^(COUNT($AL$6:AL164)-1)</f>
        <v>1043.9493701613746</v>
      </c>
      <c r="AQ164" s="72">
        <f t="shared" ca="1" si="77"/>
        <v>1535067.779501019</v>
      </c>
      <c r="AS164" s="303">
        <f t="shared" ca="1" si="72"/>
        <v>1</v>
      </c>
      <c r="AT164" s="300">
        <f ca="1">IFERROR(IRR($AN$6:AN164)*12,0)</f>
        <v>0</v>
      </c>
      <c r="AU164" s="297">
        <f t="shared" ca="1" si="73"/>
        <v>0</v>
      </c>
      <c r="AV164" s="303">
        <f t="shared" ca="1" si="74"/>
        <v>0</v>
      </c>
    </row>
    <row r="165" spans="2:48" x14ac:dyDescent="0.25">
      <c r="B165" s="43">
        <f t="shared" si="75"/>
        <v>49035</v>
      </c>
      <c r="C165" s="79">
        <f t="shared" si="65"/>
        <v>2034</v>
      </c>
      <c r="D165" s="64">
        <f ca="1">wellcount_base  +  SUM('forecast production'!I$7:I166)</f>
        <v>1</v>
      </c>
      <c r="E165" s="110">
        <f ca="1">'forecast production'!AE166</f>
        <v>167.74208291355831</v>
      </c>
      <c r="F165" s="98">
        <f ca="1">'forecast production'!AF166</f>
        <v>987.38738552389123</v>
      </c>
      <c r="G165" s="98">
        <f ca="1">'forecast production'!AG166</f>
        <v>2.3308346362703904</v>
      </c>
      <c r="H165" s="98">
        <f ca="1">'forecast production'!AH166</f>
        <v>148.10810782858368</v>
      </c>
      <c r="I165" s="307">
        <f t="shared" ca="1" si="66"/>
        <v>1</v>
      </c>
      <c r="J165" s="306">
        <f t="shared" ca="1" si="67"/>
        <v>0.75</v>
      </c>
      <c r="K165" s="112">
        <f t="shared" ca="1" si="52"/>
        <v>125.80656218516873</v>
      </c>
      <c r="L165" s="98">
        <f t="shared" ca="1" si="53"/>
        <v>555.40540435718879</v>
      </c>
      <c r="M165" s="98">
        <f t="shared" ca="1" si="54"/>
        <v>1.7481259772027928</v>
      </c>
      <c r="N165" s="98">
        <f t="shared" ca="1" si="55"/>
        <v>111.08108087143776</v>
      </c>
      <c r="O165" s="67">
        <f>assumptions!M169</f>
        <v>55</v>
      </c>
      <c r="P165" s="68">
        <f>assumptions!N169</f>
        <v>3</v>
      </c>
      <c r="Q165" s="68">
        <f>assumptions!O169</f>
        <v>22</v>
      </c>
      <c r="R165" s="67">
        <f t="shared" si="56"/>
        <v>52.5</v>
      </c>
      <c r="S165" s="68">
        <f t="shared" si="57"/>
        <v>2.3275000000000001</v>
      </c>
      <c r="T165" s="68">
        <f t="shared" si="58"/>
        <v>22</v>
      </c>
      <c r="U165" s="73">
        <f t="shared" ca="1" si="59"/>
        <v>6604.8445147213579</v>
      </c>
      <c r="V165" s="72">
        <f t="shared" ca="1" si="60"/>
        <v>1292.706078641357</v>
      </c>
      <c r="W165" s="72">
        <f t="shared" ca="1" si="61"/>
        <v>2443.7837791716306</v>
      </c>
      <c r="X165" s="72">
        <f t="shared" ca="1" si="68"/>
        <v>10341.334372534346</v>
      </c>
      <c r="Y165" s="73">
        <f>mult_opex * fixed_month</f>
        <v>1000</v>
      </c>
      <c r="Z165" s="72">
        <f ca="1">mult_opex * fixed_well *D165</f>
        <v>5000</v>
      </c>
      <c r="AA165" s="72">
        <f ca="1">(Z165+Y165)*WI_current_1</f>
        <v>6000</v>
      </c>
      <c r="AB165" s="72">
        <f ca="1">mult_opex * var_bo*E165</f>
        <v>0</v>
      </c>
      <c r="AC165" s="72">
        <f ca="1">mult_opex * var_mcf*F165</f>
        <v>0</v>
      </c>
      <c r="AD165" s="72">
        <f ca="1">mult_opex * var_bw * G165</f>
        <v>4.6616692725407809</v>
      </c>
      <c r="AE165" s="72">
        <f ca="1">SUM(AB165:AD165)*WI_current_1</f>
        <v>4.6616692725407809</v>
      </c>
      <c r="AF165" s="73">
        <f ca="1">mult_capex * IFERROR(OFFSET(assumptions!$F$39,MATCH(B165,assumptions!$E$39:$E$45,0)-1,0),0)</f>
        <v>0</v>
      </c>
      <c r="AG165" s="75">
        <f ca="1">mult_capex * capex_new*WI_current_1 *'forecast production'!I166</f>
        <v>0</v>
      </c>
      <c r="AH165" s="146">
        <f t="shared" ca="1" si="69"/>
        <v>0</v>
      </c>
      <c r="AI165" s="73">
        <f t="shared" ca="1" si="62"/>
        <v>584.05958701315649</v>
      </c>
      <c r="AJ165" s="72">
        <f t="shared" ca="1" si="63"/>
        <v>258.53335931335863</v>
      </c>
      <c r="AK165" s="72">
        <f t="shared" ca="1" si="70"/>
        <v>842.59294632651518</v>
      </c>
      <c r="AL165" s="73">
        <f t="shared" ca="1" si="64"/>
        <v>3494.0797569352908</v>
      </c>
      <c r="AM165" s="132">
        <f ca="1">IF(X165*(lease_NRI/J165)  - (Z165+Y165+AB165+AC165+AD165)  - (AK165)*(lease_NRI/J165)&gt;0,1,0)</f>
        <v>1</v>
      </c>
      <c r="AN165" s="73">
        <f t="shared" ca="1" si="71"/>
        <v>3494.0797569352908</v>
      </c>
      <c r="AO165" s="75">
        <f t="shared" ca="1" si="76"/>
        <v>2204477.8052321952</v>
      </c>
      <c r="AP165" s="72">
        <f ca="1">AL165  /  ( 1 + disc_1/12)^(COUNT($AL$6:AL165)-1)</f>
        <v>933.84985428658251</v>
      </c>
      <c r="AQ165" s="72">
        <f t="shared" ca="1" si="77"/>
        <v>1536001.6293553056</v>
      </c>
      <c r="AS165" s="303">
        <f t="shared" ca="1" si="72"/>
        <v>1</v>
      </c>
      <c r="AT165" s="300">
        <f ca="1">IFERROR(IRR($AN$6:AN165)*12,0)</f>
        <v>0</v>
      </c>
      <c r="AU165" s="297">
        <f t="shared" ca="1" si="73"/>
        <v>0</v>
      </c>
      <c r="AV165" s="303">
        <f t="shared" ca="1" si="74"/>
        <v>0</v>
      </c>
    </row>
    <row r="166" spans="2:48" x14ac:dyDescent="0.25">
      <c r="B166" s="43">
        <f t="shared" si="75"/>
        <v>49065</v>
      </c>
      <c r="C166" s="79">
        <f t="shared" si="65"/>
        <v>2034</v>
      </c>
      <c r="D166" s="64">
        <f ca="1">wellcount_base  +  SUM('forecast production'!I$7:I167)</f>
        <v>1</v>
      </c>
      <c r="E166" s="110">
        <f ca="1">'forecast production'!AE167</f>
        <v>172.14964349557084</v>
      </c>
      <c r="F166" s="98">
        <f ca="1">'forecast production'!AF167</f>
        <v>1015.1245806480606</v>
      </c>
      <c r="G166" s="98">
        <f ca="1">'forecast production'!AG167</f>
        <v>2.3273701243704767</v>
      </c>
      <c r="H166" s="98">
        <f ca="1">'forecast production'!AH167</f>
        <v>152.26868709720907</v>
      </c>
      <c r="I166" s="307">
        <f t="shared" ca="1" si="66"/>
        <v>1</v>
      </c>
      <c r="J166" s="306">
        <f t="shared" ca="1" si="67"/>
        <v>0.75</v>
      </c>
      <c r="K166" s="112">
        <f t="shared" ca="1" si="52"/>
        <v>129.11223262167812</v>
      </c>
      <c r="L166" s="98">
        <f t="shared" ca="1" si="53"/>
        <v>571.00757661453406</v>
      </c>
      <c r="M166" s="98">
        <f t="shared" ca="1" si="54"/>
        <v>1.7455275932778576</v>
      </c>
      <c r="N166" s="98">
        <f t="shared" ca="1" si="55"/>
        <v>114.2015153229068</v>
      </c>
      <c r="O166" s="67">
        <f>assumptions!M170</f>
        <v>55</v>
      </c>
      <c r="P166" s="68">
        <f>assumptions!N170</f>
        <v>3</v>
      </c>
      <c r="Q166" s="68">
        <f>assumptions!O170</f>
        <v>22</v>
      </c>
      <c r="R166" s="67">
        <f t="shared" si="56"/>
        <v>52.5</v>
      </c>
      <c r="S166" s="68">
        <f t="shared" si="57"/>
        <v>2.3275000000000001</v>
      </c>
      <c r="T166" s="68">
        <f t="shared" si="58"/>
        <v>22</v>
      </c>
      <c r="U166" s="73">
        <f t="shared" ca="1" si="59"/>
        <v>6778.3922126381012</v>
      </c>
      <c r="V166" s="72">
        <f t="shared" ca="1" si="60"/>
        <v>1329.0201345703281</v>
      </c>
      <c r="W166" s="72">
        <f t="shared" ca="1" si="61"/>
        <v>2512.4333371039497</v>
      </c>
      <c r="X166" s="72">
        <f t="shared" ca="1" si="68"/>
        <v>10619.845684312379</v>
      </c>
      <c r="Y166" s="73">
        <f>mult_opex * fixed_month</f>
        <v>1000</v>
      </c>
      <c r="Z166" s="72">
        <f ca="1">mult_opex * fixed_well *D166</f>
        <v>5000</v>
      </c>
      <c r="AA166" s="72">
        <f ca="1">(Z166+Y166)*WI_current_1</f>
        <v>6000</v>
      </c>
      <c r="AB166" s="72">
        <f ca="1">mult_opex * var_bo*E166</f>
        <v>0</v>
      </c>
      <c r="AC166" s="72">
        <f ca="1">mult_opex * var_mcf*F166</f>
        <v>0</v>
      </c>
      <c r="AD166" s="72">
        <f ca="1">mult_opex * var_bw * G166</f>
        <v>4.6547402487409535</v>
      </c>
      <c r="AE166" s="72">
        <f ca="1">SUM(AB166:AD166)*WI_current_1</f>
        <v>4.6547402487409535</v>
      </c>
      <c r="AF166" s="73">
        <f ca="1">mult_capex * IFERROR(OFFSET(assumptions!$F$39,MATCH(B166,assumptions!$E$39:$E$45,0)-1,0),0)</f>
        <v>0</v>
      </c>
      <c r="AG166" s="75">
        <f ca="1">mult_capex * capex_new*WI_current_1 *'forecast production'!I167</f>
        <v>0</v>
      </c>
      <c r="AH166" s="146">
        <f t="shared" ca="1" si="69"/>
        <v>0</v>
      </c>
      <c r="AI166" s="73">
        <f t="shared" ca="1" si="62"/>
        <v>599.91505215692348</v>
      </c>
      <c r="AJ166" s="72">
        <f t="shared" ca="1" si="63"/>
        <v>265.49614210780948</v>
      </c>
      <c r="AK166" s="72">
        <f t="shared" ca="1" si="70"/>
        <v>865.41119426473301</v>
      </c>
      <c r="AL166" s="73">
        <f t="shared" ca="1" si="64"/>
        <v>3749.779749798905</v>
      </c>
      <c r="AM166" s="132">
        <f ca="1">IF(X166*(lease_NRI/J166)  - (Z166+Y166+AB166+AC166+AD166)  - (AK166)*(lease_NRI/J166)&gt;0,1,0)</f>
        <v>1</v>
      </c>
      <c r="AN166" s="73">
        <f t="shared" ca="1" si="71"/>
        <v>3749.779749798905</v>
      </c>
      <c r="AO166" s="75">
        <f t="shared" ca="1" si="76"/>
        <v>2208227.5849819942</v>
      </c>
      <c r="AP166" s="72">
        <f ca="1">AL166  /  ( 1 + disc_1/12)^(COUNT($AL$6:AL166)-1)</f>
        <v>993.90729080747963</v>
      </c>
      <c r="AQ166" s="72">
        <f t="shared" ca="1" si="77"/>
        <v>1536995.536646113</v>
      </c>
      <c r="AS166" s="303">
        <f t="shared" ca="1" si="72"/>
        <v>1</v>
      </c>
      <c r="AT166" s="300">
        <f ca="1">IFERROR(IRR($AN$6:AN166)*12,0)</f>
        <v>0</v>
      </c>
      <c r="AU166" s="297">
        <f t="shared" ca="1" si="73"/>
        <v>0</v>
      </c>
      <c r="AV166" s="303">
        <f t="shared" ca="1" si="74"/>
        <v>0</v>
      </c>
    </row>
    <row r="167" spans="2:48" x14ac:dyDescent="0.25">
      <c r="B167" s="43">
        <f t="shared" si="75"/>
        <v>49096</v>
      </c>
      <c r="C167" s="79">
        <f t="shared" si="65"/>
        <v>2034</v>
      </c>
      <c r="D167" s="64">
        <f ca="1">wellcount_base  +  SUM('forecast production'!I$7:I168)</f>
        <v>1</v>
      </c>
      <c r="E167" s="110">
        <f ca="1">'forecast production'!AE168</f>
        <v>165.42080660820949</v>
      </c>
      <c r="F167" s="98">
        <f ca="1">'forecast production'!AF168</f>
        <v>977.22959985337047</v>
      </c>
      <c r="G167" s="98">
        <f ca="1">'forecast production'!AG168</f>
        <v>2.1739273875072707</v>
      </c>
      <c r="H167" s="98">
        <f ca="1">'forecast production'!AH168</f>
        <v>146.58443997800555</v>
      </c>
      <c r="I167" s="307">
        <f t="shared" ca="1" si="66"/>
        <v>1</v>
      </c>
      <c r="J167" s="306">
        <f t="shared" ca="1" si="67"/>
        <v>0.75</v>
      </c>
      <c r="K167" s="112">
        <f t="shared" ca="1" si="52"/>
        <v>124.06560495615712</v>
      </c>
      <c r="L167" s="98">
        <f t="shared" ca="1" si="53"/>
        <v>549.69164991752086</v>
      </c>
      <c r="M167" s="98">
        <f t="shared" ca="1" si="54"/>
        <v>1.630445540630453</v>
      </c>
      <c r="N167" s="98">
        <f t="shared" ca="1" si="55"/>
        <v>109.93832998350416</v>
      </c>
      <c r="O167" s="67">
        <f>assumptions!M171</f>
        <v>55</v>
      </c>
      <c r="P167" s="68">
        <f>assumptions!N171</f>
        <v>3</v>
      </c>
      <c r="Q167" s="68">
        <f>assumptions!O171</f>
        <v>22</v>
      </c>
      <c r="R167" s="67">
        <f t="shared" si="56"/>
        <v>52.5</v>
      </c>
      <c r="S167" s="68">
        <f t="shared" si="57"/>
        <v>2.3275000000000001</v>
      </c>
      <c r="T167" s="68">
        <f t="shared" si="58"/>
        <v>22</v>
      </c>
      <c r="U167" s="73">
        <f t="shared" ca="1" si="59"/>
        <v>6513.4442601982482</v>
      </c>
      <c r="V167" s="72">
        <f t="shared" ca="1" si="60"/>
        <v>1279.4073151830298</v>
      </c>
      <c r="W167" s="72">
        <f t="shared" ca="1" si="61"/>
        <v>2418.6432596370914</v>
      </c>
      <c r="X167" s="72">
        <f t="shared" ca="1" si="68"/>
        <v>10211.494835018369</v>
      </c>
      <c r="Y167" s="73">
        <f>mult_opex * fixed_month</f>
        <v>1000</v>
      </c>
      <c r="Z167" s="72">
        <f ca="1">mult_opex * fixed_well *D167</f>
        <v>5000</v>
      </c>
      <c r="AA167" s="72">
        <f ca="1">(Z167+Y167)*WI_current_1</f>
        <v>6000</v>
      </c>
      <c r="AB167" s="72">
        <f ca="1">mult_opex * var_bo*E167</f>
        <v>0</v>
      </c>
      <c r="AC167" s="72">
        <f ca="1">mult_opex * var_mcf*F167</f>
        <v>0</v>
      </c>
      <c r="AD167" s="72">
        <f ca="1">mult_opex * var_bw * G167</f>
        <v>4.3478547750145413</v>
      </c>
      <c r="AE167" s="72">
        <f ca="1">SUM(AB167:AD167)*WI_current_1</f>
        <v>4.3478547750145413</v>
      </c>
      <c r="AF167" s="73">
        <f ca="1">mult_capex * IFERROR(OFFSET(assumptions!$F$39,MATCH(B167,assumptions!$E$39:$E$45,0)-1,0),0)</f>
        <v>0</v>
      </c>
      <c r="AG167" s="75">
        <f ca="1">mult_capex * capex_new*WI_current_1 *'forecast production'!I168</f>
        <v>0</v>
      </c>
      <c r="AH167" s="146">
        <f t="shared" ca="1" si="69"/>
        <v>0</v>
      </c>
      <c r="AI167" s="73">
        <f t="shared" ca="1" si="62"/>
        <v>576.97222908062849</v>
      </c>
      <c r="AJ167" s="72">
        <f t="shared" ca="1" si="63"/>
        <v>255.28737087545926</v>
      </c>
      <c r="AK167" s="72">
        <f t="shared" ca="1" si="70"/>
        <v>832.25959995608775</v>
      </c>
      <c r="AL167" s="73">
        <f t="shared" ca="1" si="64"/>
        <v>3374.8873802872677</v>
      </c>
      <c r="AM167" s="132">
        <f ca="1">IF(X167*(lease_NRI/J167)  - (Z167+Y167+AB167+AC167+AD167)  - (AK167)*(lease_NRI/J167)&gt;0,1,0)</f>
        <v>1</v>
      </c>
      <c r="AN167" s="73">
        <f t="shared" ca="1" si="71"/>
        <v>3374.8873802872677</v>
      </c>
      <c r="AO167" s="75">
        <f t="shared" ca="1" si="76"/>
        <v>2211602.4723622813</v>
      </c>
      <c r="AP167" s="72">
        <f ca="1">AL167  /  ( 1 + disc_1/12)^(COUNT($AL$6:AL167)-1)</f>
        <v>887.14636571817061</v>
      </c>
      <c r="AQ167" s="72">
        <f t="shared" ca="1" si="77"/>
        <v>1537882.6830118313</v>
      </c>
      <c r="AS167" s="303">
        <f t="shared" ca="1" si="72"/>
        <v>1</v>
      </c>
      <c r="AT167" s="300">
        <f ca="1">IFERROR(IRR($AN$6:AN167)*12,0)</f>
        <v>0</v>
      </c>
      <c r="AU167" s="297">
        <f t="shared" ca="1" si="73"/>
        <v>0</v>
      </c>
      <c r="AV167" s="303">
        <f t="shared" ca="1" si="74"/>
        <v>0</v>
      </c>
    </row>
    <row r="168" spans="2:48" x14ac:dyDescent="0.25">
      <c r="B168" s="43">
        <f t="shared" si="75"/>
        <v>49126</v>
      </c>
      <c r="C168" s="79">
        <f t="shared" si="65"/>
        <v>2034</v>
      </c>
      <c r="D168" s="64">
        <f ca="1">wellcount_base  +  SUM('forecast production'!I$7:I169)</f>
        <v>1</v>
      </c>
      <c r="E168" s="110">
        <f ca="1">'forecast production'!AE169</f>
        <v>169.76737375455158</v>
      </c>
      <c r="F168" s="98">
        <f ca="1">'forecast production'!AF169</f>
        <v>1004.6814475168536</v>
      </c>
      <c r="G168" s="98">
        <f ca="1">'forecast production'!AG169</f>
        <v>2.1707220202423816</v>
      </c>
      <c r="H168" s="98">
        <f ca="1">'forecast production'!AH169</f>
        <v>150.70221712752803</v>
      </c>
      <c r="I168" s="307">
        <f t="shared" ca="1" si="66"/>
        <v>1</v>
      </c>
      <c r="J168" s="306">
        <f t="shared" ca="1" si="67"/>
        <v>0.75</v>
      </c>
      <c r="K168" s="112">
        <f t="shared" ca="1" si="52"/>
        <v>127.32553031591368</v>
      </c>
      <c r="L168" s="98">
        <f t="shared" ca="1" si="53"/>
        <v>565.13331422823012</v>
      </c>
      <c r="M168" s="98">
        <f t="shared" ca="1" si="54"/>
        <v>1.6280415151817862</v>
      </c>
      <c r="N168" s="98">
        <f t="shared" ca="1" si="55"/>
        <v>113.02666284564603</v>
      </c>
      <c r="O168" s="67">
        <f>assumptions!M172</f>
        <v>55</v>
      </c>
      <c r="P168" s="68">
        <f>assumptions!N172</f>
        <v>3</v>
      </c>
      <c r="Q168" s="68">
        <f>assumptions!O172</f>
        <v>22</v>
      </c>
      <c r="R168" s="67">
        <f t="shared" si="56"/>
        <v>52.5</v>
      </c>
      <c r="S168" s="68">
        <f t="shared" si="57"/>
        <v>2.3275000000000001</v>
      </c>
      <c r="T168" s="68">
        <f t="shared" si="58"/>
        <v>22</v>
      </c>
      <c r="U168" s="73">
        <f t="shared" ca="1" si="59"/>
        <v>6684.5903415854682</v>
      </c>
      <c r="V168" s="72">
        <f t="shared" ca="1" si="60"/>
        <v>1315.3477888662057</v>
      </c>
      <c r="W168" s="72">
        <f t="shared" ca="1" si="61"/>
        <v>2486.5865826042127</v>
      </c>
      <c r="X168" s="72">
        <f t="shared" ca="1" si="68"/>
        <v>10486.524713055886</v>
      </c>
      <c r="Y168" s="73">
        <f>mult_opex * fixed_month</f>
        <v>1000</v>
      </c>
      <c r="Z168" s="72">
        <f ca="1">mult_opex * fixed_well *D168</f>
        <v>5000</v>
      </c>
      <c r="AA168" s="72">
        <f ca="1">(Z168+Y168)*WI_current_1</f>
        <v>6000</v>
      </c>
      <c r="AB168" s="72">
        <f ca="1">mult_opex * var_bo*E168</f>
        <v>0</v>
      </c>
      <c r="AC168" s="72">
        <f ca="1">mult_opex * var_mcf*F168</f>
        <v>0</v>
      </c>
      <c r="AD168" s="72">
        <f ca="1">mult_opex * var_bw * G168</f>
        <v>4.3414440404847632</v>
      </c>
      <c r="AE168" s="72">
        <f ca="1">SUM(AB168:AD168)*WI_current_1</f>
        <v>4.3414440404847632</v>
      </c>
      <c r="AF168" s="73">
        <f ca="1">mult_capex * IFERROR(OFFSET(assumptions!$F$39,MATCH(B168,assumptions!$E$39:$E$45,0)-1,0),0)</f>
        <v>0</v>
      </c>
      <c r="AG168" s="75">
        <f ca="1">mult_capex * capex_new*WI_current_1 *'forecast production'!I169</f>
        <v>0</v>
      </c>
      <c r="AH168" s="146">
        <f t="shared" ca="1" si="69"/>
        <v>0</v>
      </c>
      <c r="AI168" s="73">
        <f t="shared" ca="1" si="62"/>
        <v>592.63623357321285</v>
      </c>
      <c r="AJ168" s="72">
        <f t="shared" ca="1" si="63"/>
        <v>262.16311782639713</v>
      </c>
      <c r="AK168" s="72">
        <f t="shared" ca="1" si="70"/>
        <v>854.79935139961003</v>
      </c>
      <c r="AL168" s="73">
        <f t="shared" ca="1" si="64"/>
        <v>3627.3839176157908</v>
      </c>
      <c r="AM168" s="132">
        <f ca="1">IF(X168*(lease_NRI/J168)  - (Z168+Y168+AB168+AC168+AD168)  - (AK168)*(lease_NRI/J168)&gt;0,1,0)</f>
        <v>1</v>
      </c>
      <c r="AN168" s="73">
        <f t="shared" ca="1" si="71"/>
        <v>3627.3839176157908</v>
      </c>
      <c r="AO168" s="75">
        <f t="shared" ca="1" si="76"/>
        <v>2215229.856279897</v>
      </c>
      <c r="AP168" s="72">
        <f ca="1">AL168  /  ( 1 + disc_1/12)^(COUNT($AL$6:AL168)-1)</f>
        <v>945.63903607829639</v>
      </c>
      <c r="AQ168" s="72">
        <f t="shared" ca="1" si="77"/>
        <v>1538828.3220479095</v>
      </c>
      <c r="AS168" s="303">
        <f t="shared" ca="1" si="72"/>
        <v>1</v>
      </c>
      <c r="AT168" s="300">
        <f ca="1">IFERROR(IRR($AN$6:AN168)*12,0)</f>
        <v>0</v>
      </c>
      <c r="AU168" s="297">
        <f t="shared" ca="1" si="73"/>
        <v>0</v>
      </c>
      <c r="AV168" s="303">
        <f t="shared" ca="1" si="74"/>
        <v>0</v>
      </c>
    </row>
    <row r="169" spans="2:48" x14ac:dyDescent="0.25">
      <c r="B169" s="43">
        <f t="shared" si="75"/>
        <v>49157</v>
      </c>
      <c r="C169" s="79">
        <f t="shared" si="65"/>
        <v>2034</v>
      </c>
      <c r="D169" s="64">
        <f ca="1">wellcount_base  +  SUM('forecast production'!I$7:I170)</f>
        <v>1</v>
      </c>
      <c r="E169" s="110">
        <f ca="1">'forecast production'!AE170</f>
        <v>168.56937473930788</v>
      </c>
      <c r="F169" s="98">
        <f ca="1">'forecast production'!AF170</f>
        <v>999.41552321970642</v>
      </c>
      <c r="G169" s="98">
        <f ca="1">'forecast production'!AG170</f>
        <v>2.0952197858740726</v>
      </c>
      <c r="H169" s="98">
        <f ca="1">'forecast production'!AH170</f>
        <v>149.91232848295596</v>
      </c>
      <c r="I169" s="307">
        <f t="shared" ca="1" si="66"/>
        <v>1</v>
      </c>
      <c r="J169" s="306">
        <f t="shared" ca="1" si="67"/>
        <v>0.75</v>
      </c>
      <c r="K169" s="112">
        <f t="shared" ca="1" si="52"/>
        <v>126.42703105448091</v>
      </c>
      <c r="L169" s="98">
        <f t="shared" ca="1" si="53"/>
        <v>562.17123181108491</v>
      </c>
      <c r="M169" s="98">
        <f t="shared" ca="1" si="54"/>
        <v>1.5714148394055545</v>
      </c>
      <c r="N169" s="98">
        <f t="shared" ca="1" si="55"/>
        <v>112.43424636221697</v>
      </c>
      <c r="O169" s="67">
        <f>assumptions!M173</f>
        <v>55</v>
      </c>
      <c r="P169" s="68">
        <f>assumptions!N173</f>
        <v>3</v>
      </c>
      <c r="Q169" s="68">
        <f>assumptions!O173</f>
        <v>22</v>
      </c>
      <c r="R169" s="67">
        <f t="shared" si="56"/>
        <v>52.5</v>
      </c>
      <c r="S169" s="68">
        <f t="shared" si="57"/>
        <v>2.3275000000000001</v>
      </c>
      <c r="T169" s="68">
        <f t="shared" si="58"/>
        <v>22</v>
      </c>
      <c r="U169" s="73">
        <f t="shared" ca="1" si="59"/>
        <v>6637.4191303602474</v>
      </c>
      <c r="V169" s="72">
        <f t="shared" ca="1" si="60"/>
        <v>1308.4535420403001</v>
      </c>
      <c r="W169" s="72">
        <f t="shared" ca="1" si="61"/>
        <v>2473.5534199687731</v>
      </c>
      <c r="X169" s="72">
        <f t="shared" ca="1" si="68"/>
        <v>10419.42609236932</v>
      </c>
      <c r="Y169" s="73">
        <f>mult_opex * fixed_month</f>
        <v>1000</v>
      </c>
      <c r="Z169" s="72">
        <f ca="1">mult_opex * fixed_well *D169</f>
        <v>5000</v>
      </c>
      <c r="AA169" s="72">
        <f ca="1">(Z169+Y169)*WI_current_1</f>
        <v>6000</v>
      </c>
      <c r="AB169" s="72">
        <f ca="1">mult_opex * var_bo*E169</f>
        <v>0</v>
      </c>
      <c r="AC169" s="72">
        <f ca="1">mult_opex * var_mcf*F169</f>
        <v>0</v>
      </c>
      <c r="AD169" s="72">
        <f ca="1">mult_opex * var_bw * G169</f>
        <v>4.1904395717481453</v>
      </c>
      <c r="AE169" s="72">
        <f ca="1">SUM(AB169:AD169)*WI_current_1</f>
        <v>4.1904395717481453</v>
      </c>
      <c r="AF169" s="73">
        <f ca="1">mult_capex * IFERROR(OFFSET(assumptions!$F$39,MATCH(B169,assumptions!$E$39:$E$45,0)-1,0),0)</f>
        <v>0</v>
      </c>
      <c r="AG169" s="75">
        <f ca="1">mult_capex * capex_new*WI_current_1 *'forecast production'!I170</f>
        <v>0</v>
      </c>
      <c r="AH169" s="146">
        <f t="shared" ca="1" si="69"/>
        <v>0</v>
      </c>
      <c r="AI169" s="73">
        <f t="shared" ca="1" si="62"/>
        <v>588.97180214725188</v>
      </c>
      <c r="AJ169" s="72">
        <f t="shared" ca="1" si="63"/>
        <v>260.48565230923299</v>
      </c>
      <c r="AK169" s="72">
        <f t="shared" ca="1" si="70"/>
        <v>849.45745445648481</v>
      </c>
      <c r="AL169" s="73">
        <f t="shared" ca="1" si="64"/>
        <v>3565.778198341086</v>
      </c>
      <c r="AM169" s="132">
        <f ca="1">IF(X169*(lease_NRI/J169)  - (Z169+Y169+AB169+AC169+AD169)  - (AK169)*(lease_NRI/J169)&gt;0,1,0)</f>
        <v>1</v>
      </c>
      <c r="AN169" s="73">
        <f t="shared" ca="1" si="71"/>
        <v>3565.778198341086</v>
      </c>
      <c r="AO169" s="75">
        <f t="shared" ca="1" si="76"/>
        <v>2218795.6344782379</v>
      </c>
      <c r="AP169" s="72">
        <f ca="1">AL169  /  ( 1 + disc_1/12)^(COUNT($AL$6:AL169)-1)</f>
        <v>921.89629478239397</v>
      </c>
      <c r="AQ169" s="72">
        <f t="shared" ca="1" si="77"/>
        <v>1539750.2183426919</v>
      </c>
      <c r="AS169" s="303">
        <f t="shared" ca="1" si="72"/>
        <v>1</v>
      </c>
      <c r="AT169" s="300">
        <f ca="1">IFERROR(IRR($AN$6:AN169)*12,0)</f>
        <v>0</v>
      </c>
      <c r="AU169" s="297">
        <f t="shared" ca="1" si="73"/>
        <v>0</v>
      </c>
      <c r="AV169" s="303">
        <f t="shared" ca="1" si="74"/>
        <v>0</v>
      </c>
    </row>
    <row r="170" spans="2:48" x14ac:dyDescent="0.25">
      <c r="B170" s="43">
        <f t="shared" si="75"/>
        <v>49188</v>
      </c>
      <c r="C170" s="79">
        <f t="shared" si="65"/>
        <v>2034</v>
      </c>
      <c r="D170" s="64">
        <f ca="1">wellcount_base  +  SUM('forecast production'!I$7:I171)</f>
        <v>1</v>
      </c>
      <c r="E170" s="110">
        <f ca="1">'forecast production'!AE171</f>
        <v>161.98048031121994</v>
      </c>
      <c r="F170" s="98">
        <f ca="1">'forecast production'!AF171</f>
        <v>962.10696742239929</v>
      </c>
      <c r="G170" s="98">
        <f ca="1">'forecast production'!AG171</f>
        <v>1.9571190453941458</v>
      </c>
      <c r="H170" s="98">
        <f ca="1">'forecast production'!AH171</f>
        <v>144.31604511335988</v>
      </c>
      <c r="I170" s="307">
        <f t="shared" ca="1" si="66"/>
        <v>1</v>
      </c>
      <c r="J170" s="306">
        <f t="shared" ca="1" si="67"/>
        <v>0.75</v>
      </c>
      <c r="K170" s="112">
        <f t="shared" ca="1" si="52"/>
        <v>121.48536023341495</v>
      </c>
      <c r="L170" s="98">
        <f t="shared" ca="1" si="53"/>
        <v>541.18516917509965</v>
      </c>
      <c r="M170" s="98">
        <f t="shared" ca="1" si="54"/>
        <v>1.4678392840456094</v>
      </c>
      <c r="N170" s="98">
        <f t="shared" ca="1" si="55"/>
        <v>108.2370338350199</v>
      </c>
      <c r="O170" s="67">
        <f>assumptions!M174</f>
        <v>55</v>
      </c>
      <c r="P170" s="68">
        <f>assumptions!N174</f>
        <v>3</v>
      </c>
      <c r="Q170" s="68">
        <f>assumptions!O174</f>
        <v>22</v>
      </c>
      <c r="R170" s="67">
        <f t="shared" si="56"/>
        <v>52.5</v>
      </c>
      <c r="S170" s="68">
        <f t="shared" si="57"/>
        <v>2.3275000000000001</v>
      </c>
      <c r="T170" s="68">
        <f t="shared" si="58"/>
        <v>22</v>
      </c>
      <c r="U170" s="73">
        <f t="shared" ca="1" si="59"/>
        <v>6377.9814122542848</v>
      </c>
      <c r="V170" s="72">
        <f t="shared" ca="1" si="60"/>
        <v>1259.6084812550446</v>
      </c>
      <c r="W170" s="72">
        <f t="shared" ca="1" si="61"/>
        <v>2381.214744370438</v>
      </c>
      <c r="X170" s="72">
        <f t="shared" ca="1" si="68"/>
        <v>10018.804637879766</v>
      </c>
      <c r="Y170" s="73">
        <f>mult_opex * fixed_month</f>
        <v>1000</v>
      </c>
      <c r="Z170" s="72">
        <f ca="1">mult_opex * fixed_well *D170</f>
        <v>5000</v>
      </c>
      <c r="AA170" s="72">
        <f ca="1">(Z170+Y170)*WI_current_1</f>
        <v>6000</v>
      </c>
      <c r="AB170" s="72">
        <f ca="1">mult_opex * var_bo*E170</f>
        <v>0</v>
      </c>
      <c r="AC170" s="72">
        <f ca="1">mult_opex * var_mcf*F170</f>
        <v>0</v>
      </c>
      <c r="AD170" s="72">
        <f ca="1">mult_opex * var_bw * G170</f>
        <v>3.9142380907882917</v>
      </c>
      <c r="AE170" s="72">
        <f ca="1">SUM(AB170:AD170)*WI_current_1</f>
        <v>3.9142380907882917</v>
      </c>
      <c r="AF170" s="73">
        <f ca="1">mult_capex * IFERROR(OFFSET(assumptions!$F$39,MATCH(B170,assumptions!$E$39:$E$45,0)-1,0),0)</f>
        <v>0</v>
      </c>
      <c r="AG170" s="75">
        <f ca="1">mult_capex * capex_new*WI_current_1 *'forecast production'!I171</f>
        <v>0</v>
      </c>
      <c r="AH170" s="146">
        <f t="shared" ca="1" si="69"/>
        <v>0</v>
      </c>
      <c r="AI170" s="73">
        <f t="shared" ca="1" si="62"/>
        <v>566.44888688560832</v>
      </c>
      <c r="AJ170" s="72">
        <f t="shared" ca="1" si="63"/>
        <v>250.47011594699416</v>
      </c>
      <c r="AK170" s="72">
        <f t="shared" ca="1" si="70"/>
        <v>816.91900283260247</v>
      </c>
      <c r="AL170" s="73">
        <f t="shared" ca="1" si="64"/>
        <v>3197.9713969563745</v>
      </c>
      <c r="AM170" s="132">
        <f ca="1">IF(X170*(lease_NRI/J170)  - (Z170+Y170+AB170+AC170+AD170)  - (AK170)*(lease_NRI/J170)&gt;0,1,0)</f>
        <v>1</v>
      </c>
      <c r="AN170" s="73">
        <f t="shared" ca="1" si="71"/>
        <v>3197.9713969563745</v>
      </c>
      <c r="AO170" s="75">
        <f t="shared" ca="1" si="76"/>
        <v>2221993.6058751945</v>
      </c>
      <c r="AP170" s="72">
        <f ca="1">AL170  /  ( 1 + disc_1/12)^(COUNT($AL$6:AL170)-1)</f>
        <v>819.97043743735924</v>
      </c>
      <c r="AQ170" s="72">
        <f t="shared" ca="1" si="77"/>
        <v>1540570.1887801292</v>
      </c>
      <c r="AS170" s="303">
        <f t="shared" ca="1" si="72"/>
        <v>1</v>
      </c>
      <c r="AT170" s="300">
        <f ca="1">IFERROR(IRR($AN$6:AN170)*12,0)</f>
        <v>0</v>
      </c>
      <c r="AU170" s="297">
        <f t="shared" ca="1" si="73"/>
        <v>0</v>
      </c>
      <c r="AV170" s="303">
        <f t="shared" ca="1" si="74"/>
        <v>0</v>
      </c>
    </row>
    <row r="171" spans="2:48" x14ac:dyDescent="0.25">
      <c r="B171" s="43">
        <f t="shared" si="75"/>
        <v>49218</v>
      </c>
      <c r="C171" s="79">
        <f t="shared" si="65"/>
        <v>2034</v>
      </c>
      <c r="D171" s="64">
        <f ca="1">wellcount_base  +  SUM('forecast production'!I$7:I172)</f>
        <v>1</v>
      </c>
      <c r="E171" s="110">
        <f ca="1">'forecast production'!AE172</f>
        <v>166.23665006704144</v>
      </c>
      <c r="F171" s="98">
        <f ca="1">'forecast production'!AF172</f>
        <v>989.13399762043923</v>
      </c>
      <c r="G171" s="98">
        <f ca="1">'forecast production'!AG172</f>
        <v>1.954268517297574</v>
      </c>
      <c r="H171" s="98">
        <f ca="1">'forecast production'!AH172</f>
        <v>148.37009964306588</v>
      </c>
      <c r="I171" s="307">
        <f t="shared" ca="1" si="66"/>
        <v>1</v>
      </c>
      <c r="J171" s="306">
        <f t="shared" ca="1" si="67"/>
        <v>0.75</v>
      </c>
      <c r="K171" s="112">
        <f t="shared" ca="1" si="52"/>
        <v>124.67748755028109</v>
      </c>
      <c r="L171" s="98">
        <f t="shared" ca="1" si="53"/>
        <v>556.38787366149711</v>
      </c>
      <c r="M171" s="98">
        <f t="shared" ca="1" si="54"/>
        <v>1.4657013879731804</v>
      </c>
      <c r="N171" s="98">
        <f t="shared" ca="1" si="55"/>
        <v>111.27757473229941</v>
      </c>
      <c r="O171" s="67">
        <f>assumptions!M175</f>
        <v>55</v>
      </c>
      <c r="P171" s="68">
        <f>assumptions!N175</f>
        <v>3</v>
      </c>
      <c r="Q171" s="68">
        <f>assumptions!O175</f>
        <v>22</v>
      </c>
      <c r="R171" s="67">
        <f t="shared" si="56"/>
        <v>52.5</v>
      </c>
      <c r="S171" s="68">
        <f t="shared" si="57"/>
        <v>2.3275000000000001</v>
      </c>
      <c r="T171" s="68">
        <f t="shared" si="58"/>
        <v>22</v>
      </c>
      <c r="U171" s="73">
        <f t="shared" ca="1" si="59"/>
        <v>6545.5680963897566</v>
      </c>
      <c r="V171" s="72">
        <f t="shared" ca="1" si="60"/>
        <v>1294.9927759471345</v>
      </c>
      <c r="W171" s="72">
        <f t="shared" ca="1" si="61"/>
        <v>2448.1066441105872</v>
      </c>
      <c r="X171" s="72">
        <f t="shared" ca="1" si="68"/>
        <v>10288.667516447478</v>
      </c>
      <c r="Y171" s="73">
        <f>mult_opex * fixed_month</f>
        <v>1000</v>
      </c>
      <c r="Z171" s="72">
        <f ca="1">mult_opex * fixed_well *D171</f>
        <v>5000</v>
      </c>
      <c r="AA171" s="72">
        <f ca="1">(Z171+Y171)*WI_current_1</f>
        <v>6000</v>
      </c>
      <c r="AB171" s="72">
        <f ca="1">mult_opex * var_bo*E171</f>
        <v>0</v>
      </c>
      <c r="AC171" s="72">
        <f ca="1">mult_opex * var_mcf*F171</f>
        <v>0</v>
      </c>
      <c r="AD171" s="72">
        <f ca="1">mult_opex * var_bw * G171</f>
        <v>3.908537034595148</v>
      </c>
      <c r="AE171" s="72">
        <f ca="1">SUM(AB171:AD171)*WI_current_1</f>
        <v>3.908537034595148</v>
      </c>
      <c r="AF171" s="73">
        <f ca="1">mult_capex * IFERROR(OFFSET(assumptions!$F$39,MATCH(B171,assumptions!$E$39:$E$45,0)-1,0),0)</f>
        <v>0</v>
      </c>
      <c r="AG171" s="75">
        <f ca="1">mult_capex * capex_new*WI_current_1 *'forecast production'!I172</f>
        <v>0</v>
      </c>
      <c r="AH171" s="146">
        <f t="shared" ca="1" si="69"/>
        <v>0</v>
      </c>
      <c r="AI171" s="73">
        <f t="shared" ca="1" si="62"/>
        <v>581.82858893825801</v>
      </c>
      <c r="AJ171" s="72">
        <f t="shared" ca="1" si="63"/>
        <v>257.21668791118697</v>
      </c>
      <c r="AK171" s="72">
        <f t="shared" ca="1" si="70"/>
        <v>839.04527684944492</v>
      </c>
      <c r="AL171" s="73">
        <f t="shared" ca="1" si="64"/>
        <v>3445.7137025634383</v>
      </c>
      <c r="AM171" s="132">
        <f ca="1">IF(X171*(lease_NRI/J171)  - (Z171+Y171+AB171+AC171+AD171)  - (AK171)*(lease_NRI/J171)&gt;0,1,0)</f>
        <v>1</v>
      </c>
      <c r="AN171" s="73">
        <f t="shared" ca="1" si="71"/>
        <v>3445.7137025634383</v>
      </c>
      <c r="AO171" s="75">
        <f t="shared" ca="1" si="76"/>
        <v>2225439.3195777582</v>
      </c>
      <c r="AP171" s="72">
        <f ca="1">AL171  /  ( 1 + disc_1/12)^(COUNT($AL$6:AL171)-1)</f>
        <v>876.19079358877218</v>
      </c>
      <c r="AQ171" s="72">
        <f t="shared" ca="1" si="77"/>
        <v>1541446.3795737179</v>
      </c>
      <c r="AS171" s="303">
        <f t="shared" ca="1" si="72"/>
        <v>1</v>
      </c>
      <c r="AT171" s="300">
        <f ca="1">IFERROR(IRR($AN$6:AN171)*12,0)</f>
        <v>0</v>
      </c>
      <c r="AU171" s="297">
        <f t="shared" ca="1" si="73"/>
        <v>0</v>
      </c>
      <c r="AV171" s="303">
        <f t="shared" ca="1" si="74"/>
        <v>0</v>
      </c>
    </row>
    <row r="172" spans="2:48" x14ac:dyDescent="0.25">
      <c r="B172" s="43">
        <f t="shared" si="75"/>
        <v>49249</v>
      </c>
      <c r="C172" s="79">
        <f t="shared" si="65"/>
        <v>2034</v>
      </c>
      <c r="D172" s="64">
        <f ca="1">wellcount_base  +  SUM('forecast production'!I$7:I173)</f>
        <v>1</v>
      </c>
      <c r="E172" s="110">
        <f ca="1">'forecast production'!AE173</f>
        <v>159.73893517034301</v>
      </c>
      <c r="F172" s="98">
        <f ca="1">'forecast production'!AF173</f>
        <v>952.20925502453804</v>
      </c>
      <c r="G172" s="98">
        <f ca="1">'forecast production'!AG173</f>
        <v>1.8254806911778507</v>
      </c>
      <c r="H172" s="98">
        <f ca="1">'forecast production'!AH173</f>
        <v>142.8313882536807</v>
      </c>
      <c r="I172" s="307">
        <f t="shared" ca="1" si="66"/>
        <v>1</v>
      </c>
      <c r="J172" s="306">
        <f t="shared" ca="1" si="67"/>
        <v>0.75</v>
      </c>
      <c r="K172" s="112">
        <f t="shared" ca="1" si="52"/>
        <v>119.80420137775727</v>
      </c>
      <c r="L172" s="98">
        <f t="shared" ca="1" si="53"/>
        <v>535.6177059513027</v>
      </c>
      <c r="M172" s="98">
        <f t="shared" ca="1" si="54"/>
        <v>1.369110518383388</v>
      </c>
      <c r="N172" s="98">
        <f t="shared" ca="1" si="55"/>
        <v>107.12354119026053</v>
      </c>
      <c r="O172" s="67">
        <f>assumptions!M176</f>
        <v>55</v>
      </c>
      <c r="P172" s="68">
        <f>assumptions!N176</f>
        <v>3</v>
      </c>
      <c r="Q172" s="68">
        <f>assumptions!O176</f>
        <v>22</v>
      </c>
      <c r="R172" s="67">
        <f t="shared" si="56"/>
        <v>52.5</v>
      </c>
      <c r="S172" s="68">
        <f t="shared" si="57"/>
        <v>2.3275000000000001</v>
      </c>
      <c r="T172" s="68">
        <f t="shared" si="58"/>
        <v>22</v>
      </c>
      <c r="U172" s="73">
        <f t="shared" ca="1" si="59"/>
        <v>6289.7205723322568</v>
      </c>
      <c r="V172" s="72">
        <f t="shared" ca="1" si="60"/>
        <v>1246.6502106016571</v>
      </c>
      <c r="W172" s="72">
        <f t="shared" ca="1" si="61"/>
        <v>2356.7179061857314</v>
      </c>
      <c r="X172" s="72">
        <f t="shared" ca="1" si="68"/>
        <v>9893.088689119646</v>
      </c>
      <c r="Y172" s="73">
        <f>mult_opex * fixed_month</f>
        <v>1000</v>
      </c>
      <c r="Z172" s="72">
        <f ca="1">mult_opex * fixed_well *D172</f>
        <v>5000</v>
      </c>
      <c r="AA172" s="72">
        <f ca="1">(Z172+Y172)*WI_current_1</f>
        <v>6000</v>
      </c>
      <c r="AB172" s="72">
        <f ca="1">mult_opex * var_bo*E172</f>
        <v>0</v>
      </c>
      <c r="AC172" s="72">
        <f ca="1">mult_opex * var_mcf*F172</f>
        <v>0</v>
      </c>
      <c r="AD172" s="72">
        <f ca="1">mult_opex * var_bw * G172</f>
        <v>3.6509613823557014</v>
      </c>
      <c r="AE172" s="72">
        <f ca="1">SUM(AB172:AD172)*WI_current_1</f>
        <v>3.6509613823557014</v>
      </c>
      <c r="AF172" s="73">
        <f ca="1">mult_capex * IFERROR(OFFSET(assumptions!$F$39,MATCH(B172,assumptions!$E$39:$E$45,0)-1,0),0)</f>
        <v>0</v>
      </c>
      <c r="AG172" s="75">
        <f ca="1">mult_capex * capex_new*WI_current_1 *'forecast production'!I173</f>
        <v>0</v>
      </c>
      <c r="AH172" s="146">
        <f t="shared" ca="1" si="69"/>
        <v>0</v>
      </c>
      <c r="AI172" s="73">
        <f t="shared" ca="1" si="62"/>
        <v>559.57975508633797</v>
      </c>
      <c r="AJ172" s="72">
        <f t="shared" ca="1" si="63"/>
        <v>247.32721722799116</v>
      </c>
      <c r="AK172" s="72">
        <f t="shared" ca="1" si="70"/>
        <v>806.9069723143291</v>
      </c>
      <c r="AL172" s="73">
        <f t="shared" ca="1" si="64"/>
        <v>3082.5307554229603</v>
      </c>
      <c r="AM172" s="132">
        <f ca="1">IF(X172*(lease_NRI/J172)  - (Z172+Y172+AB172+AC172+AD172)  - (AK172)*(lease_NRI/J172)&gt;0,1,0)</f>
        <v>1</v>
      </c>
      <c r="AN172" s="73">
        <f t="shared" ca="1" si="71"/>
        <v>3082.5307554229603</v>
      </c>
      <c r="AO172" s="75">
        <f t="shared" ca="1" si="76"/>
        <v>2228521.8503331812</v>
      </c>
      <c r="AP172" s="72">
        <f ca="1">AL172  /  ( 1 + disc_1/12)^(COUNT($AL$6:AL172)-1)</f>
        <v>777.36107403749281</v>
      </c>
      <c r="AQ172" s="72">
        <f t="shared" ca="1" si="77"/>
        <v>1542223.7406477553</v>
      </c>
      <c r="AS172" s="303">
        <f t="shared" ca="1" si="72"/>
        <v>1</v>
      </c>
      <c r="AT172" s="300">
        <f ca="1">IFERROR(IRR($AN$6:AN172)*12,0)</f>
        <v>0</v>
      </c>
      <c r="AU172" s="297">
        <f t="shared" ca="1" si="73"/>
        <v>0</v>
      </c>
      <c r="AV172" s="303">
        <f t="shared" ca="1" si="74"/>
        <v>0</v>
      </c>
    </row>
    <row r="173" spans="2:48" x14ac:dyDescent="0.25">
      <c r="B173" s="44">
        <f t="shared" si="75"/>
        <v>49279</v>
      </c>
      <c r="C173" s="100">
        <f t="shared" si="65"/>
        <v>2034</v>
      </c>
      <c r="D173" s="65">
        <f ca="1">wellcount_base  +  SUM('forecast production'!I$7:I174)</f>
        <v>1</v>
      </c>
      <c r="E173" s="109">
        <f ca="1">'forecast production'!AE174</f>
        <v>163.93620649212741</v>
      </c>
      <c r="F173" s="101">
        <f ca="1">'forecast production'!AF174</f>
        <v>978.95824361085863</v>
      </c>
      <c r="G173" s="101">
        <f ca="1">'forecast production'!AG174</f>
        <v>1.8228436217365802</v>
      </c>
      <c r="H173" s="102">
        <f ca="1">'forecast production'!AH174</f>
        <v>146.8437365416288</v>
      </c>
      <c r="I173" s="308">
        <f t="shared" ca="1" si="66"/>
        <v>1</v>
      </c>
      <c r="J173" s="309">
        <f t="shared" ca="1" si="67"/>
        <v>0.75</v>
      </c>
      <c r="K173" s="113">
        <f t="shared" ca="1" si="52"/>
        <v>122.95215486909555</v>
      </c>
      <c r="L173" s="102">
        <f t="shared" ca="1" si="53"/>
        <v>550.66401203110797</v>
      </c>
      <c r="M173" s="102">
        <f t="shared" ca="1" si="54"/>
        <v>1.3671327163024352</v>
      </c>
      <c r="N173" s="102">
        <f t="shared" ca="1" si="55"/>
        <v>110.1328024062216</v>
      </c>
      <c r="O173" s="103">
        <f>assumptions!M177</f>
        <v>55</v>
      </c>
      <c r="P173" s="104">
        <f>assumptions!N177</f>
        <v>3</v>
      </c>
      <c r="Q173" s="104">
        <f>assumptions!O177</f>
        <v>22</v>
      </c>
      <c r="R173" s="103">
        <f t="shared" si="56"/>
        <v>52.5</v>
      </c>
      <c r="S173" s="104">
        <f t="shared" si="57"/>
        <v>2.3275000000000001</v>
      </c>
      <c r="T173" s="104">
        <f t="shared" si="58"/>
        <v>22</v>
      </c>
      <c r="U173" s="105">
        <f t="shared" ca="1" si="59"/>
        <v>6454.9881306275165</v>
      </c>
      <c r="V173" s="106">
        <f t="shared" ca="1" si="60"/>
        <v>1281.6704880024038</v>
      </c>
      <c r="W173" s="106">
        <f t="shared" ca="1" si="61"/>
        <v>2422.921652936875</v>
      </c>
      <c r="X173" s="106">
        <f t="shared" ca="1" si="68"/>
        <v>10159.580271566796</v>
      </c>
      <c r="Y173" s="105">
        <f>mult_opex * fixed_month</f>
        <v>1000</v>
      </c>
      <c r="Z173" s="106">
        <f ca="1">mult_opex * fixed_well *D173</f>
        <v>5000</v>
      </c>
      <c r="AA173" s="106">
        <f ca="1">(Z173+Y173)*WI_current_1</f>
        <v>6000</v>
      </c>
      <c r="AB173" s="106">
        <f ca="1">mult_opex * var_bo*E173</f>
        <v>0</v>
      </c>
      <c r="AC173" s="106">
        <f ca="1">mult_opex * var_mcf*F173</f>
        <v>0</v>
      </c>
      <c r="AD173" s="106">
        <f ca="1">mult_opex * var_bw * G173</f>
        <v>3.6456872434731604</v>
      </c>
      <c r="AE173" s="106">
        <f ca="1">SUM(AB173:AD173)*WI_current_1</f>
        <v>3.6456872434731604</v>
      </c>
      <c r="AF173" s="105">
        <f ca="1">mult_capex * IFERROR(OFFSET(assumptions!$F$39,MATCH(B173,assumptions!$E$39:$E$45,0)-1,0),0)</f>
        <v>0</v>
      </c>
      <c r="AG173" s="106">
        <f ca="1">mult_capex * capex_new*WI_current_1 *'forecast production'!I174</f>
        <v>0</v>
      </c>
      <c r="AH173" s="147">
        <f t="shared" ca="1" si="69"/>
        <v>0</v>
      </c>
      <c r="AI173" s="105">
        <f t="shared" ca="1" si="62"/>
        <v>574.77386457931175</v>
      </c>
      <c r="AJ173" s="106">
        <f t="shared" ca="1" si="63"/>
        <v>253.98950678916992</v>
      </c>
      <c r="AK173" s="106">
        <f t="shared" ca="1" si="70"/>
        <v>828.76337136848167</v>
      </c>
      <c r="AL173" s="105">
        <f t="shared" ca="1" si="64"/>
        <v>3327.1712129548414</v>
      </c>
      <c r="AM173" s="133">
        <f ca="1">IF(X173*(lease_NRI/J173)  - (Z173+Y173+AB173+AC173+AD173)  - (AK173)*(lease_NRI/J173)&gt;0,1,0)</f>
        <v>1</v>
      </c>
      <c r="AN173" s="105">
        <f t="shared" ca="1" si="71"/>
        <v>3327.1712129548414</v>
      </c>
      <c r="AO173" s="106">
        <f t="shared" ca="1" si="76"/>
        <v>2231849.0215461361</v>
      </c>
      <c r="AP173" s="106">
        <f ca="1">AL173  /  ( 1 + disc_1/12)^(COUNT($AL$6:AL173)-1)</f>
        <v>832.1208363756557</v>
      </c>
      <c r="AQ173" s="106">
        <f t="shared" ca="1" si="77"/>
        <v>1543055.8614841311</v>
      </c>
      <c r="AS173" s="304">
        <f t="shared" ca="1" si="72"/>
        <v>1</v>
      </c>
      <c r="AT173" s="301">
        <f ca="1">IFERROR(IRR($AN$6:AN173)*12,0)</f>
        <v>0</v>
      </c>
      <c r="AU173" s="298">
        <f t="shared" ca="1" si="73"/>
        <v>0</v>
      </c>
      <c r="AV173" s="304">
        <f t="shared" ca="1" si="74"/>
        <v>0</v>
      </c>
    </row>
    <row r="174" spans="2:48" x14ac:dyDescent="0.25">
      <c r="B174" s="43">
        <f t="shared" si="75"/>
        <v>49310</v>
      </c>
      <c r="C174" s="79">
        <f t="shared" si="65"/>
        <v>2035</v>
      </c>
      <c r="D174" s="64">
        <f ca="1">wellcount_base  +  SUM('forecast production'!I$7:I175)</f>
        <v>1</v>
      </c>
      <c r="E174" s="110">
        <f ca="1">'forecast production'!AE175</f>
        <v>162.77935632947896</v>
      </c>
      <c r="F174" s="98">
        <f ca="1">'forecast production'!AF175</f>
        <v>973.82714458074884</v>
      </c>
      <c r="G174" s="98">
        <f ca="1">'forecast production'!AG175</f>
        <v>1.7594956907285464</v>
      </c>
      <c r="H174" s="98">
        <f ca="1">'forecast production'!AH175</f>
        <v>146.07407168711234</v>
      </c>
      <c r="I174" s="307">
        <f t="shared" ca="1" si="66"/>
        <v>1</v>
      </c>
      <c r="J174" s="306">
        <f t="shared" ca="1" si="67"/>
        <v>0.75</v>
      </c>
      <c r="K174" s="112">
        <f t="shared" ca="1" si="52"/>
        <v>122.08451724710922</v>
      </c>
      <c r="L174" s="98">
        <f t="shared" ca="1" si="53"/>
        <v>547.77776882667126</v>
      </c>
      <c r="M174" s="98">
        <f t="shared" ca="1" si="54"/>
        <v>1.3196217680464097</v>
      </c>
      <c r="N174" s="98">
        <f t="shared" ca="1" si="55"/>
        <v>109.55555376533425</v>
      </c>
      <c r="O174" s="67">
        <f>assumptions!M178</f>
        <v>55</v>
      </c>
      <c r="P174" s="68">
        <f>assumptions!N178</f>
        <v>3</v>
      </c>
      <c r="Q174" s="68">
        <f>assumptions!O178</f>
        <v>22</v>
      </c>
      <c r="R174" s="67">
        <f t="shared" si="56"/>
        <v>52.5</v>
      </c>
      <c r="S174" s="68">
        <f t="shared" si="57"/>
        <v>2.3275000000000001</v>
      </c>
      <c r="T174" s="68">
        <f t="shared" si="58"/>
        <v>22</v>
      </c>
      <c r="U174" s="73">
        <f t="shared" ca="1" si="59"/>
        <v>6409.4371554732343</v>
      </c>
      <c r="V174" s="72">
        <f t="shared" ca="1" si="60"/>
        <v>1274.9527569440775</v>
      </c>
      <c r="W174" s="72">
        <f t="shared" ca="1" si="61"/>
        <v>2410.2221828373536</v>
      </c>
      <c r="X174" s="72">
        <f t="shared" ca="1" si="68"/>
        <v>10094.612095254664</v>
      </c>
      <c r="Y174" s="73">
        <f>mult_opex * fixed_month</f>
        <v>1000</v>
      </c>
      <c r="Z174" s="72">
        <f ca="1">mult_opex * fixed_well *D174</f>
        <v>5000</v>
      </c>
      <c r="AA174" s="72">
        <f ca="1">(Z174+Y174)*WI_current_1</f>
        <v>6000</v>
      </c>
      <c r="AB174" s="72">
        <f ca="1">mult_opex * var_bo*E174</f>
        <v>0</v>
      </c>
      <c r="AC174" s="72">
        <f ca="1">mult_opex * var_mcf*F174</f>
        <v>0</v>
      </c>
      <c r="AD174" s="72">
        <f ca="1">mult_opex * var_bw * G174</f>
        <v>3.5189913814570928</v>
      </c>
      <c r="AE174" s="72">
        <f ca="1">SUM(AB174:AD174)*WI_current_1</f>
        <v>3.5189913814570928</v>
      </c>
      <c r="AF174" s="73">
        <f ca="1">mult_capex * IFERROR(OFFSET(assumptions!$F$39,MATCH(B174,assumptions!$E$39:$E$45,0)-1,0),0)</f>
        <v>0</v>
      </c>
      <c r="AG174" s="75">
        <f ca="1">mult_capex * capex_new*WI_current_1 *'forecast production'!I175</f>
        <v>0</v>
      </c>
      <c r="AH174" s="146">
        <f t="shared" ca="1" si="69"/>
        <v>0</v>
      </c>
      <c r="AI174" s="73">
        <f t="shared" ca="1" si="62"/>
        <v>571.22222963537615</v>
      </c>
      <c r="AJ174" s="72">
        <f t="shared" ca="1" si="63"/>
        <v>252.36530238136663</v>
      </c>
      <c r="AK174" s="72">
        <f t="shared" ca="1" si="70"/>
        <v>823.58753201674278</v>
      </c>
      <c r="AL174" s="73">
        <f t="shared" ca="1" si="64"/>
        <v>3267.5055718564636</v>
      </c>
      <c r="AM174" s="132">
        <f ca="1">IF(X174*(lease_NRI/J174)  - (Z174+Y174+AB174+AC174+AD174)  - (AK174)*(lease_NRI/J174)&gt;0,1,0)</f>
        <v>1</v>
      </c>
      <c r="AN174" s="73">
        <f t="shared" ca="1" si="71"/>
        <v>3267.5055718564636</v>
      </c>
      <c r="AO174" s="75">
        <f t="shared" ca="1" si="76"/>
        <v>2235116.5271179928</v>
      </c>
      <c r="AP174" s="72">
        <f ca="1">AL174  /  ( 1 + disc_1/12)^(COUNT($AL$6:AL174)-1)</f>
        <v>810.44483656275395</v>
      </c>
      <c r="AQ174" s="72">
        <f t="shared" ca="1" si="77"/>
        <v>1543866.3063206938</v>
      </c>
      <c r="AS174" s="303">
        <f t="shared" ca="1" si="72"/>
        <v>1</v>
      </c>
      <c r="AT174" s="300">
        <f ca="1">IFERROR(IRR($AN$6:AN174)*12,0)</f>
        <v>0</v>
      </c>
      <c r="AU174" s="297">
        <f t="shared" ca="1" si="73"/>
        <v>0</v>
      </c>
      <c r="AV174" s="303">
        <f t="shared" ca="1" si="74"/>
        <v>0</v>
      </c>
    </row>
    <row r="175" spans="2:48" x14ac:dyDescent="0.25">
      <c r="B175" s="43">
        <f t="shared" si="75"/>
        <v>49341</v>
      </c>
      <c r="C175" s="79">
        <f t="shared" si="65"/>
        <v>2035</v>
      </c>
      <c r="D175" s="64">
        <f ca="1">wellcount_base  +  SUM('forecast production'!I$7:I176)</f>
        <v>1</v>
      </c>
      <c r="E175" s="110">
        <f ca="1">'forecast production'!AE176</f>
        <v>145.98899200714868</v>
      </c>
      <c r="F175" s="98">
        <f ca="1">'forecast production'!AF176</f>
        <v>874.97555837231198</v>
      </c>
      <c r="G175" s="98">
        <f ca="1">'forecast production'!AG176</f>
        <v>1.5340024589502446</v>
      </c>
      <c r="H175" s="98">
        <f ca="1">'forecast production'!AH176</f>
        <v>131.24633375584679</v>
      </c>
      <c r="I175" s="307">
        <f t="shared" ca="1" si="66"/>
        <v>1</v>
      </c>
      <c r="J175" s="306">
        <f t="shared" ca="1" si="67"/>
        <v>0.75</v>
      </c>
      <c r="K175" s="112">
        <f t="shared" ca="1" si="52"/>
        <v>109.49174400536151</v>
      </c>
      <c r="L175" s="98">
        <f t="shared" ca="1" si="53"/>
        <v>492.17375158442553</v>
      </c>
      <c r="M175" s="98">
        <f t="shared" ca="1" si="54"/>
        <v>1.1505018442126835</v>
      </c>
      <c r="N175" s="98">
        <f t="shared" ca="1" si="55"/>
        <v>98.434750316885101</v>
      </c>
      <c r="O175" s="67">
        <f>assumptions!M179</f>
        <v>55</v>
      </c>
      <c r="P175" s="68">
        <f>assumptions!N179</f>
        <v>3</v>
      </c>
      <c r="Q175" s="68">
        <f>assumptions!O179</f>
        <v>22</v>
      </c>
      <c r="R175" s="67">
        <f t="shared" si="56"/>
        <v>52.5</v>
      </c>
      <c r="S175" s="68">
        <f t="shared" si="57"/>
        <v>2.3275000000000001</v>
      </c>
      <c r="T175" s="68">
        <f t="shared" si="58"/>
        <v>22</v>
      </c>
      <c r="U175" s="73">
        <f t="shared" ca="1" si="59"/>
        <v>5748.3165602814797</v>
      </c>
      <c r="V175" s="72">
        <f t="shared" ca="1" si="60"/>
        <v>1145.5344068127504</v>
      </c>
      <c r="W175" s="72">
        <f t="shared" ca="1" si="61"/>
        <v>2165.5645069714724</v>
      </c>
      <c r="X175" s="72">
        <f t="shared" ca="1" si="68"/>
        <v>9059.4154740657032</v>
      </c>
      <c r="Y175" s="73">
        <f>mult_opex * fixed_month</f>
        <v>1000</v>
      </c>
      <c r="Z175" s="72">
        <f ca="1">mult_opex * fixed_well *D175</f>
        <v>5000</v>
      </c>
      <c r="AA175" s="72">
        <f ca="1">(Z175+Y175)*WI_current_1</f>
        <v>6000</v>
      </c>
      <c r="AB175" s="72">
        <f ca="1">mult_opex * var_bo*E175</f>
        <v>0</v>
      </c>
      <c r="AC175" s="72">
        <f ca="1">mult_opex * var_mcf*F175</f>
        <v>0</v>
      </c>
      <c r="AD175" s="72">
        <f ca="1">mult_opex * var_bw * G175</f>
        <v>3.0680049179004891</v>
      </c>
      <c r="AE175" s="72">
        <f ca="1">SUM(AB175:AD175)*WI_current_1</f>
        <v>3.0680049179004891</v>
      </c>
      <c r="AF175" s="73">
        <f ca="1">mult_capex * IFERROR(OFFSET(assumptions!$F$39,MATCH(B175,assumptions!$E$39:$E$45,0)-1,0),0)</f>
        <v>0</v>
      </c>
      <c r="AG175" s="75">
        <f ca="1">mult_capex * capex_new*WI_current_1 *'forecast production'!I176</f>
        <v>0</v>
      </c>
      <c r="AH175" s="146">
        <f t="shared" ca="1" si="69"/>
        <v>0</v>
      </c>
      <c r="AI175" s="73">
        <f t="shared" ca="1" si="62"/>
        <v>512.75498030676476</v>
      </c>
      <c r="AJ175" s="72">
        <f t="shared" ca="1" si="63"/>
        <v>226.4853868516426</v>
      </c>
      <c r="AK175" s="72">
        <f t="shared" ca="1" si="70"/>
        <v>739.24036715840737</v>
      </c>
      <c r="AL175" s="73">
        <f t="shared" ca="1" si="64"/>
        <v>2317.1071019893952</v>
      </c>
      <c r="AM175" s="132">
        <f ca="1">IF(X175*(lease_NRI/J175)  - (Z175+Y175+AB175+AC175+AD175)  - (AK175)*(lease_NRI/J175)&gt;0,1,0)</f>
        <v>1</v>
      </c>
      <c r="AN175" s="73">
        <f t="shared" ca="1" si="71"/>
        <v>2317.1071019893952</v>
      </c>
      <c r="AO175" s="75">
        <f t="shared" ca="1" si="76"/>
        <v>2237433.6342199822</v>
      </c>
      <c r="AP175" s="72">
        <f ca="1">AL175  /  ( 1 + disc_1/12)^(COUNT($AL$6:AL175)-1)</f>
        <v>569.96620642886978</v>
      </c>
      <c r="AQ175" s="72">
        <f t="shared" ca="1" si="77"/>
        <v>1544436.2725271226</v>
      </c>
      <c r="AS175" s="303">
        <f t="shared" ca="1" si="72"/>
        <v>1</v>
      </c>
      <c r="AT175" s="300">
        <f ca="1">IFERROR(IRR($AN$6:AN175)*12,0)</f>
        <v>0</v>
      </c>
      <c r="AU175" s="297">
        <f t="shared" ca="1" si="73"/>
        <v>0</v>
      </c>
      <c r="AV175" s="303">
        <f t="shared" ca="1" si="74"/>
        <v>0</v>
      </c>
    </row>
    <row r="176" spans="2:48" x14ac:dyDescent="0.25">
      <c r="B176" s="43">
        <f t="shared" si="75"/>
        <v>49369</v>
      </c>
      <c r="C176" s="79">
        <f t="shared" si="65"/>
        <v>2035</v>
      </c>
      <c r="D176" s="64">
        <f ca="1">wellcount_base  +  SUM('forecast production'!I$7:I177)</f>
        <v>1</v>
      </c>
      <c r="E176" s="110">
        <f ca="1">'forecast production'!AE177</f>
        <v>160.60011515887038</v>
      </c>
      <c r="F176" s="98">
        <f ca="1">'forecast production'!AF177</f>
        <v>964.13568875571139</v>
      </c>
      <c r="G176" s="98">
        <f ca="1">'forecast production'!AG177</f>
        <v>1.6449771446895005</v>
      </c>
      <c r="H176" s="98">
        <f ca="1">'forecast production'!AH177</f>
        <v>144.6203533133567</v>
      </c>
      <c r="I176" s="307">
        <f t="shared" ca="1" si="66"/>
        <v>1</v>
      </c>
      <c r="J176" s="306">
        <f t="shared" ca="1" si="67"/>
        <v>0.75</v>
      </c>
      <c r="K176" s="112">
        <f t="shared" ca="1" si="52"/>
        <v>120.45008636915279</v>
      </c>
      <c r="L176" s="98">
        <f t="shared" ca="1" si="53"/>
        <v>542.32632492508765</v>
      </c>
      <c r="M176" s="98">
        <f t="shared" ca="1" si="54"/>
        <v>1.2337328585171254</v>
      </c>
      <c r="N176" s="98">
        <f t="shared" ca="1" si="55"/>
        <v>108.46526498501753</v>
      </c>
      <c r="O176" s="67">
        <f>assumptions!M180</f>
        <v>55</v>
      </c>
      <c r="P176" s="68">
        <f>assumptions!N180</f>
        <v>3</v>
      </c>
      <c r="Q176" s="68">
        <f>assumptions!O180</f>
        <v>22</v>
      </c>
      <c r="R176" s="67">
        <f t="shared" si="56"/>
        <v>52.5</v>
      </c>
      <c r="S176" s="68">
        <f t="shared" si="57"/>
        <v>2.3275000000000001</v>
      </c>
      <c r="T176" s="68">
        <f t="shared" si="58"/>
        <v>22</v>
      </c>
      <c r="U176" s="73">
        <f t="shared" ca="1" si="59"/>
        <v>6323.6295343805214</v>
      </c>
      <c r="V176" s="72">
        <f t="shared" ca="1" si="60"/>
        <v>1262.2645212631417</v>
      </c>
      <c r="W176" s="72">
        <f t="shared" ca="1" si="61"/>
        <v>2386.2358296703856</v>
      </c>
      <c r="X176" s="72">
        <f t="shared" ca="1" si="68"/>
        <v>9972.1298853140488</v>
      </c>
      <c r="Y176" s="73">
        <f>mult_opex * fixed_month</f>
        <v>1000</v>
      </c>
      <c r="Z176" s="72">
        <f ca="1">mult_opex * fixed_well *D176</f>
        <v>5000</v>
      </c>
      <c r="AA176" s="72">
        <f ca="1">(Z176+Y176)*WI_current_1</f>
        <v>6000</v>
      </c>
      <c r="AB176" s="72">
        <f ca="1">mult_opex * var_bo*E176</f>
        <v>0</v>
      </c>
      <c r="AC176" s="72">
        <f ca="1">mult_opex * var_mcf*F176</f>
        <v>0</v>
      </c>
      <c r="AD176" s="72">
        <f ca="1">mult_opex * var_bw * G176</f>
        <v>3.289954289379001</v>
      </c>
      <c r="AE176" s="72">
        <f ca="1">SUM(AB176:AD176)*WI_current_1</f>
        <v>3.289954289379001</v>
      </c>
      <c r="AF176" s="73">
        <f ca="1">mult_capex * IFERROR(OFFSET(assumptions!$F$39,MATCH(B176,assumptions!$E$39:$E$45,0)-1,0),0)</f>
        <v>0</v>
      </c>
      <c r="AG176" s="75">
        <f ca="1">mult_capex * capex_new*WI_current_1 *'forecast production'!I177</f>
        <v>0</v>
      </c>
      <c r="AH176" s="146">
        <f t="shared" ca="1" si="69"/>
        <v>0</v>
      </c>
      <c r="AI176" s="73">
        <f t="shared" ca="1" si="62"/>
        <v>564.52448490151846</v>
      </c>
      <c r="AJ176" s="72">
        <f t="shared" ca="1" si="63"/>
        <v>249.30324713285123</v>
      </c>
      <c r="AK176" s="72">
        <f t="shared" ca="1" si="70"/>
        <v>813.82773203436966</v>
      </c>
      <c r="AL176" s="73">
        <f t="shared" ca="1" si="64"/>
        <v>3155.0121989903</v>
      </c>
      <c r="AM176" s="132">
        <f ca="1">IF(X176*(lease_NRI/J176)  - (Z176+Y176+AB176+AC176+AD176)  - (AK176)*(lease_NRI/J176)&gt;0,1,0)</f>
        <v>1</v>
      </c>
      <c r="AN176" s="73">
        <f t="shared" ca="1" si="71"/>
        <v>3155.0121989903</v>
      </c>
      <c r="AO176" s="75">
        <f t="shared" ca="1" si="76"/>
        <v>2240588.6464189724</v>
      </c>
      <c r="AP176" s="72">
        <f ca="1">AL176  /  ( 1 + disc_1/12)^(COUNT($AL$6:AL176)-1)</f>
        <v>769.66177340419063</v>
      </c>
      <c r="AQ176" s="72">
        <f t="shared" ca="1" si="77"/>
        <v>1545205.9343005267</v>
      </c>
      <c r="AS176" s="303">
        <f t="shared" ca="1" si="72"/>
        <v>1</v>
      </c>
      <c r="AT176" s="300">
        <f ca="1">IFERROR(IRR($AN$6:AN176)*12,0)</f>
        <v>0</v>
      </c>
      <c r="AU176" s="297">
        <f t="shared" ca="1" si="73"/>
        <v>0</v>
      </c>
      <c r="AV176" s="303">
        <f t="shared" ca="1" si="74"/>
        <v>0</v>
      </c>
    </row>
    <row r="177" spans="2:48" x14ac:dyDescent="0.25">
      <c r="B177" s="43">
        <f t="shared" si="75"/>
        <v>49400</v>
      </c>
      <c r="C177" s="79">
        <f t="shared" si="65"/>
        <v>2035</v>
      </c>
      <c r="D177" s="64">
        <f ca="1">wellcount_base  +  SUM('forecast production'!I$7:I178)</f>
        <v>1</v>
      </c>
      <c r="E177" s="108">
        <f ca="1">'forecast production'!AE178</f>
        <v>154.32271628047368</v>
      </c>
      <c r="F177" s="97">
        <f ca="1">'forecast production'!AF178</f>
        <v>928.14414239245775</v>
      </c>
      <c r="G177" s="97">
        <f ca="1">'forecast production'!AG178</f>
        <v>1.5366186740590762</v>
      </c>
      <c r="H177" s="98">
        <f ca="1">'forecast production'!AH178</f>
        <v>139.22162135886865</v>
      </c>
      <c r="I177" s="307">
        <f t="shared" ca="1" si="66"/>
        <v>1</v>
      </c>
      <c r="J177" s="306">
        <f t="shared" ca="1" si="67"/>
        <v>0.75</v>
      </c>
      <c r="K177" s="112">
        <f t="shared" ca="1" si="52"/>
        <v>115.74203721035526</v>
      </c>
      <c r="L177" s="98">
        <f t="shared" ca="1" si="53"/>
        <v>522.08108009575744</v>
      </c>
      <c r="M177" s="98">
        <f t="shared" ca="1" si="54"/>
        <v>1.1524640055443072</v>
      </c>
      <c r="N177" s="98">
        <f t="shared" ca="1" si="55"/>
        <v>104.41621601915148</v>
      </c>
      <c r="O177" s="67">
        <f>assumptions!M181</f>
        <v>55</v>
      </c>
      <c r="P177" s="68">
        <f>assumptions!N181</f>
        <v>3</v>
      </c>
      <c r="Q177" s="68">
        <f>assumptions!O181</f>
        <v>22</v>
      </c>
      <c r="R177" s="67">
        <f t="shared" si="56"/>
        <v>52.5</v>
      </c>
      <c r="S177" s="68">
        <f t="shared" si="57"/>
        <v>2.3275000000000001</v>
      </c>
      <c r="T177" s="68">
        <f t="shared" si="58"/>
        <v>22</v>
      </c>
      <c r="U177" s="73">
        <f t="shared" ca="1" si="59"/>
        <v>6076.4569535436513</v>
      </c>
      <c r="V177" s="72">
        <f t="shared" ca="1" si="60"/>
        <v>1215.1437139228756</v>
      </c>
      <c r="W177" s="72">
        <f t="shared" ca="1" si="61"/>
        <v>2297.1567524213324</v>
      </c>
      <c r="X177" s="72">
        <f t="shared" ca="1" si="68"/>
        <v>9588.7574198878592</v>
      </c>
      <c r="Y177" s="73">
        <f>mult_opex * fixed_month</f>
        <v>1000</v>
      </c>
      <c r="Z177" s="72">
        <f ca="1">mult_opex * fixed_well *D177</f>
        <v>5000</v>
      </c>
      <c r="AA177" s="72">
        <f ca="1">(Z177+Y177)*WI_current_1</f>
        <v>6000</v>
      </c>
      <c r="AB177" s="72">
        <f ca="1">mult_opex * var_bo*E177</f>
        <v>0</v>
      </c>
      <c r="AC177" s="72">
        <f ca="1">mult_opex * var_mcf*F177</f>
        <v>0</v>
      </c>
      <c r="AD177" s="72">
        <f ca="1">mult_opex * var_bw * G177</f>
        <v>3.0732373481181523</v>
      </c>
      <c r="AE177" s="72">
        <f ca="1">SUM(AB177:AD177)*WI_current_1</f>
        <v>3.0732373481181523</v>
      </c>
      <c r="AF177" s="73">
        <f ca="1">mult_capex * IFERROR(OFFSET(assumptions!$F$39,MATCH(B177,assumptions!$E$39:$E$45,0)-1,0),0)</f>
        <v>0</v>
      </c>
      <c r="AG177" s="75">
        <f ca="1">mult_capex * capex_new*WI_current_1 *'forecast production'!I178</f>
        <v>0</v>
      </c>
      <c r="AH177" s="146">
        <f t="shared" ca="1" si="69"/>
        <v>0</v>
      </c>
      <c r="AI177" s="73">
        <f t="shared" ca="1" si="62"/>
        <v>542.93955483882348</v>
      </c>
      <c r="AJ177" s="72">
        <f t="shared" ca="1" si="63"/>
        <v>239.7189354971965</v>
      </c>
      <c r="AK177" s="72">
        <f t="shared" ca="1" si="70"/>
        <v>782.65849033602001</v>
      </c>
      <c r="AL177" s="73">
        <f t="shared" ca="1" si="64"/>
        <v>2803.0256922037206</v>
      </c>
      <c r="AM177" s="132">
        <f ca="1">IF(X177*(lease_NRI/J177)  - (Z177+Y177+AB177+AC177+AD177)  - (AK177)*(lease_NRI/J177)&gt;0,1,0)</f>
        <v>1</v>
      </c>
      <c r="AN177" s="73">
        <f t="shared" ca="1" si="71"/>
        <v>2803.0256922037206</v>
      </c>
      <c r="AO177" s="75">
        <f t="shared" ca="1" si="76"/>
        <v>2243391.672111176</v>
      </c>
      <c r="AP177" s="72">
        <f ca="1">AL177  /  ( 1 + disc_1/12)^(COUNT($AL$6:AL177)-1)</f>
        <v>678.14385149108909</v>
      </c>
      <c r="AQ177" s="72">
        <f t="shared" ca="1" si="77"/>
        <v>1545884.0781520179</v>
      </c>
      <c r="AS177" s="303">
        <f t="shared" ca="1" si="72"/>
        <v>1</v>
      </c>
      <c r="AT177" s="300">
        <f ca="1">IFERROR(IRR($AN$6:AN177)*12,0)</f>
        <v>0</v>
      </c>
      <c r="AU177" s="297">
        <f t="shared" ca="1" si="73"/>
        <v>0</v>
      </c>
      <c r="AV177" s="303">
        <f t="shared" ca="1" si="74"/>
        <v>0</v>
      </c>
    </row>
    <row r="178" spans="2:48" x14ac:dyDescent="0.25">
      <c r="B178" s="43">
        <f t="shared" si="75"/>
        <v>49430</v>
      </c>
      <c r="C178" s="79">
        <f t="shared" si="65"/>
        <v>2035</v>
      </c>
      <c r="D178" s="64">
        <f ca="1">wellcount_base  +  SUM('forecast production'!I$7:I179)</f>
        <v>1</v>
      </c>
      <c r="E178" s="110">
        <f ca="1">'forecast production'!AE179</f>
        <v>158.37767201592521</v>
      </c>
      <c r="F178" s="98">
        <f ca="1">'forecast production'!AF179</f>
        <v>954.21710580917681</v>
      </c>
      <c r="G178" s="98">
        <f ca="1">'forecast production'!AG179</f>
        <v>1.5344441134062643</v>
      </c>
      <c r="H178" s="98">
        <f ca="1">'forecast production'!AH179</f>
        <v>143.13256587137653</v>
      </c>
      <c r="I178" s="307">
        <f t="shared" ca="1" si="66"/>
        <v>1</v>
      </c>
      <c r="J178" s="306">
        <f t="shared" ca="1" si="67"/>
        <v>0.75</v>
      </c>
      <c r="K178" s="112">
        <f t="shared" ca="1" si="52"/>
        <v>118.78325401194391</v>
      </c>
      <c r="L178" s="98">
        <f t="shared" ca="1" si="53"/>
        <v>536.74712201766192</v>
      </c>
      <c r="M178" s="98">
        <f t="shared" ca="1" si="54"/>
        <v>1.1508330850546982</v>
      </c>
      <c r="N178" s="98">
        <f t="shared" ca="1" si="55"/>
        <v>107.3494244035324</v>
      </c>
      <c r="O178" s="67">
        <f>assumptions!M182</f>
        <v>55</v>
      </c>
      <c r="P178" s="68">
        <f>assumptions!N182</f>
        <v>3</v>
      </c>
      <c r="Q178" s="68">
        <f>assumptions!O182</f>
        <v>22</v>
      </c>
      <c r="R178" s="67">
        <f t="shared" si="56"/>
        <v>52.5</v>
      </c>
      <c r="S178" s="68">
        <f t="shared" si="57"/>
        <v>2.3275000000000001</v>
      </c>
      <c r="T178" s="68">
        <f t="shared" si="58"/>
        <v>22</v>
      </c>
      <c r="U178" s="73">
        <f t="shared" ca="1" si="59"/>
        <v>6236.1208356270554</v>
      </c>
      <c r="V178" s="72">
        <f t="shared" ca="1" si="60"/>
        <v>1249.2789264961082</v>
      </c>
      <c r="W178" s="72">
        <f t="shared" ca="1" si="61"/>
        <v>2361.6873368777128</v>
      </c>
      <c r="X178" s="72">
        <f t="shared" ca="1" si="68"/>
        <v>9847.0870990008771</v>
      </c>
      <c r="Y178" s="73">
        <f>mult_opex * fixed_month</f>
        <v>1000</v>
      </c>
      <c r="Z178" s="72">
        <f ca="1">mult_opex * fixed_well *D178</f>
        <v>5000</v>
      </c>
      <c r="AA178" s="72">
        <f ca="1">(Z178+Y178)*WI_current_1</f>
        <v>6000</v>
      </c>
      <c r="AB178" s="72">
        <f ca="1">mult_opex * var_bo*E178</f>
        <v>0</v>
      </c>
      <c r="AC178" s="72">
        <f ca="1">mult_opex * var_mcf*F178</f>
        <v>0</v>
      </c>
      <c r="AD178" s="72">
        <f ca="1">mult_opex * var_bw * G178</f>
        <v>3.0688882268125286</v>
      </c>
      <c r="AE178" s="72">
        <f ca="1">SUM(AB178:AD178)*WI_current_1</f>
        <v>3.0688882268125286</v>
      </c>
      <c r="AF178" s="73">
        <f ca="1">mult_capex * IFERROR(OFFSET(assumptions!$F$39,MATCH(B178,assumptions!$E$39:$E$45,0)-1,0),0)</f>
        <v>0</v>
      </c>
      <c r="AG178" s="75">
        <f ca="1">mult_capex * capex_new*WI_current_1 *'forecast production'!I179</f>
        <v>0</v>
      </c>
      <c r="AH178" s="146">
        <f t="shared" ca="1" si="69"/>
        <v>0</v>
      </c>
      <c r="AI178" s="73">
        <f t="shared" ca="1" si="62"/>
        <v>557.68402819188111</v>
      </c>
      <c r="AJ178" s="72">
        <f t="shared" ca="1" si="63"/>
        <v>246.17717747502195</v>
      </c>
      <c r="AK178" s="72">
        <f t="shared" ca="1" si="70"/>
        <v>803.86120566690306</v>
      </c>
      <c r="AL178" s="73">
        <f t="shared" ca="1" si="64"/>
        <v>3040.1570051071612</v>
      </c>
      <c r="AM178" s="132">
        <f ca="1">IF(X178*(lease_NRI/J178)  - (Z178+Y178+AB178+AC178+AD178)  - (AK178)*(lease_NRI/J178)&gt;0,1,0)</f>
        <v>1</v>
      </c>
      <c r="AN178" s="73">
        <f t="shared" ca="1" si="71"/>
        <v>3040.1570051071612</v>
      </c>
      <c r="AO178" s="75">
        <f t="shared" ca="1" si="76"/>
        <v>2246431.829116283</v>
      </c>
      <c r="AP178" s="72">
        <f ca="1">AL178  /  ( 1 + disc_1/12)^(COUNT($AL$6:AL178)-1)</f>
        <v>729.4350681931669</v>
      </c>
      <c r="AQ178" s="72">
        <f t="shared" ca="1" si="77"/>
        <v>1546613.513220211</v>
      </c>
      <c r="AS178" s="303">
        <f t="shared" ca="1" si="72"/>
        <v>1</v>
      </c>
      <c r="AT178" s="300">
        <f ca="1">IFERROR(IRR($AN$6:AN178)*12,0)</f>
        <v>0</v>
      </c>
      <c r="AU178" s="297">
        <f t="shared" ca="1" si="73"/>
        <v>0</v>
      </c>
      <c r="AV178" s="303">
        <f t="shared" ca="1" si="74"/>
        <v>0</v>
      </c>
    </row>
    <row r="179" spans="2:48" x14ac:dyDescent="0.25">
      <c r="B179" s="43">
        <f t="shared" si="75"/>
        <v>49461</v>
      </c>
      <c r="C179" s="79">
        <f t="shared" si="65"/>
        <v>2035</v>
      </c>
      <c r="D179" s="64">
        <f ca="1">wellcount_base  +  SUM('forecast production'!I$7:I180)</f>
        <v>1</v>
      </c>
      <c r="E179" s="110">
        <f ca="1">'forecast production'!AE180</f>
        <v>152.18714207955276</v>
      </c>
      <c r="F179" s="98">
        <f ca="1">'forecast production'!AF180</f>
        <v>918.59582386216812</v>
      </c>
      <c r="G179" s="98">
        <f ca="1">'forecast production'!AG180</f>
        <v>1.4333843297186053</v>
      </c>
      <c r="H179" s="98">
        <f ca="1">'forecast production'!AH180</f>
        <v>137.78937357932523</v>
      </c>
      <c r="I179" s="307">
        <f t="shared" ca="1" si="66"/>
        <v>1</v>
      </c>
      <c r="J179" s="306">
        <f t="shared" ca="1" si="67"/>
        <v>0.75</v>
      </c>
      <c r="K179" s="112">
        <f t="shared" ca="1" si="52"/>
        <v>114.14035655966457</v>
      </c>
      <c r="L179" s="98">
        <f t="shared" ca="1" si="53"/>
        <v>516.71015092246967</v>
      </c>
      <c r="M179" s="98">
        <f t="shared" ca="1" si="54"/>
        <v>1.0750382472889539</v>
      </c>
      <c r="N179" s="98">
        <f t="shared" ca="1" si="55"/>
        <v>103.34203018449392</v>
      </c>
      <c r="O179" s="67">
        <f>assumptions!M183</f>
        <v>55</v>
      </c>
      <c r="P179" s="68">
        <f>assumptions!N183</f>
        <v>3</v>
      </c>
      <c r="Q179" s="68">
        <f>assumptions!O183</f>
        <v>22</v>
      </c>
      <c r="R179" s="67">
        <f t="shared" si="56"/>
        <v>52.5</v>
      </c>
      <c r="S179" s="68">
        <f t="shared" si="57"/>
        <v>2.3275000000000001</v>
      </c>
      <c r="T179" s="68">
        <f t="shared" si="58"/>
        <v>22</v>
      </c>
      <c r="U179" s="73">
        <f t="shared" ca="1" si="59"/>
        <v>5992.3687193823898</v>
      </c>
      <c r="V179" s="72">
        <f t="shared" ca="1" si="60"/>
        <v>1202.6428762720482</v>
      </c>
      <c r="W179" s="72">
        <f t="shared" ca="1" si="61"/>
        <v>2273.5246640588662</v>
      </c>
      <c r="X179" s="72">
        <f t="shared" ca="1" si="68"/>
        <v>9468.5362597133044</v>
      </c>
      <c r="Y179" s="73">
        <f>mult_opex * fixed_month</f>
        <v>1000</v>
      </c>
      <c r="Z179" s="72">
        <f ca="1">mult_opex * fixed_well *D179</f>
        <v>5000</v>
      </c>
      <c r="AA179" s="72">
        <f ca="1">(Z179+Y179)*WI_current_1</f>
        <v>6000</v>
      </c>
      <c r="AB179" s="72">
        <f ca="1">mult_opex * var_bo*E179</f>
        <v>0</v>
      </c>
      <c r="AC179" s="72">
        <f ca="1">mult_opex * var_mcf*F179</f>
        <v>0</v>
      </c>
      <c r="AD179" s="72">
        <f ca="1">mult_opex * var_bw * G179</f>
        <v>2.8667686594372106</v>
      </c>
      <c r="AE179" s="72">
        <f ca="1">SUM(AB179:AD179)*WI_current_1</f>
        <v>2.8667686594372106</v>
      </c>
      <c r="AF179" s="73">
        <f ca="1">mult_capex * IFERROR(OFFSET(assumptions!$F$39,MATCH(B179,assumptions!$E$39:$E$45,0)-1,0),0)</f>
        <v>0</v>
      </c>
      <c r="AG179" s="75">
        <f ca="1">mult_capex * capex_new*WI_current_1 *'forecast production'!I180</f>
        <v>0</v>
      </c>
      <c r="AH179" s="146">
        <f t="shared" ca="1" si="69"/>
        <v>0</v>
      </c>
      <c r="AI179" s="73">
        <f t="shared" ca="1" si="62"/>
        <v>536.36152661640847</v>
      </c>
      <c r="AJ179" s="72">
        <f t="shared" ca="1" si="63"/>
        <v>236.71340649283263</v>
      </c>
      <c r="AK179" s="72">
        <f t="shared" ca="1" si="70"/>
        <v>773.0749331092411</v>
      </c>
      <c r="AL179" s="73">
        <f t="shared" ca="1" si="64"/>
        <v>2692.5945579446252</v>
      </c>
      <c r="AM179" s="132">
        <f ca="1">IF(X179*(lease_NRI/J179)  - (Z179+Y179+AB179+AC179+AD179)  - (AK179)*(lease_NRI/J179)&gt;0,1,0)</f>
        <v>1</v>
      </c>
      <c r="AN179" s="73">
        <f t="shared" ca="1" si="71"/>
        <v>2692.5945579446252</v>
      </c>
      <c r="AO179" s="75">
        <f t="shared" ca="1" si="76"/>
        <v>2249124.4236742277</v>
      </c>
      <c r="AP179" s="72">
        <f ca="1">AL179  /  ( 1 + disc_1/12)^(COUNT($AL$6:AL179)-1)</f>
        <v>640.70404400894108</v>
      </c>
      <c r="AQ179" s="72">
        <f t="shared" ca="1" si="77"/>
        <v>1547254.2172642199</v>
      </c>
      <c r="AS179" s="303">
        <f t="shared" ca="1" si="72"/>
        <v>1</v>
      </c>
      <c r="AT179" s="300">
        <f ca="1">IFERROR(IRR($AN$6:AN179)*12,0)</f>
        <v>0</v>
      </c>
      <c r="AU179" s="297">
        <f t="shared" ca="1" si="73"/>
        <v>0</v>
      </c>
      <c r="AV179" s="303">
        <f t="shared" ca="1" si="74"/>
        <v>0</v>
      </c>
    </row>
    <row r="180" spans="2:48" x14ac:dyDescent="0.25">
      <c r="B180" s="43">
        <f t="shared" si="75"/>
        <v>49491</v>
      </c>
      <c r="C180" s="79">
        <f t="shared" si="65"/>
        <v>2035</v>
      </c>
      <c r="D180" s="64">
        <f ca="1">wellcount_base  +  SUM('forecast production'!I$7:I181)</f>
        <v>1</v>
      </c>
      <c r="E180" s="110">
        <f ca="1">'forecast production'!AE181</f>
        <v>156.18598385418744</v>
      </c>
      <c r="F180" s="98">
        <f ca="1">'forecast production'!AF181</f>
        <v>944.40056066584225</v>
      </c>
      <c r="G180" s="98">
        <f ca="1">'forecast production'!AG181</f>
        <v>1.431372883016989</v>
      </c>
      <c r="H180" s="98">
        <f ca="1">'forecast production'!AH181</f>
        <v>141.66008409987634</v>
      </c>
      <c r="I180" s="307">
        <f t="shared" ca="1" si="66"/>
        <v>1</v>
      </c>
      <c r="J180" s="306">
        <f t="shared" ca="1" si="67"/>
        <v>0.75</v>
      </c>
      <c r="K180" s="112">
        <f t="shared" ca="1" si="52"/>
        <v>117.13948789064058</v>
      </c>
      <c r="L180" s="98">
        <f t="shared" ca="1" si="53"/>
        <v>531.22531537453631</v>
      </c>
      <c r="M180" s="98">
        <f t="shared" ca="1" si="54"/>
        <v>1.0735296622627417</v>
      </c>
      <c r="N180" s="98">
        <f t="shared" ca="1" si="55"/>
        <v>106.24506307490725</v>
      </c>
      <c r="O180" s="67">
        <f>assumptions!M184</f>
        <v>55</v>
      </c>
      <c r="P180" s="68">
        <f>assumptions!N184</f>
        <v>3</v>
      </c>
      <c r="Q180" s="68">
        <f>assumptions!O184</f>
        <v>22</v>
      </c>
      <c r="R180" s="67">
        <f t="shared" si="56"/>
        <v>52.5</v>
      </c>
      <c r="S180" s="68">
        <f t="shared" si="57"/>
        <v>2.3275000000000001</v>
      </c>
      <c r="T180" s="68">
        <f t="shared" si="58"/>
        <v>22</v>
      </c>
      <c r="U180" s="73">
        <f t="shared" ca="1" si="59"/>
        <v>6149.8231142586301</v>
      </c>
      <c r="V180" s="72">
        <f t="shared" ca="1" si="60"/>
        <v>1236.4269215342333</v>
      </c>
      <c r="W180" s="72">
        <f t="shared" ca="1" si="61"/>
        <v>2337.3913876479596</v>
      </c>
      <c r="X180" s="72">
        <f t="shared" ca="1" si="68"/>
        <v>9723.6414234408239</v>
      </c>
      <c r="Y180" s="73">
        <f>mult_opex * fixed_month</f>
        <v>1000</v>
      </c>
      <c r="Z180" s="72">
        <f ca="1">mult_opex * fixed_well *D180</f>
        <v>5000</v>
      </c>
      <c r="AA180" s="72">
        <f ca="1">(Z180+Y180)*WI_current_1</f>
        <v>6000</v>
      </c>
      <c r="AB180" s="72">
        <f ca="1">mult_opex * var_bo*E180</f>
        <v>0</v>
      </c>
      <c r="AC180" s="72">
        <f ca="1">mult_opex * var_mcf*F180</f>
        <v>0</v>
      </c>
      <c r="AD180" s="72">
        <f ca="1">mult_opex * var_bw * G180</f>
        <v>2.8627457660339779</v>
      </c>
      <c r="AE180" s="72">
        <f ca="1">SUM(AB180:AD180)*WI_current_1</f>
        <v>2.8627457660339779</v>
      </c>
      <c r="AF180" s="73">
        <f ca="1">mult_capex * IFERROR(OFFSET(assumptions!$F$39,MATCH(B180,assumptions!$E$39:$E$45,0)-1,0),0)</f>
        <v>0</v>
      </c>
      <c r="AG180" s="75">
        <f ca="1">mult_capex * capex_new*WI_current_1 *'forecast production'!I181</f>
        <v>0</v>
      </c>
      <c r="AH180" s="146">
        <f t="shared" ca="1" si="69"/>
        <v>0</v>
      </c>
      <c r="AI180" s="73">
        <f t="shared" ca="1" si="62"/>
        <v>550.92823644456143</v>
      </c>
      <c r="AJ180" s="72">
        <f t="shared" ca="1" si="63"/>
        <v>243.09103558602061</v>
      </c>
      <c r="AK180" s="72">
        <f t="shared" ca="1" si="70"/>
        <v>794.01927203058199</v>
      </c>
      <c r="AL180" s="73">
        <f t="shared" ca="1" si="64"/>
        <v>2926.7594056442085</v>
      </c>
      <c r="AM180" s="132">
        <f ca="1">IF(X180*(lease_NRI/J180)  - (Z180+Y180+AB180+AC180+AD180)  - (AK180)*(lease_NRI/J180)&gt;0,1,0)</f>
        <v>1</v>
      </c>
      <c r="AN180" s="73">
        <f t="shared" ca="1" si="71"/>
        <v>2926.7594056442085</v>
      </c>
      <c r="AO180" s="75">
        <f t="shared" ca="1" si="76"/>
        <v>2252051.1830798718</v>
      </c>
      <c r="AP180" s="72">
        <f ca="1">AL180  /  ( 1 + disc_1/12)^(COUNT($AL$6:AL180)-1)</f>
        <v>690.66810364751086</v>
      </c>
      <c r="AQ180" s="72">
        <f t="shared" ca="1" si="77"/>
        <v>1547944.8853678673</v>
      </c>
      <c r="AS180" s="303">
        <f t="shared" ca="1" si="72"/>
        <v>1</v>
      </c>
      <c r="AT180" s="300">
        <f ca="1">IFERROR(IRR($AN$6:AN180)*12,0)</f>
        <v>0</v>
      </c>
      <c r="AU180" s="297">
        <f t="shared" ca="1" si="73"/>
        <v>0</v>
      </c>
      <c r="AV180" s="303">
        <f t="shared" ca="1" si="74"/>
        <v>0</v>
      </c>
    </row>
    <row r="181" spans="2:48" x14ac:dyDescent="0.25">
      <c r="B181" s="43">
        <f t="shared" si="75"/>
        <v>49522</v>
      </c>
      <c r="C181" s="79">
        <f t="shared" si="65"/>
        <v>2035</v>
      </c>
      <c r="D181" s="64">
        <f ca="1">wellcount_base  +  SUM('forecast production'!I$7:I182)</f>
        <v>1</v>
      </c>
      <c r="E181" s="108">
        <f ca="1">'forecast production'!AE182</f>
        <v>155.08382476016328</v>
      </c>
      <c r="F181" s="97">
        <f ca="1">'forecast production'!AF182</f>
        <v>939.45059182652381</v>
      </c>
      <c r="G181" s="97">
        <f ca="1">'forecast production'!AG182</f>
        <v>1.3816884779227723</v>
      </c>
      <c r="H181" s="98">
        <f ca="1">'forecast production'!AH182</f>
        <v>140.91758877397859</v>
      </c>
      <c r="I181" s="307">
        <f t="shared" ca="1" si="66"/>
        <v>1</v>
      </c>
      <c r="J181" s="306">
        <f t="shared" ca="1" si="67"/>
        <v>0.75</v>
      </c>
      <c r="K181" s="112">
        <f t="shared" ca="1" si="52"/>
        <v>116.31286857012246</v>
      </c>
      <c r="L181" s="98">
        <f t="shared" ca="1" si="53"/>
        <v>528.44095790241954</v>
      </c>
      <c r="M181" s="98">
        <f t="shared" ca="1" si="54"/>
        <v>1.0362663584420793</v>
      </c>
      <c r="N181" s="98">
        <f t="shared" ca="1" si="55"/>
        <v>105.68819158048395</v>
      </c>
      <c r="O181" s="67">
        <f>assumptions!M185</f>
        <v>55</v>
      </c>
      <c r="P181" s="68">
        <f>assumptions!N185</f>
        <v>3</v>
      </c>
      <c r="Q181" s="68">
        <f>assumptions!O185</f>
        <v>22</v>
      </c>
      <c r="R181" s="67">
        <f t="shared" si="56"/>
        <v>52.5</v>
      </c>
      <c r="S181" s="68">
        <f t="shared" si="57"/>
        <v>2.3275000000000001</v>
      </c>
      <c r="T181" s="68">
        <f t="shared" si="58"/>
        <v>22</v>
      </c>
      <c r="U181" s="73">
        <f t="shared" ca="1" si="59"/>
        <v>6106.4255999314291</v>
      </c>
      <c r="V181" s="72">
        <f t="shared" ca="1" si="60"/>
        <v>1229.9463295178816</v>
      </c>
      <c r="W181" s="72">
        <f t="shared" ca="1" si="61"/>
        <v>2325.1402147706467</v>
      </c>
      <c r="X181" s="72">
        <f t="shared" ca="1" si="68"/>
        <v>9661.5121442199579</v>
      </c>
      <c r="Y181" s="73">
        <f>mult_opex * fixed_month</f>
        <v>1000</v>
      </c>
      <c r="Z181" s="72">
        <f ca="1">mult_opex * fixed_well *D181</f>
        <v>5000</v>
      </c>
      <c r="AA181" s="72">
        <f ca="1">(Z181+Y181)*WI_current_1</f>
        <v>6000</v>
      </c>
      <c r="AB181" s="72">
        <f ca="1">mult_opex * var_bo*E181</f>
        <v>0</v>
      </c>
      <c r="AC181" s="72">
        <f ca="1">mult_opex * var_mcf*F181</f>
        <v>0</v>
      </c>
      <c r="AD181" s="72">
        <f ca="1">mult_opex * var_bw * G181</f>
        <v>2.7633769558455445</v>
      </c>
      <c r="AE181" s="72">
        <f ca="1">SUM(AB181:AD181)*WI_current_1</f>
        <v>2.7633769558455445</v>
      </c>
      <c r="AF181" s="73">
        <f ca="1">mult_capex * IFERROR(OFFSET(assumptions!$F$39,MATCH(B181,assumptions!$E$39:$E$45,0)-1,0),0)</f>
        <v>0</v>
      </c>
      <c r="AG181" s="75">
        <f ca="1">mult_capex * capex_new*WI_current_1 *'forecast production'!I182</f>
        <v>0</v>
      </c>
      <c r="AH181" s="146">
        <f t="shared" ca="1" si="69"/>
        <v>0</v>
      </c>
      <c r="AI181" s="73">
        <f t="shared" ca="1" si="62"/>
        <v>547.52706841848533</v>
      </c>
      <c r="AJ181" s="72">
        <f t="shared" ca="1" si="63"/>
        <v>241.53780360549896</v>
      </c>
      <c r="AK181" s="72">
        <f t="shared" ca="1" si="70"/>
        <v>789.06487202398432</v>
      </c>
      <c r="AL181" s="73">
        <f t="shared" ca="1" si="64"/>
        <v>2869.6838952401285</v>
      </c>
      <c r="AM181" s="132">
        <f ca="1">IF(X181*(lease_NRI/J181)  - (Z181+Y181+AB181+AC181+AD181)  - (AK181)*(lease_NRI/J181)&gt;0,1,0)</f>
        <v>1</v>
      </c>
      <c r="AN181" s="73">
        <f t="shared" ca="1" si="71"/>
        <v>2869.6838952401285</v>
      </c>
      <c r="AO181" s="75">
        <f t="shared" ca="1" si="76"/>
        <v>2254920.8669751119</v>
      </c>
      <c r="AP181" s="72">
        <f ca="1">AL181  /  ( 1 + disc_1/12)^(COUNT($AL$6:AL181)-1)</f>
        <v>671.60251439543049</v>
      </c>
      <c r="AQ181" s="72">
        <f t="shared" ca="1" si="77"/>
        <v>1548616.4878822628</v>
      </c>
      <c r="AS181" s="303">
        <f t="shared" ca="1" si="72"/>
        <v>1</v>
      </c>
      <c r="AT181" s="300">
        <f ca="1">IFERROR(IRR($AN$6:AN181)*12,0)</f>
        <v>0</v>
      </c>
      <c r="AU181" s="297">
        <f t="shared" ca="1" si="73"/>
        <v>0</v>
      </c>
      <c r="AV181" s="303">
        <f t="shared" ca="1" si="74"/>
        <v>0</v>
      </c>
    </row>
    <row r="182" spans="2:48" x14ac:dyDescent="0.25">
      <c r="B182" s="43">
        <f t="shared" si="75"/>
        <v>49553</v>
      </c>
      <c r="C182" s="79">
        <f t="shared" si="65"/>
        <v>2035</v>
      </c>
      <c r="D182" s="64">
        <f ca="1">wellcount_base  +  SUM('forecast production'!I$7:I183)</f>
        <v>1</v>
      </c>
      <c r="E182" s="110">
        <f ca="1">'forecast production'!AE183</f>
        <v>149.02204188632234</v>
      </c>
      <c r="F182" s="98">
        <f ca="1">'forecast production'!AF183</f>
        <v>904.38054937705522</v>
      </c>
      <c r="G182" s="98">
        <f ca="1">'forecast production'!AG183</f>
        <v>1.2907132164190909</v>
      </c>
      <c r="H182" s="98">
        <f ca="1">'forecast production'!AH183</f>
        <v>135.65708240655829</v>
      </c>
      <c r="I182" s="307">
        <f t="shared" ca="1" si="66"/>
        <v>1</v>
      </c>
      <c r="J182" s="306">
        <f t="shared" ca="1" si="67"/>
        <v>0.75</v>
      </c>
      <c r="K182" s="112">
        <f t="shared" ca="1" si="52"/>
        <v>111.76653141474176</v>
      </c>
      <c r="L182" s="98">
        <f t="shared" ca="1" si="53"/>
        <v>508.71405902459355</v>
      </c>
      <c r="M182" s="98">
        <f t="shared" ca="1" si="54"/>
        <v>0.96803491231431815</v>
      </c>
      <c r="N182" s="98">
        <f t="shared" ca="1" si="55"/>
        <v>101.74281180491872</v>
      </c>
      <c r="O182" s="67">
        <f>assumptions!M186</f>
        <v>55</v>
      </c>
      <c r="P182" s="68">
        <f>assumptions!N186</f>
        <v>3</v>
      </c>
      <c r="Q182" s="68">
        <f>assumptions!O186</f>
        <v>22</v>
      </c>
      <c r="R182" s="67">
        <f t="shared" si="56"/>
        <v>52.5</v>
      </c>
      <c r="S182" s="68">
        <f t="shared" si="57"/>
        <v>2.3275000000000001</v>
      </c>
      <c r="T182" s="68">
        <f t="shared" si="58"/>
        <v>22</v>
      </c>
      <c r="U182" s="73">
        <f t="shared" ca="1" si="59"/>
        <v>5867.7428992739424</v>
      </c>
      <c r="V182" s="72">
        <f t="shared" ca="1" si="60"/>
        <v>1184.0319723797415</v>
      </c>
      <c r="W182" s="72">
        <f t="shared" ca="1" si="61"/>
        <v>2238.3418597082118</v>
      </c>
      <c r="X182" s="72">
        <f t="shared" ca="1" si="68"/>
        <v>9290.1167313618971</v>
      </c>
      <c r="Y182" s="73">
        <f>mult_opex * fixed_month</f>
        <v>1000</v>
      </c>
      <c r="Z182" s="72">
        <f ca="1">mult_opex * fixed_well *D182</f>
        <v>5000</v>
      </c>
      <c r="AA182" s="72">
        <f ca="1">(Z182+Y182)*WI_current_1</f>
        <v>6000</v>
      </c>
      <c r="AB182" s="72">
        <f ca="1">mult_opex * var_bo*E182</f>
        <v>0</v>
      </c>
      <c r="AC182" s="72">
        <f ca="1">mult_opex * var_mcf*F182</f>
        <v>0</v>
      </c>
      <c r="AD182" s="72">
        <f ca="1">mult_opex * var_bw * G182</f>
        <v>2.5814264328381817</v>
      </c>
      <c r="AE182" s="72">
        <f ca="1">SUM(AB182:AD182)*WI_current_1</f>
        <v>2.5814264328381817</v>
      </c>
      <c r="AF182" s="73">
        <f ca="1">mult_capex * IFERROR(OFFSET(assumptions!$F$39,MATCH(B182,assumptions!$E$39:$E$45,0)-1,0),0)</f>
        <v>0</v>
      </c>
      <c r="AG182" s="75">
        <f ca="1">mult_capex * capex_new*WI_current_1 *'forecast production'!I183</f>
        <v>0</v>
      </c>
      <c r="AH182" s="146">
        <f t="shared" ca="1" si="69"/>
        <v>0</v>
      </c>
      <c r="AI182" s="73">
        <f t="shared" ca="1" si="62"/>
        <v>526.5942107731978</v>
      </c>
      <c r="AJ182" s="72">
        <f t="shared" ca="1" si="63"/>
        <v>232.25291828404744</v>
      </c>
      <c r="AK182" s="72">
        <f t="shared" ca="1" si="70"/>
        <v>758.84712905724518</v>
      </c>
      <c r="AL182" s="73">
        <f t="shared" ca="1" si="64"/>
        <v>2528.6881758718137</v>
      </c>
      <c r="AM182" s="132">
        <f ca="1">IF(X182*(lease_NRI/J182)  - (Z182+Y182+AB182+AC182+AD182)  - (AK182)*(lease_NRI/J182)&gt;0,1,0)</f>
        <v>1</v>
      </c>
      <c r="AN182" s="73">
        <f t="shared" ca="1" si="71"/>
        <v>2528.6881758718137</v>
      </c>
      <c r="AO182" s="75">
        <f t="shared" ca="1" si="76"/>
        <v>2257449.5551509839</v>
      </c>
      <c r="AP182" s="72">
        <f ca="1">AL182  /  ( 1 + disc_1/12)^(COUNT($AL$6:AL182)-1)</f>
        <v>586.90715830969623</v>
      </c>
      <c r="AQ182" s="72">
        <f t="shared" ca="1" si="77"/>
        <v>1549203.3950405724</v>
      </c>
      <c r="AS182" s="303">
        <f t="shared" ca="1" si="72"/>
        <v>1</v>
      </c>
      <c r="AT182" s="300">
        <f ca="1">IFERROR(IRR($AN$6:AN182)*12,0)</f>
        <v>0</v>
      </c>
      <c r="AU182" s="297">
        <f t="shared" ca="1" si="73"/>
        <v>0</v>
      </c>
      <c r="AV182" s="303">
        <f t="shared" ca="1" si="74"/>
        <v>0</v>
      </c>
    </row>
    <row r="183" spans="2:48" x14ac:dyDescent="0.25">
      <c r="B183" s="43">
        <f t="shared" si="75"/>
        <v>49583</v>
      </c>
      <c r="C183" s="79">
        <f t="shared" si="65"/>
        <v>2035</v>
      </c>
      <c r="D183" s="64">
        <f ca="1">wellcount_base  +  SUM('forecast production'!I$7:I184)</f>
        <v>1</v>
      </c>
      <c r="E183" s="110">
        <f ca="1">'forecast production'!AE184</f>
        <v>152.93771806167808</v>
      </c>
      <c r="F183" s="98">
        <f ca="1">'forecast production'!AF184</f>
        <v>929.78595776321276</v>
      </c>
      <c r="G183" s="98">
        <f ca="1">'forecast production'!AG184</f>
        <v>1.2889250738484013</v>
      </c>
      <c r="H183" s="98">
        <f ca="1">'forecast production'!AH184</f>
        <v>139.46789366448192</v>
      </c>
      <c r="I183" s="307">
        <f t="shared" ca="1" si="66"/>
        <v>1</v>
      </c>
      <c r="J183" s="306">
        <f t="shared" ca="1" si="67"/>
        <v>0.75</v>
      </c>
      <c r="K183" s="112">
        <f t="shared" ca="1" si="52"/>
        <v>114.70328854625856</v>
      </c>
      <c r="L183" s="98">
        <f t="shared" ca="1" si="53"/>
        <v>523.00460124180722</v>
      </c>
      <c r="M183" s="98">
        <f t="shared" ca="1" si="54"/>
        <v>0.96669380538630101</v>
      </c>
      <c r="N183" s="98">
        <f t="shared" ca="1" si="55"/>
        <v>104.60092024836143</v>
      </c>
      <c r="O183" s="67">
        <f>assumptions!M187</f>
        <v>55</v>
      </c>
      <c r="P183" s="68">
        <f>assumptions!N187</f>
        <v>3</v>
      </c>
      <c r="Q183" s="68">
        <f>assumptions!O187</f>
        <v>22</v>
      </c>
      <c r="R183" s="67">
        <f t="shared" si="56"/>
        <v>52.5</v>
      </c>
      <c r="S183" s="68">
        <f t="shared" si="57"/>
        <v>2.3275000000000001</v>
      </c>
      <c r="T183" s="68">
        <f t="shared" si="58"/>
        <v>22</v>
      </c>
      <c r="U183" s="73">
        <f t="shared" ca="1" si="59"/>
        <v>6021.9226486785747</v>
      </c>
      <c r="V183" s="72">
        <f t="shared" ca="1" si="60"/>
        <v>1217.2932093903064</v>
      </c>
      <c r="W183" s="72">
        <f t="shared" ca="1" si="61"/>
        <v>2301.2202454639514</v>
      </c>
      <c r="X183" s="72">
        <f t="shared" ca="1" si="68"/>
        <v>9540.4361035328329</v>
      </c>
      <c r="Y183" s="73">
        <f>mult_opex * fixed_month</f>
        <v>1000</v>
      </c>
      <c r="Z183" s="72">
        <f ca="1">mult_opex * fixed_well *D183</f>
        <v>5000</v>
      </c>
      <c r="AA183" s="72">
        <f ca="1">(Z183+Y183)*WI_current_1</f>
        <v>6000</v>
      </c>
      <c r="AB183" s="72">
        <f ca="1">mult_opex * var_bo*E183</f>
        <v>0</v>
      </c>
      <c r="AC183" s="72">
        <f ca="1">mult_opex * var_mcf*F183</f>
        <v>0</v>
      </c>
      <c r="AD183" s="72">
        <f ca="1">mult_opex * var_bw * G183</f>
        <v>2.5778501476968025</v>
      </c>
      <c r="AE183" s="72">
        <f ca="1">SUM(AB183:AD183)*WI_current_1</f>
        <v>2.5778501476968025</v>
      </c>
      <c r="AF183" s="73">
        <f ca="1">mult_capex * IFERROR(OFFSET(assumptions!$F$39,MATCH(B183,assumptions!$E$39:$E$45,0)-1,0),0)</f>
        <v>0</v>
      </c>
      <c r="AG183" s="75">
        <f ca="1">mult_capex * capex_new*WI_current_1 *'forecast production'!I184</f>
        <v>0</v>
      </c>
      <c r="AH183" s="146">
        <f t="shared" ca="1" si="69"/>
        <v>0</v>
      </c>
      <c r="AI183" s="73">
        <f t="shared" ca="1" si="62"/>
        <v>540.89695095328375</v>
      </c>
      <c r="AJ183" s="72">
        <f t="shared" ca="1" si="63"/>
        <v>238.51090258832085</v>
      </c>
      <c r="AK183" s="72">
        <f t="shared" ca="1" si="70"/>
        <v>779.4078535416046</v>
      </c>
      <c r="AL183" s="73">
        <f t="shared" ca="1" si="64"/>
        <v>2758.4503998435321</v>
      </c>
      <c r="AM183" s="132">
        <f ca="1">IF(X183*(lease_NRI/J183)  - (Z183+Y183+AB183+AC183+AD183)  - (AK183)*(lease_NRI/J183)&gt;0,1,0)</f>
        <v>1</v>
      </c>
      <c r="AN183" s="73">
        <f t="shared" ca="1" si="71"/>
        <v>2758.4503998435321</v>
      </c>
      <c r="AO183" s="75">
        <f t="shared" ca="1" si="76"/>
        <v>2260208.0055508274</v>
      </c>
      <c r="AP183" s="72">
        <f ca="1">AL183  /  ( 1 + disc_1/12)^(COUNT($AL$6:AL183)-1)</f>
        <v>634.94364918019335</v>
      </c>
      <c r="AQ183" s="72">
        <f t="shared" ca="1" si="77"/>
        <v>1549838.3386897526</v>
      </c>
      <c r="AS183" s="303">
        <f t="shared" ca="1" si="72"/>
        <v>1</v>
      </c>
      <c r="AT183" s="300">
        <f ca="1">IFERROR(IRR($AN$6:AN183)*12,0)</f>
        <v>0</v>
      </c>
      <c r="AU183" s="297">
        <f t="shared" ca="1" si="73"/>
        <v>0</v>
      </c>
      <c r="AV183" s="303">
        <f t="shared" ca="1" si="74"/>
        <v>0</v>
      </c>
    </row>
    <row r="184" spans="2:48" x14ac:dyDescent="0.25">
      <c r="B184" s="43">
        <f t="shared" si="75"/>
        <v>49614</v>
      </c>
      <c r="C184" s="79">
        <f t="shared" si="65"/>
        <v>2035</v>
      </c>
      <c r="D184" s="64">
        <f ca="1">wellcount_base  +  SUM('forecast production'!I$7:I185)</f>
        <v>1</v>
      </c>
      <c r="E184" s="110">
        <f ca="1">'forecast production'!AE185</f>
        <v>146.95982035671557</v>
      </c>
      <c r="F184" s="98">
        <f ca="1">'forecast production'!AF185</f>
        <v>895.07669972306576</v>
      </c>
      <c r="G184" s="98">
        <f ca="1">'forecast production'!AG185</f>
        <v>1.2040724579199604</v>
      </c>
      <c r="H184" s="98">
        <f ca="1">'forecast production'!AH185</f>
        <v>134.26150495845988</v>
      </c>
      <c r="I184" s="307">
        <f t="shared" ca="1" si="66"/>
        <v>1</v>
      </c>
      <c r="J184" s="306">
        <f t="shared" ca="1" si="67"/>
        <v>0.75</v>
      </c>
      <c r="K184" s="112">
        <f t="shared" ca="1" si="52"/>
        <v>110.21986526753668</v>
      </c>
      <c r="L184" s="98">
        <f t="shared" ca="1" si="53"/>
        <v>503.48064359422449</v>
      </c>
      <c r="M184" s="98">
        <f t="shared" ca="1" si="54"/>
        <v>0.90305434343997026</v>
      </c>
      <c r="N184" s="98">
        <f t="shared" ca="1" si="55"/>
        <v>100.6961287188449</v>
      </c>
      <c r="O184" s="67">
        <f>assumptions!M188</f>
        <v>55</v>
      </c>
      <c r="P184" s="68">
        <f>assumptions!N188</f>
        <v>3</v>
      </c>
      <c r="Q184" s="68">
        <f>assumptions!O188</f>
        <v>22</v>
      </c>
      <c r="R184" s="67">
        <f t="shared" si="56"/>
        <v>52.5</v>
      </c>
      <c r="S184" s="68">
        <f t="shared" si="57"/>
        <v>2.3275000000000001</v>
      </c>
      <c r="T184" s="68">
        <f t="shared" si="58"/>
        <v>22</v>
      </c>
      <c r="U184" s="73">
        <f t="shared" ca="1" si="59"/>
        <v>5786.5429265456751</v>
      </c>
      <c r="V184" s="72">
        <f t="shared" ca="1" si="60"/>
        <v>1171.8511979655575</v>
      </c>
      <c r="W184" s="72">
        <f t="shared" ca="1" si="61"/>
        <v>2215.3148318145877</v>
      </c>
      <c r="X184" s="72">
        <f t="shared" ca="1" si="68"/>
        <v>9173.7089563258196</v>
      </c>
      <c r="Y184" s="73">
        <f>mult_opex * fixed_month</f>
        <v>1000</v>
      </c>
      <c r="Z184" s="72">
        <f ca="1">mult_opex * fixed_well *D184</f>
        <v>5000</v>
      </c>
      <c r="AA184" s="72">
        <f ca="1">(Z184+Y184)*WI_current_1</f>
        <v>6000</v>
      </c>
      <c r="AB184" s="72">
        <f ca="1">mult_opex * var_bo*E184</f>
        <v>0</v>
      </c>
      <c r="AC184" s="72">
        <f ca="1">mult_opex * var_mcf*F184</f>
        <v>0</v>
      </c>
      <c r="AD184" s="72">
        <f ca="1">mult_opex * var_bw * G184</f>
        <v>2.4081449158399209</v>
      </c>
      <c r="AE184" s="72">
        <f ca="1">SUM(AB184:AD184)*WI_current_1</f>
        <v>2.4081449158399209</v>
      </c>
      <c r="AF184" s="73">
        <f ca="1">mult_capex * IFERROR(OFFSET(assumptions!$F$39,MATCH(B184,assumptions!$E$39:$E$45,0)-1,0),0)</f>
        <v>0</v>
      </c>
      <c r="AG184" s="75">
        <f ca="1">mult_capex * capex_new*WI_current_1 *'forecast production'!I185</f>
        <v>0</v>
      </c>
      <c r="AH184" s="146">
        <f t="shared" ca="1" si="69"/>
        <v>0</v>
      </c>
      <c r="AI184" s="73">
        <f t="shared" ca="1" si="62"/>
        <v>520.21842685461195</v>
      </c>
      <c r="AJ184" s="72">
        <f t="shared" ca="1" si="63"/>
        <v>229.3427239081455</v>
      </c>
      <c r="AK184" s="72">
        <f t="shared" ca="1" si="70"/>
        <v>749.56115076275751</v>
      </c>
      <c r="AL184" s="73">
        <f t="shared" ca="1" si="64"/>
        <v>2421.7396606472212</v>
      </c>
      <c r="AM184" s="132">
        <f ca="1">IF(X184*(lease_NRI/J184)  - (Z184+Y184+AB184+AC184+AD184)  - (AK184)*(lease_NRI/J184)&gt;0,1,0)</f>
        <v>1</v>
      </c>
      <c r="AN184" s="73">
        <f t="shared" ca="1" si="71"/>
        <v>2421.7396606472212</v>
      </c>
      <c r="AO184" s="75">
        <f t="shared" ca="1" si="76"/>
        <v>2262629.7452114746</v>
      </c>
      <c r="AP184" s="72">
        <f ca="1">AL184  /  ( 1 + disc_1/12)^(COUNT($AL$6:AL184)-1)</f>
        <v>552.83220455396429</v>
      </c>
      <c r="AQ184" s="72">
        <f t="shared" ca="1" si="77"/>
        <v>1550391.1708943066</v>
      </c>
      <c r="AS184" s="303">
        <f t="shared" ca="1" si="72"/>
        <v>1</v>
      </c>
      <c r="AT184" s="300">
        <f ca="1">IFERROR(IRR($AN$6:AN184)*12,0)</f>
        <v>0</v>
      </c>
      <c r="AU184" s="297">
        <f t="shared" ca="1" si="73"/>
        <v>0</v>
      </c>
      <c r="AV184" s="303">
        <f t="shared" ca="1" si="74"/>
        <v>0</v>
      </c>
    </row>
    <row r="185" spans="2:48" x14ac:dyDescent="0.25">
      <c r="B185" s="44">
        <f t="shared" si="75"/>
        <v>49644</v>
      </c>
      <c r="C185" s="100">
        <f t="shared" si="65"/>
        <v>2035</v>
      </c>
      <c r="D185" s="65">
        <f ca="1">wellcount_base  +  SUM('forecast production'!I$7:I186)</f>
        <v>1</v>
      </c>
      <c r="E185" s="109">
        <f ca="1">'forecast production'!AE186</f>
        <v>150.82130997275723</v>
      </c>
      <c r="F185" s="101">
        <f ca="1">'forecast production'!AF186</f>
        <v>920.22074899420704</v>
      </c>
      <c r="G185" s="101">
        <f ca="1">'forecast production'!AG186</f>
        <v>1.2024186200922664</v>
      </c>
      <c r="H185" s="102">
        <f ca="1">'forecast production'!AH186</f>
        <v>138.03311234913104</v>
      </c>
      <c r="I185" s="308">
        <f t="shared" ca="1" si="66"/>
        <v>1</v>
      </c>
      <c r="J185" s="309">
        <f t="shared" ca="1" si="67"/>
        <v>0.75</v>
      </c>
      <c r="K185" s="113">
        <f t="shared" ca="1" si="52"/>
        <v>113.11598247956792</v>
      </c>
      <c r="L185" s="102">
        <f t="shared" ca="1" si="53"/>
        <v>517.62417130924143</v>
      </c>
      <c r="M185" s="102">
        <f t="shared" ca="1" si="54"/>
        <v>0.90181396506919986</v>
      </c>
      <c r="N185" s="102">
        <f t="shared" ca="1" si="55"/>
        <v>103.52483426184828</v>
      </c>
      <c r="O185" s="103">
        <f>assumptions!M189</f>
        <v>55</v>
      </c>
      <c r="P185" s="104">
        <f>assumptions!N189</f>
        <v>3</v>
      </c>
      <c r="Q185" s="104">
        <f>assumptions!O189</f>
        <v>22</v>
      </c>
      <c r="R185" s="103">
        <f t="shared" si="56"/>
        <v>52.5</v>
      </c>
      <c r="S185" s="104">
        <f t="shared" si="57"/>
        <v>2.3275000000000001</v>
      </c>
      <c r="T185" s="104">
        <f t="shared" si="58"/>
        <v>22</v>
      </c>
      <c r="U185" s="105">
        <f t="shared" ca="1" si="59"/>
        <v>5938.5890801773157</v>
      </c>
      <c r="V185" s="106">
        <f t="shared" ca="1" si="60"/>
        <v>1204.7702587222595</v>
      </c>
      <c r="W185" s="106">
        <f t="shared" ca="1" si="61"/>
        <v>2277.5463537606624</v>
      </c>
      <c r="X185" s="106">
        <f t="shared" ca="1" si="68"/>
        <v>9420.905692660237</v>
      </c>
      <c r="Y185" s="105">
        <f>mult_opex * fixed_month</f>
        <v>1000</v>
      </c>
      <c r="Z185" s="106">
        <f ca="1">mult_opex * fixed_well *D185</f>
        <v>5000</v>
      </c>
      <c r="AA185" s="106">
        <f ca="1">(Z185+Y185)*WI_current_1</f>
        <v>6000</v>
      </c>
      <c r="AB185" s="106">
        <f ca="1">mult_opex * var_bo*E185</f>
        <v>0</v>
      </c>
      <c r="AC185" s="106">
        <f ca="1">mult_opex * var_mcf*F185</f>
        <v>0</v>
      </c>
      <c r="AD185" s="106">
        <f ca="1">mult_opex * var_bw * G185</f>
        <v>2.4048372401845328</v>
      </c>
      <c r="AE185" s="106">
        <f ca="1">SUM(AB185:AD185)*WI_current_1</f>
        <v>2.4048372401845328</v>
      </c>
      <c r="AF185" s="105">
        <f ca="1">mult_capex * IFERROR(OFFSET(assumptions!$F$39,MATCH(B185,assumptions!$E$39:$E$45,0)-1,0),0)</f>
        <v>0</v>
      </c>
      <c r="AG185" s="106">
        <f ca="1">mult_capex * capex_new*WI_current_1 *'forecast production'!I186</f>
        <v>0</v>
      </c>
      <c r="AH185" s="147">
        <f t="shared" ca="1" si="69"/>
        <v>0</v>
      </c>
      <c r="AI185" s="105">
        <f t="shared" ca="1" si="62"/>
        <v>534.34884362437572</v>
      </c>
      <c r="AJ185" s="106">
        <f t="shared" ca="1" si="63"/>
        <v>235.52264231650594</v>
      </c>
      <c r="AK185" s="106">
        <f t="shared" ca="1" si="70"/>
        <v>769.87148594088171</v>
      </c>
      <c r="AL185" s="105">
        <f t="shared" ca="1" si="64"/>
        <v>2648.6293694791711</v>
      </c>
      <c r="AM185" s="133">
        <f ca="1">IF(X185*(lease_NRI/J185)  - (Z185+Y185+AB185+AC185+AD185)  - (AK185)*(lease_NRI/J185)&gt;0,1,0)</f>
        <v>1</v>
      </c>
      <c r="AN185" s="105">
        <f t="shared" ca="1" si="71"/>
        <v>2648.6293694791711</v>
      </c>
      <c r="AO185" s="106">
        <f t="shared" ca="1" si="76"/>
        <v>2265278.3745809537</v>
      </c>
      <c r="AP185" s="106">
        <f ca="1">AL185  /  ( 1 + disc_1/12)^(COUNT($AL$6:AL185)-1)</f>
        <v>599.62943871605137</v>
      </c>
      <c r="AQ185" s="106">
        <f t="shared" ca="1" si="77"/>
        <v>1550990.8003330226</v>
      </c>
      <c r="AS185" s="304">
        <f t="shared" ca="1" si="72"/>
        <v>1</v>
      </c>
      <c r="AT185" s="301">
        <f ca="1">IFERROR(IRR($AN$6:AN185)*12,0)</f>
        <v>0</v>
      </c>
      <c r="AU185" s="298">
        <f t="shared" ca="1" si="73"/>
        <v>0</v>
      </c>
      <c r="AV185" s="304">
        <f t="shared" ca="1" si="74"/>
        <v>0</v>
      </c>
    </row>
    <row r="186" spans="2:48" x14ac:dyDescent="0.25">
      <c r="B186" s="43">
        <f t="shared" si="75"/>
        <v>49675</v>
      </c>
      <c r="C186" s="79">
        <f t="shared" si="65"/>
        <v>2036</v>
      </c>
      <c r="D186" s="64">
        <f ca="1">wellcount_base  +  SUM('forecast production'!I$7:I187)</f>
        <v>1</v>
      </c>
      <c r="E186" s="110">
        <f ca="1">'forecast production'!AE187</f>
        <v>149.75700782312063</v>
      </c>
      <c r="F186" s="98">
        <f ca="1">'forecast production'!AF187</f>
        <v>915.3975159059039</v>
      </c>
      <c r="G186" s="98">
        <f ca="1">'forecast production'!AG187</f>
        <v>1.1607171666169187</v>
      </c>
      <c r="H186" s="98">
        <f ca="1">'forecast production'!AH187</f>
        <v>137.30962738588559</v>
      </c>
      <c r="I186" s="307">
        <f t="shared" ca="1" si="66"/>
        <v>1</v>
      </c>
      <c r="J186" s="306">
        <f t="shared" ca="1" si="67"/>
        <v>0.75</v>
      </c>
      <c r="K186" s="112">
        <f t="shared" ca="1" si="52"/>
        <v>112.31775586734048</v>
      </c>
      <c r="L186" s="98">
        <f t="shared" ca="1" si="53"/>
        <v>514.91110269707099</v>
      </c>
      <c r="M186" s="98">
        <f t="shared" ca="1" si="54"/>
        <v>0.87053787496268908</v>
      </c>
      <c r="N186" s="98">
        <f t="shared" ca="1" si="55"/>
        <v>102.98222053941419</v>
      </c>
      <c r="O186" s="67">
        <f>assumptions!M190</f>
        <v>55</v>
      </c>
      <c r="P186" s="68">
        <f>assumptions!N190</f>
        <v>3</v>
      </c>
      <c r="Q186" s="68">
        <f>assumptions!O190</f>
        <v>22</v>
      </c>
      <c r="R186" s="67">
        <f t="shared" si="56"/>
        <v>52.5</v>
      </c>
      <c r="S186" s="68">
        <f t="shared" si="57"/>
        <v>2.3275000000000001</v>
      </c>
      <c r="T186" s="68">
        <f t="shared" si="58"/>
        <v>22</v>
      </c>
      <c r="U186" s="73">
        <f t="shared" ca="1" si="59"/>
        <v>5896.6821830353756</v>
      </c>
      <c r="V186" s="72">
        <f t="shared" ca="1" si="60"/>
        <v>1198.4555915274327</v>
      </c>
      <c r="W186" s="72">
        <f t="shared" ca="1" si="61"/>
        <v>2265.6088518671122</v>
      </c>
      <c r="X186" s="72">
        <f t="shared" ca="1" si="68"/>
        <v>9360.7466264299219</v>
      </c>
      <c r="Y186" s="73">
        <f>mult_opex * fixed_month</f>
        <v>1000</v>
      </c>
      <c r="Z186" s="72">
        <f ca="1">mult_opex * fixed_well *D186</f>
        <v>5000</v>
      </c>
      <c r="AA186" s="72">
        <f ca="1">(Z186+Y186)*WI_current_1</f>
        <v>6000</v>
      </c>
      <c r="AB186" s="72">
        <f ca="1">mult_opex * var_bo*E186</f>
        <v>0</v>
      </c>
      <c r="AC186" s="72">
        <f ca="1">mult_opex * var_mcf*F186</f>
        <v>0</v>
      </c>
      <c r="AD186" s="72">
        <f ca="1">mult_opex * var_bw * G186</f>
        <v>2.3214343332338374</v>
      </c>
      <c r="AE186" s="72">
        <f ca="1">SUM(AB186:AD186)*WI_current_1</f>
        <v>2.3214343332338374</v>
      </c>
      <c r="AF186" s="73">
        <f ca="1">mult_capex * IFERROR(OFFSET(assumptions!$F$39,MATCH(B186,assumptions!$E$39:$E$45,0)-1,0),0)</f>
        <v>0</v>
      </c>
      <c r="AG186" s="75">
        <f ca="1">mult_capex * capex_new*WI_current_1 *'forecast production'!I187</f>
        <v>0</v>
      </c>
      <c r="AH186" s="146">
        <f t="shared" ca="1" si="69"/>
        <v>0</v>
      </c>
      <c r="AI186" s="73">
        <f t="shared" ca="1" si="62"/>
        <v>531.05221367421814</v>
      </c>
      <c r="AJ186" s="72">
        <f t="shared" ca="1" si="63"/>
        <v>234.01866566074807</v>
      </c>
      <c r="AK186" s="72">
        <f t="shared" ca="1" si="70"/>
        <v>765.07087933496621</v>
      </c>
      <c r="AL186" s="73">
        <f t="shared" ca="1" si="64"/>
        <v>2593.3543127617213</v>
      </c>
      <c r="AM186" s="132">
        <f ca="1">IF(X186*(lease_NRI/J186)  - (Z186+Y186+AB186+AC186+AD186)  - (AK186)*(lease_NRI/J186)&gt;0,1,0)</f>
        <v>1</v>
      </c>
      <c r="AN186" s="73">
        <f t="shared" ca="1" si="71"/>
        <v>2593.3543127617213</v>
      </c>
      <c r="AO186" s="75">
        <f t="shared" ca="1" si="76"/>
        <v>2267871.7288937154</v>
      </c>
      <c r="AP186" s="72">
        <f ca="1">AL186  /  ( 1 + disc_1/12)^(COUNT($AL$6:AL186)-1)</f>
        <v>582.26339354361494</v>
      </c>
      <c r="AQ186" s="72">
        <f t="shared" ca="1" si="77"/>
        <v>1551573.0637265663</v>
      </c>
      <c r="AS186" s="303">
        <f t="shared" ca="1" si="72"/>
        <v>1</v>
      </c>
      <c r="AT186" s="300">
        <f ca="1">IFERROR(IRR($AN$6:AN186)*12,0)</f>
        <v>0</v>
      </c>
      <c r="AU186" s="297">
        <f t="shared" ca="1" si="73"/>
        <v>0</v>
      </c>
      <c r="AV186" s="303">
        <f t="shared" ca="1" si="74"/>
        <v>0</v>
      </c>
    </row>
    <row r="187" spans="2:48" x14ac:dyDescent="0.25">
      <c r="B187" s="43">
        <f t="shared" si="75"/>
        <v>49706</v>
      </c>
      <c r="C187" s="79">
        <f t="shared" si="65"/>
        <v>2036</v>
      </c>
      <c r="D187" s="64">
        <f ca="1">wellcount_base  +  SUM('forecast production'!I$7:I188)</f>
        <v>1</v>
      </c>
      <c r="E187" s="110">
        <f ca="1">'forecast production'!AE188</f>
        <v>139.10665381252596</v>
      </c>
      <c r="F187" s="98">
        <f ca="1">'forecast production'!AF188</f>
        <v>851.85120432961503</v>
      </c>
      <c r="G187" s="98">
        <f ca="1">'forecast production'!AG188</f>
        <v>1.0481806332421184</v>
      </c>
      <c r="H187" s="98">
        <f ca="1">'forecast production'!AH188</f>
        <v>127.77768064944226</v>
      </c>
      <c r="I187" s="307">
        <f t="shared" ca="1" si="66"/>
        <v>1</v>
      </c>
      <c r="J187" s="306">
        <f t="shared" ca="1" si="67"/>
        <v>0.75</v>
      </c>
      <c r="K187" s="112">
        <f t="shared" ca="1" si="52"/>
        <v>104.32999035939447</v>
      </c>
      <c r="L187" s="98">
        <f t="shared" ca="1" si="53"/>
        <v>479.16630243540845</v>
      </c>
      <c r="M187" s="98">
        <f t="shared" ca="1" si="54"/>
        <v>0.78613547493158875</v>
      </c>
      <c r="N187" s="98">
        <f t="shared" ca="1" si="55"/>
        <v>95.833260487081702</v>
      </c>
      <c r="O187" s="67">
        <f>assumptions!M191</f>
        <v>55</v>
      </c>
      <c r="P187" s="68">
        <f>assumptions!N191</f>
        <v>3</v>
      </c>
      <c r="Q187" s="68">
        <f>assumptions!O191</f>
        <v>22</v>
      </c>
      <c r="R187" s="67">
        <f t="shared" si="56"/>
        <v>52.5</v>
      </c>
      <c r="S187" s="68">
        <f t="shared" si="57"/>
        <v>2.3275000000000001</v>
      </c>
      <c r="T187" s="68">
        <f t="shared" si="58"/>
        <v>22</v>
      </c>
      <c r="U187" s="73">
        <f t="shared" ca="1" si="59"/>
        <v>5477.3244938682101</v>
      </c>
      <c r="V187" s="72">
        <f t="shared" ca="1" si="60"/>
        <v>1115.2595689184132</v>
      </c>
      <c r="W187" s="72">
        <f t="shared" ca="1" si="61"/>
        <v>2108.3317307157977</v>
      </c>
      <c r="X187" s="72">
        <f t="shared" ca="1" si="68"/>
        <v>8700.9157935024214</v>
      </c>
      <c r="Y187" s="73">
        <f>mult_opex * fixed_month</f>
        <v>1000</v>
      </c>
      <c r="Z187" s="72">
        <f ca="1">mult_opex * fixed_well *D187</f>
        <v>5000</v>
      </c>
      <c r="AA187" s="72">
        <f ca="1">(Z187+Y187)*WI_current_1</f>
        <v>6000</v>
      </c>
      <c r="AB187" s="72">
        <f ca="1">mult_opex * var_bo*E187</f>
        <v>0</v>
      </c>
      <c r="AC187" s="72">
        <f ca="1">mult_opex * var_mcf*F187</f>
        <v>0</v>
      </c>
      <c r="AD187" s="72">
        <f ca="1">mult_opex * var_bw * G187</f>
        <v>2.0963612664842368</v>
      </c>
      <c r="AE187" s="72">
        <f ca="1">SUM(AB187:AD187)*WI_current_1</f>
        <v>2.0963612664842368</v>
      </c>
      <c r="AF187" s="73">
        <f ca="1">mult_capex * IFERROR(OFFSET(assumptions!$F$39,MATCH(B187,assumptions!$E$39:$E$45,0)-1,0),0)</f>
        <v>0</v>
      </c>
      <c r="AG187" s="75">
        <f ca="1">mult_capex * capex_new*WI_current_1 *'forecast production'!I188</f>
        <v>0</v>
      </c>
      <c r="AH187" s="146">
        <f t="shared" ca="1" si="69"/>
        <v>0</v>
      </c>
      <c r="AI187" s="73">
        <f t="shared" ca="1" si="62"/>
        <v>493.72627419050343</v>
      </c>
      <c r="AJ187" s="72">
        <f t="shared" ca="1" si="63"/>
        <v>217.52289483756056</v>
      </c>
      <c r="AK187" s="72">
        <f t="shared" ca="1" si="70"/>
        <v>711.24916902806399</v>
      </c>
      <c r="AL187" s="73">
        <f t="shared" ca="1" si="64"/>
        <v>1987.5702632078737</v>
      </c>
      <c r="AM187" s="132">
        <f ca="1">IF(X187*(lease_NRI/J187)  - (Z187+Y187+AB187+AC187+AD187)  - (AK187)*(lease_NRI/J187)&gt;0,1,0)</f>
        <v>1</v>
      </c>
      <c r="AN187" s="73">
        <f t="shared" ca="1" si="71"/>
        <v>1987.5702632078737</v>
      </c>
      <c r="AO187" s="75">
        <f t="shared" ca="1" si="76"/>
        <v>2269859.2991569233</v>
      </c>
      <c r="AP187" s="72">
        <f ca="1">AL187  /  ( 1 + disc_1/12)^(COUNT($AL$6:AL187)-1)</f>
        <v>442.56391247995958</v>
      </c>
      <c r="AQ187" s="72">
        <f t="shared" ca="1" si="77"/>
        <v>1552015.6276390462</v>
      </c>
      <c r="AS187" s="303">
        <f t="shared" ca="1" si="72"/>
        <v>1</v>
      </c>
      <c r="AT187" s="300">
        <f ca="1">IFERROR(IRR($AN$6:AN187)*12,0)</f>
        <v>0</v>
      </c>
      <c r="AU187" s="297">
        <f t="shared" ca="1" si="73"/>
        <v>0</v>
      </c>
      <c r="AV187" s="303">
        <f t="shared" ca="1" si="74"/>
        <v>0</v>
      </c>
    </row>
    <row r="188" spans="2:48" x14ac:dyDescent="0.25">
      <c r="B188" s="43">
        <f t="shared" si="75"/>
        <v>49735</v>
      </c>
      <c r="C188" s="79">
        <f t="shared" si="65"/>
        <v>2036</v>
      </c>
      <c r="D188" s="64">
        <f ca="1">wellcount_base  +  SUM('forecast production'!I$7:I189)</f>
        <v>1</v>
      </c>
      <c r="E188" s="110">
        <f ca="1">'forecast production'!AE189</f>
        <v>147.71835690166887</v>
      </c>
      <c r="F188" s="98">
        <f ca="1">'forecast production'!AF189</f>
        <v>906.13392508783318</v>
      </c>
      <c r="G188" s="98">
        <f ca="1">'forecast production'!AG189</f>
        <v>1.0840879228431319</v>
      </c>
      <c r="H188" s="98">
        <f ca="1">'forecast production'!AH189</f>
        <v>135.92008876317499</v>
      </c>
      <c r="I188" s="307">
        <f t="shared" ca="1" si="66"/>
        <v>1</v>
      </c>
      <c r="J188" s="306">
        <f t="shared" ca="1" si="67"/>
        <v>0.75</v>
      </c>
      <c r="K188" s="112">
        <f t="shared" ca="1" si="52"/>
        <v>110.78876767625165</v>
      </c>
      <c r="L188" s="98">
        <f t="shared" ca="1" si="53"/>
        <v>509.70033286190619</v>
      </c>
      <c r="M188" s="98">
        <f t="shared" ca="1" si="54"/>
        <v>0.81306594213234895</v>
      </c>
      <c r="N188" s="98">
        <f t="shared" ca="1" si="55"/>
        <v>101.94006657238124</v>
      </c>
      <c r="O188" s="67">
        <f>assumptions!M192</f>
        <v>55</v>
      </c>
      <c r="P188" s="68">
        <f>assumptions!N192</f>
        <v>3</v>
      </c>
      <c r="Q188" s="68">
        <f>assumptions!O192</f>
        <v>22</v>
      </c>
      <c r="R188" s="67">
        <f t="shared" si="56"/>
        <v>52.5</v>
      </c>
      <c r="S188" s="68">
        <f t="shared" si="57"/>
        <v>2.3275000000000001</v>
      </c>
      <c r="T188" s="68">
        <f t="shared" si="58"/>
        <v>22</v>
      </c>
      <c r="U188" s="73">
        <f t="shared" ca="1" si="59"/>
        <v>5816.410303003212</v>
      </c>
      <c r="V188" s="72">
        <f t="shared" ca="1" si="60"/>
        <v>1186.3275247360866</v>
      </c>
      <c r="W188" s="72">
        <f t="shared" ca="1" si="61"/>
        <v>2242.6814645923873</v>
      </c>
      <c r="X188" s="72">
        <f t="shared" ca="1" si="68"/>
        <v>9245.4192923316859</v>
      </c>
      <c r="Y188" s="73">
        <f>mult_opex * fixed_month</f>
        <v>1000</v>
      </c>
      <c r="Z188" s="72">
        <f ca="1">mult_opex * fixed_well *D188</f>
        <v>5000</v>
      </c>
      <c r="AA188" s="72">
        <f ca="1">(Z188+Y188)*WI_current_1</f>
        <v>6000</v>
      </c>
      <c r="AB188" s="72">
        <f ca="1">mult_opex * var_bo*E188</f>
        <v>0</v>
      </c>
      <c r="AC188" s="72">
        <f ca="1">mult_opex * var_mcf*F188</f>
        <v>0</v>
      </c>
      <c r="AD188" s="72">
        <f ca="1">mult_opex * var_bw * G188</f>
        <v>2.1681758456862639</v>
      </c>
      <c r="AE188" s="72">
        <f ca="1">SUM(AB188:AD188)*WI_current_1</f>
        <v>2.1681758456862639</v>
      </c>
      <c r="AF188" s="73">
        <f ca="1">mult_capex * IFERROR(OFFSET(assumptions!$F$39,MATCH(B188,assumptions!$E$39:$E$45,0)-1,0),0)</f>
        <v>0</v>
      </c>
      <c r="AG188" s="75">
        <f ca="1">mult_capex * capex_new*WI_current_1 *'forecast production'!I189</f>
        <v>0</v>
      </c>
      <c r="AH188" s="146">
        <f t="shared" ca="1" si="69"/>
        <v>0</v>
      </c>
      <c r="AI188" s="73">
        <f t="shared" ca="1" si="62"/>
        <v>524.73054813778333</v>
      </c>
      <c r="AJ188" s="72">
        <f t="shared" ca="1" si="63"/>
        <v>231.13548230829215</v>
      </c>
      <c r="AK188" s="72">
        <f t="shared" ca="1" si="70"/>
        <v>755.86603044607546</v>
      </c>
      <c r="AL188" s="73">
        <f t="shared" ca="1" si="64"/>
        <v>2487.3850860399234</v>
      </c>
      <c r="AM188" s="132">
        <f ca="1">IF(X188*(lease_NRI/J188)  - (Z188+Y188+AB188+AC188+AD188)  - (AK188)*(lease_NRI/J188)&gt;0,1,0)</f>
        <v>1</v>
      </c>
      <c r="AN188" s="73">
        <f t="shared" ca="1" si="71"/>
        <v>2487.3850860399234</v>
      </c>
      <c r="AO188" s="75">
        <f t="shared" ca="1" si="76"/>
        <v>2272346.6842429633</v>
      </c>
      <c r="AP188" s="72">
        <f ca="1">AL188  /  ( 1 + disc_1/12)^(COUNT($AL$6:AL188)-1)</f>
        <v>549.27825846378062</v>
      </c>
      <c r="AQ188" s="72">
        <f t="shared" ca="1" si="77"/>
        <v>1552564.90589751</v>
      </c>
      <c r="AS188" s="303">
        <f t="shared" ca="1" si="72"/>
        <v>1</v>
      </c>
      <c r="AT188" s="300">
        <f ca="1">IFERROR(IRR($AN$6:AN188)*12,0)</f>
        <v>0</v>
      </c>
      <c r="AU188" s="297">
        <f t="shared" ca="1" si="73"/>
        <v>0</v>
      </c>
      <c r="AV188" s="303">
        <f t="shared" ca="1" si="74"/>
        <v>0</v>
      </c>
    </row>
    <row r="189" spans="2:48" x14ac:dyDescent="0.25">
      <c r="B189" s="43">
        <f t="shared" si="75"/>
        <v>49766</v>
      </c>
      <c r="C189" s="79">
        <f t="shared" si="65"/>
        <v>2036</v>
      </c>
      <c r="D189" s="64">
        <f ca="1">wellcount_base  +  SUM('forecast production'!I$7:I190)</f>
        <v>1</v>
      </c>
      <c r="E189" s="110">
        <f ca="1">'forecast production'!AE190</f>
        <v>141.94446908710634</v>
      </c>
      <c r="F189" s="98">
        <f ca="1">'forecast production'!AF190</f>
        <v>872.30760628595851</v>
      </c>
      <c r="G189" s="98">
        <f ca="1">'forecast production'!AG190</f>
        <v>1.0127510900105119</v>
      </c>
      <c r="H189" s="98">
        <f ca="1">'forecast production'!AH190</f>
        <v>130.84614094289381</v>
      </c>
      <c r="I189" s="307">
        <f t="shared" ca="1" si="66"/>
        <v>1</v>
      </c>
      <c r="J189" s="306">
        <f t="shared" ca="1" si="67"/>
        <v>0.75</v>
      </c>
      <c r="K189" s="112">
        <f t="shared" ca="1" si="52"/>
        <v>106.45835181532976</v>
      </c>
      <c r="L189" s="98">
        <f t="shared" ca="1" si="53"/>
        <v>490.67302853585164</v>
      </c>
      <c r="M189" s="98">
        <f t="shared" ca="1" si="54"/>
        <v>0.75956331750788397</v>
      </c>
      <c r="N189" s="98">
        <f t="shared" ca="1" si="55"/>
        <v>98.134605707170351</v>
      </c>
      <c r="O189" s="67">
        <f>assumptions!M193</f>
        <v>55</v>
      </c>
      <c r="P189" s="68">
        <f>assumptions!N193</f>
        <v>3</v>
      </c>
      <c r="Q189" s="68">
        <f>assumptions!O193</f>
        <v>22</v>
      </c>
      <c r="R189" s="67">
        <f t="shared" si="56"/>
        <v>52.5</v>
      </c>
      <c r="S189" s="68">
        <f t="shared" si="57"/>
        <v>2.3275000000000001</v>
      </c>
      <c r="T189" s="68">
        <f t="shared" si="58"/>
        <v>22</v>
      </c>
      <c r="U189" s="73">
        <f t="shared" ca="1" si="59"/>
        <v>5589.0634703048127</v>
      </c>
      <c r="V189" s="72">
        <f t="shared" ca="1" si="60"/>
        <v>1142.0414739171947</v>
      </c>
      <c r="W189" s="72">
        <f t="shared" ca="1" si="61"/>
        <v>2158.9613255577478</v>
      </c>
      <c r="X189" s="72">
        <f t="shared" ca="1" si="68"/>
        <v>8890.0662697797561</v>
      </c>
      <c r="Y189" s="73">
        <f>mult_opex * fixed_month</f>
        <v>1000</v>
      </c>
      <c r="Z189" s="72">
        <f ca="1">mult_opex * fixed_well *D189</f>
        <v>5000</v>
      </c>
      <c r="AA189" s="72">
        <f ca="1">(Z189+Y189)*WI_current_1</f>
        <v>6000</v>
      </c>
      <c r="AB189" s="72">
        <f ca="1">mult_opex * var_bo*E189</f>
        <v>0</v>
      </c>
      <c r="AC189" s="72">
        <f ca="1">mult_opex * var_mcf*F189</f>
        <v>0</v>
      </c>
      <c r="AD189" s="72">
        <f ca="1">mult_opex * var_bw * G189</f>
        <v>2.0255021800210238</v>
      </c>
      <c r="AE189" s="72">
        <f ca="1">SUM(AB189:AD189)*WI_current_1</f>
        <v>2.0255021800210238</v>
      </c>
      <c r="AF189" s="73">
        <f ca="1">mult_capex * IFERROR(OFFSET(assumptions!$F$39,MATCH(B189,assumptions!$E$39:$E$45,0)-1,0),0)</f>
        <v>0</v>
      </c>
      <c r="AG189" s="75">
        <f ca="1">mult_capex * capex_new*WI_current_1 *'forecast production'!I190</f>
        <v>0</v>
      </c>
      <c r="AH189" s="146">
        <f t="shared" ca="1" si="69"/>
        <v>0</v>
      </c>
      <c r="AI189" s="73">
        <f t="shared" ca="1" si="62"/>
        <v>504.67212959464206</v>
      </c>
      <c r="AJ189" s="72">
        <f t="shared" ca="1" si="63"/>
        <v>222.25165674449391</v>
      </c>
      <c r="AK189" s="72">
        <f t="shared" ca="1" si="70"/>
        <v>726.92378633913597</v>
      </c>
      <c r="AL189" s="73">
        <f t="shared" ca="1" si="64"/>
        <v>2161.1169812605995</v>
      </c>
      <c r="AM189" s="132">
        <f ca="1">IF(X189*(lease_NRI/J189)  - (Z189+Y189+AB189+AC189+AD189)  - (AK189)*(lease_NRI/J189)&gt;0,1,0)</f>
        <v>1</v>
      </c>
      <c r="AN189" s="73">
        <f t="shared" ca="1" si="71"/>
        <v>2161.1169812605995</v>
      </c>
      <c r="AO189" s="75">
        <f t="shared" ca="1" si="76"/>
        <v>2274507.8012242238</v>
      </c>
      <c r="AP189" s="72">
        <f ca="1">AL189  /  ( 1 + disc_1/12)^(COUNT($AL$6:AL189)-1)</f>
        <v>473.28586556557781</v>
      </c>
      <c r="AQ189" s="72">
        <f t="shared" ca="1" si="77"/>
        <v>1553038.1917630755</v>
      </c>
      <c r="AS189" s="303">
        <f t="shared" ca="1" si="72"/>
        <v>1</v>
      </c>
      <c r="AT189" s="300">
        <f ca="1">IFERROR(IRR($AN$6:AN189)*12,0)</f>
        <v>0</v>
      </c>
      <c r="AU189" s="297">
        <f t="shared" ca="1" si="73"/>
        <v>0</v>
      </c>
      <c r="AV189" s="303">
        <f t="shared" ca="1" si="74"/>
        <v>0</v>
      </c>
    </row>
    <row r="190" spans="2:48" x14ac:dyDescent="0.25">
      <c r="B190" s="43">
        <f t="shared" si="75"/>
        <v>49796</v>
      </c>
      <c r="C190" s="79">
        <f t="shared" si="65"/>
        <v>2036</v>
      </c>
      <c r="D190" s="64">
        <f ca="1">wellcount_base  +  SUM('forecast production'!I$7:I191)</f>
        <v>1</v>
      </c>
      <c r="E190" s="110">
        <f ca="1">'forecast production'!AE191</f>
        <v>145.67417624178276</v>
      </c>
      <c r="F190" s="98">
        <f ca="1">'forecast production'!AF191</f>
        <v>896.81203751384271</v>
      </c>
      <c r="G190" s="98">
        <f ca="1">'forecast production'!AG191</f>
        <v>1.011389918666564</v>
      </c>
      <c r="H190" s="98">
        <f ca="1">'forecast production'!AH191</f>
        <v>134.52180562707642</v>
      </c>
      <c r="I190" s="307">
        <f t="shared" ca="1" si="66"/>
        <v>1</v>
      </c>
      <c r="J190" s="306">
        <f t="shared" ca="1" si="67"/>
        <v>0.75</v>
      </c>
      <c r="K190" s="112">
        <f t="shared" ca="1" si="52"/>
        <v>109.25563218133706</v>
      </c>
      <c r="L190" s="98">
        <f t="shared" ca="1" si="53"/>
        <v>504.4567711015365</v>
      </c>
      <c r="M190" s="98">
        <f t="shared" ca="1" si="54"/>
        <v>0.75854243899992302</v>
      </c>
      <c r="N190" s="98">
        <f t="shared" ca="1" si="55"/>
        <v>100.89135422030731</v>
      </c>
      <c r="O190" s="67">
        <f>assumptions!M194</f>
        <v>55</v>
      </c>
      <c r="P190" s="68">
        <f>assumptions!N194</f>
        <v>3</v>
      </c>
      <c r="Q190" s="68">
        <f>assumptions!O194</f>
        <v>22</v>
      </c>
      <c r="R190" s="67">
        <f t="shared" si="56"/>
        <v>52.5</v>
      </c>
      <c r="S190" s="68">
        <f t="shared" si="57"/>
        <v>2.3275000000000001</v>
      </c>
      <c r="T190" s="68">
        <f t="shared" si="58"/>
        <v>22</v>
      </c>
      <c r="U190" s="73">
        <f t="shared" ca="1" si="59"/>
        <v>5735.920689520196</v>
      </c>
      <c r="V190" s="72">
        <f t="shared" ca="1" si="60"/>
        <v>1174.1231347388264</v>
      </c>
      <c r="W190" s="72">
        <f t="shared" ca="1" si="61"/>
        <v>2219.6097928467607</v>
      </c>
      <c r="X190" s="72">
        <f t="shared" ca="1" si="68"/>
        <v>9129.6536171057833</v>
      </c>
      <c r="Y190" s="73">
        <f>mult_opex * fixed_month</f>
        <v>1000</v>
      </c>
      <c r="Z190" s="72">
        <f ca="1">mult_opex * fixed_well *D190</f>
        <v>5000</v>
      </c>
      <c r="AA190" s="72">
        <f ca="1">(Z190+Y190)*WI_current_1</f>
        <v>6000</v>
      </c>
      <c r="AB190" s="72">
        <f ca="1">mult_opex * var_bo*E190</f>
        <v>0</v>
      </c>
      <c r="AC190" s="72">
        <f ca="1">mult_opex * var_mcf*F190</f>
        <v>0</v>
      </c>
      <c r="AD190" s="72">
        <f ca="1">mult_opex * var_bw * G190</f>
        <v>2.0227798373331281</v>
      </c>
      <c r="AE190" s="72">
        <f ca="1">SUM(AB190:AD190)*WI_current_1</f>
        <v>2.0227798373331281</v>
      </c>
      <c r="AF190" s="73">
        <f ca="1">mult_capex * IFERROR(OFFSET(assumptions!$F$39,MATCH(B190,assumptions!$E$39:$E$45,0)-1,0),0)</f>
        <v>0</v>
      </c>
      <c r="AG190" s="75">
        <f ca="1">mult_capex * capex_new*WI_current_1 *'forecast production'!I191</f>
        <v>0</v>
      </c>
      <c r="AH190" s="146">
        <f t="shared" ca="1" si="69"/>
        <v>0</v>
      </c>
      <c r="AI190" s="73">
        <f t="shared" ca="1" si="62"/>
        <v>518.38232128684808</v>
      </c>
      <c r="AJ190" s="72">
        <f t="shared" ca="1" si="63"/>
        <v>228.24134042764459</v>
      </c>
      <c r="AK190" s="72">
        <f t="shared" ca="1" si="70"/>
        <v>746.62366171449264</v>
      </c>
      <c r="AL190" s="73">
        <f t="shared" ca="1" si="64"/>
        <v>2381.0071755539575</v>
      </c>
      <c r="AM190" s="132">
        <f ca="1">IF(X190*(lease_NRI/J190)  - (Z190+Y190+AB190+AC190+AD190)  - (AK190)*(lease_NRI/J190)&gt;0,1,0)</f>
        <v>1</v>
      </c>
      <c r="AN190" s="73">
        <f t="shared" ca="1" si="71"/>
        <v>2381.0071755539575</v>
      </c>
      <c r="AO190" s="75">
        <f t="shared" ca="1" si="76"/>
        <v>2276888.8083997779</v>
      </c>
      <c r="AP190" s="72">
        <f ca="1">AL190  /  ( 1 + disc_1/12)^(COUNT($AL$6:AL190)-1)</f>
        <v>517.13250740077717</v>
      </c>
      <c r="AQ190" s="72">
        <f t="shared" ca="1" si="77"/>
        <v>1553555.3242704764</v>
      </c>
      <c r="AS190" s="303">
        <f t="shared" ca="1" si="72"/>
        <v>1</v>
      </c>
      <c r="AT190" s="300">
        <f ca="1">IFERROR(IRR($AN$6:AN190)*12,0)</f>
        <v>0</v>
      </c>
      <c r="AU190" s="297">
        <f t="shared" ca="1" si="73"/>
        <v>0</v>
      </c>
      <c r="AV190" s="303">
        <f t="shared" ca="1" si="74"/>
        <v>0</v>
      </c>
    </row>
    <row r="191" spans="2:48" x14ac:dyDescent="0.25">
      <c r="B191" s="43">
        <f t="shared" si="75"/>
        <v>49827</v>
      </c>
      <c r="C191" s="79">
        <f t="shared" si="65"/>
        <v>2036</v>
      </c>
      <c r="D191" s="64">
        <f ca="1">wellcount_base  +  SUM('forecast production'!I$7:I192)</f>
        <v>1</v>
      </c>
      <c r="E191" s="110">
        <f ca="1">'forecast production'!AE192</f>
        <v>139.98018959895296</v>
      </c>
      <c r="F191" s="98">
        <f ca="1">'forecast production'!AF192</f>
        <v>863.33370826647297</v>
      </c>
      <c r="G191" s="98">
        <f ca="1">'forecast production'!AG192</f>
        <v>0.9448484382280038</v>
      </c>
      <c r="H191" s="98">
        <f ca="1">'forecast production'!AH192</f>
        <v>129.50005623997095</v>
      </c>
      <c r="I191" s="307">
        <f t="shared" ca="1" si="66"/>
        <v>1</v>
      </c>
      <c r="J191" s="306">
        <f t="shared" ca="1" si="67"/>
        <v>0.75</v>
      </c>
      <c r="K191" s="112">
        <f t="shared" ca="1" si="52"/>
        <v>104.98514219921472</v>
      </c>
      <c r="L191" s="98">
        <f t="shared" ca="1" si="53"/>
        <v>485.62521089989104</v>
      </c>
      <c r="M191" s="98">
        <f t="shared" ca="1" si="54"/>
        <v>0.7086363286710029</v>
      </c>
      <c r="N191" s="98">
        <f t="shared" ca="1" si="55"/>
        <v>97.125042179978209</v>
      </c>
      <c r="O191" s="67">
        <f>assumptions!M195</f>
        <v>55</v>
      </c>
      <c r="P191" s="68">
        <f>assumptions!N195</f>
        <v>3</v>
      </c>
      <c r="Q191" s="68">
        <f>assumptions!O195</f>
        <v>22</v>
      </c>
      <c r="R191" s="67">
        <f t="shared" si="56"/>
        <v>52.5</v>
      </c>
      <c r="S191" s="68">
        <f t="shared" si="57"/>
        <v>2.3275000000000001</v>
      </c>
      <c r="T191" s="68">
        <f t="shared" si="58"/>
        <v>22</v>
      </c>
      <c r="U191" s="73">
        <f t="shared" ca="1" si="59"/>
        <v>5511.719965458773</v>
      </c>
      <c r="V191" s="72">
        <f t="shared" ca="1" si="60"/>
        <v>1130.2926783694966</v>
      </c>
      <c r="W191" s="72">
        <f t="shared" ca="1" si="61"/>
        <v>2136.7509279595206</v>
      </c>
      <c r="X191" s="72">
        <f t="shared" ca="1" si="68"/>
        <v>8778.7635717877893</v>
      </c>
      <c r="Y191" s="73">
        <f>mult_opex * fixed_month</f>
        <v>1000</v>
      </c>
      <c r="Z191" s="72">
        <f ca="1">mult_opex * fixed_well *D191</f>
        <v>5000</v>
      </c>
      <c r="AA191" s="72">
        <f ca="1">(Z191+Y191)*WI_current_1</f>
        <v>6000</v>
      </c>
      <c r="AB191" s="72">
        <f ca="1">mult_opex * var_bo*E191</f>
        <v>0</v>
      </c>
      <c r="AC191" s="72">
        <f ca="1">mult_opex * var_mcf*F191</f>
        <v>0</v>
      </c>
      <c r="AD191" s="72">
        <f ca="1">mult_opex * var_bw * G191</f>
        <v>1.8896968764560076</v>
      </c>
      <c r="AE191" s="72">
        <f ca="1">SUM(AB191:AD191)*WI_current_1</f>
        <v>1.8896968764560076</v>
      </c>
      <c r="AF191" s="73">
        <f ca="1">mult_capex * IFERROR(OFFSET(assumptions!$F$39,MATCH(B191,assumptions!$E$39:$E$45,0)-1,0),0)</f>
        <v>0</v>
      </c>
      <c r="AG191" s="75">
        <f ca="1">mult_capex * capex_new*WI_current_1 *'forecast production'!I192</f>
        <v>0</v>
      </c>
      <c r="AH191" s="146">
        <f t="shared" ca="1" si="69"/>
        <v>0</v>
      </c>
      <c r="AI191" s="73">
        <f t="shared" ca="1" si="62"/>
        <v>498.56738888577985</v>
      </c>
      <c r="AJ191" s="72">
        <f t="shared" ca="1" si="63"/>
        <v>219.46908929469475</v>
      </c>
      <c r="AK191" s="72">
        <f t="shared" ca="1" si="70"/>
        <v>718.03647818047466</v>
      </c>
      <c r="AL191" s="73">
        <f t="shared" ca="1" si="64"/>
        <v>2058.837396730858</v>
      </c>
      <c r="AM191" s="132">
        <f ca="1">IF(X191*(lease_NRI/J191)  - (Z191+Y191+AB191+AC191+AD191)  - (AK191)*(lease_NRI/J191)&gt;0,1,0)</f>
        <v>1</v>
      </c>
      <c r="AN191" s="73">
        <f t="shared" ca="1" si="71"/>
        <v>2058.837396730858</v>
      </c>
      <c r="AO191" s="75">
        <f t="shared" ca="1" si="76"/>
        <v>2278947.6457965085</v>
      </c>
      <c r="AP191" s="72">
        <f ca="1">AL191  /  ( 1 + disc_1/12)^(COUNT($AL$6:AL191)-1)</f>
        <v>443.46470300879423</v>
      </c>
      <c r="AQ191" s="72">
        <f t="shared" ca="1" si="77"/>
        <v>1553998.7889734851</v>
      </c>
      <c r="AS191" s="303">
        <f t="shared" ca="1" si="72"/>
        <v>1</v>
      </c>
      <c r="AT191" s="300">
        <f ca="1">IFERROR(IRR($AN$6:AN191)*12,0)</f>
        <v>0</v>
      </c>
      <c r="AU191" s="297">
        <f t="shared" ca="1" si="73"/>
        <v>0</v>
      </c>
      <c r="AV191" s="303">
        <f t="shared" ca="1" si="74"/>
        <v>0</v>
      </c>
    </row>
    <row r="192" spans="2:48" x14ac:dyDescent="0.25">
      <c r="B192" s="43">
        <f t="shared" si="75"/>
        <v>49857</v>
      </c>
      <c r="C192" s="79">
        <f t="shared" si="65"/>
        <v>2036</v>
      </c>
      <c r="D192" s="64">
        <f ca="1">wellcount_base  +  SUM('forecast production'!I$7:I193)</f>
        <v>1</v>
      </c>
      <c r="E192" s="110">
        <f ca="1">'forecast production'!AE193</f>
        <v>143.65828370165306</v>
      </c>
      <c r="F192" s="98">
        <f ca="1">'forecast production'!AF193</f>
        <v>887.58604921647827</v>
      </c>
      <c r="G192" s="98">
        <f ca="1">'forecast production'!AG193</f>
        <v>0.94358970415400401</v>
      </c>
      <c r="H192" s="98">
        <f ca="1">'forecast production'!AH193</f>
        <v>133.13790738247175</v>
      </c>
      <c r="I192" s="307">
        <f t="shared" ca="1" si="66"/>
        <v>1</v>
      </c>
      <c r="J192" s="306">
        <f t="shared" ca="1" si="67"/>
        <v>0.75</v>
      </c>
      <c r="K192" s="112">
        <f t="shared" ca="1" si="52"/>
        <v>107.74371277623979</v>
      </c>
      <c r="L192" s="98">
        <f t="shared" ca="1" si="53"/>
        <v>499.26715268426904</v>
      </c>
      <c r="M192" s="98">
        <f t="shared" ca="1" si="54"/>
        <v>0.70769227811550306</v>
      </c>
      <c r="N192" s="98">
        <f t="shared" ca="1" si="55"/>
        <v>99.853430536853807</v>
      </c>
      <c r="O192" s="67">
        <f>assumptions!M196</f>
        <v>55</v>
      </c>
      <c r="P192" s="68">
        <f>assumptions!N196</f>
        <v>3</v>
      </c>
      <c r="Q192" s="68">
        <f>assumptions!O196</f>
        <v>22</v>
      </c>
      <c r="R192" s="67">
        <f t="shared" si="56"/>
        <v>52.5</v>
      </c>
      <c r="S192" s="68">
        <f t="shared" si="57"/>
        <v>2.3275000000000001</v>
      </c>
      <c r="T192" s="68">
        <f t="shared" si="58"/>
        <v>22</v>
      </c>
      <c r="U192" s="73">
        <f t="shared" ca="1" si="59"/>
        <v>5656.544920752589</v>
      </c>
      <c r="V192" s="72">
        <f t="shared" ca="1" si="60"/>
        <v>1162.0442978726362</v>
      </c>
      <c r="W192" s="72">
        <f t="shared" ca="1" si="61"/>
        <v>2196.7754718107835</v>
      </c>
      <c r="X192" s="72">
        <f t="shared" ca="1" si="68"/>
        <v>9015.3646904360085</v>
      </c>
      <c r="Y192" s="73">
        <f>mult_opex * fixed_month</f>
        <v>1000</v>
      </c>
      <c r="Z192" s="72">
        <f ca="1">mult_opex * fixed_well *D192</f>
        <v>5000</v>
      </c>
      <c r="AA192" s="72">
        <f ca="1">(Z192+Y192)*WI_current_1</f>
        <v>6000</v>
      </c>
      <c r="AB192" s="72">
        <f ca="1">mult_opex * var_bo*E192</f>
        <v>0</v>
      </c>
      <c r="AC192" s="72">
        <f ca="1">mult_opex * var_mcf*F192</f>
        <v>0</v>
      </c>
      <c r="AD192" s="72">
        <f ca="1">mult_opex * var_bw * G192</f>
        <v>1.887179408308008</v>
      </c>
      <c r="AE192" s="72">
        <f ca="1">SUM(AB192:AD192)*WI_current_1</f>
        <v>1.887179408308008</v>
      </c>
      <c r="AF192" s="73">
        <f ca="1">mult_capex * IFERROR(OFFSET(assumptions!$F$39,MATCH(B192,assumptions!$E$39:$E$45,0)-1,0),0)</f>
        <v>0</v>
      </c>
      <c r="AG192" s="75">
        <f ca="1">mult_capex * capex_new*WI_current_1 *'forecast production'!I193</f>
        <v>0</v>
      </c>
      <c r="AH192" s="146">
        <f t="shared" ca="1" si="69"/>
        <v>0</v>
      </c>
      <c r="AI192" s="73">
        <f t="shared" ca="1" si="62"/>
        <v>512.11254908087562</v>
      </c>
      <c r="AJ192" s="72">
        <f t="shared" ca="1" si="63"/>
        <v>225.38411726090021</v>
      </c>
      <c r="AK192" s="72">
        <f t="shared" ca="1" si="70"/>
        <v>737.49666634177584</v>
      </c>
      <c r="AL192" s="73">
        <f t="shared" ca="1" si="64"/>
        <v>2275.9808446859242</v>
      </c>
      <c r="AM192" s="132">
        <f ca="1">IF(X192*(lease_NRI/J192)  - (Z192+Y192+AB192+AC192+AD192)  - (AK192)*(lease_NRI/J192)&gt;0,1,0)</f>
        <v>1</v>
      </c>
      <c r="AN192" s="73">
        <f t="shared" ca="1" si="71"/>
        <v>2275.9808446859242</v>
      </c>
      <c r="AO192" s="75">
        <f t="shared" ca="1" si="76"/>
        <v>2281223.6266411943</v>
      </c>
      <c r="AP192" s="72">
        <f ca="1">AL192  /  ( 1 + disc_1/12)^(COUNT($AL$6:AL192)-1)</f>
        <v>486.1849249106873</v>
      </c>
      <c r="AQ192" s="72">
        <f t="shared" ca="1" si="77"/>
        <v>1554484.9738983959</v>
      </c>
      <c r="AS192" s="303">
        <f t="shared" ca="1" si="72"/>
        <v>1</v>
      </c>
      <c r="AT192" s="300">
        <f ca="1">IFERROR(IRR($AN$6:AN192)*12,0)</f>
        <v>0</v>
      </c>
      <c r="AU192" s="297">
        <f t="shared" ca="1" si="73"/>
        <v>0</v>
      </c>
      <c r="AV192" s="303">
        <f t="shared" ca="1" si="74"/>
        <v>0</v>
      </c>
    </row>
    <row r="193" spans="2:48" x14ac:dyDescent="0.25">
      <c r="B193" s="43">
        <f t="shared" si="75"/>
        <v>49888</v>
      </c>
      <c r="C193" s="79">
        <f t="shared" si="65"/>
        <v>2036</v>
      </c>
      <c r="D193" s="64">
        <f ca="1">wellcount_base  +  SUM('forecast production'!I$7:I194)</f>
        <v>1</v>
      </c>
      <c r="E193" s="110">
        <f ca="1">'forecast production'!AE194</f>
        <v>142.64452894654326</v>
      </c>
      <c r="F193" s="98">
        <f ca="1">'forecast production'!AF194</f>
        <v>882.9338672199558</v>
      </c>
      <c r="G193" s="98">
        <f ca="1">'forecast production'!AG194</f>
        <v>0.91090371703229123</v>
      </c>
      <c r="H193" s="98">
        <f ca="1">'forecast production'!AH194</f>
        <v>132.44008008299338</v>
      </c>
      <c r="I193" s="307">
        <f t="shared" ca="1" si="66"/>
        <v>1</v>
      </c>
      <c r="J193" s="306">
        <f t="shared" ca="1" si="67"/>
        <v>0.75</v>
      </c>
      <c r="K193" s="112">
        <f t="shared" ca="1" si="52"/>
        <v>106.98339670990745</v>
      </c>
      <c r="L193" s="98">
        <f t="shared" ca="1" si="53"/>
        <v>496.65030031122518</v>
      </c>
      <c r="M193" s="98">
        <f t="shared" ca="1" si="54"/>
        <v>0.68317778777421845</v>
      </c>
      <c r="N193" s="98">
        <f t="shared" ca="1" si="55"/>
        <v>99.330060062245025</v>
      </c>
      <c r="O193" s="67">
        <f>assumptions!M197</f>
        <v>55</v>
      </c>
      <c r="P193" s="68">
        <f>assumptions!N197</f>
        <v>3</v>
      </c>
      <c r="Q193" s="68">
        <f>assumptions!O197</f>
        <v>22</v>
      </c>
      <c r="R193" s="67">
        <f t="shared" si="56"/>
        <v>52.5</v>
      </c>
      <c r="S193" s="68">
        <f t="shared" si="57"/>
        <v>2.3275000000000001</v>
      </c>
      <c r="T193" s="68">
        <f t="shared" si="58"/>
        <v>22</v>
      </c>
      <c r="U193" s="73">
        <f t="shared" ca="1" si="59"/>
        <v>5616.6283272701412</v>
      </c>
      <c r="V193" s="72">
        <f t="shared" ca="1" si="60"/>
        <v>1155.9535739743767</v>
      </c>
      <c r="W193" s="72">
        <f t="shared" ca="1" si="61"/>
        <v>2185.2613213693903</v>
      </c>
      <c r="X193" s="72">
        <f t="shared" ca="1" si="68"/>
        <v>8957.8432226139084</v>
      </c>
      <c r="Y193" s="73">
        <f>mult_opex * fixed_month</f>
        <v>1000</v>
      </c>
      <c r="Z193" s="72">
        <f ca="1">mult_opex * fixed_well *D193</f>
        <v>5000</v>
      </c>
      <c r="AA193" s="72">
        <f ca="1">(Z193+Y193)*WI_current_1</f>
        <v>6000</v>
      </c>
      <c r="AB193" s="72">
        <f ca="1">mult_opex * var_bo*E193</f>
        <v>0</v>
      </c>
      <c r="AC193" s="72">
        <f ca="1">mult_opex * var_mcf*F193</f>
        <v>0</v>
      </c>
      <c r="AD193" s="72">
        <f ca="1">mult_opex * var_bw * G193</f>
        <v>1.8218074340645825</v>
      </c>
      <c r="AE193" s="72">
        <f ca="1">SUM(AB193:AD193)*WI_current_1</f>
        <v>1.8218074340645825</v>
      </c>
      <c r="AF193" s="73">
        <f ca="1">mult_capex * IFERROR(OFFSET(assumptions!$F$39,MATCH(B193,assumptions!$E$39:$E$45,0)-1,0),0)</f>
        <v>0</v>
      </c>
      <c r="AG193" s="75">
        <f ca="1">mult_capex * capex_new*WI_current_1 *'forecast production'!I194</f>
        <v>0</v>
      </c>
      <c r="AH193" s="146">
        <f t="shared" ca="1" si="69"/>
        <v>0</v>
      </c>
      <c r="AI193" s="73">
        <f t="shared" ca="1" si="62"/>
        <v>508.95602020520897</v>
      </c>
      <c r="AJ193" s="72">
        <f t="shared" ca="1" si="63"/>
        <v>223.94608056534773</v>
      </c>
      <c r="AK193" s="72">
        <f t="shared" ca="1" si="70"/>
        <v>732.90210077055667</v>
      </c>
      <c r="AL193" s="73">
        <f t="shared" ca="1" si="64"/>
        <v>2223.1193144092886</v>
      </c>
      <c r="AM193" s="132">
        <f ca="1">IF(X193*(lease_NRI/J193)  - (Z193+Y193+AB193+AC193+AD193)  - (AK193)*(lease_NRI/J193)&gt;0,1,0)</f>
        <v>1</v>
      </c>
      <c r="AN193" s="73">
        <f t="shared" ca="1" si="71"/>
        <v>2223.1193144092886</v>
      </c>
      <c r="AO193" s="75">
        <f t="shared" ca="1" si="76"/>
        <v>2283446.7459556037</v>
      </c>
      <c r="AP193" s="72">
        <f ca="1">AL193  /  ( 1 + disc_1/12)^(COUNT($AL$6:AL193)-1)</f>
        <v>470.96814492549072</v>
      </c>
      <c r="AQ193" s="72">
        <f t="shared" ca="1" si="77"/>
        <v>1554955.9420433214</v>
      </c>
      <c r="AS193" s="303">
        <f t="shared" ca="1" si="72"/>
        <v>1</v>
      </c>
      <c r="AT193" s="300">
        <f ca="1">IFERROR(IRR($AN$6:AN193)*12,0)</f>
        <v>0</v>
      </c>
      <c r="AU193" s="297">
        <f t="shared" ca="1" si="73"/>
        <v>0</v>
      </c>
      <c r="AV193" s="303">
        <f t="shared" ca="1" si="74"/>
        <v>0</v>
      </c>
    </row>
    <row r="194" spans="2:48" x14ac:dyDescent="0.25">
      <c r="B194" s="43">
        <f t="shared" si="75"/>
        <v>49919</v>
      </c>
      <c r="C194" s="79">
        <f t="shared" si="65"/>
        <v>2036</v>
      </c>
      <c r="D194" s="64">
        <f ca="1">wellcount_base  +  SUM('forecast production'!I$7:I195)</f>
        <v>1</v>
      </c>
      <c r="E194" s="110">
        <f ca="1">'forecast production'!AE195</f>
        <v>137.06896254590487</v>
      </c>
      <c r="F194" s="98">
        <f ca="1">'forecast production'!AF195</f>
        <v>849.97361526750933</v>
      </c>
      <c r="G194" s="98">
        <f ca="1">'forecast production'!AG195</f>
        <v>0.85098913305002366</v>
      </c>
      <c r="H194" s="98">
        <f ca="1">'forecast production'!AH195</f>
        <v>127.49604229012638</v>
      </c>
      <c r="I194" s="307">
        <f t="shared" ca="1" si="66"/>
        <v>1</v>
      </c>
      <c r="J194" s="306">
        <f t="shared" ca="1" si="67"/>
        <v>0.75</v>
      </c>
      <c r="K194" s="112">
        <f t="shared" ca="1" si="52"/>
        <v>102.80172190942865</v>
      </c>
      <c r="L194" s="98">
        <f t="shared" ca="1" si="53"/>
        <v>478.11015858797396</v>
      </c>
      <c r="M194" s="98">
        <f t="shared" ca="1" si="54"/>
        <v>0.63824184978751775</v>
      </c>
      <c r="N194" s="98">
        <f t="shared" ca="1" si="55"/>
        <v>95.62203171759478</v>
      </c>
      <c r="O194" s="67">
        <f>assumptions!M198</f>
        <v>55</v>
      </c>
      <c r="P194" s="68">
        <f>assumptions!N198</f>
        <v>3</v>
      </c>
      <c r="Q194" s="68">
        <f>assumptions!O198</f>
        <v>22</v>
      </c>
      <c r="R194" s="67">
        <f t="shared" si="56"/>
        <v>52.5</v>
      </c>
      <c r="S194" s="68">
        <f t="shared" si="57"/>
        <v>2.3275000000000001</v>
      </c>
      <c r="T194" s="68">
        <f t="shared" si="58"/>
        <v>22</v>
      </c>
      <c r="U194" s="73">
        <f t="shared" ca="1" si="59"/>
        <v>5397.0904002450043</v>
      </c>
      <c r="V194" s="72">
        <f t="shared" ca="1" si="60"/>
        <v>1112.8013941135093</v>
      </c>
      <c r="W194" s="72">
        <f t="shared" ca="1" si="61"/>
        <v>2103.684697787085</v>
      </c>
      <c r="X194" s="72">
        <f t="shared" ca="1" si="68"/>
        <v>8613.5764921455993</v>
      </c>
      <c r="Y194" s="73">
        <f>mult_opex * fixed_month</f>
        <v>1000</v>
      </c>
      <c r="Z194" s="72">
        <f ca="1">mult_opex * fixed_well *D194</f>
        <v>5000</v>
      </c>
      <c r="AA194" s="72">
        <f ca="1">(Z194+Y194)*WI_current_1</f>
        <v>6000</v>
      </c>
      <c r="AB194" s="72">
        <f ca="1">mult_opex * var_bo*E194</f>
        <v>0</v>
      </c>
      <c r="AC194" s="72">
        <f ca="1">mult_opex * var_mcf*F194</f>
        <v>0</v>
      </c>
      <c r="AD194" s="72">
        <f ca="1">mult_opex * var_bw * G194</f>
        <v>1.7019782661000473</v>
      </c>
      <c r="AE194" s="72">
        <f ca="1">SUM(AB194:AD194)*WI_current_1</f>
        <v>1.7019782661000473</v>
      </c>
      <c r="AF194" s="73">
        <f ca="1">mult_capex * IFERROR(OFFSET(assumptions!$F$39,MATCH(B194,assumptions!$E$39:$E$45,0)-1,0),0)</f>
        <v>0</v>
      </c>
      <c r="AG194" s="75">
        <f ca="1">mult_capex * capex_new*WI_current_1 *'forecast production'!I195</f>
        <v>0</v>
      </c>
      <c r="AH194" s="146">
        <f t="shared" ca="1" si="69"/>
        <v>0</v>
      </c>
      <c r="AI194" s="73">
        <f t="shared" ca="1" si="62"/>
        <v>489.50261530381476</v>
      </c>
      <c r="AJ194" s="72">
        <f t="shared" ca="1" si="63"/>
        <v>215.33941230363999</v>
      </c>
      <c r="AK194" s="72">
        <f t="shared" ca="1" si="70"/>
        <v>704.84202760745472</v>
      </c>
      <c r="AL194" s="73">
        <f t="shared" ca="1" si="64"/>
        <v>1907.0324862720436</v>
      </c>
      <c r="AM194" s="132">
        <f ca="1">IF(X194*(lease_NRI/J194)  - (Z194+Y194+AB194+AC194+AD194)  - (AK194)*(lease_NRI/J194)&gt;0,1,0)</f>
        <v>1</v>
      </c>
      <c r="AN194" s="73">
        <f t="shared" ca="1" si="71"/>
        <v>1907.0324862720436</v>
      </c>
      <c r="AO194" s="75">
        <f t="shared" ca="1" si="76"/>
        <v>2285353.7784418757</v>
      </c>
      <c r="AP194" s="72">
        <f ca="1">AL194  /  ( 1 + disc_1/12)^(COUNT($AL$6:AL194)-1)</f>
        <v>400.6662199804689</v>
      </c>
      <c r="AQ194" s="72">
        <f t="shared" ca="1" si="77"/>
        <v>1555356.6082633019</v>
      </c>
      <c r="AS194" s="303">
        <f t="shared" ca="1" si="72"/>
        <v>1</v>
      </c>
      <c r="AT194" s="300">
        <f ca="1">IFERROR(IRR($AN$6:AN194)*12,0)</f>
        <v>0</v>
      </c>
      <c r="AU194" s="297">
        <f t="shared" ca="1" si="73"/>
        <v>0</v>
      </c>
      <c r="AV194" s="303">
        <f t="shared" ca="1" si="74"/>
        <v>0</v>
      </c>
    </row>
    <row r="195" spans="2:48" x14ac:dyDescent="0.25">
      <c r="B195" s="43">
        <f t="shared" si="75"/>
        <v>49949</v>
      </c>
      <c r="C195" s="79">
        <f t="shared" si="65"/>
        <v>2036</v>
      </c>
      <c r="D195" s="64">
        <f ca="1">wellcount_base  +  SUM('forecast production'!I$7:I196)</f>
        <v>1</v>
      </c>
      <c r="E195" s="110">
        <f ca="1">'forecast production'!AE196</f>
        <v>140.67056177396503</v>
      </c>
      <c r="F195" s="98">
        <f ca="1">'forecast production'!AF196</f>
        <v>873.85065113278063</v>
      </c>
      <c r="G195" s="98">
        <f ca="1">'forecast production'!AG196</f>
        <v>0.84987060432460937</v>
      </c>
      <c r="H195" s="98">
        <f ca="1">'forecast production'!AH196</f>
        <v>131.07759766991711</v>
      </c>
      <c r="I195" s="307">
        <f t="shared" ca="1" si="66"/>
        <v>1</v>
      </c>
      <c r="J195" s="306">
        <f t="shared" ca="1" si="67"/>
        <v>0.75</v>
      </c>
      <c r="K195" s="112">
        <f t="shared" ca="1" si="52"/>
        <v>105.50292133047378</v>
      </c>
      <c r="L195" s="98">
        <f t="shared" ca="1" si="53"/>
        <v>491.5409912621891</v>
      </c>
      <c r="M195" s="98">
        <f t="shared" ca="1" si="54"/>
        <v>0.63740295324345708</v>
      </c>
      <c r="N195" s="98">
        <f t="shared" ca="1" si="55"/>
        <v>98.308198252437833</v>
      </c>
      <c r="O195" s="67">
        <f>assumptions!M199</f>
        <v>55</v>
      </c>
      <c r="P195" s="68">
        <f>assumptions!N199</f>
        <v>3</v>
      </c>
      <c r="Q195" s="68">
        <f>assumptions!O199</f>
        <v>22</v>
      </c>
      <c r="R195" s="67">
        <f t="shared" si="56"/>
        <v>52.5</v>
      </c>
      <c r="S195" s="68">
        <f t="shared" si="57"/>
        <v>2.3275000000000001</v>
      </c>
      <c r="T195" s="68">
        <f t="shared" si="58"/>
        <v>22</v>
      </c>
      <c r="U195" s="73">
        <f t="shared" ca="1" si="59"/>
        <v>5538.9033698498733</v>
      </c>
      <c r="V195" s="72">
        <f t="shared" ca="1" si="60"/>
        <v>1144.0616571627452</v>
      </c>
      <c r="W195" s="72">
        <f t="shared" ca="1" si="61"/>
        <v>2162.7803615536322</v>
      </c>
      <c r="X195" s="72">
        <f t="shared" ca="1" si="68"/>
        <v>8845.7453885662508</v>
      </c>
      <c r="Y195" s="73">
        <f>mult_opex * fixed_month</f>
        <v>1000</v>
      </c>
      <c r="Z195" s="72">
        <f ca="1">mult_opex * fixed_well *D195</f>
        <v>5000</v>
      </c>
      <c r="AA195" s="72">
        <f ca="1">(Z195+Y195)*WI_current_1</f>
        <v>6000</v>
      </c>
      <c r="AB195" s="72">
        <f ca="1">mult_opex * var_bo*E195</f>
        <v>0</v>
      </c>
      <c r="AC195" s="72">
        <f ca="1">mult_opex * var_mcf*F195</f>
        <v>0</v>
      </c>
      <c r="AD195" s="72">
        <f ca="1">mult_opex * var_bw * G195</f>
        <v>1.6997412086492187</v>
      </c>
      <c r="AE195" s="72">
        <f ca="1">SUM(AB195:AD195)*WI_current_1</f>
        <v>1.6997412086492187</v>
      </c>
      <c r="AF195" s="73">
        <f ca="1">mult_capex * IFERROR(OFFSET(assumptions!$F$39,MATCH(B195,assumptions!$E$39:$E$45,0)-1,0),0)</f>
        <v>0</v>
      </c>
      <c r="AG195" s="75">
        <f ca="1">mult_capex * capex_new*WI_current_1 *'forecast production'!I196</f>
        <v>0</v>
      </c>
      <c r="AH195" s="146">
        <f t="shared" ca="1" si="69"/>
        <v>0</v>
      </c>
      <c r="AI195" s="73">
        <f t="shared" ca="1" si="62"/>
        <v>502.8027064168225</v>
      </c>
      <c r="AJ195" s="72">
        <f t="shared" ca="1" si="63"/>
        <v>221.14363471415629</v>
      </c>
      <c r="AK195" s="72">
        <f t="shared" ca="1" si="70"/>
        <v>723.94634113097879</v>
      </c>
      <c r="AL195" s="73">
        <f t="shared" ca="1" si="64"/>
        <v>2120.0993062266225</v>
      </c>
      <c r="AM195" s="132">
        <f ca="1">IF(X195*(lease_NRI/J195)  - (Z195+Y195+AB195+AC195+AD195)  - (AK195)*(lease_NRI/J195)&gt;0,1,0)</f>
        <v>1</v>
      </c>
      <c r="AN195" s="73">
        <f t="shared" ca="1" si="71"/>
        <v>2120.0993062266225</v>
      </c>
      <c r="AO195" s="75">
        <f t="shared" ca="1" si="76"/>
        <v>2287473.8777481024</v>
      </c>
      <c r="AP195" s="72">
        <f ca="1">AL195  /  ( 1 + disc_1/12)^(COUNT($AL$6:AL195)-1)</f>
        <v>441.75016165912064</v>
      </c>
      <c r="AQ195" s="72">
        <f t="shared" ca="1" si="77"/>
        <v>1555798.3584249611</v>
      </c>
      <c r="AS195" s="303">
        <f t="shared" ca="1" si="72"/>
        <v>1</v>
      </c>
      <c r="AT195" s="300">
        <f ca="1">IFERROR(IRR($AN$6:AN195)*12,0)</f>
        <v>0</v>
      </c>
      <c r="AU195" s="297">
        <f t="shared" ca="1" si="73"/>
        <v>0</v>
      </c>
      <c r="AV195" s="303">
        <f t="shared" ca="1" si="74"/>
        <v>0</v>
      </c>
    </row>
    <row r="196" spans="2:48" x14ac:dyDescent="0.25">
      <c r="B196" s="43">
        <f t="shared" si="75"/>
        <v>49980</v>
      </c>
      <c r="C196" s="79">
        <f t="shared" si="65"/>
        <v>2036</v>
      </c>
      <c r="D196" s="64">
        <f ca="1">wellcount_base  +  SUM('forecast production'!I$7:I197)</f>
        <v>1</v>
      </c>
      <c r="E196" s="110">
        <f ca="1">'forecast production'!AE197</f>
        <v>135.17215210078524</v>
      </c>
      <c r="F196" s="98">
        <f ca="1">'forecast production'!AF197</f>
        <v>841.2294790388454</v>
      </c>
      <c r="G196" s="98">
        <f ca="1">'forecast production'!AG197</f>
        <v>0.79398016815571493</v>
      </c>
      <c r="H196" s="98">
        <f ca="1">'forecast production'!AH197</f>
        <v>126.18442185582681</v>
      </c>
      <c r="I196" s="307">
        <f t="shared" ca="1" si="66"/>
        <v>1</v>
      </c>
      <c r="J196" s="306">
        <f t="shared" ca="1" si="67"/>
        <v>0.75</v>
      </c>
      <c r="K196" s="112">
        <f t="shared" ca="1" si="52"/>
        <v>101.37911407558893</v>
      </c>
      <c r="L196" s="98">
        <f t="shared" ca="1" si="53"/>
        <v>473.19158195935051</v>
      </c>
      <c r="M196" s="98">
        <f t="shared" ca="1" si="54"/>
        <v>0.59548512611678617</v>
      </c>
      <c r="N196" s="98">
        <f t="shared" ca="1" si="55"/>
        <v>94.638316391870106</v>
      </c>
      <c r="O196" s="67">
        <f>assumptions!M200</f>
        <v>55</v>
      </c>
      <c r="P196" s="68">
        <f>assumptions!N200</f>
        <v>3</v>
      </c>
      <c r="Q196" s="68">
        <f>assumptions!O200</f>
        <v>22</v>
      </c>
      <c r="R196" s="67">
        <f t="shared" si="56"/>
        <v>52.5</v>
      </c>
      <c r="S196" s="68">
        <f t="shared" si="57"/>
        <v>2.3275000000000001</v>
      </c>
      <c r="T196" s="68">
        <f t="shared" si="58"/>
        <v>22</v>
      </c>
      <c r="U196" s="73">
        <f t="shared" ca="1" si="59"/>
        <v>5322.403488968419</v>
      </c>
      <c r="V196" s="72">
        <f t="shared" ca="1" si="60"/>
        <v>1101.3534070103883</v>
      </c>
      <c r="W196" s="72">
        <f t="shared" ca="1" si="61"/>
        <v>2082.0429606211424</v>
      </c>
      <c r="X196" s="72">
        <f t="shared" ca="1" si="68"/>
        <v>8505.7998565999496</v>
      </c>
      <c r="Y196" s="73">
        <f>mult_opex * fixed_month</f>
        <v>1000</v>
      </c>
      <c r="Z196" s="72">
        <f ca="1">mult_opex * fixed_well *D196</f>
        <v>5000</v>
      </c>
      <c r="AA196" s="72">
        <f ca="1">(Z196+Y196)*WI_current_1</f>
        <v>6000</v>
      </c>
      <c r="AB196" s="72">
        <f ca="1">mult_opex * var_bo*E196</f>
        <v>0</v>
      </c>
      <c r="AC196" s="72">
        <f ca="1">mult_opex * var_mcf*F196</f>
        <v>0</v>
      </c>
      <c r="AD196" s="72">
        <f ca="1">mult_opex * var_bw * G196</f>
        <v>1.5879603363114299</v>
      </c>
      <c r="AE196" s="72">
        <f ca="1">SUM(AB196:AD196)*WI_current_1</f>
        <v>1.5879603363114299</v>
      </c>
      <c r="AF196" s="73">
        <f ca="1">mult_capex * IFERROR(OFFSET(assumptions!$F$39,MATCH(B196,assumptions!$E$39:$E$45,0)-1,0),0)</f>
        <v>0</v>
      </c>
      <c r="AG196" s="75">
        <f ca="1">mult_capex * capex_new*WI_current_1 *'forecast production'!I197</f>
        <v>0</v>
      </c>
      <c r="AH196" s="146">
        <f t="shared" ca="1" si="69"/>
        <v>0</v>
      </c>
      <c r="AI196" s="73">
        <f t="shared" ca="1" si="62"/>
        <v>483.58528806491211</v>
      </c>
      <c r="AJ196" s="72">
        <f t="shared" ca="1" si="63"/>
        <v>212.64499641499876</v>
      </c>
      <c r="AK196" s="72">
        <f t="shared" ca="1" si="70"/>
        <v>696.23028447991089</v>
      </c>
      <c r="AL196" s="73">
        <f t="shared" ca="1" si="64"/>
        <v>1807.9816117837272</v>
      </c>
      <c r="AM196" s="132">
        <f ca="1">IF(X196*(lease_NRI/J196)  - (Z196+Y196+AB196+AC196+AD196)  - (AK196)*(lease_NRI/J196)&gt;0,1,0)</f>
        <v>1</v>
      </c>
      <c r="AN196" s="73">
        <f t="shared" ca="1" si="71"/>
        <v>1807.9816117837272</v>
      </c>
      <c r="AO196" s="75">
        <f t="shared" ca="1" si="76"/>
        <v>2289281.859359886</v>
      </c>
      <c r="AP196" s="72">
        <f ca="1">AL196  /  ( 1 + disc_1/12)^(COUNT($AL$6:AL196)-1)</f>
        <v>373.60303711137215</v>
      </c>
      <c r="AQ196" s="72">
        <f t="shared" ca="1" si="77"/>
        <v>1556171.9614620726</v>
      </c>
      <c r="AS196" s="303">
        <f t="shared" ca="1" si="72"/>
        <v>1</v>
      </c>
      <c r="AT196" s="300">
        <f ca="1">IFERROR(IRR($AN$6:AN196)*12,0)</f>
        <v>0</v>
      </c>
      <c r="AU196" s="297">
        <f t="shared" ca="1" si="73"/>
        <v>0</v>
      </c>
      <c r="AV196" s="303">
        <f t="shared" ca="1" si="74"/>
        <v>0</v>
      </c>
    </row>
    <row r="197" spans="2:48" x14ac:dyDescent="0.25">
      <c r="B197" s="44">
        <f t="shared" si="75"/>
        <v>50010</v>
      </c>
      <c r="C197" s="100">
        <f t="shared" si="65"/>
        <v>2036</v>
      </c>
      <c r="D197" s="65">
        <f ca="1">wellcount_base  +  SUM('forecast production'!I$7:I198)</f>
        <v>1</v>
      </c>
      <c r="E197" s="109">
        <f ca="1">'forecast production'!AE198</f>
        <v>138.72391108122096</v>
      </c>
      <c r="F197" s="101">
        <f ca="1">'forecast production'!AF198</f>
        <v>864.86087898013932</v>
      </c>
      <c r="G197" s="101">
        <f ca="1">'forecast production'!AG198</f>
        <v>0.79294594486402181</v>
      </c>
      <c r="H197" s="102">
        <f ca="1">'forecast production'!AH198</f>
        <v>129.72913184702091</v>
      </c>
      <c r="I197" s="308">
        <f t="shared" ca="1" si="66"/>
        <v>1</v>
      </c>
      <c r="J197" s="309">
        <f t="shared" ca="1" si="67"/>
        <v>0.75</v>
      </c>
      <c r="K197" s="113">
        <f t="shared" ca="1" si="52"/>
        <v>104.04293331091571</v>
      </c>
      <c r="L197" s="102">
        <f t="shared" ca="1" si="53"/>
        <v>486.48424442632836</v>
      </c>
      <c r="M197" s="102">
        <f t="shared" ca="1" si="54"/>
        <v>0.59470945864801639</v>
      </c>
      <c r="N197" s="102">
        <f t="shared" ca="1" si="55"/>
        <v>97.296848885265689</v>
      </c>
      <c r="O197" s="103">
        <f>assumptions!M201</f>
        <v>55</v>
      </c>
      <c r="P197" s="104">
        <f>assumptions!N201</f>
        <v>3</v>
      </c>
      <c r="Q197" s="104">
        <f>assumptions!O201</f>
        <v>22</v>
      </c>
      <c r="R197" s="103">
        <f t="shared" si="56"/>
        <v>52.5</v>
      </c>
      <c r="S197" s="104">
        <f t="shared" si="57"/>
        <v>2.3275000000000001</v>
      </c>
      <c r="T197" s="104">
        <f t="shared" si="58"/>
        <v>22</v>
      </c>
      <c r="U197" s="105">
        <f t="shared" ca="1" si="59"/>
        <v>5462.2539988230747</v>
      </c>
      <c r="V197" s="106">
        <f t="shared" ca="1" si="60"/>
        <v>1132.2920789022794</v>
      </c>
      <c r="W197" s="106">
        <f t="shared" ca="1" si="61"/>
        <v>2140.5306754758453</v>
      </c>
      <c r="X197" s="106">
        <f t="shared" ca="1" si="68"/>
        <v>8735.0767532011996</v>
      </c>
      <c r="Y197" s="105">
        <f>mult_opex * fixed_month</f>
        <v>1000</v>
      </c>
      <c r="Z197" s="106">
        <f ca="1">mult_opex * fixed_well *D197</f>
        <v>5000</v>
      </c>
      <c r="AA197" s="106">
        <f ca="1">(Z197+Y197)*WI_current_1</f>
        <v>6000</v>
      </c>
      <c r="AB197" s="106">
        <f ca="1">mult_opex * var_bo*E197</f>
        <v>0</v>
      </c>
      <c r="AC197" s="106">
        <f ca="1">mult_opex * var_mcf*F197</f>
        <v>0</v>
      </c>
      <c r="AD197" s="106">
        <f ca="1">mult_opex * var_bw * G197</f>
        <v>1.5858918897280436</v>
      </c>
      <c r="AE197" s="106">
        <f ca="1">SUM(AB197:AD197)*WI_current_1</f>
        <v>1.5858918897280436</v>
      </c>
      <c r="AF197" s="105">
        <f ca="1">mult_capex * IFERROR(OFFSET(assumptions!$F$39,MATCH(B197,assumptions!$E$39:$E$45,0)-1,0),0)</f>
        <v>0</v>
      </c>
      <c r="AG197" s="106">
        <f ca="1">mult_capex * capex_new*WI_current_1 *'forecast production'!I198</f>
        <v>0</v>
      </c>
      <c r="AH197" s="147">
        <f t="shared" ca="1" si="69"/>
        <v>0</v>
      </c>
      <c r="AI197" s="105">
        <f t="shared" ca="1" si="62"/>
        <v>496.72539052422081</v>
      </c>
      <c r="AJ197" s="106">
        <f t="shared" ca="1" si="63"/>
        <v>218.37691883003001</v>
      </c>
      <c r="AK197" s="106">
        <f t="shared" ca="1" si="70"/>
        <v>715.10230935425079</v>
      </c>
      <c r="AL197" s="105">
        <f t="shared" ca="1" si="64"/>
        <v>2018.3885519572204</v>
      </c>
      <c r="AM197" s="133">
        <f ca="1">IF(X197*(lease_NRI/J197)  - (Z197+Y197+AB197+AC197+AD197)  - (AK197)*(lease_NRI/J197)&gt;0,1,0)</f>
        <v>1</v>
      </c>
      <c r="AN197" s="105">
        <f t="shared" ca="1" si="71"/>
        <v>2018.3885519572204</v>
      </c>
      <c r="AO197" s="106">
        <f t="shared" ca="1" si="76"/>
        <v>2291300.2479118435</v>
      </c>
      <c r="AP197" s="106">
        <f ca="1">AL197  /  ( 1 + disc_1/12)^(COUNT($AL$6:AL197)-1)</f>
        <v>413.63477060870446</v>
      </c>
      <c r="AQ197" s="106">
        <f t="shared" ca="1" si="77"/>
        <v>1556585.5962326813</v>
      </c>
      <c r="AS197" s="304">
        <f t="shared" ca="1" si="72"/>
        <v>1</v>
      </c>
      <c r="AT197" s="301">
        <f ca="1">IFERROR(IRR($AN$6:AN197)*12,0)</f>
        <v>0</v>
      </c>
      <c r="AU197" s="298">
        <f t="shared" ca="1" si="73"/>
        <v>0</v>
      </c>
      <c r="AV197" s="304">
        <f t="shared" ca="1" si="74"/>
        <v>0</v>
      </c>
    </row>
    <row r="198" spans="2:48" x14ac:dyDescent="0.25">
      <c r="B198" s="43">
        <f t="shared" si="75"/>
        <v>50041</v>
      </c>
      <c r="C198" s="79">
        <f t="shared" si="65"/>
        <v>2037</v>
      </c>
      <c r="D198" s="64">
        <f ca="1">wellcount_base  +  SUM('forecast production'!I$7:I199)</f>
        <v>1</v>
      </c>
      <c r="E198" s="110">
        <f ca="1">'forecast production'!AE199</f>
        <v>137.74497675956306</v>
      </c>
      <c r="F198" s="98">
        <f ca="1">'forecast production'!AF199</f>
        <v>860.32780839589623</v>
      </c>
      <c r="G198" s="98">
        <f ca="1">'forecast production'!AG199</f>
        <v>0.76550172154475316</v>
      </c>
      <c r="H198" s="98">
        <f ca="1">'forecast production'!AH199</f>
        <v>129.04917125938442</v>
      </c>
      <c r="I198" s="307">
        <f t="shared" ca="1" si="66"/>
        <v>1</v>
      </c>
      <c r="J198" s="306">
        <f t="shared" ca="1" si="67"/>
        <v>0.75</v>
      </c>
      <c r="K198" s="112">
        <f t="shared" ref="K198:K261" ca="1" si="78">E198*NRI_current</f>
        <v>103.30873256967229</v>
      </c>
      <c r="L198" s="98">
        <f t="shared" ref="L198:L261" ca="1" si="79">F198 * NRI_current * ( 1-shrink_ngl-shrink_leaseuse) - vol_leaseuse</f>
        <v>483.9343922226916</v>
      </c>
      <c r="M198" s="98">
        <f t="shared" ref="M198:M261" ca="1" si="80">G198*NRI_current</f>
        <v>0.57412629115856484</v>
      </c>
      <c r="N198" s="98">
        <f t="shared" ref="N198:N261" ca="1" si="81">H198 * NRI_current</f>
        <v>96.786878444538317</v>
      </c>
      <c r="O198" s="67">
        <f>assumptions!M202</f>
        <v>55</v>
      </c>
      <c r="P198" s="68">
        <f>assumptions!N202</f>
        <v>3</v>
      </c>
      <c r="Q198" s="68">
        <f>assumptions!O202</f>
        <v>22</v>
      </c>
      <c r="R198" s="67">
        <f t="shared" ref="R198:R261" si="82" xml:space="preserve"> (O198*mult_oilprice )  *  (1+  pdiff_oil)   + diff_oil</f>
        <v>52.5</v>
      </c>
      <c r="S198" s="68">
        <f t="shared" ref="S198:S261" si="83" xml:space="preserve"> (  (P198*mult_gasprice )  * (1+   pdiff_gas)  +  diff_gas ) *  energy_residue/1000</f>
        <v>2.3275000000000001</v>
      </c>
      <c r="T198" s="68">
        <f t="shared" ref="T198:T261" si="84">mult_oilprice * (1+pdiff_ngl)*O198</f>
        <v>22</v>
      </c>
      <c r="U198" s="73">
        <f t="shared" ref="U198:U261" ca="1" si="85">K198*R198</f>
        <v>5423.7084599077953</v>
      </c>
      <c r="V198" s="72">
        <f t="shared" ref="V198:V261" ca="1" si="86">L198*S198</f>
        <v>1126.3572978983148</v>
      </c>
      <c r="W198" s="72">
        <f t="shared" ref="W198:W261" ca="1" si="87">N198*T198</f>
        <v>2129.3113257798432</v>
      </c>
      <c r="X198" s="72">
        <f t="shared" ca="1" si="68"/>
        <v>8679.3770835859541</v>
      </c>
      <c r="Y198" s="73">
        <f>mult_opex * fixed_month</f>
        <v>1000</v>
      </c>
      <c r="Z198" s="72">
        <f ca="1">mult_opex * fixed_well *D198</f>
        <v>5000</v>
      </c>
      <c r="AA198" s="72">
        <f ca="1">(Z198+Y198)*WI_current_1</f>
        <v>6000</v>
      </c>
      <c r="AB198" s="72">
        <f ca="1">mult_opex * var_bo*E198</f>
        <v>0</v>
      </c>
      <c r="AC198" s="72">
        <f ca="1">mult_opex * var_mcf*F198</f>
        <v>0</v>
      </c>
      <c r="AD198" s="72">
        <f ca="1">mult_opex * var_bw * G198</f>
        <v>1.5310034430895063</v>
      </c>
      <c r="AE198" s="72">
        <f ca="1">SUM(AB198:AD198)*WI_current_1</f>
        <v>1.5310034430895063</v>
      </c>
      <c r="AF198" s="73">
        <f ca="1">mult_capex * IFERROR(OFFSET(assumptions!$F$39,MATCH(B198,assumptions!$E$39:$E$45,0)-1,0),0)</f>
        <v>0</v>
      </c>
      <c r="AG198" s="75">
        <f ca="1">mult_capex * capex_new*WI_current_1 *'forecast production'!I199</f>
        <v>0</v>
      </c>
      <c r="AH198" s="146">
        <f t="shared" ca="1" si="69"/>
        <v>0</v>
      </c>
      <c r="AI198" s="73">
        <f t="shared" ref="AI198:AI261" ca="1" si="88">U198*sev_oil   +  V198*sev_gas  +  W198*sev_ngl</f>
        <v>493.66573593162047</v>
      </c>
      <c r="AJ198" s="72">
        <f t="shared" ref="AJ198:AJ261" ca="1" si="89">adval * X198</f>
        <v>216.98442708964888</v>
      </c>
      <c r="AK198" s="72">
        <f t="shared" ca="1" si="70"/>
        <v>710.65016302126935</v>
      </c>
      <c r="AL198" s="73">
        <f t="shared" ref="AL198:AL261" ca="1" si="90">X198-AE198-AH198-AK198-AA198</f>
        <v>1967.1959171215949</v>
      </c>
      <c r="AM198" s="132">
        <f ca="1">IF(X198*(lease_NRI/J198)  - (Z198+Y198+AB198+AC198+AD198)  - (AK198)*(lease_NRI/J198)&gt;0,1,0)</f>
        <v>1</v>
      </c>
      <c r="AN198" s="73">
        <f t="shared" ca="1" si="71"/>
        <v>1967.1959171215949</v>
      </c>
      <c r="AO198" s="75">
        <f t="shared" ca="1" si="76"/>
        <v>2293267.4438289651</v>
      </c>
      <c r="AP198" s="72">
        <f ca="1">AL198  /  ( 1 + disc_1/12)^(COUNT($AL$6:AL198)-1)</f>
        <v>399.81193538158641</v>
      </c>
      <c r="AQ198" s="72">
        <f t="shared" ca="1" si="77"/>
        <v>1556985.4081680628</v>
      </c>
      <c r="AS198" s="303">
        <f t="shared" ca="1" si="72"/>
        <v>1</v>
      </c>
      <c r="AT198" s="300">
        <f ca="1">IFERROR(IRR($AN$6:AN198)*12,0)</f>
        <v>0</v>
      </c>
      <c r="AU198" s="297">
        <f t="shared" ca="1" si="73"/>
        <v>0</v>
      </c>
      <c r="AV198" s="303">
        <f t="shared" ca="1" si="74"/>
        <v>0</v>
      </c>
    </row>
    <row r="199" spans="2:48" x14ac:dyDescent="0.25">
      <c r="B199" s="43">
        <f t="shared" si="75"/>
        <v>50072</v>
      </c>
      <c r="C199" s="79">
        <f t="shared" ref="C199:C262" si="91">YEAR(B199)</f>
        <v>2037</v>
      </c>
      <c r="D199" s="64">
        <f ca="1">wellcount_base  +  SUM('forecast production'!I$7:I200)</f>
        <v>1</v>
      </c>
      <c r="E199" s="110">
        <f ca="1">'forecast production'!AE200</f>
        <v>123.53685850971137</v>
      </c>
      <c r="F199" s="98">
        <f ca="1">'forecast production'!AF200</f>
        <v>772.99735248035893</v>
      </c>
      <c r="G199" s="98">
        <f ca="1">'forecast production'!AG200</f>
        <v>0.66749465461899449</v>
      </c>
      <c r="H199" s="98">
        <f ca="1">'forecast production'!AH200</f>
        <v>115.94960287205384</v>
      </c>
      <c r="I199" s="307">
        <f t="shared" ref="I199:I262" ca="1" si="92">IF(AV198,WI_APO, WI)</f>
        <v>1</v>
      </c>
      <c r="J199" s="306">
        <f t="shared" ref="J199:J262" ca="1" si="93">IF(AV198,NRI_APO, NRI)</f>
        <v>0.75</v>
      </c>
      <c r="K199" s="112">
        <f t="shared" ca="1" si="78"/>
        <v>92.652643882283527</v>
      </c>
      <c r="L199" s="98">
        <f t="shared" ca="1" si="79"/>
        <v>434.81101077020185</v>
      </c>
      <c r="M199" s="98">
        <f t="shared" ca="1" si="80"/>
        <v>0.50062099096424584</v>
      </c>
      <c r="N199" s="98">
        <f t="shared" ca="1" si="81"/>
        <v>86.962202154040384</v>
      </c>
      <c r="O199" s="67">
        <f>assumptions!M203</f>
        <v>55</v>
      </c>
      <c r="P199" s="68">
        <f>assumptions!N203</f>
        <v>3</v>
      </c>
      <c r="Q199" s="68">
        <f>assumptions!O203</f>
        <v>22</v>
      </c>
      <c r="R199" s="67">
        <f t="shared" si="82"/>
        <v>52.5</v>
      </c>
      <c r="S199" s="68">
        <f t="shared" si="83"/>
        <v>2.3275000000000001</v>
      </c>
      <c r="T199" s="68">
        <f t="shared" si="84"/>
        <v>22</v>
      </c>
      <c r="U199" s="73">
        <f t="shared" ca="1" si="85"/>
        <v>4864.2638038198847</v>
      </c>
      <c r="V199" s="72">
        <f t="shared" ca="1" si="86"/>
        <v>1012.0226275676448</v>
      </c>
      <c r="W199" s="72">
        <f t="shared" ca="1" si="87"/>
        <v>1913.1684473888884</v>
      </c>
      <c r="X199" s="72">
        <f t="shared" ref="X199:X262" ca="1" si="94">SUM(U199:W199)</f>
        <v>7789.4548787764179</v>
      </c>
      <c r="Y199" s="73">
        <f>mult_opex * fixed_month</f>
        <v>1000</v>
      </c>
      <c r="Z199" s="72">
        <f ca="1">mult_opex * fixed_well *D199</f>
        <v>5000</v>
      </c>
      <c r="AA199" s="72">
        <f ca="1">(Z199+Y199)*WI_current_1</f>
        <v>6000</v>
      </c>
      <c r="AB199" s="72">
        <f ca="1">mult_opex * var_bo*E199</f>
        <v>0</v>
      </c>
      <c r="AC199" s="72">
        <f ca="1">mult_opex * var_mcf*F199</f>
        <v>0</v>
      </c>
      <c r="AD199" s="72">
        <f ca="1">mult_opex * var_bw * G199</f>
        <v>1.334989309237989</v>
      </c>
      <c r="AE199" s="72">
        <f ca="1">SUM(AB199:AD199)*WI_current_1</f>
        <v>1.334989309237989</v>
      </c>
      <c r="AF199" s="73">
        <f ca="1">mult_capex * IFERROR(OFFSET(assumptions!$F$39,MATCH(B199,assumptions!$E$39:$E$45,0)-1,0),0)</f>
        <v>0</v>
      </c>
      <c r="AG199" s="75">
        <f ca="1">mult_capex * capex_new*WI_current_1 *'forecast production'!I200</f>
        <v>0</v>
      </c>
      <c r="AH199" s="146">
        <f t="shared" ref="AH199:AH262" ca="1" si="95">AG199+AF199</f>
        <v>0</v>
      </c>
      <c r="AI199" s="73">
        <f t="shared" ca="1" si="88"/>
        <v>443.14546559745469</v>
      </c>
      <c r="AJ199" s="72">
        <f t="shared" ca="1" si="89"/>
        <v>194.73637196941047</v>
      </c>
      <c r="AK199" s="72">
        <f t="shared" ref="AK199:AK262" ca="1" si="96">SUM(AI199:AJ199)</f>
        <v>637.88183756686522</v>
      </c>
      <c r="AL199" s="73">
        <f t="shared" ca="1" si="90"/>
        <v>1150.2380519003145</v>
      </c>
      <c r="AM199" s="132">
        <f ca="1">IF(X199*(lease_NRI/J199)  - (Z199+Y199+AB199+AC199+AD199)  - (AK199)*(lease_NRI/J199)&gt;0,1,0)</f>
        <v>1</v>
      </c>
      <c r="AN199" s="73">
        <f t="shared" ref="AN199:AN262" ca="1" si="97">AL199*AM199</f>
        <v>1150.2380519003145</v>
      </c>
      <c r="AO199" s="75">
        <f t="shared" ca="1" si="76"/>
        <v>2294417.6818808652</v>
      </c>
      <c r="AP199" s="72">
        <f ca="1">AL199  /  ( 1 + disc_1/12)^(COUNT($AL$6:AL199)-1)</f>
        <v>231.8418036710581</v>
      </c>
      <c r="AQ199" s="72">
        <f t="shared" ca="1" si="77"/>
        <v>1557217.2499717339</v>
      </c>
      <c r="AS199" s="303">
        <f t="shared" ref="AS199:AS262" ca="1" si="98">IF(AO199&gt; (ROI_threshold-1)*initial_investment,1,0)</f>
        <v>1</v>
      </c>
      <c r="AT199" s="300">
        <f ca="1">IFERROR(IRR($AN$6:AN199)*12,0)</f>
        <v>0</v>
      </c>
      <c r="AU199" s="297">
        <f t="shared" ref="AU199:AU262" ca="1" si="99">IF(AT199&gt;ROR_threshold,1,0)</f>
        <v>0</v>
      </c>
      <c r="AV199" s="303">
        <f t="shared" ref="AV199:AV262" ca="1" si="100">IF(AND(AS199,AU199),1,0)</f>
        <v>0</v>
      </c>
    </row>
    <row r="200" spans="2:48" x14ac:dyDescent="0.25">
      <c r="B200" s="43">
        <f t="shared" ref="B200:B263" si="101">EOMONTH(B199,0)+1</f>
        <v>50100</v>
      </c>
      <c r="C200" s="79">
        <f t="shared" si="91"/>
        <v>2037</v>
      </c>
      <c r="D200" s="64">
        <f ca="1">wellcount_base  +  SUM('forecast production'!I$7:I201)</f>
        <v>1</v>
      </c>
      <c r="E200" s="110">
        <f ca="1">'forecast production'!AE201</f>
        <v>135.90088834953536</v>
      </c>
      <c r="F200" s="98">
        <f ca="1">'forecast production'!AF201</f>
        <v>851.7658895825632</v>
      </c>
      <c r="G200" s="98">
        <f ca="1">'forecast production'!AG201</f>
        <v>0.71587828002056597</v>
      </c>
      <c r="H200" s="98">
        <f ca="1">'forecast production'!AH201</f>
        <v>127.76488343738447</v>
      </c>
      <c r="I200" s="307">
        <f t="shared" ca="1" si="92"/>
        <v>1</v>
      </c>
      <c r="J200" s="306">
        <f t="shared" ca="1" si="93"/>
        <v>0.75</v>
      </c>
      <c r="K200" s="112">
        <f t="shared" ca="1" si="78"/>
        <v>101.92566626215152</v>
      </c>
      <c r="L200" s="98">
        <f t="shared" ca="1" si="79"/>
        <v>479.11831289019176</v>
      </c>
      <c r="M200" s="98">
        <f t="shared" ca="1" si="80"/>
        <v>0.53690871001542451</v>
      </c>
      <c r="N200" s="98">
        <f t="shared" ca="1" si="81"/>
        <v>95.823662578038352</v>
      </c>
      <c r="O200" s="67">
        <f>assumptions!M204</f>
        <v>55</v>
      </c>
      <c r="P200" s="68">
        <f>assumptions!N204</f>
        <v>3</v>
      </c>
      <c r="Q200" s="68">
        <f>assumptions!O204</f>
        <v>22</v>
      </c>
      <c r="R200" s="67">
        <f t="shared" si="82"/>
        <v>52.5</v>
      </c>
      <c r="S200" s="68">
        <f t="shared" si="83"/>
        <v>2.3275000000000001</v>
      </c>
      <c r="T200" s="68">
        <f t="shared" si="84"/>
        <v>22</v>
      </c>
      <c r="U200" s="73">
        <f t="shared" ca="1" si="85"/>
        <v>5351.0974787629548</v>
      </c>
      <c r="V200" s="72">
        <f t="shared" ca="1" si="86"/>
        <v>1115.1478732519213</v>
      </c>
      <c r="W200" s="72">
        <f t="shared" ca="1" si="87"/>
        <v>2108.120576716844</v>
      </c>
      <c r="X200" s="72">
        <f t="shared" ca="1" si="94"/>
        <v>8574.3659287317205</v>
      </c>
      <c r="Y200" s="73">
        <f>mult_opex * fixed_month</f>
        <v>1000</v>
      </c>
      <c r="Z200" s="72">
        <f ca="1">mult_opex * fixed_well *D200</f>
        <v>5000</v>
      </c>
      <c r="AA200" s="72">
        <f ca="1">(Z200+Y200)*WI_current_1</f>
        <v>6000</v>
      </c>
      <c r="AB200" s="72">
        <f ca="1">mult_opex * var_bo*E200</f>
        <v>0</v>
      </c>
      <c r="AC200" s="72">
        <f ca="1">mult_opex * var_mcf*F200</f>
        <v>0</v>
      </c>
      <c r="AD200" s="72">
        <f ca="1">mult_opex * var_bw * G200</f>
        <v>1.4317565600411319</v>
      </c>
      <c r="AE200" s="72">
        <f ca="1">SUM(AB200:AD200)*WI_current_1</f>
        <v>1.4317565600411319</v>
      </c>
      <c r="AF200" s="73">
        <f ca="1">mult_capex * IFERROR(OFFSET(assumptions!$F$39,MATCH(B200,assumptions!$E$39:$E$45,0)-1,0),0)</f>
        <v>0</v>
      </c>
      <c r="AG200" s="75">
        <f ca="1">mult_capex * capex_new*WI_current_1 *'forecast production'!I201</f>
        <v>0</v>
      </c>
      <c r="AH200" s="146">
        <f t="shared" ca="1" si="95"/>
        <v>0</v>
      </c>
      <c r="AI200" s="73">
        <f t="shared" ca="1" si="88"/>
        <v>487.89561777075335</v>
      </c>
      <c r="AJ200" s="72">
        <f t="shared" ca="1" si="89"/>
        <v>214.35914821829303</v>
      </c>
      <c r="AK200" s="72">
        <f t="shared" ca="1" si="96"/>
        <v>702.2547659890464</v>
      </c>
      <c r="AL200" s="73">
        <f t="shared" ca="1" si="90"/>
        <v>1870.6794061826331</v>
      </c>
      <c r="AM200" s="132">
        <f ca="1">IF(X200*(lease_NRI/J200)  - (Z200+Y200+AB200+AC200+AD200)  - (AK200)*(lease_NRI/J200)&gt;0,1,0)</f>
        <v>1</v>
      </c>
      <c r="AN200" s="73">
        <f t="shared" ca="1" si="97"/>
        <v>1870.6794061826331</v>
      </c>
      <c r="AO200" s="75">
        <f t="shared" ref="AO200:AO263" ca="1" si="102">AO199+AN200</f>
        <v>2296288.3612870481</v>
      </c>
      <c r="AP200" s="72">
        <f ca="1">AL200  /  ( 1 + disc_1/12)^(COUNT($AL$6:AL200)-1)</f>
        <v>373.93770397454256</v>
      </c>
      <c r="AQ200" s="72">
        <f t="shared" ref="AQ200:AQ263" ca="1" si="103">AQ199+AP200*AM200</f>
        <v>1557591.1876757084</v>
      </c>
      <c r="AS200" s="303">
        <f t="shared" ca="1" si="98"/>
        <v>1</v>
      </c>
      <c r="AT200" s="300">
        <f ca="1">IFERROR(IRR($AN$6:AN200)*12,0)</f>
        <v>0</v>
      </c>
      <c r="AU200" s="297">
        <f t="shared" ca="1" si="99"/>
        <v>0</v>
      </c>
      <c r="AV200" s="303">
        <f t="shared" ca="1" si="100"/>
        <v>0</v>
      </c>
    </row>
    <row r="201" spans="2:48" x14ac:dyDescent="0.25">
      <c r="B201" s="43">
        <f t="shared" si="101"/>
        <v>50131</v>
      </c>
      <c r="C201" s="79">
        <f t="shared" si="91"/>
        <v>2037</v>
      </c>
      <c r="D201" s="64">
        <f ca="1">wellcount_base  +  SUM('forecast production'!I$7:I202)</f>
        <v>1</v>
      </c>
      <c r="E201" s="110">
        <f ca="1">'forecast production'!AE202</f>
        <v>130.58891156013783</v>
      </c>
      <c r="F201" s="98">
        <f ca="1">'forecast production'!AF202</f>
        <v>819.969149908801</v>
      </c>
      <c r="G201" s="98">
        <f ca="1">'forecast production'!AG202</f>
        <v>0.66881984960061935</v>
      </c>
      <c r="H201" s="98">
        <f ca="1">'forecast production'!AH202</f>
        <v>122.99537248632015</v>
      </c>
      <c r="I201" s="307">
        <f t="shared" ca="1" si="92"/>
        <v>1</v>
      </c>
      <c r="J201" s="306">
        <f t="shared" ca="1" si="93"/>
        <v>0.75</v>
      </c>
      <c r="K201" s="112">
        <f t="shared" ca="1" si="78"/>
        <v>97.941683670103373</v>
      </c>
      <c r="L201" s="98">
        <f t="shared" ca="1" si="79"/>
        <v>461.23264682370052</v>
      </c>
      <c r="M201" s="98">
        <f t="shared" ca="1" si="80"/>
        <v>0.50161488720046454</v>
      </c>
      <c r="N201" s="98">
        <f t="shared" ca="1" si="81"/>
        <v>92.246529364740113</v>
      </c>
      <c r="O201" s="67">
        <f>assumptions!M205</f>
        <v>55</v>
      </c>
      <c r="P201" s="68">
        <f>assumptions!N205</f>
        <v>3</v>
      </c>
      <c r="Q201" s="68">
        <f>assumptions!O205</f>
        <v>22</v>
      </c>
      <c r="R201" s="67">
        <f t="shared" si="82"/>
        <v>52.5</v>
      </c>
      <c r="S201" s="68">
        <f t="shared" si="83"/>
        <v>2.3275000000000001</v>
      </c>
      <c r="T201" s="68">
        <f t="shared" si="84"/>
        <v>22</v>
      </c>
      <c r="U201" s="73">
        <f t="shared" ca="1" si="85"/>
        <v>5141.9383926804267</v>
      </c>
      <c r="V201" s="72">
        <f t="shared" ca="1" si="86"/>
        <v>1073.5189854821631</v>
      </c>
      <c r="W201" s="72">
        <f t="shared" ca="1" si="87"/>
        <v>2029.4236460242826</v>
      </c>
      <c r="X201" s="72">
        <f t="shared" ca="1" si="94"/>
        <v>8244.8810241868723</v>
      </c>
      <c r="Y201" s="73">
        <f>mult_opex * fixed_month</f>
        <v>1000</v>
      </c>
      <c r="Z201" s="72">
        <f ca="1">mult_opex * fixed_well *D201</f>
        <v>5000</v>
      </c>
      <c r="AA201" s="72">
        <f ca="1">(Z201+Y201)*WI_current_1</f>
        <v>6000</v>
      </c>
      <c r="AB201" s="72">
        <f ca="1">mult_opex * var_bo*E201</f>
        <v>0</v>
      </c>
      <c r="AC201" s="72">
        <f ca="1">mult_opex * var_mcf*F201</f>
        <v>0</v>
      </c>
      <c r="AD201" s="72">
        <f ca="1">mult_opex * var_bw * G201</f>
        <v>1.3376396992012387</v>
      </c>
      <c r="AE201" s="72">
        <f ca="1">SUM(AB201:AD201)*WI_current_1</f>
        <v>1.3376396992012387</v>
      </c>
      <c r="AF201" s="73">
        <f ca="1">mult_capex * IFERROR(OFFSET(assumptions!$F$39,MATCH(B201,assumptions!$E$39:$E$45,0)-1,0),0)</f>
        <v>0</v>
      </c>
      <c r="AG201" s="75">
        <f ca="1">mult_capex * capex_new*WI_current_1 *'forecast production'!I202</f>
        <v>0</v>
      </c>
      <c r="AH201" s="146">
        <f t="shared" ca="1" si="95"/>
        <v>0</v>
      </c>
      <c r="AI201" s="73">
        <f t="shared" ca="1" si="88"/>
        <v>469.24986342628301</v>
      </c>
      <c r="AJ201" s="72">
        <f t="shared" ca="1" si="89"/>
        <v>206.12202560467182</v>
      </c>
      <c r="AK201" s="72">
        <f t="shared" ca="1" si="96"/>
        <v>675.37188903095489</v>
      </c>
      <c r="AL201" s="73">
        <f t="shared" ca="1" si="90"/>
        <v>1568.1714954567169</v>
      </c>
      <c r="AM201" s="132">
        <f ca="1">IF(X201*(lease_NRI/J201)  - (Z201+Y201+AB201+AC201+AD201)  - (AK201)*(lease_NRI/J201)&gt;0,1,0)</f>
        <v>1</v>
      </c>
      <c r="AN201" s="73">
        <f t="shared" ca="1" si="97"/>
        <v>1568.1714954567169</v>
      </c>
      <c r="AO201" s="75">
        <f t="shared" ca="1" si="102"/>
        <v>2297856.5327825048</v>
      </c>
      <c r="AP201" s="72">
        <f ca="1">AL201  /  ( 1 + disc_1/12)^(COUNT($AL$6:AL201)-1)</f>
        <v>310.87752308512324</v>
      </c>
      <c r="AQ201" s="72">
        <f t="shared" ca="1" si="103"/>
        <v>1557902.0651987935</v>
      </c>
      <c r="AS201" s="303">
        <f t="shared" ca="1" si="98"/>
        <v>1</v>
      </c>
      <c r="AT201" s="300">
        <f ca="1">IFERROR(IRR($AN$6:AN201)*12,0)</f>
        <v>0</v>
      </c>
      <c r="AU201" s="297">
        <f t="shared" ca="1" si="99"/>
        <v>0</v>
      </c>
      <c r="AV201" s="303">
        <f t="shared" ca="1" si="100"/>
        <v>0</v>
      </c>
    </row>
    <row r="202" spans="2:48" x14ac:dyDescent="0.25">
      <c r="B202" s="43">
        <f t="shared" si="101"/>
        <v>50161</v>
      </c>
      <c r="C202" s="79">
        <f t="shared" si="91"/>
        <v>2037</v>
      </c>
      <c r="D202" s="64">
        <f ca="1">wellcount_base  +  SUM('forecast production'!I$7:I203)</f>
        <v>1</v>
      </c>
      <c r="E202" s="110">
        <f ca="1">'forecast production'!AE203</f>
        <v>134.02024214244017</v>
      </c>
      <c r="F202" s="98">
        <f ca="1">'forecast production'!AF203</f>
        <v>843.00331526301227</v>
      </c>
      <c r="G202" s="98">
        <f ca="1">'forecast production'!AG203</f>
        <v>0.66796818041612616</v>
      </c>
      <c r="H202" s="98">
        <f ca="1">'forecast production'!AH203</f>
        <v>126.45049728945183</v>
      </c>
      <c r="I202" s="307">
        <f t="shared" ca="1" si="92"/>
        <v>1</v>
      </c>
      <c r="J202" s="306">
        <f t="shared" ca="1" si="93"/>
        <v>0.75</v>
      </c>
      <c r="K202" s="112">
        <f t="shared" ca="1" si="78"/>
        <v>100.51518160683013</v>
      </c>
      <c r="L202" s="98">
        <f t="shared" ca="1" si="79"/>
        <v>474.18936483544439</v>
      </c>
      <c r="M202" s="98">
        <f t="shared" ca="1" si="80"/>
        <v>0.50097613531209462</v>
      </c>
      <c r="N202" s="98">
        <f t="shared" ca="1" si="81"/>
        <v>94.83787296708887</v>
      </c>
      <c r="O202" s="67">
        <f>assumptions!M206</f>
        <v>55</v>
      </c>
      <c r="P202" s="68">
        <f>assumptions!N206</f>
        <v>3</v>
      </c>
      <c r="Q202" s="68">
        <f>assumptions!O206</f>
        <v>22</v>
      </c>
      <c r="R202" s="67">
        <f t="shared" si="82"/>
        <v>52.5</v>
      </c>
      <c r="S202" s="68">
        <f t="shared" si="83"/>
        <v>2.3275000000000001</v>
      </c>
      <c r="T202" s="68">
        <f t="shared" si="84"/>
        <v>22</v>
      </c>
      <c r="U202" s="73">
        <f t="shared" ca="1" si="85"/>
        <v>5277.0470343585812</v>
      </c>
      <c r="V202" s="72">
        <f t="shared" ca="1" si="86"/>
        <v>1103.6757466544968</v>
      </c>
      <c r="W202" s="72">
        <f t="shared" ca="1" si="87"/>
        <v>2086.4332052759551</v>
      </c>
      <c r="X202" s="72">
        <f t="shared" ca="1" si="94"/>
        <v>8467.1559862890335</v>
      </c>
      <c r="Y202" s="73">
        <f>mult_opex * fixed_month</f>
        <v>1000</v>
      </c>
      <c r="Z202" s="72">
        <f ca="1">mult_opex * fixed_well *D202</f>
        <v>5000</v>
      </c>
      <c r="AA202" s="72">
        <f ca="1">(Z202+Y202)*WI_current_1</f>
        <v>6000</v>
      </c>
      <c r="AB202" s="72">
        <f ca="1">mult_opex * var_bo*E202</f>
        <v>0</v>
      </c>
      <c r="AC202" s="72">
        <f ca="1">mult_opex * var_mcf*F202</f>
        <v>0</v>
      </c>
      <c r="AD202" s="72">
        <f ca="1">mult_opex * var_bw * G202</f>
        <v>1.3359363608322523</v>
      </c>
      <c r="AE202" s="72">
        <f ca="1">SUM(AB202:AD202)*WI_current_1</f>
        <v>1.3359363608322523</v>
      </c>
      <c r="AF202" s="73">
        <f ca="1">mult_capex * IFERROR(OFFSET(assumptions!$F$39,MATCH(B202,assumptions!$E$39:$E$45,0)-1,0),0)</f>
        <v>0</v>
      </c>
      <c r="AG202" s="75">
        <f ca="1">mult_capex * capex_new*WI_current_1 *'forecast production'!I203</f>
        <v>0</v>
      </c>
      <c r="AH202" s="146">
        <f t="shared" ca="1" si="95"/>
        <v>0</v>
      </c>
      <c r="AI202" s="73">
        <f t="shared" ca="1" si="88"/>
        <v>482.00233497527864</v>
      </c>
      <c r="AJ202" s="72">
        <f t="shared" ca="1" si="89"/>
        <v>211.67889965722586</v>
      </c>
      <c r="AK202" s="72">
        <f t="shared" ca="1" si="96"/>
        <v>693.68123463250447</v>
      </c>
      <c r="AL202" s="73">
        <f t="shared" ca="1" si="90"/>
        <v>1772.138815295697</v>
      </c>
      <c r="AM202" s="132">
        <f ca="1">IF(X202*(lease_NRI/J202)  - (Z202+Y202+AB202+AC202+AD202)  - (AK202)*(lease_NRI/J202)&gt;0,1,0)</f>
        <v>1</v>
      </c>
      <c r="AN202" s="73">
        <f t="shared" ca="1" si="97"/>
        <v>1772.138815295697</v>
      </c>
      <c r="AO202" s="75">
        <f t="shared" ca="1" si="102"/>
        <v>2299628.6715978007</v>
      </c>
      <c r="AP202" s="72">
        <f ca="1">AL202  /  ( 1 + disc_1/12)^(COUNT($AL$6:AL202)-1)</f>
        <v>348.40901309956257</v>
      </c>
      <c r="AQ202" s="72">
        <f t="shared" ca="1" si="103"/>
        <v>1558250.474211893</v>
      </c>
      <c r="AS202" s="303">
        <f t="shared" ca="1" si="98"/>
        <v>1</v>
      </c>
      <c r="AT202" s="300">
        <f ca="1">IFERROR(IRR($AN$6:AN202)*12,0)</f>
        <v>0</v>
      </c>
      <c r="AU202" s="297">
        <f t="shared" ca="1" si="99"/>
        <v>0</v>
      </c>
      <c r="AV202" s="303">
        <f t="shared" ca="1" si="100"/>
        <v>0</v>
      </c>
    </row>
    <row r="203" spans="2:48" x14ac:dyDescent="0.25">
      <c r="B203" s="43">
        <f t="shared" si="101"/>
        <v>50192</v>
      </c>
      <c r="C203" s="79">
        <f t="shared" si="91"/>
        <v>2037</v>
      </c>
      <c r="D203" s="64">
        <f ca="1">wellcount_base  +  SUM('forecast production'!I$7:I204)</f>
        <v>1</v>
      </c>
      <c r="E203" s="110">
        <f ca="1">'forecast production'!AE204</f>
        <v>128.78177443103675</v>
      </c>
      <c r="F203" s="98">
        <f ca="1">'forecast production'!AF204</f>
        <v>811.53368577048445</v>
      </c>
      <c r="G203" s="98">
        <f ca="1">'forecast production'!AG204</f>
        <v>0.62406673933797474</v>
      </c>
      <c r="H203" s="98">
        <f ca="1">'forecast production'!AH204</f>
        <v>121.73005286557267</v>
      </c>
      <c r="I203" s="307">
        <f t="shared" ca="1" si="92"/>
        <v>1</v>
      </c>
      <c r="J203" s="306">
        <f t="shared" ca="1" si="93"/>
        <v>0.75</v>
      </c>
      <c r="K203" s="112">
        <f t="shared" ca="1" si="78"/>
        <v>96.586330823277564</v>
      </c>
      <c r="L203" s="98">
        <f t="shared" ca="1" si="79"/>
        <v>456.48769824589755</v>
      </c>
      <c r="M203" s="98">
        <f t="shared" ca="1" si="80"/>
        <v>0.46805005450348103</v>
      </c>
      <c r="N203" s="98">
        <f t="shared" ca="1" si="81"/>
        <v>91.297539649179498</v>
      </c>
      <c r="O203" s="67">
        <f>assumptions!M207</f>
        <v>55</v>
      </c>
      <c r="P203" s="68">
        <f>assumptions!N207</f>
        <v>3</v>
      </c>
      <c r="Q203" s="68">
        <f>assumptions!O207</f>
        <v>22</v>
      </c>
      <c r="R203" s="67">
        <f t="shared" si="82"/>
        <v>52.5</v>
      </c>
      <c r="S203" s="68">
        <f t="shared" si="83"/>
        <v>2.3275000000000001</v>
      </c>
      <c r="T203" s="68">
        <f t="shared" si="84"/>
        <v>22</v>
      </c>
      <c r="U203" s="73">
        <f t="shared" ca="1" si="85"/>
        <v>5070.7823682220724</v>
      </c>
      <c r="V203" s="72">
        <f t="shared" ca="1" si="86"/>
        <v>1062.4751176673267</v>
      </c>
      <c r="W203" s="72">
        <f t="shared" ca="1" si="87"/>
        <v>2008.545872281949</v>
      </c>
      <c r="X203" s="72">
        <f t="shared" ca="1" si="94"/>
        <v>8141.803358171348</v>
      </c>
      <c r="Y203" s="73">
        <f>mult_opex * fixed_month</f>
        <v>1000</v>
      </c>
      <c r="Z203" s="72">
        <f ca="1">mult_opex * fixed_well *D203</f>
        <v>5000</v>
      </c>
      <c r="AA203" s="72">
        <f ca="1">(Z203+Y203)*WI_current_1</f>
        <v>6000</v>
      </c>
      <c r="AB203" s="72">
        <f ca="1">mult_opex * var_bo*E203</f>
        <v>0</v>
      </c>
      <c r="AC203" s="72">
        <f ca="1">mult_opex * var_mcf*F203</f>
        <v>0</v>
      </c>
      <c r="AD203" s="72">
        <f ca="1">mult_opex * var_bw * G203</f>
        <v>1.2481334786759495</v>
      </c>
      <c r="AE203" s="72">
        <f ca="1">SUM(AB203:AD203)*WI_current_1</f>
        <v>1.2481334786759495</v>
      </c>
      <c r="AF203" s="73">
        <f ca="1">mult_capex * IFERROR(OFFSET(assumptions!$F$39,MATCH(B203,assumptions!$E$39:$E$45,0)-1,0),0)</f>
        <v>0</v>
      </c>
      <c r="AG203" s="75">
        <f ca="1">mult_capex * capex_new*WI_current_1 *'forecast production'!I204</f>
        <v>0</v>
      </c>
      <c r="AH203" s="146">
        <f t="shared" ca="1" si="95"/>
        <v>0</v>
      </c>
      <c r="AI203" s="73">
        <f t="shared" ca="1" si="88"/>
        <v>463.58256318441101</v>
      </c>
      <c r="AJ203" s="72">
        <f t="shared" ca="1" si="89"/>
        <v>203.54508395428371</v>
      </c>
      <c r="AK203" s="72">
        <f t="shared" ca="1" si="96"/>
        <v>667.12764713869478</v>
      </c>
      <c r="AL203" s="73">
        <f t="shared" ca="1" si="90"/>
        <v>1473.4275775539772</v>
      </c>
      <c r="AM203" s="132">
        <f ca="1">IF(X203*(lease_NRI/J203)  - (Z203+Y203+AB203+AC203+AD203)  - (AK203)*(lease_NRI/J203)&gt;0,1,0)</f>
        <v>1</v>
      </c>
      <c r="AN203" s="73">
        <f t="shared" ca="1" si="97"/>
        <v>1473.4275775539772</v>
      </c>
      <c r="AO203" s="75">
        <f t="shared" ca="1" si="102"/>
        <v>2301102.0991753545</v>
      </c>
      <c r="AP203" s="72">
        <f ca="1">AL203  /  ( 1 + disc_1/12)^(COUNT($AL$6:AL203)-1)</f>
        <v>287.28722420915267</v>
      </c>
      <c r="AQ203" s="72">
        <f t="shared" ca="1" si="103"/>
        <v>1558537.7614361022</v>
      </c>
      <c r="AS203" s="303">
        <f t="shared" ca="1" si="98"/>
        <v>1</v>
      </c>
      <c r="AT203" s="300">
        <f ca="1">IFERROR(IRR($AN$6:AN203)*12,0)</f>
        <v>0</v>
      </c>
      <c r="AU203" s="297">
        <f t="shared" ca="1" si="99"/>
        <v>0</v>
      </c>
      <c r="AV203" s="303">
        <f t="shared" ca="1" si="100"/>
        <v>0</v>
      </c>
    </row>
    <row r="204" spans="2:48" x14ac:dyDescent="0.25">
      <c r="B204" s="43">
        <f t="shared" si="101"/>
        <v>50222</v>
      </c>
      <c r="C204" s="79">
        <f t="shared" si="91"/>
        <v>2037</v>
      </c>
      <c r="D204" s="64">
        <f ca="1">wellcount_base  +  SUM('forecast production'!I$7:I205)</f>
        <v>1</v>
      </c>
      <c r="E204" s="110">
        <f ca="1">'forecast production'!AE205</f>
        <v>132.16562100552082</v>
      </c>
      <c r="F204" s="98">
        <f ca="1">'forecast production'!AF205</f>
        <v>834.33088626348956</v>
      </c>
      <c r="G204" s="98">
        <f ca="1">'forecast production'!AG205</f>
        <v>0.6232794085821548</v>
      </c>
      <c r="H204" s="98">
        <f ca="1">'forecast production'!AH205</f>
        <v>125.14963293952343</v>
      </c>
      <c r="I204" s="307">
        <f t="shared" ca="1" si="92"/>
        <v>1</v>
      </c>
      <c r="J204" s="306">
        <f t="shared" ca="1" si="93"/>
        <v>0.75</v>
      </c>
      <c r="K204" s="112">
        <f t="shared" ca="1" si="78"/>
        <v>99.124215754140607</v>
      </c>
      <c r="L204" s="98">
        <f t="shared" ca="1" si="79"/>
        <v>469.31112352321293</v>
      </c>
      <c r="M204" s="98">
        <f t="shared" ca="1" si="80"/>
        <v>0.46745955643661607</v>
      </c>
      <c r="N204" s="98">
        <f t="shared" ca="1" si="81"/>
        <v>93.862224704642571</v>
      </c>
      <c r="O204" s="67">
        <f>assumptions!M208</f>
        <v>55</v>
      </c>
      <c r="P204" s="68">
        <f>assumptions!N208</f>
        <v>3</v>
      </c>
      <c r="Q204" s="68">
        <f>assumptions!O208</f>
        <v>22</v>
      </c>
      <c r="R204" s="67">
        <f t="shared" si="82"/>
        <v>52.5</v>
      </c>
      <c r="S204" s="68">
        <f t="shared" si="83"/>
        <v>2.3275000000000001</v>
      </c>
      <c r="T204" s="68">
        <f t="shared" si="84"/>
        <v>22</v>
      </c>
      <c r="U204" s="73">
        <f t="shared" ca="1" si="85"/>
        <v>5204.0213270923823</v>
      </c>
      <c r="V204" s="72">
        <f t="shared" ca="1" si="86"/>
        <v>1092.3216400002782</v>
      </c>
      <c r="W204" s="72">
        <f t="shared" ca="1" si="87"/>
        <v>2064.9689435021364</v>
      </c>
      <c r="X204" s="72">
        <f t="shared" ca="1" si="94"/>
        <v>8361.3119105947972</v>
      </c>
      <c r="Y204" s="73">
        <f>mult_opex * fixed_month</f>
        <v>1000</v>
      </c>
      <c r="Z204" s="72">
        <f ca="1">mult_opex * fixed_well *D204</f>
        <v>5000</v>
      </c>
      <c r="AA204" s="72">
        <f ca="1">(Z204+Y204)*WI_current_1</f>
        <v>6000</v>
      </c>
      <c r="AB204" s="72">
        <f ca="1">mult_opex * var_bo*E204</f>
        <v>0</v>
      </c>
      <c r="AC204" s="72">
        <f ca="1">mult_opex * var_mcf*F204</f>
        <v>0</v>
      </c>
      <c r="AD204" s="72">
        <f ca="1">mult_opex * var_bw * G204</f>
        <v>1.2465588171643096</v>
      </c>
      <c r="AE204" s="72">
        <f ca="1">SUM(AB204:AD204)*WI_current_1</f>
        <v>1.2465588171643096</v>
      </c>
      <c r="AF204" s="73">
        <f ca="1">mult_capex * IFERROR(OFFSET(assumptions!$F$39,MATCH(B204,assumptions!$E$39:$E$45,0)-1,0),0)</f>
        <v>0</v>
      </c>
      <c r="AG204" s="75">
        <f ca="1">mult_capex * capex_new*WI_current_1 *'forecast production'!I205</f>
        <v>0</v>
      </c>
      <c r="AH204" s="146">
        <f t="shared" ca="1" si="95"/>
        <v>0</v>
      </c>
      <c r="AI204" s="73">
        <f t="shared" ca="1" si="88"/>
        <v>476.18177480893064</v>
      </c>
      <c r="AJ204" s="72">
        <f t="shared" ca="1" si="89"/>
        <v>209.03279776486994</v>
      </c>
      <c r="AK204" s="72">
        <f t="shared" ca="1" si="96"/>
        <v>685.21457257380052</v>
      </c>
      <c r="AL204" s="73">
        <f t="shared" ca="1" si="90"/>
        <v>1674.8507792038326</v>
      </c>
      <c r="AM204" s="132">
        <f ca="1">IF(X204*(lease_NRI/J204)  - (Z204+Y204+AB204+AC204+AD204)  - (AK204)*(lease_NRI/J204)&gt;0,1,0)</f>
        <v>1</v>
      </c>
      <c r="AN204" s="73">
        <f t="shared" ca="1" si="97"/>
        <v>1674.8507792038326</v>
      </c>
      <c r="AO204" s="75">
        <f t="shared" ca="1" si="102"/>
        <v>2302776.9499545582</v>
      </c>
      <c r="AP204" s="72">
        <f ca="1">AL204  /  ( 1 + disc_1/12)^(COUNT($AL$6:AL204)-1)</f>
        <v>323.86164271705712</v>
      </c>
      <c r="AQ204" s="72">
        <f t="shared" ca="1" si="103"/>
        <v>1558861.6230788194</v>
      </c>
      <c r="AS204" s="303">
        <f t="shared" ca="1" si="98"/>
        <v>1</v>
      </c>
      <c r="AT204" s="300">
        <f ca="1">IFERROR(IRR($AN$6:AN204)*12,0)</f>
        <v>0</v>
      </c>
      <c r="AU204" s="297">
        <f t="shared" ca="1" si="99"/>
        <v>0</v>
      </c>
      <c r="AV204" s="303">
        <f t="shared" ca="1" si="100"/>
        <v>0</v>
      </c>
    </row>
    <row r="205" spans="2:48" x14ac:dyDescent="0.25">
      <c r="B205" s="43">
        <f t="shared" si="101"/>
        <v>50253</v>
      </c>
      <c r="C205" s="79">
        <f t="shared" si="91"/>
        <v>2037</v>
      </c>
      <c r="D205" s="64">
        <f ca="1">wellcount_base  +  SUM('forecast production'!I$7:I206)</f>
        <v>1</v>
      </c>
      <c r="E205" s="110">
        <f ca="1">'forecast production'!AE206</f>
        <v>131.23296663081982</v>
      </c>
      <c r="F205" s="98">
        <f ca="1">'forecast production'!AF206</f>
        <v>829.95783518675853</v>
      </c>
      <c r="G205" s="98">
        <f ca="1">'forecast production'!AG206</f>
        <v>0.60173291866008161</v>
      </c>
      <c r="H205" s="98">
        <f ca="1">'forecast production'!AH206</f>
        <v>124.49367527801378</v>
      </c>
      <c r="I205" s="307">
        <f t="shared" ca="1" si="92"/>
        <v>1</v>
      </c>
      <c r="J205" s="306">
        <f t="shared" ca="1" si="93"/>
        <v>0.75</v>
      </c>
      <c r="K205" s="112">
        <f t="shared" ca="1" si="78"/>
        <v>98.424724973114863</v>
      </c>
      <c r="L205" s="98">
        <f t="shared" ca="1" si="79"/>
        <v>466.85128229255167</v>
      </c>
      <c r="M205" s="98">
        <f t="shared" ca="1" si="80"/>
        <v>0.45129968899506123</v>
      </c>
      <c r="N205" s="98">
        <f t="shared" ca="1" si="81"/>
        <v>93.37025645851034</v>
      </c>
      <c r="O205" s="67">
        <f>assumptions!M209</f>
        <v>55</v>
      </c>
      <c r="P205" s="68">
        <f>assumptions!N209</f>
        <v>3</v>
      </c>
      <c r="Q205" s="68">
        <f>assumptions!O209</f>
        <v>22</v>
      </c>
      <c r="R205" s="67">
        <f t="shared" si="82"/>
        <v>52.5</v>
      </c>
      <c r="S205" s="68">
        <f t="shared" si="83"/>
        <v>2.3275000000000001</v>
      </c>
      <c r="T205" s="68">
        <f t="shared" si="84"/>
        <v>22</v>
      </c>
      <c r="U205" s="73">
        <f t="shared" ca="1" si="85"/>
        <v>5167.2980610885306</v>
      </c>
      <c r="V205" s="72">
        <f t="shared" ca="1" si="86"/>
        <v>1086.5963595359142</v>
      </c>
      <c r="W205" s="72">
        <f t="shared" ca="1" si="87"/>
        <v>2054.1456420872273</v>
      </c>
      <c r="X205" s="72">
        <f t="shared" ca="1" si="94"/>
        <v>8308.0400627116724</v>
      </c>
      <c r="Y205" s="73">
        <f>mult_opex * fixed_month</f>
        <v>1000</v>
      </c>
      <c r="Z205" s="72">
        <f ca="1">mult_opex * fixed_well *D205</f>
        <v>5000</v>
      </c>
      <c r="AA205" s="72">
        <f ca="1">(Z205+Y205)*WI_current_1</f>
        <v>6000</v>
      </c>
      <c r="AB205" s="72">
        <f ca="1">mult_opex * var_bo*E205</f>
        <v>0</v>
      </c>
      <c r="AC205" s="72">
        <f ca="1">mult_opex * var_mcf*F205</f>
        <v>0</v>
      </c>
      <c r="AD205" s="72">
        <f ca="1">mult_opex * var_bw * G205</f>
        <v>1.2034658373201632</v>
      </c>
      <c r="AE205" s="72">
        <f ca="1">SUM(AB205:AD205)*WI_current_1</f>
        <v>1.2034658373201632</v>
      </c>
      <c r="AF205" s="73">
        <f ca="1">mult_capex * IFERROR(OFFSET(assumptions!$F$39,MATCH(B205,assumptions!$E$39:$E$45,0)-1,0),0)</f>
        <v>0</v>
      </c>
      <c r="AG205" s="75">
        <f ca="1">mult_capex * capex_new*WI_current_1 *'forecast production'!I206</f>
        <v>0</v>
      </c>
      <c r="AH205" s="146">
        <f t="shared" ca="1" si="95"/>
        <v>0</v>
      </c>
      <c r="AI205" s="73">
        <f t="shared" ca="1" si="88"/>
        <v>473.25136093180799</v>
      </c>
      <c r="AJ205" s="72">
        <f t="shared" ca="1" si="89"/>
        <v>207.70100156779182</v>
      </c>
      <c r="AK205" s="72">
        <f t="shared" ca="1" si="96"/>
        <v>680.95236249959976</v>
      </c>
      <c r="AL205" s="73">
        <f t="shared" ca="1" si="90"/>
        <v>1625.8842343747529</v>
      </c>
      <c r="AM205" s="132">
        <f ca="1">IF(X205*(lease_NRI/J205)  - (Z205+Y205+AB205+AC205+AD205)  - (AK205)*(lease_NRI/J205)&gt;0,1,0)</f>
        <v>1</v>
      </c>
      <c r="AN205" s="73">
        <f t="shared" ca="1" si="97"/>
        <v>1625.8842343747529</v>
      </c>
      <c r="AO205" s="75">
        <f t="shared" ca="1" si="102"/>
        <v>2304402.834188933</v>
      </c>
      <c r="AP205" s="72">
        <f ca="1">AL205  /  ( 1 + disc_1/12)^(COUNT($AL$6:AL205)-1)</f>
        <v>311.79481613538877</v>
      </c>
      <c r="AQ205" s="72">
        <f t="shared" ca="1" si="103"/>
        <v>1559173.4178949548</v>
      </c>
      <c r="AS205" s="303">
        <f t="shared" ca="1" si="98"/>
        <v>1</v>
      </c>
      <c r="AT205" s="300">
        <f ca="1">IFERROR(IRR($AN$6:AN205)*12,0)</f>
        <v>0</v>
      </c>
      <c r="AU205" s="297">
        <f t="shared" ca="1" si="99"/>
        <v>0</v>
      </c>
      <c r="AV205" s="303">
        <f t="shared" ca="1" si="100"/>
        <v>0</v>
      </c>
    </row>
    <row r="206" spans="2:48" x14ac:dyDescent="0.25">
      <c r="B206" s="43">
        <f t="shared" si="101"/>
        <v>50284</v>
      </c>
      <c r="C206" s="79">
        <f t="shared" si="91"/>
        <v>2037</v>
      </c>
      <c r="D206" s="64">
        <f ca="1">wellcount_base  +  SUM('forecast production'!I$7:I207)</f>
        <v>1</v>
      </c>
      <c r="E206" s="110">
        <f ca="1">'forecast production'!AE207</f>
        <v>126.10344554223248</v>
      </c>
      <c r="F206" s="98">
        <f ca="1">'forecast production'!AF207</f>
        <v>798.97519835145863</v>
      </c>
      <c r="G206" s="98">
        <f ca="1">'forecast production'!AG207</f>
        <v>0.56219504106394225</v>
      </c>
      <c r="H206" s="98">
        <f ca="1">'forecast production'!AH207</f>
        <v>119.8462797527188</v>
      </c>
      <c r="I206" s="307">
        <f t="shared" ca="1" si="92"/>
        <v>1</v>
      </c>
      <c r="J206" s="306">
        <f t="shared" ca="1" si="93"/>
        <v>0.75</v>
      </c>
      <c r="K206" s="112">
        <f t="shared" ca="1" si="78"/>
        <v>94.577584156674362</v>
      </c>
      <c r="L206" s="98">
        <f t="shared" ca="1" si="79"/>
        <v>449.42354907269544</v>
      </c>
      <c r="M206" s="98">
        <f t="shared" ca="1" si="80"/>
        <v>0.42164628079795669</v>
      </c>
      <c r="N206" s="98">
        <f t="shared" ca="1" si="81"/>
        <v>89.884709814539093</v>
      </c>
      <c r="O206" s="67">
        <f>assumptions!M210</f>
        <v>55</v>
      </c>
      <c r="P206" s="68">
        <f>assumptions!N210</f>
        <v>3</v>
      </c>
      <c r="Q206" s="68">
        <f>assumptions!O210</f>
        <v>22</v>
      </c>
      <c r="R206" s="67">
        <f t="shared" si="82"/>
        <v>52.5</v>
      </c>
      <c r="S206" s="68">
        <f t="shared" si="83"/>
        <v>2.3275000000000001</v>
      </c>
      <c r="T206" s="68">
        <f t="shared" si="84"/>
        <v>22</v>
      </c>
      <c r="U206" s="73">
        <f t="shared" ca="1" si="85"/>
        <v>4965.3231682254036</v>
      </c>
      <c r="V206" s="72">
        <f t="shared" ca="1" si="86"/>
        <v>1046.0333104666986</v>
      </c>
      <c r="W206" s="72">
        <f t="shared" ca="1" si="87"/>
        <v>1977.4636159198601</v>
      </c>
      <c r="X206" s="72">
        <f t="shared" ca="1" si="94"/>
        <v>7988.8200946119623</v>
      </c>
      <c r="Y206" s="73">
        <f>mult_opex * fixed_month</f>
        <v>1000</v>
      </c>
      <c r="Z206" s="72">
        <f ca="1">mult_opex * fixed_well *D206</f>
        <v>5000</v>
      </c>
      <c r="AA206" s="72">
        <f ca="1">(Z206+Y206)*WI_current_1</f>
        <v>6000</v>
      </c>
      <c r="AB206" s="72">
        <f ca="1">mult_opex * var_bo*E206</f>
        <v>0</v>
      </c>
      <c r="AC206" s="72">
        <f ca="1">mult_opex * var_mcf*F206</f>
        <v>0</v>
      </c>
      <c r="AD206" s="72">
        <f ca="1">mult_opex * var_bw * G206</f>
        <v>1.1243900821278845</v>
      </c>
      <c r="AE206" s="72">
        <f ca="1">SUM(AB206:AD206)*WI_current_1</f>
        <v>1.1243900821278845</v>
      </c>
      <c r="AF206" s="73">
        <f ca="1">mult_capex * IFERROR(OFFSET(assumptions!$F$39,MATCH(B206,assumptions!$E$39:$E$45,0)-1,0),0)</f>
        <v>0</v>
      </c>
      <c r="AG206" s="75">
        <f ca="1">mult_capex * capex_new*WI_current_1 *'forecast production'!I207</f>
        <v>0</v>
      </c>
      <c r="AH206" s="146">
        <f t="shared" ca="1" si="95"/>
        <v>0</v>
      </c>
      <c r="AI206" s="73">
        <f t="shared" ca="1" si="88"/>
        <v>455.16713521736045</v>
      </c>
      <c r="AJ206" s="72">
        <f t="shared" ca="1" si="89"/>
        <v>199.72050236529907</v>
      </c>
      <c r="AK206" s="72">
        <f t="shared" ca="1" si="96"/>
        <v>654.88763758265952</v>
      </c>
      <c r="AL206" s="73">
        <f t="shared" ca="1" si="90"/>
        <v>1332.8080669471747</v>
      </c>
      <c r="AM206" s="132">
        <f ca="1">IF(X206*(lease_NRI/J206)  - (Z206+Y206+AB206+AC206+AD206)  - (AK206)*(lease_NRI/J206)&gt;0,1,0)</f>
        <v>1</v>
      </c>
      <c r="AN206" s="73">
        <f t="shared" ca="1" si="97"/>
        <v>1332.8080669471747</v>
      </c>
      <c r="AO206" s="75">
        <f t="shared" ca="1" si="102"/>
        <v>2305735.6422558804</v>
      </c>
      <c r="AP206" s="72">
        <f ca="1">AL206  /  ( 1 + disc_1/12)^(COUNT($AL$6:AL206)-1)</f>
        <v>253.47945162991218</v>
      </c>
      <c r="AQ206" s="72">
        <f t="shared" ca="1" si="103"/>
        <v>1559426.8973465846</v>
      </c>
      <c r="AS206" s="303">
        <f t="shared" ca="1" si="98"/>
        <v>1</v>
      </c>
      <c r="AT206" s="300">
        <f ca="1">IFERROR(IRR($AN$6:AN206)*12,0)</f>
        <v>0</v>
      </c>
      <c r="AU206" s="297">
        <f t="shared" ca="1" si="99"/>
        <v>0</v>
      </c>
      <c r="AV206" s="303">
        <f t="shared" ca="1" si="100"/>
        <v>0</v>
      </c>
    </row>
    <row r="207" spans="2:48" x14ac:dyDescent="0.25">
      <c r="B207" s="43">
        <f t="shared" si="101"/>
        <v>50314</v>
      </c>
      <c r="C207" s="79">
        <f t="shared" si="91"/>
        <v>2037</v>
      </c>
      <c r="D207" s="64">
        <f ca="1">wellcount_base  +  SUM('forecast production'!I$7:I208)</f>
        <v>1</v>
      </c>
      <c r="E207" s="110">
        <f ca="1">'forecast production'!AE208</f>
        <v>129.41691683204783</v>
      </c>
      <c r="F207" s="98">
        <f ca="1">'forecast production'!AF208</f>
        <v>821.4196120648138</v>
      </c>
      <c r="G207" s="98">
        <f ca="1">'forecast production'!AG208</f>
        <v>0.56149574645528</v>
      </c>
      <c r="H207" s="98">
        <f ca="1">'forecast production'!AH208</f>
        <v>123.21294180972205</v>
      </c>
      <c r="I207" s="307">
        <f t="shared" ca="1" si="92"/>
        <v>1</v>
      </c>
      <c r="J207" s="306">
        <f t="shared" ca="1" si="93"/>
        <v>0.75</v>
      </c>
      <c r="K207" s="112">
        <f t="shared" ca="1" si="78"/>
        <v>97.062687624035874</v>
      </c>
      <c r="L207" s="98">
        <f t="shared" ca="1" si="79"/>
        <v>462.04853178645772</v>
      </c>
      <c r="M207" s="98">
        <f t="shared" ca="1" si="80"/>
        <v>0.42112180984145997</v>
      </c>
      <c r="N207" s="98">
        <f t="shared" ca="1" si="81"/>
        <v>92.40970635729154</v>
      </c>
      <c r="O207" s="67">
        <f>assumptions!M211</f>
        <v>55</v>
      </c>
      <c r="P207" s="68">
        <f>assumptions!N211</f>
        <v>3</v>
      </c>
      <c r="Q207" s="68">
        <f>assumptions!O211</f>
        <v>22</v>
      </c>
      <c r="R207" s="67">
        <f t="shared" si="82"/>
        <v>52.5</v>
      </c>
      <c r="S207" s="68">
        <f t="shared" si="83"/>
        <v>2.3275000000000001</v>
      </c>
      <c r="T207" s="68">
        <f t="shared" si="84"/>
        <v>22</v>
      </c>
      <c r="U207" s="73">
        <f t="shared" ca="1" si="85"/>
        <v>5095.791100261883</v>
      </c>
      <c r="V207" s="72">
        <f t="shared" ca="1" si="86"/>
        <v>1075.4179577329803</v>
      </c>
      <c r="W207" s="72">
        <f t="shared" ca="1" si="87"/>
        <v>2033.0135398604139</v>
      </c>
      <c r="X207" s="72">
        <f t="shared" ca="1" si="94"/>
        <v>8204.2225978552779</v>
      </c>
      <c r="Y207" s="73">
        <f>mult_opex * fixed_month</f>
        <v>1000</v>
      </c>
      <c r="Z207" s="72">
        <f ca="1">mult_opex * fixed_well *D207</f>
        <v>5000</v>
      </c>
      <c r="AA207" s="72">
        <f ca="1">(Z207+Y207)*WI_current_1</f>
        <v>6000</v>
      </c>
      <c r="AB207" s="72">
        <f ca="1">mult_opex * var_bo*E207</f>
        <v>0</v>
      </c>
      <c r="AC207" s="72">
        <f ca="1">mult_opex * var_mcf*F207</f>
        <v>0</v>
      </c>
      <c r="AD207" s="72">
        <f ca="1">mult_opex * var_bw * G207</f>
        <v>1.12299149291056</v>
      </c>
      <c r="AE207" s="72">
        <f ca="1">SUM(AB207:AD207)*WI_current_1</f>
        <v>1.12299149291056</v>
      </c>
      <c r="AF207" s="73">
        <f ca="1">mult_capex * IFERROR(OFFSET(assumptions!$F$39,MATCH(B207,assumptions!$E$39:$E$45,0)-1,0),0)</f>
        <v>0</v>
      </c>
      <c r="AG207" s="75">
        <f ca="1">mult_capex * capex_new*WI_current_1 *'forecast production'!I208</f>
        <v>0</v>
      </c>
      <c r="AH207" s="146">
        <f t="shared" ca="1" si="95"/>
        <v>0</v>
      </c>
      <c r="AI207" s="73">
        <f t="shared" ca="1" si="88"/>
        <v>467.53875293155113</v>
      </c>
      <c r="AJ207" s="72">
        <f t="shared" ca="1" si="89"/>
        <v>205.10556494638195</v>
      </c>
      <c r="AK207" s="72">
        <f t="shared" ca="1" si="96"/>
        <v>672.64431787793308</v>
      </c>
      <c r="AL207" s="73">
        <f t="shared" ca="1" si="90"/>
        <v>1530.4552884844352</v>
      </c>
      <c r="AM207" s="132">
        <f ca="1">IF(X207*(lease_NRI/J207)  - (Z207+Y207+AB207+AC207+AD207)  - (AK207)*(lease_NRI/J207)&gt;0,1,0)</f>
        <v>1</v>
      </c>
      <c r="AN207" s="73">
        <f t="shared" ca="1" si="97"/>
        <v>1530.4552884844352</v>
      </c>
      <c r="AO207" s="75">
        <f t="shared" ca="1" si="102"/>
        <v>2307266.0975443646</v>
      </c>
      <c r="AP207" s="72">
        <f ca="1">AL207  /  ( 1 + disc_1/12)^(COUNT($AL$6:AL207)-1)</f>
        <v>288.66336394771309</v>
      </c>
      <c r="AQ207" s="72">
        <f t="shared" ca="1" si="103"/>
        <v>1559715.5607105324</v>
      </c>
      <c r="AS207" s="303">
        <f t="shared" ca="1" si="98"/>
        <v>1</v>
      </c>
      <c r="AT207" s="300">
        <f ca="1">IFERROR(IRR($AN$6:AN207)*12,0)</f>
        <v>0</v>
      </c>
      <c r="AU207" s="297">
        <f t="shared" ca="1" si="99"/>
        <v>0</v>
      </c>
      <c r="AV207" s="303">
        <f t="shared" ca="1" si="100"/>
        <v>0</v>
      </c>
    </row>
    <row r="208" spans="2:48" x14ac:dyDescent="0.25">
      <c r="B208" s="43">
        <f t="shared" si="101"/>
        <v>50345</v>
      </c>
      <c r="C208" s="79">
        <f t="shared" si="91"/>
        <v>2037</v>
      </c>
      <c r="D208" s="64">
        <f ca="1">wellcount_base  +  SUM('forecast production'!I$7:I209)</f>
        <v>1</v>
      </c>
      <c r="E208" s="110">
        <f ca="1">'forecast production'!AE209</f>
        <v>124.35837993272244</v>
      </c>
      <c r="F208" s="98">
        <f ca="1">'forecast production'!AF209</f>
        <v>790.75571029651462</v>
      </c>
      <c r="G208" s="98">
        <f ca="1">'forecast production'!AG209</f>
        <v>0.52460810415476822</v>
      </c>
      <c r="H208" s="98">
        <f ca="1">'forecast production'!AH209</f>
        <v>118.6133565444772</v>
      </c>
      <c r="I208" s="307">
        <f t="shared" ca="1" si="92"/>
        <v>1</v>
      </c>
      <c r="J208" s="306">
        <f t="shared" ca="1" si="93"/>
        <v>0.75</v>
      </c>
      <c r="K208" s="112">
        <f t="shared" ca="1" si="78"/>
        <v>93.268784949541839</v>
      </c>
      <c r="L208" s="98">
        <f t="shared" ca="1" si="79"/>
        <v>444.80008704178942</v>
      </c>
      <c r="M208" s="98">
        <f t="shared" ca="1" si="80"/>
        <v>0.39345607811607619</v>
      </c>
      <c r="N208" s="98">
        <f t="shared" ca="1" si="81"/>
        <v>88.960017408357899</v>
      </c>
      <c r="O208" s="67">
        <f>assumptions!M212</f>
        <v>55</v>
      </c>
      <c r="P208" s="68">
        <f>assumptions!N212</f>
        <v>3</v>
      </c>
      <c r="Q208" s="68">
        <f>assumptions!O212</f>
        <v>22</v>
      </c>
      <c r="R208" s="67">
        <f t="shared" si="82"/>
        <v>52.5</v>
      </c>
      <c r="S208" s="68">
        <f t="shared" si="83"/>
        <v>2.3275000000000001</v>
      </c>
      <c r="T208" s="68">
        <f t="shared" si="84"/>
        <v>22</v>
      </c>
      <c r="U208" s="73">
        <f t="shared" ca="1" si="85"/>
        <v>4896.6112098509466</v>
      </c>
      <c r="V208" s="72">
        <f t="shared" ca="1" si="86"/>
        <v>1035.2722025897649</v>
      </c>
      <c r="W208" s="72">
        <f t="shared" ca="1" si="87"/>
        <v>1957.1203829838737</v>
      </c>
      <c r="X208" s="72">
        <f t="shared" ca="1" si="94"/>
        <v>7889.0037954245854</v>
      </c>
      <c r="Y208" s="73">
        <f>mult_opex * fixed_month</f>
        <v>1000</v>
      </c>
      <c r="Z208" s="72">
        <f ca="1">mult_opex * fixed_well *D208</f>
        <v>5000</v>
      </c>
      <c r="AA208" s="72">
        <f ca="1">(Z208+Y208)*WI_current_1</f>
        <v>6000</v>
      </c>
      <c r="AB208" s="72">
        <f ca="1">mult_opex * var_bo*E208</f>
        <v>0</v>
      </c>
      <c r="AC208" s="72">
        <f ca="1">mult_opex * var_mcf*F208</f>
        <v>0</v>
      </c>
      <c r="AD208" s="72">
        <f ca="1">mult_opex * var_bw * G208</f>
        <v>1.0492162083095364</v>
      </c>
      <c r="AE208" s="72">
        <f ca="1">SUM(AB208:AD208)*WI_current_1</f>
        <v>1.0492162083095364</v>
      </c>
      <c r="AF208" s="73">
        <f ca="1">mult_capex * IFERROR(OFFSET(assumptions!$F$39,MATCH(B208,assumptions!$E$39:$E$45,0)-1,0),0)</f>
        <v>0</v>
      </c>
      <c r="AG208" s="75">
        <f ca="1">mult_capex * capex_new*WI_current_1 *'forecast production'!I209</f>
        <v>0</v>
      </c>
      <c r="AH208" s="146">
        <f t="shared" ca="1" si="95"/>
        <v>0</v>
      </c>
      <c r="AI208" s="73">
        <f t="shared" ca="1" si="88"/>
        <v>449.67355957116644</v>
      </c>
      <c r="AJ208" s="72">
        <f t="shared" ca="1" si="89"/>
        <v>197.22509488561465</v>
      </c>
      <c r="AK208" s="72">
        <f t="shared" ca="1" si="96"/>
        <v>646.89865445678106</v>
      </c>
      <c r="AL208" s="73">
        <f t="shared" ca="1" si="90"/>
        <v>1241.0559247594956</v>
      </c>
      <c r="AM208" s="132">
        <f ca="1">IF(X208*(lease_NRI/J208)  - (Z208+Y208+AB208+AC208+AD208)  - (AK208)*(lease_NRI/J208)&gt;0,1,0)</f>
        <v>1</v>
      </c>
      <c r="AN208" s="73">
        <f t="shared" ca="1" si="97"/>
        <v>1241.0559247594956</v>
      </c>
      <c r="AO208" s="75">
        <f t="shared" ca="1" si="102"/>
        <v>2308507.1534691243</v>
      </c>
      <c r="AP208" s="72">
        <f ca="1">AL208  /  ( 1 + disc_1/12)^(COUNT($AL$6:AL208)-1)</f>
        <v>232.14442044052427</v>
      </c>
      <c r="AQ208" s="72">
        <f t="shared" ca="1" si="103"/>
        <v>1559947.7051309729</v>
      </c>
      <c r="AS208" s="303">
        <f t="shared" ca="1" si="98"/>
        <v>1</v>
      </c>
      <c r="AT208" s="300">
        <f ca="1">IFERROR(IRR($AN$6:AN208)*12,0)</f>
        <v>0</v>
      </c>
      <c r="AU208" s="297">
        <f t="shared" ca="1" si="99"/>
        <v>0</v>
      </c>
      <c r="AV208" s="303">
        <f t="shared" ca="1" si="100"/>
        <v>0</v>
      </c>
    </row>
    <row r="209" spans="2:48" x14ac:dyDescent="0.25">
      <c r="B209" s="44">
        <f t="shared" si="101"/>
        <v>50375</v>
      </c>
      <c r="C209" s="100">
        <f t="shared" si="91"/>
        <v>2037</v>
      </c>
      <c r="D209" s="65">
        <f ca="1">wellcount_base  +  SUM('forecast production'!I$7:I210)</f>
        <v>1</v>
      </c>
      <c r="E209" s="109">
        <f ca="1">'forecast production'!AE210</f>
        <v>127.62599819472328</v>
      </c>
      <c r="F209" s="101">
        <f ca="1">'forecast production'!AF210</f>
        <v>812.96922624133094</v>
      </c>
      <c r="G209" s="101">
        <f ca="1">'forecast production'!AG210</f>
        <v>0.52396173087940856</v>
      </c>
      <c r="H209" s="102">
        <f ca="1">'forecast production'!AH210</f>
        <v>121.94538393619965</v>
      </c>
      <c r="I209" s="308">
        <f t="shared" ca="1" si="92"/>
        <v>1</v>
      </c>
      <c r="J209" s="309">
        <f t="shared" ca="1" si="93"/>
        <v>0.75</v>
      </c>
      <c r="K209" s="113">
        <f t="shared" ca="1" si="78"/>
        <v>95.719498646042467</v>
      </c>
      <c r="L209" s="102">
        <f t="shared" ca="1" si="79"/>
        <v>457.29518976074866</v>
      </c>
      <c r="M209" s="102">
        <f t="shared" ca="1" si="80"/>
        <v>0.39297129815955645</v>
      </c>
      <c r="N209" s="102">
        <f t="shared" ca="1" si="81"/>
        <v>91.459037952149743</v>
      </c>
      <c r="O209" s="103">
        <f>assumptions!M213</f>
        <v>55</v>
      </c>
      <c r="P209" s="104">
        <f>assumptions!N213</f>
        <v>3</v>
      </c>
      <c r="Q209" s="104">
        <f>assumptions!O213</f>
        <v>22</v>
      </c>
      <c r="R209" s="103">
        <f t="shared" si="82"/>
        <v>52.5</v>
      </c>
      <c r="S209" s="104">
        <f t="shared" si="83"/>
        <v>2.3275000000000001</v>
      </c>
      <c r="T209" s="104">
        <f t="shared" si="84"/>
        <v>22</v>
      </c>
      <c r="U209" s="105">
        <f t="shared" ca="1" si="85"/>
        <v>5025.2736789172295</v>
      </c>
      <c r="V209" s="106">
        <f t="shared" ca="1" si="86"/>
        <v>1064.3545541681426</v>
      </c>
      <c r="W209" s="106">
        <f t="shared" ca="1" si="87"/>
        <v>2012.0988349472943</v>
      </c>
      <c r="X209" s="106">
        <f t="shared" ca="1" si="94"/>
        <v>8101.7270680326665</v>
      </c>
      <c r="Y209" s="105">
        <f>mult_opex * fixed_month</f>
        <v>1000</v>
      </c>
      <c r="Z209" s="106">
        <f ca="1">mult_opex * fixed_well *D209</f>
        <v>5000</v>
      </c>
      <c r="AA209" s="106">
        <f ca="1">(Z209+Y209)*WI_current_1</f>
        <v>6000</v>
      </c>
      <c r="AB209" s="106">
        <f ca="1">mult_opex * var_bo*E209</f>
        <v>0</v>
      </c>
      <c r="AC209" s="106">
        <f ca="1">mult_opex * var_mcf*F209</f>
        <v>0</v>
      </c>
      <c r="AD209" s="106">
        <f ca="1">mult_opex * var_bw * G209</f>
        <v>1.0479234617588171</v>
      </c>
      <c r="AE209" s="106">
        <f ca="1">SUM(AB209:AD209)*WI_current_1</f>
        <v>1.0479234617588171</v>
      </c>
      <c r="AF209" s="105">
        <f ca="1">mult_capex * IFERROR(OFFSET(assumptions!$F$39,MATCH(B209,assumptions!$E$39:$E$45,0)-1,0),0)</f>
        <v>0</v>
      </c>
      <c r="AG209" s="106">
        <f ca="1">mult_capex * capex_new*WI_current_1 *'forecast production'!I210</f>
        <v>0</v>
      </c>
      <c r="AH209" s="147">
        <f t="shared" ca="1" si="95"/>
        <v>0</v>
      </c>
      <c r="AI209" s="105">
        <f t="shared" ca="1" si="88"/>
        <v>461.89659341385033</v>
      </c>
      <c r="AJ209" s="106">
        <f t="shared" ca="1" si="89"/>
        <v>202.54317670081667</v>
      </c>
      <c r="AK209" s="106">
        <f t="shared" ca="1" si="96"/>
        <v>664.439770114667</v>
      </c>
      <c r="AL209" s="105">
        <f t="shared" ca="1" si="90"/>
        <v>1436.2393744562405</v>
      </c>
      <c r="AM209" s="133">
        <f ca="1">IF(X209*(lease_NRI/J209)  - (Z209+Y209+AB209+AC209+AD209)  - (AK209)*(lease_NRI/J209)&gt;0,1,0)</f>
        <v>1</v>
      </c>
      <c r="AN209" s="105">
        <f t="shared" ca="1" si="97"/>
        <v>1436.2393744562405</v>
      </c>
      <c r="AO209" s="106">
        <f t="shared" ca="1" si="102"/>
        <v>2309943.3928435808</v>
      </c>
      <c r="AP209" s="106">
        <f ca="1">AL209  /  ( 1 + disc_1/12)^(COUNT($AL$6:AL209)-1)</f>
        <v>266.43397375268063</v>
      </c>
      <c r="AQ209" s="106">
        <f t="shared" ca="1" si="103"/>
        <v>1560214.1391047256</v>
      </c>
      <c r="AS209" s="304">
        <f t="shared" ca="1" si="98"/>
        <v>1</v>
      </c>
      <c r="AT209" s="301">
        <f ca="1">IFERROR(IRR($AN$6:AN209)*12,0)</f>
        <v>0</v>
      </c>
      <c r="AU209" s="298">
        <f t="shared" ca="1" si="99"/>
        <v>0</v>
      </c>
      <c r="AV209" s="304">
        <f t="shared" ca="1" si="100"/>
        <v>0</v>
      </c>
    </row>
    <row r="210" spans="2:48" x14ac:dyDescent="0.25">
      <c r="B210" s="43">
        <f t="shared" si="101"/>
        <v>50406</v>
      </c>
      <c r="C210" s="79">
        <f t="shared" si="91"/>
        <v>2038</v>
      </c>
      <c r="D210" s="64">
        <f ca="1">wellcount_base  +  SUM('forecast production'!I$7:I211)</f>
        <v>1</v>
      </c>
      <c r="E210" s="110">
        <f ca="1">'forecast production'!AE211</f>
        <v>126.72537861879802</v>
      </c>
      <c r="F210" s="98">
        <f ca="1">'forecast production'!AF211</f>
        <v>808.70813989214241</v>
      </c>
      <c r="G210" s="98">
        <f ca="1">'forecast production'!AG211</f>
        <v>0.50586404589551259</v>
      </c>
      <c r="H210" s="98">
        <f ca="1">'forecast production'!AH211</f>
        <v>121.30622098382136</v>
      </c>
      <c r="I210" s="307">
        <f t="shared" ca="1" si="92"/>
        <v>1</v>
      </c>
      <c r="J210" s="306">
        <f t="shared" ca="1" si="93"/>
        <v>0.75</v>
      </c>
      <c r="K210" s="112">
        <f t="shared" ca="1" si="78"/>
        <v>95.044033964098517</v>
      </c>
      <c r="L210" s="98">
        <f t="shared" ca="1" si="79"/>
        <v>454.89832868933013</v>
      </c>
      <c r="M210" s="98">
        <f t="shared" ca="1" si="80"/>
        <v>0.37939803442163444</v>
      </c>
      <c r="N210" s="98">
        <f t="shared" ca="1" si="81"/>
        <v>90.979665737866014</v>
      </c>
      <c r="O210" s="67">
        <f>assumptions!M214</f>
        <v>55</v>
      </c>
      <c r="P210" s="68">
        <f>assumptions!N214</f>
        <v>3</v>
      </c>
      <c r="Q210" s="68">
        <f>assumptions!O214</f>
        <v>22</v>
      </c>
      <c r="R210" s="67">
        <f t="shared" si="82"/>
        <v>52.5</v>
      </c>
      <c r="S210" s="68">
        <f t="shared" si="83"/>
        <v>2.3275000000000001</v>
      </c>
      <c r="T210" s="68">
        <f t="shared" si="84"/>
        <v>22</v>
      </c>
      <c r="U210" s="73">
        <f t="shared" ca="1" si="85"/>
        <v>4989.8117831151721</v>
      </c>
      <c r="V210" s="72">
        <f t="shared" ca="1" si="86"/>
        <v>1058.775860024416</v>
      </c>
      <c r="W210" s="72">
        <f t="shared" ca="1" si="87"/>
        <v>2001.5526462330522</v>
      </c>
      <c r="X210" s="72">
        <f t="shared" ca="1" si="94"/>
        <v>8050.1402893726408</v>
      </c>
      <c r="Y210" s="73">
        <f>mult_opex * fixed_month</f>
        <v>1000</v>
      </c>
      <c r="Z210" s="72">
        <f ca="1">mult_opex * fixed_well *D210</f>
        <v>5000</v>
      </c>
      <c r="AA210" s="72">
        <f ca="1">(Z210+Y210)*WI_current_1</f>
        <v>6000</v>
      </c>
      <c r="AB210" s="72">
        <f ca="1">mult_opex * var_bo*E210</f>
        <v>0</v>
      </c>
      <c r="AC210" s="72">
        <f ca="1">mult_opex * var_mcf*F210</f>
        <v>0</v>
      </c>
      <c r="AD210" s="72">
        <f ca="1">mult_opex * var_bw * G210</f>
        <v>1.0117280917910252</v>
      </c>
      <c r="AE210" s="72">
        <f ca="1">SUM(AB210:AD210)*WI_current_1</f>
        <v>1.0117280917910252</v>
      </c>
      <c r="AF210" s="73">
        <f ca="1">mult_capex * IFERROR(OFFSET(assumptions!$F$39,MATCH(B210,assumptions!$E$39:$E$45,0)-1,0),0)</f>
        <v>0</v>
      </c>
      <c r="AG210" s="75">
        <f ca="1">mult_capex * capex_new*WI_current_1 *'forecast production'!I211</f>
        <v>0</v>
      </c>
      <c r="AH210" s="146">
        <f t="shared" ca="1" si="95"/>
        <v>0</v>
      </c>
      <c r="AI210" s="73">
        <f t="shared" ca="1" si="88"/>
        <v>459.05597999260806</v>
      </c>
      <c r="AJ210" s="72">
        <f t="shared" ca="1" si="89"/>
        <v>201.25350723431603</v>
      </c>
      <c r="AK210" s="72">
        <f t="shared" ca="1" si="96"/>
        <v>660.30948722692415</v>
      </c>
      <c r="AL210" s="73">
        <f t="shared" ca="1" si="90"/>
        <v>1388.8190740539258</v>
      </c>
      <c r="AM210" s="132">
        <f ca="1">IF(X210*(lease_NRI/J210)  - (Z210+Y210+AB210+AC210+AD210)  - (AK210)*(lease_NRI/J210)&gt;0,1,0)</f>
        <v>1</v>
      </c>
      <c r="AN210" s="73">
        <f t="shared" ca="1" si="97"/>
        <v>1388.8190740539258</v>
      </c>
      <c r="AO210" s="75">
        <f t="shared" ca="1" si="102"/>
        <v>2311332.2119176346</v>
      </c>
      <c r="AP210" s="72">
        <f ca="1">AL210  /  ( 1 + disc_1/12)^(COUNT($AL$6:AL210)-1)</f>
        <v>255.50789358186572</v>
      </c>
      <c r="AQ210" s="72">
        <f t="shared" ca="1" si="103"/>
        <v>1560469.6469983074</v>
      </c>
      <c r="AS210" s="303">
        <f t="shared" ca="1" si="98"/>
        <v>1</v>
      </c>
      <c r="AT210" s="300">
        <f ca="1">IFERROR(IRR($AN$6:AN210)*12,0)</f>
        <v>0</v>
      </c>
      <c r="AU210" s="297">
        <f t="shared" ca="1" si="99"/>
        <v>0</v>
      </c>
      <c r="AV210" s="303">
        <f t="shared" ca="1" si="100"/>
        <v>0</v>
      </c>
    </row>
    <row r="211" spans="2:48" x14ac:dyDescent="0.25">
      <c r="B211" s="43">
        <f t="shared" si="101"/>
        <v>50437</v>
      </c>
      <c r="C211" s="79">
        <f t="shared" si="91"/>
        <v>2038</v>
      </c>
      <c r="D211" s="64">
        <f ca="1">wellcount_base  +  SUM('forecast production'!I$7:I212)</f>
        <v>1</v>
      </c>
      <c r="E211" s="110">
        <f ca="1">'forecast production'!AE212</f>
        <v>113.65390982893446</v>
      </c>
      <c r="F211" s="98">
        <f ca="1">'forecast production'!AF212</f>
        <v>726.61751133153734</v>
      </c>
      <c r="G211" s="98">
        <f ca="1">'forecast production'!AG212</f>
        <v>0.44113049197666443</v>
      </c>
      <c r="H211" s="98">
        <f ca="1">'forecast production'!AH212</f>
        <v>108.99262669973061</v>
      </c>
      <c r="I211" s="307">
        <f t="shared" ca="1" si="92"/>
        <v>1</v>
      </c>
      <c r="J211" s="306">
        <f t="shared" ca="1" si="93"/>
        <v>0.75</v>
      </c>
      <c r="K211" s="112">
        <f t="shared" ca="1" si="78"/>
        <v>85.240432371700848</v>
      </c>
      <c r="L211" s="98">
        <f t="shared" ca="1" si="79"/>
        <v>408.72235012398971</v>
      </c>
      <c r="M211" s="98">
        <f t="shared" ca="1" si="80"/>
        <v>0.33084786898249829</v>
      </c>
      <c r="N211" s="98">
        <f t="shared" ca="1" si="81"/>
        <v>81.744470024797948</v>
      </c>
      <c r="O211" s="67">
        <f>assumptions!M215</f>
        <v>55</v>
      </c>
      <c r="P211" s="68">
        <f>assumptions!N215</f>
        <v>3</v>
      </c>
      <c r="Q211" s="68">
        <f>assumptions!O215</f>
        <v>22</v>
      </c>
      <c r="R211" s="67">
        <f t="shared" si="82"/>
        <v>52.5</v>
      </c>
      <c r="S211" s="68">
        <f t="shared" si="83"/>
        <v>2.3275000000000001</v>
      </c>
      <c r="T211" s="68">
        <f t="shared" si="84"/>
        <v>22</v>
      </c>
      <c r="U211" s="73">
        <f t="shared" ca="1" si="85"/>
        <v>4475.1226995142943</v>
      </c>
      <c r="V211" s="72">
        <f t="shared" ca="1" si="86"/>
        <v>951.30126991358611</v>
      </c>
      <c r="W211" s="72">
        <f t="shared" ca="1" si="87"/>
        <v>1798.3783405455549</v>
      </c>
      <c r="X211" s="72">
        <f t="shared" ca="1" si="94"/>
        <v>7224.8023099734355</v>
      </c>
      <c r="Y211" s="73">
        <f>mult_opex * fixed_month</f>
        <v>1000</v>
      </c>
      <c r="Z211" s="72">
        <f ca="1">mult_opex * fixed_well *D211</f>
        <v>5000</v>
      </c>
      <c r="AA211" s="72">
        <f ca="1">(Z211+Y211)*WI_current_1</f>
        <v>6000</v>
      </c>
      <c r="AB211" s="72">
        <f ca="1">mult_opex * var_bo*E211</f>
        <v>0</v>
      </c>
      <c r="AC211" s="72">
        <f ca="1">mult_opex * var_mcf*F211</f>
        <v>0</v>
      </c>
      <c r="AD211" s="72">
        <f ca="1">mult_opex * var_bw * G211</f>
        <v>0.88226098395332886</v>
      </c>
      <c r="AE211" s="72">
        <f ca="1">SUM(AB211:AD211)*WI_current_1</f>
        <v>0.88226098395332886</v>
      </c>
      <c r="AF211" s="73">
        <f ca="1">mult_capex * IFERROR(OFFSET(assumptions!$F$39,MATCH(B211,assumptions!$E$39:$E$45,0)-1,0),0)</f>
        <v>0</v>
      </c>
      <c r="AG211" s="75">
        <f ca="1">mult_capex * capex_new*WI_current_1 *'forecast production'!I212</f>
        <v>0</v>
      </c>
      <c r="AH211" s="146">
        <f t="shared" ca="1" si="95"/>
        <v>0</v>
      </c>
      <c r="AI211" s="73">
        <f t="shared" ca="1" si="88"/>
        <v>412.08161496209311</v>
      </c>
      <c r="AJ211" s="72">
        <f t="shared" ca="1" si="89"/>
        <v>180.6200577493359</v>
      </c>
      <c r="AK211" s="72">
        <f t="shared" ca="1" si="96"/>
        <v>592.70167271142896</v>
      </c>
      <c r="AL211" s="73">
        <f t="shared" ca="1" si="90"/>
        <v>631.21837627805326</v>
      </c>
      <c r="AM211" s="132">
        <f ca="1">IF(X211*(lease_NRI/J211)  - (Z211+Y211+AB211+AC211+AD211)  - (AK211)*(lease_NRI/J211)&gt;0,1,0)</f>
        <v>1</v>
      </c>
      <c r="AN211" s="73">
        <f t="shared" ca="1" si="97"/>
        <v>631.21837627805326</v>
      </c>
      <c r="AO211" s="75">
        <f t="shared" ca="1" si="102"/>
        <v>2311963.4302939125</v>
      </c>
      <c r="AP211" s="72">
        <f ca="1">AL211  /  ( 1 + disc_1/12)^(COUNT($AL$6:AL211)-1)</f>
        <v>115.16861885003573</v>
      </c>
      <c r="AQ211" s="72">
        <f t="shared" ca="1" si="103"/>
        <v>1560584.8156171574</v>
      </c>
      <c r="AS211" s="303">
        <f t="shared" ca="1" si="98"/>
        <v>1</v>
      </c>
      <c r="AT211" s="300">
        <f ca="1">IFERROR(IRR($AN$6:AN211)*12,0)</f>
        <v>0</v>
      </c>
      <c r="AU211" s="297">
        <f t="shared" ca="1" si="99"/>
        <v>0</v>
      </c>
      <c r="AV211" s="303">
        <f t="shared" ca="1" si="100"/>
        <v>0</v>
      </c>
    </row>
    <row r="212" spans="2:48" x14ac:dyDescent="0.25">
      <c r="B212" s="43">
        <f t="shared" si="101"/>
        <v>50465</v>
      </c>
      <c r="C212" s="79">
        <f t="shared" si="91"/>
        <v>2038</v>
      </c>
      <c r="D212" s="64">
        <f ca="1">wellcount_base  +  SUM('forecast production'!I$7:I213)</f>
        <v>1</v>
      </c>
      <c r="E212" s="110">
        <f ca="1">'forecast production'!AE213</f>
        <v>125.02881728157254</v>
      </c>
      <c r="F212" s="98">
        <f ca="1">'forecast production'!AF213</f>
        <v>800.65993620760946</v>
      </c>
      <c r="G212" s="98">
        <f ca="1">'forecast production'!AG213</f>
        <v>0.47313714483998043</v>
      </c>
      <c r="H212" s="98">
        <f ca="1">'forecast production'!AH213</f>
        <v>120.09899043114142</v>
      </c>
      <c r="I212" s="307">
        <f t="shared" ca="1" si="92"/>
        <v>1</v>
      </c>
      <c r="J212" s="306">
        <f t="shared" ca="1" si="93"/>
        <v>0.75</v>
      </c>
      <c r="K212" s="112">
        <f t="shared" ca="1" si="78"/>
        <v>93.771612961179414</v>
      </c>
      <c r="L212" s="98">
        <f t="shared" ca="1" si="79"/>
        <v>450.37121411678032</v>
      </c>
      <c r="M212" s="98">
        <f t="shared" ca="1" si="80"/>
        <v>0.35485285862998533</v>
      </c>
      <c r="N212" s="98">
        <f t="shared" ca="1" si="81"/>
        <v>90.074242823356059</v>
      </c>
      <c r="O212" s="67">
        <f>assumptions!M216</f>
        <v>55</v>
      </c>
      <c r="P212" s="68">
        <f>assumptions!N216</f>
        <v>3</v>
      </c>
      <c r="Q212" s="68">
        <f>assumptions!O216</f>
        <v>22</v>
      </c>
      <c r="R212" s="67">
        <f t="shared" si="82"/>
        <v>52.5</v>
      </c>
      <c r="S212" s="68">
        <f t="shared" si="83"/>
        <v>2.3275000000000001</v>
      </c>
      <c r="T212" s="68">
        <f t="shared" si="84"/>
        <v>22</v>
      </c>
      <c r="U212" s="73">
        <f t="shared" ca="1" si="85"/>
        <v>4923.0096804619188</v>
      </c>
      <c r="V212" s="72">
        <f t="shared" ca="1" si="86"/>
        <v>1048.2390008568063</v>
      </c>
      <c r="W212" s="72">
        <f t="shared" ca="1" si="87"/>
        <v>1981.6333421138334</v>
      </c>
      <c r="X212" s="72">
        <f t="shared" ca="1" si="94"/>
        <v>7952.8820234325585</v>
      </c>
      <c r="Y212" s="73">
        <f>mult_opex * fixed_month</f>
        <v>1000</v>
      </c>
      <c r="Z212" s="72">
        <f ca="1">mult_opex * fixed_well *D212</f>
        <v>5000</v>
      </c>
      <c r="AA212" s="72">
        <f ca="1">(Z212+Y212)*WI_current_1</f>
        <v>6000</v>
      </c>
      <c r="AB212" s="72">
        <f ca="1">mult_opex * var_bo*E212</f>
        <v>0</v>
      </c>
      <c r="AC212" s="72">
        <f ca="1">mult_opex * var_mcf*F212</f>
        <v>0</v>
      </c>
      <c r="AD212" s="72">
        <f ca="1">mult_opex * var_bw * G212</f>
        <v>0.94627428967996086</v>
      </c>
      <c r="AE212" s="72">
        <f ca="1">SUM(AB212:AD212)*WI_current_1</f>
        <v>0.94627428967996086</v>
      </c>
      <c r="AF212" s="73">
        <f ca="1">mult_capex * IFERROR(OFFSET(assumptions!$F$39,MATCH(B212,assumptions!$E$39:$E$45,0)-1,0),0)</f>
        <v>0</v>
      </c>
      <c r="AG212" s="75">
        <f ca="1">mult_capex * capex_new*WI_current_1 *'forecast production'!I213</f>
        <v>0</v>
      </c>
      <c r="AH212" s="146">
        <f t="shared" ca="1" si="95"/>
        <v>0</v>
      </c>
      <c r="AI212" s="73">
        <f t="shared" ca="1" si="88"/>
        <v>453.69887102404624</v>
      </c>
      <c r="AJ212" s="72">
        <f t="shared" ca="1" si="89"/>
        <v>198.82205058581397</v>
      </c>
      <c r="AK212" s="72">
        <f t="shared" ca="1" si="96"/>
        <v>652.52092160986024</v>
      </c>
      <c r="AL212" s="73">
        <f t="shared" ca="1" si="90"/>
        <v>1299.4148275330181</v>
      </c>
      <c r="AM212" s="132">
        <f ca="1">IF(X212*(lease_NRI/J212)  - (Z212+Y212+AB212+AC212+AD212)  - (AK212)*(lease_NRI/J212)&gt;0,1,0)</f>
        <v>1</v>
      </c>
      <c r="AN212" s="73">
        <f t="shared" ca="1" si="97"/>
        <v>1299.4148275330181</v>
      </c>
      <c r="AO212" s="75">
        <f t="shared" ca="1" si="102"/>
        <v>2313262.8451214456</v>
      </c>
      <c r="AP212" s="72">
        <f ca="1">AL212  /  ( 1 + disc_1/12)^(COUNT($AL$6:AL212)-1)</f>
        <v>235.12468069910824</v>
      </c>
      <c r="AQ212" s="72">
        <f t="shared" ca="1" si="103"/>
        <v>1560819.9402978565</v>
      </c>
      <c r="AS212" s="303">
        <f t="shared" ca="1" si="98"/>
        <v>1</v>
      </c>
      <c r="AT212" s="300">
        <f ca="1">IFERROR(IRR($AN$6:AN212)*12,0)</f>
        <v>0</v>
      </c>
      <c r="AU212" s="297">
        <f t="shared" ca="1" si="99"/>
        <v>0</v>
      </c>
      <c r="AV212" s="303">
        <f t="shared" ca="1" si="100"/>
        <v>0</v>
      </c>
    </row>
    <row r="213" spans="2:48" x14ac:dyDescent="0.25">
      <c r="B213" s="43">
        <f t="shared" si="101"/>
        <v>50496</v>
      </c>
      <c r="C213" s="79">
        <f t="shared" si="91"/>
        <v>2038</v>
      </c>
      <c r="D213" s="64">
        <f ca="1">wellcount_base  +  SUM('forecast production'!I$7:I214)</f>
        <v>1</v>
      </c>
      <c r="E213" s="110">
        <f ca="1">'forecast production'!AE214</f>
        <v>120.14179863532682</v>
      </c>
      <c r="F213" s="98">
        <f ca="1">'forecast production'!AF214</f>
        <v>770.77100091427292</v>
      </c>
      <c r="G213" s="98">
        <f ca="1">'forecast production'!AG214</f>
        <v>0.44206754945608429</v>
      </c>
      <c r="H213" s="98">
        <f ca="1">'forecast production'!AH214</f>
        <v>115.61565013714093</v>
      </c>
      <c r="I213" s="307">
        <f t="shared" ca="1" si="92"/>
        <v>1</v>
      </c>
      <c r="J213" s="306">
        <f t="shared" ca="1" si="93"/>
        <v>0.75</v>
      </c>
      <c r="K213" s="112">
        <f t="shared" ca="1" si="78"/>
        <v>90.106348976495113</v>
      </c>
      <c r="L213" s="98">
        <f t="shared" ca="1" si="79"/>
        <v>433.55868801427852</v>
      </c>
      <c r="M213" s="98">
        <f t="shared" ca="1" si="80"/>
        <v>0.33155066209206319</v>
      </c>
      <c r="N213" s="98">
        <f t="shared" ca="1" si="81"/>
        <v>86.711737602855692</v>
      </c>
      <c r="O213" s="67">
        <f>assumptions!M217</f>
        <v>55</v>
      </c>
      <c r="P213" s="68">
        <f>assumptions!N217</f>
        <v>3</v>
      </c>
      <c r="Q213" s="68">
        <f>assumptions!O217</f>
        <v>22</v>
      </c>
      <c r="R213" s="67">
        <f t="shared" si="82"/>
        <v>52.5</v>
      </c>
      <c r="S213" s="68">
        <f t="shared" si="83"/>
        <v>2.3275000000000001</v>
      </c>
      <c r="T213" s="68">
        <f t="shared" si="84"/>
        <v>22</v>
      </c>
      <c r="U213" s="73">
        <f t="shared" ca="1" si="85"/>
        <v>4730.5833212659936</v>
      </c>
      <c r="V213" s="72">
        <f t="shared" ca="1" si="86"/>
        <v>1009.1078463532333</v>
      </c>
      <c r="W213" s="72">
        <f t="shared" ca="1" si="87"/>
        <v>1907.6582272628252</v>
      </c>
      <c r="X213" s="72">
        <f t="shared" ca="1" si="94"/>
        <v>7647.3493948820524</v>
      </c>
      <c r="Y213" s="73">
        <f>mult_opex * fixed_month</f>
        <v>1000</v>
      </c>
      <c r="Z213" s="72">
        <f ca="1">mult_opex * fixed_well *D213</f>
        <v>5000</v>
      </c>
      <c r="AA213" s="72">
        <f ca="1">(Z213+Y213)*WI_current_1</f>
        <v>6000</v>
      </c>
      <c r="AB213" s="72">
        <f ca="1">mult_opex * var_bo*E213</f>
        <v>0</v>
      </c>
      <c r="AC213" s="72">
        <f ca="1">mult_opex * var_mcf*F213</f>
        <v>0</v>
      </c>
      <c r="AD213" s="72">
        <f ca="1">mult_opex * var_bw * G213</f>
        <v>0.88413509891216857</v>
      </c>
      <c r="AE213" s="72">
        <f ca="1">SUM(AB213:AD213)*WI_current_1</f>
        <v>0.88413509891216857</v>
      </c>
      <c r="AF213" s="73">
        <f ca="1">mult_capex * IFERROR(OFFSET(assumptions!$F$39,MATCH(B213,assumptions!$E$39:$E$45,0)-1,0),0)</f>
        <v>0</v>
      </c>
      <c r="AG213" s="75">
        <f ca="1">mult_capex * capex_new*WI_current_1 *'forecast production'!I214</f>
        <v>0</v>
      </c>
      <c r="AH213" s="146">
        <f t="shared" ca="1" si="95"/>
        <v>0</v>
      </c>
      <c r="AI213" s="73">
        <f t="shared" ca="1" si="88"/>
        <v>436.36428829944009</v>
      </c>
      <c r="AJ213" s="72">
        <f t="shared" ca="1" si="89"/>
        <v>191.18373487205133</v>
      </c>
      <c r="AK213" s="72">
        <f t="shared" ca="1" si="96"/>
        <v>627.54802317149142</v>
      </c>
      <c r="AL213" s="73">
        <f t="shared" ca="1" si="90"/>
        <v>1018.9172366116491</v>
      </c>
      <c r="AM213" s="132">
        <f ca="1">IF(X213*(lease_NRI/J213)  - (Z213+Y213+AB213+AC213+AD213)  - (AK213)*(lease_NRI/J213)&gt;0,1,0)</f>
        <v>1</v>
      </c>
      <c r="AN213" s="73">
        <f t="shared" ca="1" si="97"/>
        <v>1018.9172366116491</v>
      </c>
      <c r="AO213" s="75">
        <f t="shared" ca="1" si="102"/>
        <v>2314281.7623580573</v>
      </c>
      <c r="AP213" s="72">
        <f ca="1">AL213  /  ( 1 + disc_1/12)^(COUNT($AL$6:AL213)-1)</f>
        <v>182.84588271827212</v>
      </c>
      <c r="AQ213" s="72">
        <f t="shared" ca="1" si="103"/>
        <v>1561002.7861805747</v>
      </c>
      <c r="AS213" s="303">
        <f t="shared" ca="1" si="98"/>
        <v>1</v>
      </c>
      <c r="AT213" s="300">
        <f ca="1">IFERROR(IRR($AN$6:AN213)*12,0)</f>
        <v>0</v>
      </c>
      <c r="AU213" s="297">
        <f t="shared" ca="1" si="99"/>
        <v>0</v>
      </c>
      <c r="AV213" s="303">
        <f t="shared" ca="1" si="100"/>
        <v>0</v>
      </c>
    </row>
    <row r="214" spans="2:48" x14ac:dyDescent="0.25">
      <c r="B214" s="43">
        <f t="shared" si="101"/>
        <v>50526</v>
      </c>
      <c r="C214" s="79">
        <f t="shared" si="91"/>
        <v>2038</v>
      </c>
      <c r="D214" s="64">
        <f ca="1">wellcount_base  +  SUM('forecast production'!I$7:I215)</f>
        <v>1</v>
      </c>
      <c r="E214" s="110">
        <f ca="1">'forecast production'!AE215</f>
        <v>123.29862277104493</v>
      </c>
      <c r="F214" s="98">
        <f ca="1">'forecast production'!AF215</f>
        <v>792.42311634723137</v>
      </c>
      <c r="G214" s="98">
        <f ca="1">'forecast production'!AG215</f>
        <v>0.44153572638019045</v>
      </c>
      <c r="H214" s="98">
        <f ca="1">'forecast production'!AH215</f>
        <v>118.86346745208471</v>
      </c>
      <c r="I214" s="307">
        <f t="shared" ca="1" si="92"/>
        <v>1</v>
      </c>
      <c r="J214" s="306">
        <f t="shared" ca="1" si="93"/>
        <v>0.75</v>
      </c>
      <c r="K214" s="112">
        <f t="shared" ca="1" si="78"/>
        <v>92.473967078283692</v>
      </c>
      <c r="L214" s="98">
        <f t="shared" ca="1" si="79"/>
        <v>445.73800294531765</v>
      </c>
      <c r="M214" s="98">
        <f t="shared" ca="1" si="80"/>
        <v>0.33115179478514284</v>
      </c>
      <c r="N214" s="98">
        <f t="shared" ca="1" si="81"/>
        <v>89.147600589063529</v>
      </c>
      <c r="O214" s="67">
        <f>assumptions!M218</f>
        <v>55</v>
      </c>
      <c r="P214" s="68">
        <f>assumptions!N218</f>
        <v>3</v>
      </c>
      <c r="Q214" s="68">
        <f>assumptions!O218</f>
        <v>22</v>
      </c>
      <c r="R214" s="67">
        <f t="shared" si="82"/>
        <v>52.5</v>
      </c>
      <c r="S214" s="68">
        <f t="shared" si="83"/>
        <v>2.3275000000000001</v>
      </c>
      <c r="T214" s="68">
        <f t="shared" si="84"/>
        <v>22</v>
      </c>
      <c r="U214" s="73">
        <f t="shared" ca="1" si="85"/>
        <v>4854.8832716098941</v>
      </c>
      <c r="V214" s="72">
        <f t="shared" ca="1" si="86"/>
        <v>1037.455201855227</v>
      </c>
      <c r="W214" s="72">
        <f t="shared" ca="1" si="87"/>
        <v>1961.2472129593975</v>
      </c>
      <c r="X214" s="72">
        <f t="shared" ca="1" si="94"/>
        <v>7853.5856864245179</v>
      </c>
      <c r="Y214" s="73">
        <f>mult_opex * fixed_month</f>
        <v>1000</v>
      </c>
      <c r="Z214" s="72">
        <f ca="1">mult_opex * fixed_well *D214</f>
        <v>5000</v>
      </c>
      <c r="AA214" s="72">
        <f ca="1">(Z214+Y214)*WI_current_1</f>
        <v>6000</v>
      </c>
      <c r="AB214" s="72">
        <f ca="1">mult_opex * var_bo*E214</f>
        <v>0</v>
      </c>
      <c r="AC214" s="72">
        <f ca="1">mult_opex * var_mcf*F214</f>
        <v>0</v>
      </c>
      <c r="AD214" s="72">
        <f ca="1">mult_opex * var_bw * G214</f>
        <v>0.8830714527603809</v>
      </c>
      <c r="AE214" s="72">
        <f ca="1">SUM(AB214:AD214)*WI_current_1</f>
        <v>0.8830714527603809</v>
      </c>
      <c r="AF214" s="73">
        <f ca="1">mult_capex * IFERROR(OFFSET(assumptions!$F$39,MATCH(B214,assumptions!$E$39:$E$45,0)-1,0),0)</f>
        <v>0</v>
      </c>
      <c r="AG214" s="75">
        <f ca="1">mult_capex * capex_new*WI_current_1 *'forecast production'!I215</f>
        <v>0</v>
      </c>
      <c r="AH214" s="146">
        <f t="shared" ca="1" si="95"/>
        <v>0</v>
      </c>
      <c r="AI214" s="73">
        <f t="shared" ca="1" si="88"/>
        <v>448.22731160515195</v>
      </c>
      <c r="AJ214" s="72">
        <f t="shared" ca="1" si="89"/>
        <v>196.33964216061295</v>
      </c>
      <c r="AK214" s="72">
        <f t="shared" ca="1" si="96"/>
        <v>644.56695376576488</v>
      </c>
      <c r="AL214" s="73">
        <f t="shared" ca="1" si="90"/>
        <v>1208.1356612059926</v>
      </c>
      <c r="AM214" s="132">
        <f ca="1">IF(X214*(lease_NRI/J214)  - (Z214+Y214+AB214+AC214+AD214)  - (AK214)*(lease_NRI/J214)&gt;0,1,0)</f>
        <v>1</v>
      </c>
      <c r="AN214" s="73">
        <f t="shared" ca="1" si="97"/>
        <v>1208.1356612059926</v>
      </c>
      <c r="AO214" s="75">
        <f t="shared" ca="1" si="102"/>
        <v>2315489.8980192635</v>
      </c>
      <c r="AP214" s="72">
        <f ca="1">AL214  /  ( 1 + disc_1/12)^(COUNT($AL$6:AL214)-1)</f>
        <v>215.0096023139283</v>
      </c>
      <c r="AQ214" s="72">
        <f t="shared" ca="1" si="103"/>
        <v>1561217.7957828885</v>
      </c>
      <c r="AS214" s="303">
        <f t="shared" ca="1" si="98"/>
        <v>1</v>
      </c>
      <c r="AT214" s="300">
        <f ca="1">IFERROR(IRR($AN$6:AN214)*12,0)</f>
        <v>0</v>
      </c>
      <c r="AU214" s="297">
        <f t="shared" ca="1" si="99"/>
        <v>0</v>
      </c>
      <c r="AV214" s="303">
        <f t="shared" ca="1" si="100"/>
        <v>0</v>
      </c>
    </row>
    <row r="215" spans="2:48" x14ac:dyDescent="0.25">
      <c r="B215" s="43">
        <f t="shared" si="101"/>
        <v>50557</v>
      </c>
      <c r="C215" s="79">
        <f t="shared" si="91"/>
        <v>2038</v>
      </c>
      <c r="D215" s="64">
        <f ca="1">wellcount_base  +  SUM('forecast production'!I$7:I216)</f>
        <v>1</v>
      </c>
      <c r="E215" s="110">
        <f ca="1">'forecast production'!AE216</f>
        <v>118.47923247655382</v>
      </c>
      <c r="F215" s="98">
        <f ca="1">'forecast production'!AF216</f>
        <v>762.84166462425537</v>
      </c>
      <c r="G215" s="98">
        <f ca="1">'forecast production'!AG216</f>
        <v>0.41254631613618148</v>
      </c>
      <c r="H215" s="98">
        <f ca="1">'forecast production'!AH216</f>
        <v>114.42624969363831</v>
      </c>
      <c r="I215" s="307">
        <f t="shared" ca="1" si="92"/>
        <v>1</v>
      </c>
      <c r="J215" s="306">
        <f t="shared" ca="1" si="93"/>
        <v>0.75</v>
      </c>
      <c r="K215" s="112">
        <f t="shared" ca="1" si="78"/>
        <v>88.859424357415364</v>
      </c>
      <c r="L215" s="98">
        <f t="shared" ca="1" si="79"/>
        <v>429.09843635114362</v>
      </c>
      <c r="M215" s="98">
        <f t="shared" ca="1" si="80"/>
        <v>0.3094097371021361</v>
      </c>
      <c r="N215" s="98">
        <f t="shared" ca="1" si="81"/>
        <v>85.819687270228741</v>
      </c>
      <c r="O215" s="67">
        <f>assumptions!M219</f>
        <v>55</v>
      </c>
      <c r="P215" s="68">
        <f>assumptions!N219</f>
        <v>3</v>
      </c>
      <c r="Q215" s="68">
        <f>assumptions!O219</f>
        <v>22</v>
      </c>
      <c r="R215" s="67">
        <f t="shared" si="82"/>
        <v>52.5</v>
      </c>
      <c r="S215" s="68">
        <f t="shared" si="83"/>
        <v>2.3275000000000001</v>
      </c>
      <c r="T215" s="68">
        <f t="shared" si="84"/>
        <v>22</v>
      </c>
      <c r="U215" s="73">
        <f t="shared" ca="1" si="85"/>
        <v>4665.1197787643068</v>
      </c>
      <c r="V215" s="72">
        <f t="shared" ca="1" si="86"/>
        <v>998.72661060728683</v>
      </c>
      <c r="W215" s="72">
        <f t="shared" ca="1" si="87"/>
        <v>1888.0331199450322</v>
      </c>
      <c r="X215" s="72">
        <f t="shared" ca="1" si="94"/>
        <v>7551.8795093166254</v>
      </c>
      <c r="Y215" s="73">
        <f>mult_opex * fixed_month</f>
        <v>1000</v>
      </c>
      <c r="Z215" s="72">
        <f ca="1">mult_opex * fixed_well *D215</f>
        <v>5000</v>
      </c>
      <c r="AA215" s="72">
        <f ca="1">(Z215+Y215)*WI_current_1</f>
        <v>6000</v>
      </c>
      <c r="AB215" s="72">
        <f ca="1">mult_opex * var_bo*E215</f>
        <v>0</v>
      </c>
      <c r="AC215" s="72">
        <f ca="1">mult_opex * var_mcf*F215</f>
        <v>0</v>
      </c>
      <c r="AD215" s="72">
        <f ca="1">mult_opex * var_bw * G215</f>
        <v>0.82509263227236296</v>
      </c>
      <c r="AE215" s="72">
        <f ca="1">SUM(AB215:AD215)*WI_current_1</f>
        <v>0.82509263227236296</v>
      </c>
      <c r="AF215" s="73">
        <f ca="1">mult_capex * IFERROR(OFFSET(assumptions!$F$39,MATCH(B215,assumptions!$E$39:$E$45,0)-1,0),0)</f>
        <v>0</v>
      </c>
      <c r="AG215" s="75">
        <f ca="1">mult_capex * capex_new*WI_current_1 *'forecast production'!I216</f>
        <v>0</v>
      </c>
      <c r="AH215" s="146">
        <f t="shared" ca="1" si="95"/>
        <v>0</v>
      </c>
      <c r="AI215" s="73">
        <f t="shared" ca="1" si="88"/>
        <v>431.10248961458205</v>
      </c>
      <c r="AJ215" s="72">
        <f t="shared" ca="1" si="89"/>
        <v>188.79698773291565</v>
      </c>
      <c r="AK215" s="72">
        <f t="shared" ca="1" si="96"/>
        <v>619.89947734749774</v>
      </c>
      <c r="AL215" s="73">
        <f t="shared" ca="1" si="90"/>
        <v>931.15493933685502</v>
      </c>
      <c r="AM215" s="132">
        <f ca="1">IF(X215*(lease_NRI/J215)  - (Z215+Y215+AB215+AC215+AD215)  - (AK215)*(lease_NRI/J215)&gt;0,1,0)</f>
        <v>1</v>
      </c>
      <c r="AN215" s="73">
        <f t="shared" ca="1" si="97"/>
        <v>931.15493933685502</v>
      </c>
      <c r="AO215" s="75">
        <f t="shared" ca="1" si="102"/>
        <v>2316421.0529586002</v>
      </c>
      <c r="AP215" s="72">
        <f ca="1">AL215  /  ( 1 + disc_1/12)^(COUNT($AL$6:AL215)-1)</f>
        <v>164.34631819652114</v>
      </c>
      <c r="AQ215" s="72">
        <f t="shared" ca="1" si="103"/>
        <v>1561382.142101085</v>
      </c>
      <c r="AS215" s="303">
        <f t="shared" ca="1" si="98"/>
        <v>1</v>
      </c>
      <c r="AT215" s="300">
        <f ca="1">IFERROR(IRR($AN$6:AN215)*12,0)</f>
        <v>0</v>
      </c>
      <c r="AU215" s="297">
        <f t="shared" ca="1" si="99"/>
        <v>0</v>
      </c>
      <c r="AV215" s="303">
        <f t="shared" ca="1" si="100"/>
        <v>0</v>
      </c>
    </row>
    <row r="216" spans="2:48" x14ac:dyDescent="0.25">
      <c r="B216" s="43">
        <f t="shared" si="101"/>
        <v>50587</v>
      </c>
      <c r="C216" s="79">
        <f t="shared" si="91"/>
        <v>2038</v>
      </c>
      <c r="D216" s="64">
        <f ca="1">wellcount_base  +  SUM('forecast production'!I$7:I217)</f>
        <v>1</v>
      </c>
      <c r="E216" s="110">
        <f ca="1">'forecast production'!AE217</f>
        <v>121.59237132507916</v>
      </c>
      <c r="F216" s="98">
        <f ca="1">'forecast production'!AF217</f>
        <v>784.27103308768017</v>
      </c>
      <c r="G216" s="98">
        <f ca="1">'forecast production'!AG217</f>
        <v>0.41205484737455772</v>
      </c>
      <c r="H216" s="98">
        <f ca="1">'forecast production'!AH217</f>
        <v>117.64065496315203</v>
      </c>
      <c r="I216" s="307">
        <f t="shared" ca="1" si="92"/>
        <v>1</v>
      </c>
      <c r="J216" s="306">
        <f t="shared" ca="1" si="93"/>
        <v>0.75</v>
      </c>
      <c r="K216" s="112">
        <f t="shared" ca="1" si="78"/>
        <v>91.194278493809364</v>
      </c>
      <c r="L216" s="98">
        <f t="shared" ca="1" si="79"/>
        <v>441.15245611182007</v>
      </c>
      <c r="M216" s="98">
        <f t="shared" ca="1" si="80"/>
        <v>0.30904113553091828</v>
      </c>
      <c r="N216" s="98">
        <f t="shared" ca="1" si="81"/>
        <v>88.230491222364023</v>
      </c>
      <c r="O216" s="67">
        <f>assumptions!M220</f>
        <v>55</v>
      </c>
      <c r="P216" s="68">
        <f>assumptions!N220</f>
        <v>3</v>
      </c>
      <c r="Q216" s="68">
        <f>assumptions!O220</f>
        <v>22</v>
      </c>
      <c r="R216" s="67">
        <f t="shared" si="82"/>
        <v>52.5</v>
      </c>
      <c r="S216" s="68">
        <f t="shared" si="83"/>
        <v>2.3275000000000001</v>
      </c>
      <c r="T216" s="68">
        <f t="shared" si="84"/>
        <v>22</v>
      </c>
      <c r="U216" s="73">
        <f t="shared" ca="1" si="85"/>
        <v>4787.6996209249919</v>
      </c>
      <c r="V216" s="72">
        <f t="shared" ca="1" si="86"/>
        <v>1026.7823416002614</v>
      </c>
      <c r="W216" s="72">
        <f t="shared" ca="1" si="87"/>
        <v>1941.0708068920085</v>
      </c>
      <c r="X216" s="72">
        <f t="shared" ca="1" si="94"/>
        <v>7755.5527694172615</v>
      </c>
      <c r="Y216" s="73">
        <f>mult_opex * fixed_month</f>
        <v>1000</v>
      </c>
      <c r="Z216" s="72">
        <f ca="1">mult_opex * fixed_well *D216</f>
        <v>5000</v>
      </c>
      <c r="AA216" s="72">
        <f ca="1">(Z216+Y216)*WI_current_1</f>
        <v>6000</v>
      </c>
      <c r="AB216" s="72">
        <f ca="1">mult_opex * var_bo*E216</f>
        <v>0</v>
      </c>
      <c r="AC216" s="72">
        <f ca="1">mult_opex * var_mcf*F216</f>
        <v>0</v>
      </c>
      <c r="AD216" s="72">
        <f ca="1">mult_opex * var_bw * G216</f>
        <v>0.82410969474911544</v>
      </c>
      <c r="AE216" s="72">
        <f ca="1">SUM(AB216:AD216)*WI_current_1</f>
        <v>0.82410969474911544</v>
      </c>
      <c r="AF216" s="73">
        <f ca="1">mult_capex * IFERROR(OFFSET(assumptions!$F$39,MATCH(B216,assumptions!$E$39:$E$45,0)-1,0),0)</f>
        <v>0</v>
      </c>
      <c r="AG216" s="75">
        <f ca="1">mult_capex * capex_new*WI_current_1 *'forecast production'!I217</f>
        <v>0</v>
      </c>
      <c r="AH216" s="146">
        <f t="shared" ca="1" si="95"/>
        <v>0</v>
      </c>
      <c r="AI216" s="73">
        <f t="shared" ca="1" si="88"/>
        <v>442.82316869946982</v>
      </c>
      <c r="AJ216" s="72">
        <f t="shared" ca="1" si="89"/>
        <v>193.88881923543155</v>
      </c>
      <c r="AK216" s="72">
        <f t="shared" ca="1" si="96"/>
        <v>636.71198793490134</v>
      </c>
      <c r="AL216" s="73">
        <f t="shared" ca="1" si="90"/>
        <v>1118.0166717876109</v>
      </c>
      <c r="AM216" s="132">
        <f ca="1">IF(X216*(lease_NRI/J216)  - (Z216+Y216+AB216+AC216+AD216)  - (AK216)*(lease_NRI/J216)&gt;0,1,0)</f>
        <v>1</v>
      </c>
      <c r="AN216" s="73">
        <f t="shared" ca="1" si="97"/>
        <v>1118.0166717876109</v>
      </c>
      <c r="AO216" s="75">
        <f t="shared" ca="1" si="102"/>
        <v>2317539.0696303877</v>
      </c>
      <c r="AP216" s="72">
        <f ca="1">AL216  /  ( 1 + disc_1/12)^(COUNT($AL$6:AL216)-1)</f>
        <v>195.69610566146304</v>
      </c>
      <c r="AQ216" s="72">
        <f t="shared" ca="1" si="103"/>
        <v>1561577.8382067466</v>
      </c>
      <c r="AS216" s="303">
        <f t="shared" ca="1" si="98"/>
        <v>1</v>
      </c>
      <c r="AT216" s="300">
        <f ca="1">IFERROR(IRR($AN$6:AN216)*12,0)</f>
        <v>0</v>
      </c>
      <c r="AU216" s="297">
        <f t="shared" ca="1" si="99"/>
        <v>0</v>
      </c>
      <c r="AV216" s="303">
        <f t="shared" ca="1" si="100"/>
        <v>0</v>
      </c>
    </row>
    <row r="217" spans="2:48" x14ac:dyDescent="0.25">
      <c r="B217" s="43">
        <f t="shared" si="101"/>
        <v>50618</v>
      </c>
      <c r="C217" s="79">
        <f t="shared" si="91"/>
        <v>2038</v>
      </c>
      <c r="D217" s="64">
        <f ca="1">wellcount_base  +  SUM('forecast production'!I$7:I218)</f>
        <v>1</v>
      </c>
      <c r="E217" s="108">
        <f ca="1">'forecast production'!AE218</f>
        <v>120.73432930035422</v>
      </c>
      <c r="F217" s="97">
        <f ca="1">'forecast production'!AF218</f>
        <v>780.16036507555293</v>
      </c>
      <c r="G217" s="97">
        <f ca="1">'forecast production'!AG218</f>
        <v>0.39783922375269049</v>
      </c>
      <c r="H217" s="98">
        <f ca="1">'forecast production'!AH218</f>
        <v>117.02405476133295</v>
      </c>
      <c r="I217" s="307">
        <f t="shared" ca="1" si="92"/>
        <v>1</v>
      </c>
      <c r="J217" s="306">
        <f t="shared" ca="1" si="93"/>
        <v>0.75</v>
      </c>
      <c r="K217" s="112">
        <f t="shared" ca="1" si="78"/>
        <v>90.550746975265668</v>
      </c>
      <c r="L217" s="98">
        <f t="shared" ca="1" si="79"/>
        <v>438.84020535499855</v>
      </c>
      <c r="M217" s="98">
        <f t="shared" ca="1" si="80"/>
        <v>0.29837941781451788</v>
      </c>
      <c r="N217" s="98">
        <f t="shared" ca="1" si="81"/>
        <v>87.768041070999715</v>
      </c>
      <c r="O217" s="67">
        <f>assumptions!M221</f>
        <v>55</v>
      </c>
      <c r="P217" s="68">
        <f>assumptions!N221</f>
        <v>3</v>
      </c>
      <c r="Q217" s="68">
        <f>assumptions!O221</f>
        <v>22</v>
      </c>
      <c r="R217" s="67">
        <f t="shared" si="82"/>
        <v>52.5</v>
      </c>
      <c r="S217" s="68">
        <f t="shared" si="83"/>
        <v>2.3275000000000001</v>
      </c>
      <c r="T217" s="68">
        <f t="shared" si="84"/>
        <v>22</v>
      </c>
      <c r="U217" s="73">
        <f t="shared" ca="1" si="85"/>
        <v>4753.9142162014477</v>
      </c>
      <c r="V217" s="72">
        <f t="shared" ca="1" si="86"/>
        <v>1021.4005779637591</v>
      </c>
      <c r="W217" s="72">
        <f t="shared" ca="1" si="87"/>
        <v>1930.8969035619937</v>
      </c>
      <c r="X217" s="72">
        <f t="shared" ca="1" si="94"/>
        <v>7706.2116977272008</v>
      </c>
      <c r="Y217" s="73">
        <f>mult_opex * fixed_month</f>
        <v>1000</v>
      </c>
      <c r="Z217" s="72">
        <f ca="1">mult_opex * fixed_well *D217</f>
        <v>5000</v>
      </c>
      <c r="AA217" s="72">
        <f ca="1">(Z217+Y217)*WI_current_1</f>
        <v>6000</v>
      </c>
      <c r="AB217" s="72">
        <f ca="1">mult_opex * var_bo*E217</f>
        <v>0</v>
      </c>
      <c r="AC217" s="72">
        <f ca="1">mult_opex * var_mcf*F217</f>
        <v>0</v>
      </c>
      <c r="AD217" s="72">
        <f ca="1">mult_opex * var_bw * G217</f>
        <v>0.79567844750538097</v>
      </c>
      <c r="AE217" s="72">
        <f ca="1">SUM(AB217:AD217)*WI_current_1</f>
        <v>0.79567844750538097</v>
      </c>
      <c r="AF217" s="73">
        <f ca="1">mult_capex * IFERROR(OFFSET(assumptions!$F$39,MATCH(B217,assumptions!$E$39:$E$45,0)-1,0),0)</f>
        <v>0</v>
      </c>
      <c r="AG217" s="75">
        <f ca="1">mult_capex * capex_new*WI_current_1 *'forecast production'!I218</f>
        <v>0</v>
      </c>
      <c r="AH217" s="146">
        <f t="shared" ca="1" si="95"/>
        <v>0</v>
      </c>
      <c r="AI217" s="73">
        <f t="shared" ca="1" si="88"/>
        <v>440.10236505969806</v>
      </c>
      <c r="AJ217" s="72">
        <f t="shared" ca="1" si="89"/>
        <v>192.65529244318003</v>
      </c>
      <c r="AK217" s="72">
        <f t="shared" ca="1" si="96"/>
        <v>632.75765750287815</v>
      </c>
      <c r="AL217" s="73">
        <f t="shared" ca="1" si="90"/>
        <v>1072.6583617768174</v>
      </c>
      <c r="AM217" s="132">
        <f ca="1">IF(X217*(lease_NRI/J217)  - (Z217+Y217+AB217+AC217+AD217)  - (AK217)*(lease_NRI/J217)&gt;0,1,0)</f>
        <v>1</v>
      </c>
      <c r="AN217" s="73">
        <f t="shared" ca="1" si="97"/>
        <v>1072.6583617768174</v>
      </c>
      <c r="AO217" s="75">
        <f t="shared" ca="1" si="102"/>
        <v>2318611.7279921644</v>
      </c>
      <c r="AP217" s="72">
        <f ca="1">AL217  /  ( 1 + disc_1/12)^(COUNT($AL$6:AL217)-1)</f>
        <v>186.20494140890528</v>
      </c>
      <c r="AQ217" s="72">
        <f t="shared" ca="1" si="103"/>
        <v>1561764.0431481556</v>
      </c>
      <c r="AS217" s="303">
        <f t="shared" ca="1" si="98"/>
        <v>1</v>
      </c>
      <c r="AT217" s="300">
        <f ca="1">IFERROR(IRR($AN$6:AN217)*12,0)</f>
        <v>0</v>
      </c>
      <c r="AU217" s="297">
        <f t="shared" ca="1" si="99"/>
        <v>0</v>
      </c>
      <c r="AV217" s="303">
        <f t="shared" ca="1" si="100"/>
        <v>0</v>
      </c>
    </row>
    <row r="218" spans="2:48" x14ac:dyDescent="0.25">
      <c r="B218" s="43">
        <f t="shared" si="101"/>
        <v>50649</v>
      </c>
      <c r="C218" s="79">
        <f t="shared" si="91"/>
        <v>2038</v>
      </c>
      <c r="D218" s="64">
        <f ca="1">wellcount_base  +  SUM('forecast production'!I$7:I219)</f>
        <v>1</v>
      </c>
      <c r="E218" s="110">
        <f ca="1">'forecast production'!AE219</f>
        <v>116.01516989885387</v>
      </c>
      <c r="F218" s="98">
        <f ca="1">'forecast production'!AF219</f>
        <v>751.03668645037123</v>
      </c>
      <c r="G218" s="98">
        <f ca="1">'forecast production'!AG219</f>
        <v>0.37172554526966128</v>
      </c>
      <c r="H218" s="98">
        <f ca="1">'forecast production'!AH219</f>
        <v>112.65550296755568</v>
      </c>
      <c r="I218" s="307">
        <f t="shared" ca="1" si="92"/>
        <v>1</v>
      </c>
      <c r="J218" s="306">
        <f t="shared" ca="1" si="93"/>
        <v>0.75</v>
      </c>
      <c r="K218" s="112">
        <f t="shared" ca="1" si="78"/>
        <v>87.011377424140406</v>
      </c>
      <c r="L218" s="98">
        <f t="shared" ca="1" si="79"/>
        <v>422.45813612833382</v>
      </c>
      <c r="M218" s="98">
        <f t="shared" ca="1" si="80"/>
        <v>0.27879415895224596</v>
      </c>
      <c r="N218" s="98">
        <f t="shared" ca="1" si="81"/>
        <v>84.491627225666761</v>
      </c>
      <c r="O218" s="67">
        <f>assumptions!M222</f>
        <v>55</v>
      </c>
      <c r="P218" s="68">
        <f>assumptions!N222</f>
        <v>3</v>
      </c>
      <c r="Q218" s="68">
        <f>assumptions!O222</f>
        <v>22</v>
      </c>
      <c r="R218" s="67">
        <f t="shared" si="82"/>
        <v>52.5</v>
      </c>
      <c r="S218" s="68">
        <f t="shared" si="83"/>
        <v>2.3275000000000001</v>
      </c>
      <c r="T218" s="68">
        <f t="shared" si="84"/>
        <v>22</v>
      </c>
      <c r="U218" s="73">
        <f t="shared" ca="1" si="85"/>
        <v>4568.0973147673712</v>
      </c>
      <c r="V218" s="72">
        <f t="shared" ca="1" si="86"/>
        <v>983.27131183869699</v>
      </c>
      <c r="W218" s="72">
        <f t="shared" ca="1" si="87"/>
        <v>1858.8157989646688</v>
      </c>
      <c r="X218" s="72">
        <f t="shared" ca="1" si="94"/>
        <v>7410.1844255707374</v>
      </c>
      <c r="Y218" s="73">
        <f>mult_opex * fixed_month</f>
        <v>1000</v>
      </c>
      <c r="Z218" s="72">
        <f ca="1">mult_opex * fixed_well *D218</f>
        <v>5000</v>
      </c>
      <c r="AA218" s="72">
        <f ca="1">(Z218+Y218)*WI_current_1</f>
        <v>6000</v>
      </c>
      <c r="AB218" s="72">
        <f ca="1">mult_opex * var_bo*E218</f>
        <v>0</v>
      </c>
      <c r="AC218" s="72">
        <f ca="1">mult_opex * var_mcf*F218</f>
        <v>0</v>
      </c>
      <c r="AD218" s="72">
        <f ca="1">mult_opex * var_bw * G218</f>
        <v>0.74345109053932257</v>
      </c>
      <c r="AE218" s="72">
        <f ca="1">SUM(AB218:AD218)*WI_current_1</f>
        <v>0.74345109053932257</v>
      </c>
      <c r="AF218" s="73">
        <f ca="1">mult_capex * IFERROR(OFFSET(assumptions!$F$39,MATCH(B218,assumptions!$E$39:$E$45,0)-1,0),0)</f>
        <v>0</v>
      </c>
      <c r="AG218" s="75">
        <f ca="1">mult_capex * capex_new*WI_current_1 *'forecast production'!I219</f>
        <v>0</v>
      </c>
      <c r="AH218" s="146">
        <f t="shared" ca="1" si="95"/>
        <v>0</v>
      </c>
      <c r="AI218" s="73">
        <f t="shared" ca="1" si="88"/>
        <v>423.28900978955153</v>
      </c>
      <c r="AJ218" s="72">
        <f t="shared" ca="1" si="89"/>
        <v>185.25461063926844</v>
      </c>
      <c r="AK218" s="72">
        <f t="shared" ca="1" si="96"/>
        <v>608.54362042881996</v>
      </c>
      <c r="AL218" s="73">
        <f t="shared" ca="1" si="90"/>
        <v>800.89735405137799</v>
      </c>
      <c r="AM218" s="132">
        <f ca="1">IF(X218*(lease_NRI/J218)  - (Z218+Y218+AB218+AC218+AD218)  - (AK218)*(lease_NRI/J218)&gt;0,1,0)</f>
        <v>1</v>
      </c>
      <c r="AN218" s="73">
        <f t="shared" ca="1" si="97"/>
        <v>800.89735405137799</v>
      </c>
      <c r="AO218" s="75">
        <f t="shared" ca="1" si="102"/>
        <v>2319412.6253462159</v>
      </c>
      <c r="AP218" s="72">
        <f ca="1">AL218  /  ( 1 + disc_1/12)^(COUNT($AL$6:AL218)-1)</f>
        <v>137.88039340543992</v>
      </c>
      <c r="AQ218" s="72">
        <f t="shared" ca="1" si="103"/>
        <v>1561901.923541561</v>
      </c>
      <c r="AS218" s="303">
        <f t="shared" ca="1" si="98"/>
        <v>1</v>
      </c>
      <c r="AT218" s="300">
        <f ca="1">IFERROR(IRR($AN$6:AN218)*12,0)</f>
        <v>0</v>
      </c>
      <c r="AU218" s="297">
        <f t="shared" ca="1" si="99"/>
        <v>0</v>
      </c>
      <c r="AV218" s="303">
        <f t="shared" ca="1" si="100"/>
        <v>0</v>
      </c>
    </row>
    <row r="219" spans="2:48" x14ac:dyDescent="0.25">
      <c r="B219" s="43">
        <f t="shared" si="101"/>
        <v>50679</v>
      </c>
      <c r="C219" s="79">
        <f t="shared" si="91"/>
        <v>2038</v>
      </c>
      <c r="D219" s="64">
        <f ca="1">wellcount_base  +  SUM('forecast production'!I$7:I220)</f>
        <v>1</v>
      </c>
      <c r="E219" s="110">
        <f ca="1">'forecast production'!AE220</f>
        <v>119.06356348548404</v>
      </c>
      <c r="F219" s="98">
        <f ca="1">'forecast production'!AF220</f>
        <v>772.13443534092482</v>
      </c>
      <c r="G219" s="98">
        <f ca="1">'forecast production'!AG220</f>
        <v>0.3712892772388568</v>
      </c>
      <c r="H219" s="98">
        <f ca="1">'forecast production'!AH220</f>
        <v>115.82016530113873</v>
      </c>
      <c r="I219" s="307">
        <f t="shared" ca="1" si="92"/>
        <v>1</v>
      </c>
      <c r="J219" s="306">
        <f t="shared" ca="1" si="93"/>
        <v>0.75</v>
      </c>
      <c r="K219" s="112">
        <f t="shared" ca="1" si="78"/>
        <v>89.297672614113026</v>
      </c>
      <c r="L219" s="98">
        <f t="shared" ca="1" si="79"/>
        <v>434.32561987927022</v>
      </c>
      <c r="M219" s="98">
        <f t="shared" ca="1" si="80"/>
        <v>0.27846695792914261</v>
      </c>
      <c r="N219" s="98">
        <f t="shared" ca="1" si="81"/>
        <v>86.865123975854047</v>
      </c>
      <c r="O219" s="67">
        <f>assumptions!M223</f>
        <v>55</v>
      </c>
      <c r="P219" s="68">
        <f>assumptions!N223</f>
        <v>3</v>
      </c>
      <c r="Q219" s="68">
        <f>assumptions!O223</f>
        <v>22</v>
      </c>
      <c r="R219" s="67">
        <f t="shared" si="82"/>
        <v>52.5</v>
      </c>
      <c r="S219" s="68">
        <f t="shared" si="83"/>
        <v>2.3275000000000001</v>
      </c>
      <c r="T219" s="68">
        <f t="shared" si="84"/>
        <v>22</v>
      </c>
      <c r="U219" s="73">
        <f t="shared" ca="1" si="85"/>
        <v>4688.127812240934</v>
      </c>
      <c r="V219" s="72">
        <f t="shared" ca="1" si="86"/>
        <v>1010.8928802690015</v>
      </c>
      <c r="W219" s="72">
        <f t="shared" ca="1" si="87"/>
        <v>1911.0327274687891</v>
      </c>
      <c r="X219" s="72">
        <f t="shared" ca="1" si="94"/>
        <v>7610.0534199787244</v>
      </c>
      <c r="Y219" s="73">
        <f>mult_opex * fixed_month</f>
        <v>1000</v>
      </c>
      <c r="Z219" s="72">
        <f ca="1">mult_opex * fixed_well *D219</f>
        <v>5000</v>
      </c>
      <c r="AA219" s="72">
        <f ca="1">(Z219+Y219)*WI_current_1</f>
        <v>6000</v>
      </c>
      <c r="AB219" s="72">
        <f ca="1">mult_opex * var_bo*E219</f>
        <v>0</v>
      </c>
      <c r="AC219" s="72">
        <f ca="1">mult_opex * var_mcf*F219</f>
        <v>0</v>
      </c>
      <c r="AD219" s="72">
        <f ca="1">mult_opex * var_bw * G219</f>
        <v>0.74257855447771359</v>
      </c>
      <c r="AE219" s="72">
        <f ca="1">SUM(AB219:AD219)*WI_current_1</f>
        <v>0.74257855447771359</v>
      </c>
      <c r="AF219" s="73">
        <f ca="1">mult_capex * IFERROR(OFFSET(assumptions!$F$39,MATCH(B219,assumptions!$E$39:$E$45,0)-1,0),0)</f>
        <v>0</v>
      </c>
      <c r="AG219" s="75">
        <f ca="1">mult_capex * capex_new*WI_current_1 *'forecast production'!I220</f>
        <v>0</v>
      </c>
      <c r="AH219" s="146">
        <f t="shared" ca="1" si="95"/>
        <v>0</v>
      </c>
      <c r="AI219" s="73">
        <f t="shared" ca="1" si="88"/>
        <v>434.79829994341719</v>
      </c>
      <c r="AJ219" s="72">
        <f t="shared" ca="1" si="89"/>
        <v>190.25133549946813</v>
      </c>
      <c r="AK219" s="72">
        <f t="shared" ca="1" si="96"/>
        <v>625.04963544288535</v>
      </c>
      <c r="AL219" s="73">
        <f t="shared" ca="1" si="90"/>
        <v>984.26120598136185</v>
      </c>
      <c r="AM219" s="132">
        <f ca="1">IF(X219*(lease_NRI/J219)  - (Z219+Y219+AB219+AC219+AD219)  - (AK219)*(lease_NRI/J219)&gt;0,1,0)</f>
        <v>1</v>
      </c>
      <c r="AN219" s="73">
        <f t="shared" ca="1" si="97"/>
        <v>984.26120598136185</v>
      </c>
      <c r="AO219" s="75">
        <f t="shared" ca="1" si="102"/>
        <v>2320396.8865521974</v>
      </c>
      <c r="AP219" s="72">
        <f ca="1">AL219  /  ( 1 + disc_1/12)^(COUNT($AL$6:AL219)-1)</f>
        <v>168.04743916567463</v>
      </c>
      <c r="AQ219" s="72">
        <f t="shared" ca="1" si="103"/>
        <v>1562069.9709807266</v>
      </c>
      <c r="AS219" s="303">
        <f t="shared" ca="1" si="98"/>
        <v>1</v>
      </c>
      <c r="AT219" s="300">
        <f ca="1">IFERROR(IRR($AN$6:AN219)*12,0)</f>
        <v>0</v>
      </c>
      <c r="AU219" s="297">
        <f t="shared" ca="1" si="99"/>
        <v>0</v>
      </c>
      <c r="AV219" s="303">
        <f t="shared" ca="1" si="100"/>
        <v>0</v>
      </c>
    </row>
    <row r="220" spans="2:48" x14ac:dyDescent="0.25">
      <c r="B220" s="43">
        <f t="shared" si="101"/>
        <v>50710</v>
      </c>
      <c r="C220" s="79">
        <f t="shared" si="91"/>
        <v>2038</v>
      </c>
      <c r="D220" s="64">
        <f ca="1">wellcount_base  +  SUM('forecast production'!I$7:I221)</f>
        <v>1</v>
      </c>
      <c r="E220" s="110">
        <f ca="1">'forecast production'!AE221</f>
        <v>114.40970953810464</v>
      </c>
      <c r="F220" s="98">
        <f ca="1">'forecast production'!AF221</f>
        <v>743.31036767872376</v>
      </c>
      <c r="G220" s="98">
        <f ca="1">'forecast production'!AG221</f>
        <v>0.34692250893300969</v>
      </c>
      <c r="H220" s="98">
        <f ca="1">'forecast production'!AH221</f>
        <v>111.49655515180855</v>
      </c>
      <c r="I220" s="307">
        <f t="shared" ca="1" si="92"/>
        <v>1</v>
      </c>
      <c r="J220" s="306">
        <f t="shared" ca="1" si="93"/>
        <v>0.75</v>
      </c>
      <c r="K220" s="112">
        <f t="shared" ca="1" si="78"/>
        <v>85.807282153578484</v>
      </c>
      <c r="L220" s="98">
        <f t="shared" ca="1" si="79"/>
        <v>418.11208181928214</v>
      </c>
      <c r="M220" s="98">
        <f t="shared" ca="1" si="80"/>
        <v>0.26019188169975727</v>
      </c>
      <c r="N220" s="98">
        <f t="shared" ca="1" si="81"/>
        <v>83.622416363856416</v>
      </c>
      <c r="O220" s="67">
        <f>assumptions!M224</f>
        <v>55</v>
      </c>
      <c r="P220" s="68">
        <f>assumptions!N224</f>
        <v>3</v>
      </c>
      <c r="Q220" s="68">
        <f>assumptions!O224</f>
        <v>22</v>
      </c>
      <c r="R220" s="67">
        <f t="shared" si="82"/>
        <v>52.5</v>
      </c>
      <c r="S220" s="68">
        <f t="shared" si="83"/>
        <v>2.3275000000000001</v>
      </c>
      <c r="T220" s="68">
        <f t="shared" si="84"/>
        <v>22</v>
      </c>
      <c r="U220" s="73">
        <f t="shared" ca="1" si="85"/>
        <v>4504.8823130628707</v>
      </c>
      <c r="V220" s="72">
        <f t="shared" ca="1" si="86"/>
        <v>973.15587043437927</v>
      </c>
      <c r="W220" s="72">
        <f t="shared" ca="1" si="87"/>
        <v>1839.693160004841</v>
      </c>
      <c r="X220" s="72">
        <f t="shared" ca="1" si="94"/>
        <v>7317.7313435020915</v>
      </c>
      <c r="Y220" s="73">
        <f>mult_opex * fixed_month</f>
        <v>1000</v>
      </c>
      <c r="Z220" s="72">
        <f ca="1">mult_opex * fixed_well *D220</f>
        <v>5000</v>
      </c>
      <c r="AA220" s="72">
        <f ca="1">(Z220+Y220)*WI_current_1</f>
        <v>6000</v>
      </c>
      <c r="AB220" s="72">
        <f ca="1">mult_opex * var_bo*E220</f>
        <v>0</v>
      </c>
      <c r="AC220" s="72">
        <f ca="1">mult_opex * var_mcf*F220</f>
        <v>0</v>
      </c>
      <c r="AD220" s="72">
        <f ca="1">mult_opex * var_bw * G220</f>
        <v>0.69384501786601938</v>
      </c>
      <c r="AE220" s="72">
        <f ca="1">SUM(AB220:AD220)*WI_current_1</f>
        <v>0.69384501786601938</v>
      </c>
      <c r="AF220" s="73">
        <f ca="1">mult_capex * IFERROR(OFFSET(assumptions!$F$39,MATCH(B220,assumptions!$E$39:$E$45,0)-1,0),0)</f>
        <v>0</v>
      </c>
      <c r="AG220" s="75">
        <f ca="1">mult_capex * capex_new*WI_current_1 *'forecast production'!I221</f>
        <v>0</v>
      </c>
      <c r="AH220" s="146">
        <f t="shared" ca="1" si="95"/>
        <v>0</v>
      </c>
      <c r="AI220" s="73">
        <f t="shared" ca="1" si="88"/>
        <v>418.18826368383355</v>
      </c>
      <c r="AJ220" s="72">
        <f t="shared" ca="1" si="89"/>
        <v>182.94328358755229</v>
      </c>
      <c r="AK220" s="72">
        <f t="shared" ca="1" si="96"/>
        <v>601.1315472713859</v>
      </c>
      <c r="AL220" s="73">
        <f t="shared" ca="1" si="90"/>
        <v>715.90595121283968</v>
      </c>
      <c r="AM220" s="132">
        <f ca="1">IF(X220*(lease_NRI/J220)  - (Z220+Y220+AB220+AC220+AD220)  - (AK220)*(lease_NRI/J220)&gt;0,1,0)</f>
        <v>1</v>
      </c>
      <c r="AN220" s="73">
        <f t="shared" ca="1" si="97"/>
        <v>715.90595121283968</v>
      </c>
      <c r="AO220" s="75">
        <f t="shared" ca="1" si="102"/>
        <v>2321112.79250341</v>
      </c>
      <c r="AP220" s="72">
        <f ca="1">AL220  /  ( 1 + disc_1/12)^(COUNT($AL$6:AL220)-1)</f>
        <v>121.21974863974182</v>
      </c>
      <c r="AQ220" s="72">
        <f t="shared" ca="1" si="103"/>
        <v>1562191.1907293664</v>
      </c>
      <c r="AS220" s="303">
        <f t="shared" ca="1" si="98"/>
        <v>1</v>
      </c>
      <c r="AT220" s="300">
        <f ca="1">IFERROR(IRR($AN$6:AN220)*12,0)</f>
        <v>0</v>
      </c>
      <c r="AU220" s="297">
        <f t="shared" ca="1" si="99"/>
        <v>0</v>
      </c>
      <c r="AV220" s="303">
        <f t="shared" ca="1" si="100"/>
        <v>0</v>
      </c>
    </row>
    <row r="221" spans="2:48" x14ac:dyDescent="0.25">
      <c r="B221" s="44">
        <f t="shared" si="101"/>
        <v>50740</v>
      </c>
      <c r="C221" s="100">
        <f t="shared" si="91"/>
        <v>2038</v>
      </c>
      <c r="D221" s="65">
        <f ca="1">wellcount_base  +  SUM('forecast production'!I$7:I222)</f>
        <v>1</v>
      </c>
      <c r="E221" s="109">
        <f ca="1">'forecast production'!AE222</f>
        <v>117.41591833914543</v>
      </c>
      <c r="F221" s="101">
        <f ca="1">'forecast production'!AF222</f>
        <v>764.19107266685126</v>
      </c>
      <c r="G221" s="101">
        <f ca="1">'forecast production'!AG222</f>
        <v>0.34651941298979327</v>
      </c>
      <c r="H221" s="102">
        <f ca="1">'forecast production'!AH222</f>
        <v>114.62866090002768</v>
      </c>
      <c r="I221" s="308">
        <f t="shared" ca="1" si="92"/>
        <v>1</v>
      </c>
      <c r="J221" s="309">
        <f t="shared" ca="1" si="93"/>
        <v>0.75</v>
      </c>
      <c r="K221" s="113">
        <f t="shared" ca="1" si="78"/>
        <v>88.061938754359076</v>
      </c>
      <c r="L221" s="102">
        <f t="shared" ca="1" si="79"/>
        <v>429.85747837510382</v>
      </c>
      <c r="M221" s="102">
        <f t="shared" ca="1" si="80"/>
        <v>0.25988955974234496</v>
      </c>
      <c r="N221" s="102">
        <f t="shared" ca="1" si="81"/>
        <v>85.971495675020762</v>
      </c>
      <c r="O221" s="103">
        <f>assumptions!M225</f>
        <v>55</v>
      </c>
      <c r="P221" s="104">
        <f>assumptions!N225</f>
        <v>3</v>
      </c>
      <c r="Q221" s="104">
        <f>assumptions!O225</f>
        <v>22</v>
      </c>
      <c r="R221" s="103">
        <f t="shared" si="82"/>
        <v>52.5</v>
      </c>
      <c r="S221" s="104">
        <f t="shared" si="83"/>
        <v>2.3275000000000001</v>
      </c>
      <c r="T221" s="104">
        <f t="shared" si="84"/>
        <v>22</v>
      </c>
      <c r="U221" s="105">
        <f t="shared" ca="1" si="85"/>
        <v>4623.2517846038518</v>
      </c>
      <c r="V221" s="106">
        <f t="shared" ca="1" si="86"/>
        <v>1000.4932809180542</v>
      </c>
      <c r="W221" s="106">
        <f t="shared" ca="1" si="87"/>
        <v>1891.3729048504567</v>
      </c>
      <c r="X221" s="106">
        <f t="shared" ca="1" si="94"/>
        <v>7515.1179703723628</v>
      </c>
      <c r="Y221" s="105">
        <f>mult_opex * fixed_month</f>
        <v>1000</v>
      </c>
      <c r="Z221" s="106">
        <f ca="1">mult_opex * fixed_well *D221</f>
        <v>5000</v>
      </c>
      <c r="AA221" s="106">
        <f ca="1">(Z221+Y221)*WI_current_1</f>
        <v>6000</v>
      </c>
      <c r="AB221" s="106">
        <f ca="1">mult_opex * var_bo*E221</f>
        <v>0</v>
      </c>
      <c r="AC221" s="106">
        <f ca="1">mult_opex * var_mcf*F221</f>
        <v>0</v>
      </c>
      <c r="AD221" s="106">
        <f ca="1">mult_opex * var_bw * G221</f>
        <v>0.69303882597958655</v>
      </c>
      <c r="AE221" s="106">
        <f ca="1">SUM(AB221:AD221)*WI_current_1</f>
        <v>0.69303882597958655</v>
      </c>
      <c r="AF221" s="105">
        <f ca="1">mult_capex * IFERROR(OFFSET(assumptions!$F$39,MATCH(B221,assumptions!$E$39:$E$45,0)-1,0),0)</f>
        <v>0</v>
      </c>
      <c r="AG221" s="106">
        <f ca="1">mult_capex * capex_new*WI_current_1 *'forecast production'!I222</f>
        <v>0</v>
      </c>
      <c r="AH221" s="147">
        <f t="shared" ca="1" si="95"/>
        <v>0</v>
      </c>
      <c r="AI221" s="105">
        <f t="shared" ca="1" si="88"/>
        <v>429.55954602441545</v>
      </c>
      <c r="AJ221" s="106">
        <f t="shared" ca="1" si="89"/>
        <v>187.87794925930908</v>
      </c>
      <c r="AK221" s="106">
        <f t="shared" ca="1" si="96"/>
        <v>617.4374952837245</v>
      </c>
      <c r="AL221" s="105">
        <f t="shared" ca="1" si="90"/>
        <v>896.98743626265878</v>
      </c>
      <c r="AM221" s="133">
        <f ca="1">IF(X221*(lease_NRI/J221)  - (Z221+Y221+AB221+AC221+AD221)  - (AK221)*(lease_NRI/J221)&gt;0,1,0)</f>
        <v>1</v>
      </c>
      <c r="AN221" s="105">
        <f t="shared" ca="1" si="97"/>
        <v>896.98743626265878</v>
      </c>
      <c r="AO221" s="106">
        <f t="shared" ca="1" si="102"/>
        <v>2322009.7799396729</v>
      </c>
      <c r="AP221" s="106">
        <f ca="1">AL221  /  ( 1 + disc_1/12)^(COUNT($AL$6:AL221)-1)</f>
        <v>150.62589564304372</v>
      </c>
      <c r="AQ221" s="106">
        <f t="shared" ca="1" si="103"/>
        <v>1562341.8166250095</v>
      </c>
      <c r="AS221" s="304">
        <f t="shared" ca="1" si="98"/>
        <v>1</v>
      </c>
      <c r="AT221" s="301">
        <f ca="1">IFERROR(IRR($AN$6:AN221)*12,0)</f>
        <v>0</v>
      </c>
      <c r="AU221" s="298">
        <f t="shared" ca="1" si="99"/>
        <v>0</v>
      </c>
      <c r="AV221" s="304">
        <f t="shared" ca="1" si="100"/>
        <v>0</v>
      </c>
    </row>
    <row r="222" spans="2:48" x14ac:dyDescent="0.25">
      <c r="B222" s="43">
        <f t="shared" si="101"/>
        <v>50771</v>
      </c>
      <c r="C222" s="79">
        <f t="shared" si="91"/>
        <v>2039</v>
      </c>
      <c r="D222" s="64">
        <f ca="1">wellcount_base  +  SUM('forecast production'!I$7:I223)</f>
        <v>1</v>
      </c>
      <c r="E222" s="110">
        <f ca="1">'forecast production'!AE223</f>
        <v>116.58734832929419</v>
      </c>
      <c r="F222" s="98">
        <f ca="1">'forecast production'!AF223</f>
        <v>760.18565149861365</v>
      </c>
      <c r="G222" s="98">
        <f ca="1">'forecast production'!AG223</f>
        <v>0.33457488711945244</v>
      </c>
      <c r="H222" s="98">
        <f ca="1">'forecast production'!AH223</f>
        <v>114.02784772479205</v>
      </c>
      <c r="I222" s="307">
        <f t="shared" ca="1" si="92"/>
        <v>1</v>
      </c>
      <c r="J222" s="306">
        <f t="shared" ca="1" si="93"/>
        <v>0.75</v>
      </c>
      <c r="K222" s="112">
        <f t="shared" ca="1" si="78"/>
        <v>87.440511246970644</v>
      </c>
      <c r="L222" s="98">
        <f t="shared" ca="1" si="79"/>
        <v>427.60442896797014</v>
      </c>
      <c r="M222" s="98">
        <f t="shared" ca="1" si="80"/>
        <v>0.25093116533958931</v>
      </c>
      <c r="N222" s="98">
        <f t="shared" ca="1" si="81"/>
        <v>85.520885793594033</v>
      </c>
      <c r="O222" s="67">
        <f>assumptions!M226</f>
        <v>55</v>
      </c>
      <c r="P222" s="68">
        <f>assumptions!N226</f>
        <v>3</v>
      </c>
      <c r="Q222" s="68">
        <f>assumptions!O226</f>
        <v>22</v>
      </c>
      <c r="R222" s="67">
        <f t="shared" si="82"/>
        <v>52.5</v>
      </c>
      <c r="S222" s="68">
        <f t="shared" si="83"/>
        <v>2.3275000000000001</v>
      </c>
      <c r="T222" s="68">
        <f t="shared" si="84"/>
        <v>22</v>
      </c>
      <c r="U222" s="73">
        <f t="shared" ca="1" si="85"/>
        <v>4590.6268404659586</v>
      </c>
      <c r="V222" s="72">
        <f t="shared" ca="1" si="86"/>
        <v>995.24930842295055</v>
      </c>
      <c r="W222" s="72">
        <f t="shared" ca="1" si="87"/>
        <v>1881.4594874590687</v>
      </c>
      <c r="X222" s="72">
        <f t="shared" ca="1" si="94"/>
        <v>7467.3356363479779</v>
      </c>
      <c r="Y222" s="73">
        <f>mult_opex * fixed_month</f>
        <v>1000</v>
      </c>
      <c r="Z222" s="72">
        <f ca="1">mult_opex * fixed_well *D222</f>
        <v>5000</v>
      </c>
      <c r="AA222" s="72">
        <f ca="1">(Z222+Y222)*WI_current_1</f>
        <v>6000</v>
      </c>
      <c r="AB222" s="72">
        <f ca="1">mult_opex * var_bo*E222</f>
        <v>0</v>
      </c>
      <c r="AC222" s="72">
        <f ca="1">mult_opex * var_mcf*F222</f>
        <v>0</v>
      </c>
      <c r="AD222" s="72">
        <f ca="1">mult_opex * var_bw * G222</f>
        <v>0.66914977423890487</v>
      </c>
      <c r="AE222" s="72">
        <f ca="1">SUM(AB222:AD222)*WI_current_1</f>
        <v>0.66914977423890487</v>
      </c>
      <c r="AF222" s="73">
        <f ca="1">mult_capex * IFERROR(OFFSET(assumptions!$F$39,MATCH(B222,assumptions!$E$39:$E$45,0)-1,0),0)</f>
        <v>0</v>
      </c>
      <c r="AG222" s="75">
        <f ca="1">mult_capex * capex_new*WI_current_1 *'forecast production'!I223</f>
        <v>0</v>
      </c>
      <c r="AH222" s="146">
        <f t="shared" ca="1" si="95"/>
        <v>0</v>
      </c>
      <c r="AI222" s="73">
        <f t="shared" ca="1" si="88"/>
        <v>426.9219943525855</v>
      </c>
      <c r="AJ222" s="72">
        <f t="shared" ca="1" si="89"/>
        <v>186.68339090869947</v>
      </c>
      <c r="AK222" s="72">
        <f t="shared" ca="1" si="96"/>
        <v>613.60538526128494</v>
      </c>
      <c r="AL222" s="73">
        <f t="shared" ca="1" si="90"/>
        <v>853.06110131245441</v>
      </c>
      <c r="AM222" s="132">
        <f ca="1">IF(X222*(lease_NRI/J222)  - (Z222+Y222+AB222+AC222+AD222)  - (AK222)*(lease_NRI/J222)&gt;0,1,0)</f>
        <v>1</v>
      </c>
      <c r="AN222" s="73">
        <f t="shared" ca="1" si="97"/>
        <v>853.06110131245441</v>
      </c>
      <c r="AO222" s="75">
        <f t="shared" ca="1" si="102"/>
        <v>2322862.8410409852</v>
      </c>
      <c r="AP222" s="72">
        <f ca="1">AL222  /  ( 1 + disc_1/12)^(COUNT($AL$6:AL222)-1)</f>
        <v>142.0657200849023</v>
      </c>
      <c r="AQ222" s="72">
        <f t="shared" ca="1" si="103"/>
        <v>1562483.8823450943</v>
      </c>
      <c r="AS222" s="303">
        <f t="shared" ca="1" si="98"/>
        <v>1</v>
      </c>
      <c r="AT222" s="300">
        <f ca="1">IFERROR(IRR($AN$6:AN222)*12,0)</f>
        <v>0</v>
      </c>
      <c r="AU222" s="297">
        <f t="shared" ca="1" si="99"/>
        <v>0</v>
      </c>
      <c r="AV222" s="303">
        <f t="shared" ca="1" si="100"/>
        <v>0</v>
      </c>
    </row>
    <row r="223" spans="2:48" x14ac:dyDescent="0.25">
      <c r="B223" s="43">
        <f t="shared" si="101"/>
        <v>50802</v>
      </c>
      <c r="C223" s="79">
        <f t="shared" si="91"/>
        <v>2039</v>
      </c>
      <c r="D223" s="64">
        <f ca="1">wellcount_base  +  SUM('forecast production'!I$7:I224)</f>
        <v>1</v>
      </c>
      <c r="E223" s="110">
        <f ca="1">'forecast production'!AE224</f>
        <v>104.56159704261972</v>
      </c>
      <c r="F223" s="98">
        <f ca="1">'forecast production'!AF224</f>
        <v>683.02046065164507</v>
      </c>
      <c r="G223" s="98">
        <f ca="1">'forecast production'!AG224</f>
        <v>0.29178174628711206</v>
      </c>
      <c r="H223" s="98">
        <f ca="1">'forecast production'!AH224</f>
        <v>102.45306909774676</v>
      </c>
      <c r="I223" s="307">
        <f t="shared" ca="1" si="92"/>
        <v>1</v>
      </c>
      <c r="J223" s="306">
        <f t="shared" ca="1" si="93"/>
        <v>0.75</v>
      </c>
      <c r="K223" s="112">
        <f t="shared" ca="1" si="78"/>
        <v>78.421197781964793</v>
      </c>
      <c r="L223" s="98">
        <f t="shared" ca="1" si="79"/>
        <v>384.19900911655037</v>
      </c>
      <c r="M223" s="98">
        <f t="shared" ca="1" si="80"/>
        <v>0.21883630971533405</v>
      </c>
      <c r="N223" s="98">
        <f t="shared" ca="1" si="81"/>
        <v>76.839801823310069</v>
      </c>
      <c r="O223" s="67">
        <f>assumptions!M227</f>
        <v>55</v>
      </c>
      <c r="P223" s="68">
        <f>assumptions!N227</f>
        <v>3</v>
      </c>
      <c r="Q223" s="68">
        <f>assumptions!O227</f>
        <v>22</v>
      </c>
      <c r="R223" s="67">
        <f t="shared" si="82"/>
        <v>52.5</v>
      </c>
      <c r="S223" s="68">
        <f t="shared" si="83"/>
        <v>2.3275000000000001</v>
      </c>
      <c r="T223" s="68">
        <f t="shared" si="84"/>
        <v>22</v>
      </c>
      <c r="U223" s="73">
        <f t="shared" ca="1" si="85"/>
        <v>4117.1128835531517</v>
      </c>
      <c r="V223" s="72">
        <f t="shared" ca="1" si="86"/>
        <v>894.22319371877109</v>
      </c>
      <c r="W223" s="72">
        <f t="shared" ca="1" si="87"/>
        <v>1690.4756401128216</v>
      </c>
      <c r="X223" s="72">
        <f t="shared" ca="1" si="94"/>
        <v>6701.811717384744</v>
      </c>
      <c r="Y223" s="73">
        <f>mult_opex * fixed_month</f>
        <v>1000</v>
      </c>
      <c r="Z223" s="72">
        <f ca="1">mult_opex * fixed_well *D223</f>
        <v>5000</v>
      </c>
      <c r="AA223" s="72">
        <f ca="1">(Z223+Y223)*WI_current_1</f>
        <v>6000</v>
      </c>
      <c r="AB223" s="72">
        <f ca="1">mult_opex * var_bo*E223</f>
        <v>0</v>
      </c>
      <c r="AC223" s="72">
        <f ca="1">mult_opex * var_mcf*F223</f>
        <v>0</v>
      </c>
      <c r="AD223" s="72">
        <f ca="1">mult_opex * var_bw * G223</f>
        <v>0.58356349257422413</v>
      </c>
      <c r="AE223" s="72">
        <f ca="1">SUM(AB223:AD223)*WI_current_1</f>
        <v>0.58356349257422413</v>
      </c>
      <c r="AF223" s="73">
        <f ca="1">mult_capex * IFERROR(OFFSET(assumptions!$F$39,MATCH(B223,assumptions!$E$39:$E$45,0)-1,0),0)</f>
        <v>0</v>
      </c>
      <c r="AG223" s="75">
        <f ca="1">mult_capex * capex_new*WI_current_1 *'forecast production'!I224</f>
        <v>0</v>
      </c>
      <c r="AH223" s="146">
        <f t="shared" ca="1" si="95"/>
        <v>0</v>
      </c>
      <c r="AI223" s="73">
        <f t="shared" ca="1" si="88"/>
        <v>383.23960518081446</v>
      </c>
      <c r="AJ223" s="72">
        <f t="shared" ca="1" si="89"/>
        <v>167.5452929346186</v>
      </c>
      <c r="AK223" s="72">
        <f t="shared" ca="1" si="96"/>
        <v>550.78489811543307</v>
      </c>
      <c r="AL223" s="73">
        <f t="shared" ca="1" si="90"/>
        <v>150.44325577673681</v>
      </c>
      <c r="AM223" s="132">
        <f ca="1">IF(X223*(lease_NRI/J223)  - (Z223+Y223+AB223+AC223+AD223)  - (AK223)*(lease_NRI/J223)&gt;0,1,0)</f>
        <v>1</v>
      </c>
      <c r="AN223" s="73">
        <f t="shared" ca="1" si="97"/>
        <v>150.44325577673681</v>
      </c>
      <c r="AO223" s="75">
        <f t="shared" ca="1" si="102"/>
        <v>2323013.2842967617</v>
      </c>
      <c r="AP223" s="72">
        <f ca="1">AL223  /  ( 1 + disc_1/12)^(COUNT($AL$6:AL223)-1)</f>
        <v>24.847217247371621</v>
      </c>
      <c r="AQ223" s="72">
        <f t="shared" ca="1" si="103"/>
        <v>1562508.7295623417</v>
      </c>
      <c r="AS223" s="303">
        <f t="shared" ca="1" si="98"/>
        <v>1</v>
      </c>
      <c r="AT223" s="300">
        <f ca="1">IFERROR(IRR($AN$6:AN223)*12,0)</f>
        <v>0</v>
      </c>
      <c r="AU223" s="297">
        <f t="shared" ca="1" si="99"/>
        <v>0</v>
      </c>
      <c r="AV223" s="303">
        <f t="shared" ca="1" si="100"/>
        <v>0</v>
      </c>
    </row>
    <row r="224" spans="2:48" x14ac:dyDescent="0.25">
      <c r="B224" s="43">
        <f t="shared" si="101"/>
        <v>50830</v>
      </c>
      <c r="C224" s="79">
        <f t="shared" si="91"/>
        <v>2039</v>
      </c>
      <c r="D224" s="64">
        <f ca="1">wellcount_base  +  SUM('forecast production'!I$7:I225)</f>
        <v>1</v>
      </c>
      <c r="E224" s="110">
        <f ca="1">'forecast production'!AE225</f>
        <v>115.02651189904674</v>
      </c>
      <c r="F224" s="98">
        <f ca="1">'forecast production'!AF225</f>
        <v>752.62034003515282</v>
      </c>
      <c r="G224" s="98">
        <f ca="1">'forecast production'!AG225</f>
        <v>0.31297276044567807</v>
      </c>
      <c r="H224" s="98">
        <f ca="1">'forecast production'!AH225</f>
        <v>112.89305100527292</v>
      </c>
      <c r="I224" s="307">
        <f t="shared" ca="1" si="92"/>
        <v>1</v>
      </c>
      <c r="J224" s="306">
        <f t="shared" ca="1" si="93"/>
        <v>0.75</v>
      </c>
      <c r="K224" s="112">
        <f t="shared" ca="1" si="78"/>
        <v>86.269883924285054</v>
      </c>
      <c r="L224" s="98">
        <f t="shared" ca="1" si="79"/>
        <v>423.34894126977349</v>
      </c>
      <c r="M224" s="98">
        <f t="shared" ca="1" si="80"/>
        <v>0.23472957033425856</v>
      </c>
      <c r="N224" s="98">
        <f t="shared" ca="1" si="81"/>
        <v>84.669788253954692</v>
      </c>
      <c r="O224" s="67">
        <f>assumptions!M228</f>
        <v>55</v>
      </c>
      <c r="P224" s="68">
        <f>assumptions!N228</f>
        <v>3</v>
      </c>
      <c r="Q224" s="68">
        <f>assumptions!O228</f>
        <v>22</v>
      </c>
      <c r="R224" s="67">
        <f t="shared" si="82"/>
        <v>52.5</v>
      </c>
      <c r="S224" s="68">
        <f t="shared" si="83"/>
        <v>2.3275000000000001</v>
      </c>
      <c r="T224" s="68">
        <f t="shared" si="84"/>
        <v>22</v>
      </c>
      <c r="U224" s="73">
        <f t="shared" ca="1" si="85"/>
        <v>4529.1689060249655</v>
      </c>
      <c r="V224" s="72">
        <f t="shared" ca="1" si="86"/>
        <v>985.34466080539789</v>
      </c>
      <c r="W224" s="72">
        <f t="shared" ca="1" si="87"/>
        <v>1862.7353415870032</v>
      </c>
      <c r="X224" s="72">
        <f t="shared" ca="1" si="94"/>
        <v>7377.2489084173667</v>
      </c>
      <c r="Y224" s="73">
        <f>mult_opex * fixed_month</f>
        <v>1000</v>
      </c>
      <c r="Z224" s="72">
        <f ca="1">mult_opex * fixed_well *D224</f>
        <v>5000</v>
      </c>
      <c r="AA224" s="72">
        <f ca="1">(Z224+Y224)*WI_current_1</f>
        <v>6000</v>
      </c>
      <c r="AB224" s="72">
        <f ca="1">mult_opex * var_bo*E224</f>
        <v>0</v>
      </c>
      <c r="AC224" s="72">
        <f ca="1">mult_opex * var_mcf*F224</f>
        <v>0</v>
      </c>
      <c r="AD224" s="72">
        <f ca="1">mult_opex * var_bw * G224</f>
        <v>0.62594552089135613</v>
      </c>
      <c r="AE224" s="72">
        <f ca="1">SUM(AB224:AD224)*WI_current_1</f>
        <v>0.62594552089135613</v>
      </c>
      <c r="AF224" s="73">
        <f ca="1">mult_capex * IFERROR(OFFSET(assumptions!$F$39,MATCH(B224,assumptions!$E$39:$E$45,0)-1,0),0)</f>
        <v>0</v>
      </c>
      <c r="AG224" s="75">
        <f ca="1">mult_capex * capex_new*WI_current_1 *'forecast production'!I225</f>
        <v>0</v>
      </c>
      <c r="AH224" s="146">
        <f t="shared" ca="1" si="95"/>
        <v>0</v>
      </c>
      <c r="AI224" s="73">
        <f t="shared" ca="1" si="88"/>
        <v>421.94776985657847</v>
      </c>
      <c r="AJ224" s="72">
        <f t="shared" ca="1" si="89"/>
        <v>184.43122271043418</v>
      </c>
      <c r="AK224" s="72">
        <f t="shared" ca="1" si="96"/>
        <v>606.37899256701269</v>
      </c>
      <c r="AL224" s="73">
        <f t="shared" ca="1" si="90"/>
        <v>770.24397032946308</v>
      </c>
      <c r="AM224" s="132">
        <f ca="1">IF(X224*(lease_NRI/J224)  - (Z224+Y224+AB224+AC224+AD224)  - (AK224)*(lease_NRI/J224)&gt;0,1,0)</f>
        <v>1</v>
      </c>
      <c r="AN224" s="73">
        <f t="shared" ca="1" si="97"/>
        <v>770.24397032946308</v>
      </c>
      <c r="AO224" s="75">
        <f t="shared" ca="1" si="102"/>
        <v>2323783.5282670911</v>
      </c>
      <c r="AP224" s="72">
        <f ca="1">AL224  /  ( 1 + disc_1/12)^(COUNT($AL$6:AL224)-1)</f>
        <v>126.16218927202407</v>
      </c>
      <c r="AQ224" s="72">
        <f t="shared" ca="1" si="103"/>
        <v>1562634.8917516137</v>
      </c>
      <c r="AS224" s="303">
        <f t="shared" ca="1" si="98"/>
        <v>1</v>
      </c>
      <c r="AT224" s="300">
        <f ca="1">IFERROR(IRR($AN$6:AN224)*12,0)</f>
        <v>0</v>
      </c>
      <c r="AU224" s="297">
        <f t="shared" ca="1" si="99"/>
        <v>0</v>
      </c>
      <c r="AV224" s="303">
        <f t="shared" ca="1" si="100"/>
        <v>0</v>
      </c>
    </row>
    <row r="225" spans="2:48" x14ac:dyDescent="0.25">
      <c r="B225" s="43">
        <f t="shared" si="101"/>
        <v>50861</v>
      </c>
      <c r="C225" s="79">
        <f t="shared" si="91"/>
        <v>2039</v>
      </c>
      <c r="D225" s="64">
        <f ca="1">wellcount_base  +  SUM('forecast production'!I$7:I226)</f>
        <v>1</v>
      </c>
      <c r="E225" s="108">
        <f ca="1">'forecast production'!AE226</f>
        <v>110.53045474450067</v>
      </c>
      <c r="F225" s="97">
        <f ca="1">'forecast production'!AF226</f>
        <v>724.52474085941651</v>
      </c>
      <c r="G225" s="97">
        <f ca="1">'forecast production'!AG226</f>
        <v>0.29244191873260711</v>
      </c>
      <c r="H225" s="98">
        <f ca="1">'forecast production'!AH226</f>
        <v>108.67871112891248</v>
      </c>
      <c r="I225" s="307">
        <f t="shared" ca="1" si="92"/>
        <v>1</v>
      </c>
      <c r="J225" s="306">
        <f t="shared" ca="1" si="93"/>
        <v>0.75</v>
      </c>
      <c r="K225" s="112">
        <f t="shared" ca="1" si="78"/>
        <v>82.897841058375505</v>
      </c>
      <c r="L225" s="98">
        <f t="shared" ca="1" si="79"/>
        <v>407.54516673342181</v>
      </c>
      <c r="M225" s="98">
        <f t="shared" ca="1" si="80"/>
        <v>0.21933143904945535</v>
      </c>
      <c r="N225" s="98">
        <f t="shared" ca="1" si="81"/>
        <v>81.509033346684362</v>
      </c>
      <c r="O225" s="67">
        <f>assumptions!M229</f>
        <v>55</v>
      </c>
      <c r="P225" s="68">
        <f>assumptions!N229</f>
        <v>3</v>
      </c>
      <c r="Q225" s="68">
        <f>assumptions!O229</f>
        <v>22</v>
      </c>
      <c r="R225" s="67">
        <f t="shared" si="82"/>
        <v>52.5</v>
      </c>
      <c r="S225" s="68">
        <f t="shared" si="83"/>
        <v>2.3275000000000001</v>
      </c>
      <c r="T225" s="68">
        <f t="shared" si="84"/>
        <v>22</v>
      </c>
      <c r="U225" s="73">
        <f t="shared" ca="1" si="85"/>
        <v>4352.1366555647137</v>
      </c>
      <c r="V225" s="72">
        <f t="shared" ca="1" si="86"/>
        <v>948.56137557203931</v>
      </c>
      <c r="W225" s="72">
        <f t="shared" ca="1" si="87"/>
        <v>1793.1987336270558</v>
      </c>
      <c r="X225" s="72">
        <f t="shared" ca="1" si="94"/>
        <v>7093.8967647638092</v>
      </c>
      <c r="Y225" s="73">
        <f>mult_opex * fixed_month</f>
        <v>1000</v>
      </c>
      <c r="Z225" s="72">
        <f ca="1">mult_opex * fixed_well *D225</f>
        <v>5000</v>
      </c>
      <c r="AA225" s="72">
        <f ca="1">(Z225+Y225)*WI_current_1</f>
        <v>6000</v>
      </c>
      <c r="AB225" s="72">
        <f ca="1">mult_opex * var_bo*E225</f>
        <v>0</v>
      </c>
      <c r="AC225" s="72">
        <f ca="1">mult_opex * var_mcf*F225</f>
        <v>0</v>
      </c>
      <c r="AD225" s="72">
        <f ca="1">mult_opex * var_bw * G225</f>
        <v>0.58488383746521422</v>
      </c>
      <c r="AE225" s="72">
        <f ca="1">SUM(AB225:AD225)*WI_current_1</f>
        <v>0.58488383746521422</v>
      </c>
      <c r="AF225" s="73">
        <f ca="1">mult_capex * IFERROR(OFFSET(assumptions!$F$39,MATCH(B225,assumptions!$E$39:$E$45,0)-1,0),0)</f>
        <v>0</v>
      </c>
      <c r="AG225" s="75">
        <f ca="1">mult_capex * capex_new*WI_current_1 *'forecast production'!I226</f>
        <v>0</v>
      </c>
      <c r="AH225" s="146">
        <f t="shared" ca="1" si="95"/>
        <v>0</v>
      </c>
      <c r="AI225" s="73">
        <f t="shared" ca="1" si="88"/>
        <v>405.83029434590895</v>
      </c>
      <c r="AJ225" s="72">
        <f t="shared" ca="1" si="89"/>
        <v>177.34741911909524</v>
      </c>
      <c r="AK225" s="72">
        <f t="shared" ca="1" si="96"/>
        <v>583.17771346500422</v>
      </c>
      <c r="AL225" s="73">
        <f t="shared" ca="1" si="90"/>
        <v>510.13416746133953</v>
      </c>
      <c r="AM225" s="132">
        <f ca="1">IF(X225*(lease_NRI/J225)  - (Z225+Y225+AB225+AC225+AD225)  - (AK225)*(lease_NRI/J225)&gt;0,1,0)</f>
        <v>1</v>
      </c>
      <c r="AN225" s="73">
        <f t="shared" ca="1" si="97"/>
        <v>510.13416746133953</v>
      </c>
      <c r="AO225" s="75">
        <f t="shared" ca="1" si="102"/>
        <v>2324293.6624345523</v>
      </c>
      <c r="AP225" s="72">
        <f ca="1">AL225  /  ( 1 + disc_1/12)^(COUNT($AL$6:AL225)-1)</f>
        <v>82.866920052397461</v>
      </c>
      <c r="AQ225" s="72">
        <f t="shared" ca="1" si="103"/>
        <v>1562717.758671666</v>
      </c>
      <c r="AS225" s="303">
        <f t="shared" ca="1" si="98"/>
        <v>1</v>
      </c>
      <c r="AT225" s="300">
        <f ca="1">IFERROR(IRR($AN$6:AN225)*12,0)</f>
        <v>0</v>
      </c>
      <c r="AU225" s="297">
        <f t="shared" ca="1" si="99"/>
        <v>0</v>
      </c>
      <c r="AV225" s="303">
        <f t="shared" ca="1" si="100"/>
        <v>0</v>
      </c>
    </row>
    <row r="226" spans="2:48" x14ac:dyDescent="0.25">
      <c r="B226" s="43">
        <f t="shared" si="101"/>
        <v>50891</v>
      </c>
      <c r="C226" s="79">
        <f t="shared" si="91"/>
        <v>2039</v>
      </c>
      <c r="D226" s="64">
        <f ca="1">wellcount_base  +  SUM('forecast production'!I$7:I227)</f>
        <v>1</v>
      </c>
      <c r="E226" s="110">
        <f ca="1">'forecast production'!AE227</f>
        <v>113.43473294936135</v>
      </c>
      <c r="F226" s="98">
        <f ca="1">'forecast production'!AF227</f>
        <v>744.87772936639749</v>
      </c>
      <c r="G226" s="98">
        <f ca="1">'forecast production'!AG227</f>
        <v>0.29211059198482398</v>
      </c>
      <c r="H226" s="98">
        <f ca="1">'forecast production'!AH227</f>
        <v>111.73165940495963</v>
      </c>
      <c r="I226" s="307">
        <f t="shared" ca="1" si="92"/>
        <v>1</v>
      </c>
      <c r="J226" s="306">
        <f t="shared" ca="1" si="93"/>
        <v>0.75</v>
      </c>
      <c r="K226" s="112">
        <f t="shared" ca="1" si="78"/>
        <v>85.076049712021018</v>
      </c>
      <c r="L226" s="98">
        <f t="shared" ca="1" si="79"/>
        <v>418.99372276859856</v>
      </c>
      <c r="M226" s="98">
        <f t="shared" ca="1" si="80"/>
        <v>0.219082943988618</v>
      </c>
      <c r="N226" s="98">
        <f t="shared" ca="1" si="81"/>
        <v>83.798744553719729</v>
      </c>
      <c r="O226" s="67">
        <f>assumptions!M230</f>
        <v>55</v>
      </c>
      <c r="P226" s="68">
        <f>assumptions!N230</f>
        <v>3</v>
      </c>
      <c r="Q226" s="68">
        <f>assumptions!O230</f>
        <v>22</v>
      </c>
      <c r="R226" s="67">
        <f t="shared" si="82"/>
        <v>52.5</v>
      </c>
      <c r="S226" s="68">
        <f t="shared" si="83"/>
        <v>2.3275000000000001</v>
      </c>
      <c r="T226" s="68">
        <f t="shared" si="84"/>
        <v>22</v>
      </c>
      <c r="U226" s="73">
        <f t="shared" ca="1" si="85"/>
        <v>4466.4926098811038</v>
      </c>
      <c r="V226" s="72">
        <f t="shared" ca="1" si="86"/>
        <v>975.20788974391314</v>
      </c>
      <c r="W226" s="72">
        <f t="shared" ca="1" si="87"/>
        <v>1843.572380181834</v>
      </c>
      <c r="X226" s="72">
        <f t="shared" ca="1" si="94"/>
        <v>7285.2728798068511</v>
      </c>
      <c r="Y226" s="73">
        <f>mult_opex * fixed_month</f>
        <v>1000</v>
      </c>
      <c r="Z226" s="72">
        <f ca="1">mult_opex * fixed_well *D226</f>
        <v>5000</v>
      </c>
      <c r="AA226" s="72">
        <f ca="1">(Z226+Y226)*WI_current_1</f>
        <v>6000</v>
      </c>
      <c r="AB226" s="72">
        <f ca="1">mult_opex * var_bo*E226</f>
        <v>0</v>
      </c>
      <c r="AC226" s="72">
        <f ca="1">mult_opex * var_mcf*F226</f>
        <v>0</v>
      </c>
      <c r="AD226" s="72">
        <f ca="1">mult_opex * var_bw * G226</f>
        <v>0.58422118396964795</v>
      </c>
      <c r="AE226" s="72">
        <f ca="1">SUM(AB226:AD226)*WI_current_1</f>
        <v>0.58422118396964795</v>
      </c>
      <c r="AF226" s="73">
        <f ca="1">mult_capex * IFERROR(OFFSET(assumptions!$F$39,MATCH(B226,assumptions!$E$39:$E$45,0)-1,0),0)</f>
        <v>0</v>
      </c>
      <c r="AG226" s="75">
        <f ca="1">mult_capex * capex_new*WI_current_1 *'forecast production'!I227</f>
        <v>0</v>
      </c>
      <c r="AH226" s="146">
        <f t="shared" ca="1" si="95"/>
        <v>0</v>
      </c>
      <c r="AI226" s="73">
        <f t="shared" ca="1" si="88"/>
        <v>416.86718029896178</v>
      </c>
      <c r="AJ226" s="72">
        <f t="shared" ca="1" si="89"/>
        <v>182.13182199517129</v>
      </c>
      <c r="AK226" s="72">
        <f t="shared" ca="1" si="96"/>
        <v>598.99900229413311</v>
      </c>
      <c r="AL226" s="73">
        <f t="shared" ca="1" si="90"/>
        <v>685.68965632874824</v>
      </c>
      <c r="AM226" s="132">
        <f ca="1">IF(X226*(lease_NRI/J226)  - (Z226+Y226+AB226+AC226+AD226)  - (AK226)*(lease_NRI/J226)&gt;0,1,0)</f>
        <v>1</v>
      </c>
      <c r="AN226" s="73">
        <f t="shared" ca="1" si="97"/>
        <v>685.68965632874824</v>
      </c>
      <c r="AO226" s="75">
        <f t="shared" ca="1" si="102"/>
        <v>2324979.3520908812</v>
      </c>
      <c r="AP226" s="72">
        <f ca="1">AL226  /  ( 1 + disc_1/12)^(COUNT($AL$6:AL226)-1)</f>
        <v>110.46387120875846</v>
      </c>
      <c r="AQ226" s="72">
        <f t="shared" ca="1" si="103"/>
        <v>1562828.2225428747</v>
      </c>
      <c r="AS226" s="303">
        <f t="shared" ca="1" si="98"/>
        <v>1</v>
      </c>
      <c r="AT226" s="300">
        <f ca="1">IFERROR(IRR($AN$6:AN226)*12,0)</f>
        <v>0</v>
      </c>
      <c r="AU226" s="297">
        <f t="shared" ca="1" si="99"/>
        <v>0</v>
      </c>
      <c r="AV226" s="303">
        <f t="shared" ca="1" si="100"/>
        <v>0</v>
      </c>
    </row>
    <row r="227" spans="2:48" x14ac:dyDescent="0.25">
      <c r="B227" s="43">
        <f t="shared" si="101"/>
        <v>50922</v>
      </c>
      <c r="C227" s="79">
        <f t="shared" si="91"/>
        <v>2039</v>
      </c>
      <c r="D227" s="64">
        <f ca="1">wellcount_base  +  SUM('forecast production'!I$7:I228)</f>
        <v>1</v>
      </c>
      <c r="E227" s="110">
        <f ca="1">'forecast production'!AE228</f>
        <v>109.00089387842952</v>
      </c>
      <c r="F227" s="98">
        <f ca="1">'forecast production'!AF228</f>
        <v>717.07116474680004</v>
      </c>
      <c r="G227" s="98">
        <f ca="1">'forecast production'!AG228</f>
        <v>0.2729515970056377</v>
      </c>
      <c r="H227" s="98">
        <f ca="1">'forecast production'!AH228</f>
        <v>107.56067471202002</v>
      </c>
      <c r="I227" s="307">
        <f t="shared" ca="1" si="92"/>
        <v>1</v>
      </c>
      <c r="J227" s="306">
        <f t="shared" ca="1" si="93"/>
        <v>0.75</v>
      </c>
      <c r="K227" s="112">
        <f t="shared" ca="1" si="78"/>
        <v>81.750670408822145</v>
      </c>
      <c r="L227" s="98">
        <f t="shared" ca="1" si="79"/>
        <v>403.352530170075</v>
      </c>
      <c r="M227" s="98">
        <f t="shared" ca="1" si="80"/>
        <v>0.20471369775422826</v>
      </c>
      <c r="N227" s="98">
        <f t="shared" ca="1" si="81"/>
        <v>80.670506034015006</v>
      </c>
      <c r="O227" s="67">
        <f>assumptions!M231</f>
        <v>55</v>
      </c>
      <c r="P227" s="68">
        <f>assumptions!N231</f>
        <v>3</v>
      </c>
      <c r="Q227" s="68">
        <f>assumptions!O231</f>
        <v>22</v>
      </c>
      <c r="R227" s="67">
        <f t="shared" si="82"/>
        <v>52.5</v>
      </c>
      <c r="S227" s="68">
        <f t="shared" si="83"/>
        <v>2.3275000000000001</v>
      </c>
      <c r="T227" s="68">
        <f t="shared" si="84"/>
        <v>22</v>
      </c>
      <c r="U227" s="73">
        <f t="shared" ca="1" si="85"/>
        <v>4291.9101964631627</v>
      </c>
      <c r="V227" s="72">
        <f t="shared" ca="1" si="86"/>
        <v>938.80301397084963</v>
      </c>
      <c r="W227" s="72">
        <f t="shared" ca="1" si="87"/>
        <v>1774.7511327483301</v>
      </c>
      <c r="X227" s="72">
        <f t="shared" ca="1" si="94"/>
        <v>7005.4643431823424</v>
      </c>
      <c r="Y227" s="73">
        <f>mult_opex * fixed_month</f>
        <v>1000</v>
      </c>
      <c r="Z227" s="72">
        <f ca="1">mult_opex * fixed_well *D227</f>
        <v>5000</v>
      </c>
      <c r="AA227" s="72">
        <f ca="1">(Z227+Y227)*WI_current_1</f>
        <v>6000</v>
      </c>
      <c r="AB227" s="72">
        <f ca="1">mult_opex * var_bo*E227</f>
        <v>0</v>
      </c>
      <c r="AC227" s="72">
        <f ca="1">mult_opex * var_mcf*F227</f>
        <v>0</v>
      </c>
      <c r="AD227" s="72">
        <f ca="1">mult_opex * var_bw * G227</f>
        <v>0.54590319401127541</v>
      </c>
      <c r="AE227" s="72">
        <f ca="1">SUM(AB227:AD227)*WI_current_1</f>
        <v>0.54590319401127541</v>
      </c>
      <c r="AF227" s="73">
        <f ca="1">mult_capex * IFERROR(OFFSET(assumptions!$F$39,MATCH(B227,assumptions!$E$39:$E$45,0)-1,0),0)</f>
        <v>0</v>
      </c>
      <c r="AG227" s="75">
        <f ca="1">mult_capex * capex_new*WI_current_1 *'forecast production'!I228</f>
        <v>0</v>
      </c>
      <c r="AH227" s="146">
        <f t="shared" ca="1" si="95"/>
        <v>0</v>
      </c>
      <c r="AI227" s="73">
        <f t="shared" ca="1" si="88"/>
        <v>400.944430041244</v>
      </c>
      <c r="AJ227" s="72">
        <f t="shared" ca="1" si="89"/>
        <v>175.13660857955858</v>
      </c>
      <c r="AK227" s="72">
        <f t="shared" ca="1" si="96"/>
        <v>576.08103862080259</v>
      </c>
      <c r="AL227" s="73">
        <f t="shared" ca="1" si="90"/>
        <v>428.83740136752931</v>
      </c>
      <c r="AM227" s="132">
        <f ca="1">IF(X227*(lease_NRI/J227)  - (Z227+Y227+AB227+AC227+AD227)  - (AK227)*(lease_NRI/J227)&gt;0,1,0)</f>
        <v>1</v>
      </c>
      <c r="AN227" s="73">
        <f t="shared" ca="1" si="97"/>
        <v>428.83740136752931</v>
      </c>
      <c r="AO227" s="75">
        <f t="shared" ca="1" si="102"/>
        <v>2325408.1894922489</v>
      </c>
      <c r="AP227" s="72">
        <f ca="1">AL227  /  ( 1 + disc_1/12)^(COUNT($AL$6:AL227)-1)</f>
        <v>68.514294836666082</v>
      </c>
      <c r="AQ227" s="72">
        <f t="shared" ca="1" si="103"/>
        <v>1562896.7368377114</v>
      </c>
      <c r="AS227" s="303">
        <f t="shared" ca="1" si="98"/>
        <v>1</v>
      </c>
      <c r="AT227" s="300">
        <f ca="1">IFERROR(IRR($AN$6:AN227)*12,0)</f>
        <v>0</v>
      </c>
      <c r="AU227" s="297">
        <f t="shared" ca="1" si="99"/>
        <v>0</v>
      </c>
      <c r="AV227" s="303">
        <f t="shared" ca="1" si="100"/>
        <v>0</v>
      </c>
    </row>
    <row r="228" spans="2:48" x14ac:dyDescent="0.25">
      <c r="B228" s="43">
        <f t="shared" si="101"/>
        <v>50952</v>
      </c>
      <c r="C228" s="79">
        <f t="shared" si="91"/>
        <v>2039</v>
      </c>
      <c r="D228" s="64">
        <f ca="1">wellcount_base  +  SUM('forecast production'!I$7:I229)</f>
        <v>1</v>
      </c>
      <c r="E228" s="110">
        <f ca="1">'forecast production'!AE229</f>
        <v>111.86498161907282</v>
      </c>
      <c r="F228" s="98">
        <f ca="1">'forecast production'!AF229</f>
        <v>737.21477110241926</v>
      </c>
      <c r="G228" s="98">
        <f ca="1">'forecast production'!AG229</f>
        <v>0.27264554090710458</v>
      </c>
      <c r="H228" s="98">
        <f ca="1">'forecast production'!AH229</f>
        <v>110.58221566536288</v>
      </c>
      <c r="I228" s="307">
        <f t="shared" ca="1" si="92"/>
        <v>1</v>
      </c>
      <c r="J228" s="306">
        <f t="shared" ca="1" si="93"/>
        <v>0.75</v>
      </c>
      <c r="K228" s="112">
        <f t="shared" ca="1" si="78"/>
        <v>83.89873621430462</v>
      </c>
      <c r="L228" s="98">
        <f t="shared" ca="1" si="79"/>
        <v>414.68330874511088</v>
      </c>
      <c r="M228" s="98">
        <f t="shared" ca="1" si="80"/>
        <v>0.20448415568032843</v>
      </c>
      <c r="N228" s="98">
        <f t="shared" ca="1" si="81"/>
        <v>82.936661749022164</v>
      </c>
      <c r="O228" s="67">
        <f>assumptions!M232</f>
        <v>55</v>
      </c>
      <c r="P228" s="68">
        <f>assumptions!N232</f>
        <v>3</v>
      </c>
      <c r="Q228" s="68">
        <f>assumptions!O232</f>
        <v>22</v>
      </c>
      <c r="R228" s="67">
        <f t="shared" si="82"/>
        <v>52.5</v>
      </c>
      <c r="S228" s="68">
        <f t="shared" si="83"/>
        <v>2.3275000000000001</v>
      </c>
      <c r="T228" s="68">
        <f t="shared" si="84"/>
        <v>22</v>
      </c>
      <c r="U228" s="73">
        <f t="shared" ca="1" si="85"/>
        <v>4404.6836512509926</v>
      </c>
      <c r="V228" s="72">
        <f t="shared" ca="1" si="86"/>
        <v>965.17540110424557</v>
      </c>
      <c r="W228" s="72">
        <f t="shared" ca="1" si="87"/>
        <v>1824.6065584784876</v>
      </c>
      <c r="X228" s="72">
        <f t="shared" ca="1" si="94"/>
        <v>7194.4656108337258</v>
      </c>
      <c r="Y228" s="73">
        <f>mult_opex * fixed_month</f>
        <v>1000</v>
      </c>
      <c r="Z228" s="72">
        <f ca="1">mult_opex * fixed_well *D228</f>
        <v>5000</v>
      </c>
      <c r="AA228" s="72">
        <f ca="1">(Z228+Y228)*WI_current_1</f>
        <v>6000</v>
      </c>
      <c r="AB228" s="72">
        <f ca="1">mult_opex * var_bo*E228</f>
        <v>0</v>
      </c>
      <c r="AC228" s="72">
        <f ca="1">mult_opex * var_mcf*F228</f>
        <v>0</v>
      </c>
      <c r="AD228" s="72">
        <f ca="1">mult_opex * var_bw * G228</f>
        <v>0.54529108181420916</v>
      </c>
      <c r="AE228" s="72">
        <f ca="1">SUM(AB228:AD228)*WI_current_1</f>
        <v>0.54529108181420916</v>
      </c>
      <c r="AF228" s="73">
        <f ca="1">mult_capex * IFERROR(OFFSET(assumptions!$F$39,MATCH(B228,assumptions!$E$39:$E$45,0)-1,0),0)</f>
        <v>0</v>
      </c>
      <c r="AG228" s="75">
        <f ca="1">mult_capex * capex_new*WI_current_1 *'forecast production'!I229</f>
        <v>0</v>
      </c>
      <c r="AH228" s="146">
        <f t="shared" ca="1" si="95"/>
        <v>0</v>
      </c>
      <c r="AI228" s="73">
        <f t="shared" ca="1" si="88"/>
        <v>411.84909492625059</v>
      </c>
      <c r="AJ228" s="72">
        <f t="shared" ca="1" si="89"/>
        <v>179.86164027084317</v>
      </c>
      <c r="AK228" s="72">
        <f t="shared" ca="1" si="96"/>
        <v>591.71073519709375</v>
      </c>
      <c r="AL228" s="73">
        <f t="shared" ca="1" si="90"/>
        <v>602.20958455481832</v>
      </c>
      <c r="AM228" s="132">
        <f ca="1">IF(X228*(lease_NRI/J228)  - (Z228+Y228+AB228+AC228+AD228)  - (AK228)*(lease_NRI/J228)&gt;0,1,0)</f>
        <v>1</v>
      </c>
      <c r="AN228" s="73">
        <f t="shared" ca="1" si="97"/>
        <v>602.20958455481832</v>
      </c>
      <c r="AO228" s="75">
        <f t="shared" ca="1" si="102"/>
        <v>2326010.3990768036</v>
      </c>
      <c r="AP228" s="72">
        <f ca="1">AL228  /  ( 1 + disc_1/12)^(COUNT($AL$6:AL228)-1)</f>
        <v>95.418388071193178</v>
      </c>
      <c r="AQ228" s="72">
        <f t="shared" ca="1" si="103"/>
        <v>1562992.1552257827</v>
      </c>
      <c r="AS228" s="303">
        <f t="shared" ca="1" si="98"/>
        <v>1</v>
      </c>
      <c r="AT228" s="300">
        <f ca="1">IFERROR(IRR($AN$6:AN228)*12,0)</f>
        <v>0</v>
      </c>
      <c r="AU228" s="297">
        <f t="shared" ca="1" si="99"/>
        <v>0</v>
      </c>
      <c r="AV228" s="303">
        <f t="shared" ca="1" si="100"/>
        <v>0</v>
      </c>
    </row>
    <row r="229" spans="2:48" x14ac:dyDescent="0.25">
      <c r="B229" s="43">
        <f t="shared" si="101"/>
        <v>50983</v>
      </c>
      <c r="C229" s="79">
        <f t="shared" si="91"/>
        <v>2039</v>
      </c>
      <c r="D229" s="64">
        <f ca="1">wellcount_base  +  SUM('forecast production'!I$7:I230)</f>
        <v>1</v>
      </c>
      <c r="E229" s="110">
        <f ca="1">'forecast production'!AE230</f>
        <v>111.07558295632589</v>
      </c>
      <c r="F229" s="98">
        <f ca="1">'forecast production'!AF230</f>
        <v>733.35074317101964</v>
      </c>
      <c r="G229" s="98">
        <f ca="1">'forecast production'!AG230</f>
        <v>0.26325851067770517</v>
      </c>
      <c r="H229" s="98">
        <f ca="1">'forecast production'!AH230</f>
        <v>110.00261147565296</v>
      </c>
      <c r="I229" s="307">
        <f t="shared" ca="1" si="92"/>
        <v>1</v>
      </c>
      <c r="J229" s="306">
        <f t="shared" ca="1" si="93"/>
        <v>0.75</v>
      </c>
      <c r="K229" s="112">
        <f t="shared" ca="1" si="78"/>
        <v>83.306687217244416</v>
      </c>
      <c r="L229" s="98">
        <f t="shared" ca="1" si="79"/>
        <v>412.50979303369854</v>
      </c>
      <c r="M229" s="98">
        <f t="shared" ca="1" si="80"/>
        <v>0.19744388300827886</v>
      </c>
      <c r="N229" s="98">
        <f t="shared" ca="1" si="81"/>
        <v>82.50195860673972</v>
      </c>
      <c r="O229" s="67">
        <f>assumptions!M233</f>
        <v>55</v>
      </c>
      <c r="P229" s="68">
        <f>assumptions!N233</f>
        <v>3</v>
      </c>
      <c r="Q229" s="68">
        <f>assumptions!O233</f>
        <v>22</v>
      </c>
      <c r="R229" s="67">
        <f t="shared" si="82"/>
        <v>52.5</v>
      </c>
      <c r="S229" s="68">
        <f t="shared" si="83"/>
        <v>2.3275000000000001</v>
      </c>
      <c r="T229" s="68">
        <f t="shared" si="84"/>
        <v>22</v>
      </c>
      <c r="U229" s="73">
        <f t="shared" ca="1" si="85"/>
        <v>4373.6010789053316</v>
      </c>
      <c r="V229" s="72">
        <f t="shared" ca="1" si="86"/>
        <v>960.1165432859334</v>
      </c>
      <c r="W229" s="72">
        <f t="shared" ca="1" si="87"/>
        <v>1815.043089348274</v>
      </c>
      <c r="X229" s="72">
        <f t="shared" ca="1" si="94"/>
        <v>7148.7607115395385</v>
      </c>
      <c r="Y229" s="73">
        <f>mult_opex * fixed_month</f>
        <v>1000</v>
      </c>
      <c r="Z229" s="72">
        <f ca="1">mult_opex * fixed_well *D229</f>
        <v>5000</v>
      </c>
      <c r="AA229" s="72">
        <f ca="1">(Z229+Y229)*WI_current_1</f>
        <v>6000</v>
      </c>
      <c r="AB229" s="72">
        <f ca="1">mult_opex * var_bo*E229</f>
        <v>0</v>
      </c>
      <c r="AC229" s="72">
        <f ca="1">mult_opex * var_mcf*F229</f>
        <v>0</v>
      </c>
      <c r="AD229" s="72">
        <f ca="1">mult_opex * var_bw * G229</f>
        <v>0.52651702135541034</v>
      </c>
      <c r="AE229" s="72">
        <f ca="1">SUM(AB229:AD229)*WI_current_1</f>
        <v>0.52651702135541034</v>
      </c>
      <c r="AF229" s="73">
        <f ca="1">mult_capex * IFERROR(OFFSET(assumptions!$F$39,MATCH(B229,assumptions!$E$39:$E$45,0)-1,0),0)</f>
        <v>0</v>
      </c>
      <c r="AG229" s="75">
        <f ca="1">mult_capex * capex_new*WI_current_1 *'forecast production'!I230</f>
        <v>0</v>
      </c>
      <c r="AH229" s="146">
        <f t="shared" ca="1" si="95"/>
        <v>0</v>
      </c>
      <c r="AI229" s="73">
        <f t="shared" ca="1" si="88"/>
        <v>409.32262207721078</v>
      </c>
      <c r="AJ229" s="72">
        <f t="shared" ca="1" si="89"/>
        <v>178.71901778848849</v>
      </c>
      <c r="AK229" s="72">
        <f t="shared" ca="1" si="96"/>
        <v>588.04163986569927</v>
      </c>
      <c r="AL229" s="73">
        <f t="shared" ca="1" si="90"/>
        <v>560.19255465248443</v>
      </c>
      <c r="AM229" s="132">
        <f ca="1">IF(X229*(lease_NRI/J229)  - (Z229+Y229+AB229+AC229+AD229)  - (AK229)*(lease_NRI/J229)&gt;0,1,0)</f>
        <v>1</v>
      </c>
      <c r="AN229" s="73">
        <f t="shared" ca="1" si="97"/>
        <v>560.19255465248443</v>
      </c>
      <c r="AO229" s="75">
        <f t="shared" ca="1" si="102"/>
        <v>2326570.5916314563</v>
      </c>
      <c r="AP229" s="72">
        <f ca="1">AL229  /  ( 1 + disc_1/12)^(COUNT($AL$6:AL229)-1)</f>
        <v>88.027348494559291</v>
      </c>
      <c r="AQ229" s="72">
        <f t="shared" ca="1" si="103"/>
        <v>1563080.1825742773</v>
      </c>
      <c r="AS229" s="303">
        <f t="shared" ca="1" si="98"/>
        <v>1</v>
      </c>
      <c r="AT229" s="300">
        <f ca="1">IFERROR(IRR($AN$6:AN229)*12,0)</f>
        <v>0</v>
      </c>
      <c r="AU229" s="297">
        <f t="shared" ca="1" si="99"/>
        <v>0</v>
      </c>
      <c r="AV229" s="303">
        <f t="shared" ca="1" si="100"/>
        <v>0</v>
      </c>
    </row>
    <row r="230" spans="2:48" x14ac:dyDescent="0.25">
      <c r="B230" s="43">
        <f t="shared" si="101"/>
        <v>51014</v>
      </c>
      <c r="C230" s="79">
        <f t="shared" si="91"/>
        <v>2039</v>
      </c>
      <c r="D230" s="64">
        <f ca="1">wellcount_base  +  SUM('forecast production'!I$7:I231)</f>
        <v>1</v>
      </c>
      <c r="E230" s="110">
        <f ca="1">'forecast production'!AE231</f>
        <v>106.73395630694557</v>
      </c>
      <c r="F230" s="98">
        <f ca="1">'forecast production'!AF231</f>
        <v>705.97448526334881</v>
      </c>
      <c r="G230" s="98">
        <f ca="1">'forecast production'!AG231</f>
        <v>0.24599635202231604</v>
      </c>
      <c r="H230" s="98">
        <f ca="1">'forecast production'!AH231</f>
        <v>105.89617278950233</v>
      </c>
      <c r="I230" s="307">
        <f t="shared" ca="1" si="92"/>
        <v>1</v>
      </c>
      <c r="J230" s="306">
        <f t="shared" ca="1" si="93"/>
        <v>0.75</v>
      </c>
      <c r="K230" s="112">
        <f t="shared" ca="1" si="78"/>
        <v>80.050467230209179</v>
      </c>
      <c r="L230" s="98">
        <f t="shared" ca="1" si="79"/>
        <v>397.11064796063368</v>
      </c>
      <c r="M230" s="98">
        <f t="shared" ca="1" si="80"/>
        <v>0.18449726401673702</v>
      </c>
      <c r="N230" s="98">
        <f t="shared" ca="1" si="81"/>
        <v>79.422129592126751</v>
      </c>
      <c r="O230" s="67">
        <f>assumptions!M234</f>
        <v>55</v>
      </c>
      <c r="P230" s="68">
        <f>assumptions!N234</f>
        <v>3</v>
      </c>
      <c r="Q230" s="68">
        <f>assumptions!O234</f>
        <v>22</v>
      </c>
      <c r="R230" s="67">
        <f t="shared" si="82"/>
        <v>52.5</v>
      </c>
      <c r="S230" s="68">
        <f t="shared" si="83"/>
        <v>2.3275000000000001</v>
      </c>
      <c r="T230" s="68">
        <f t="shared" si="84"/>
        <v>22</v>
      </c>
      <c r="U230" s="73">
        <f t="shared" ca="1" si="85"/>
        <v>4202.6495295859822</v>
      </c>
      <c r="V230" s="72">
        <f t="shared" ca="1" si="86"/>
        <v>924.27503312837496</v>
      </c>
      <c r="W230" s="72">
        <f t="shared" ca="1" si="87"/>
        <v>1747.2868510267886</v>
      </c>
      <c r="X230" s="72">
        <f t="shared" ca="1" si="94"/>
        <v>6874.2114137411463</v>
      </c>
      <c r="Y230" s="73">
        <f>mult_opex * fixed_month</f>
        <v>1000</v>
      </c>
      <c r="Z230" s="72">
        <f ca="1">mult_opex * fixed_well *D230</f>
        <v>5000</v>
      </c>
      <c r="AA230" s="72">
        <f ca="1">(Z230+Y230)*WI_current_1</f>
        <v>6000</v>
      </c>
      <c r="AB230" s="72">
        <f ca="1">mult_opex * var_bo*E230</f>
        <v>0</v>
      </c>
      <c r="AC230" s="72">
        <f ca="1">mult_opex * var_mcf*F230</f>
        <v>0</v>
      </c>
      <c r="AD230" s="72">
        <f ca="1">mult_opex * var_bw * G230</f>
        <v>0.49199270404463208</v>
      </c>
      <c r="AE230" s="72">
        <f ca="1">SUM(AB230:AD230)*WI_current_1</f>
        <v>0.49199270404463208</v>
      </c>
      <c r="AF230" s="73">
        <f ca="1">mult_capex * IFERROR(OFFSET(assumptions!$F$39,MATCH(B230,assumptions!$E$39:$E$45,0)-1,0),0)</f>
        <v>0</v>
      </c>
      <c r="AG230" s="75">
        <f ca="1">mult_capex * capex_new*WI_current_1 *'forecast production'!I231</f>
        <v>0</v>
      </c>
      <c r="AH230" s="146">
        <f t="shared" ca="1" si="95"/>
        <v>0</v>
      </c>
      <c r="AI230" s="73">
        <f t="shared" ca="1" si="88"/>
        <v>393.68901967259239</v>
      </c>
      <c r="AJ230" s="72">
        <f t="shared" ca="1" si="89"/>
        <v>171.85528534352866</v>
      </c>
      <c r="AK230" s="72">
        <f t="shared" ca="1" si="96"/>
        <v>565.54430501612103</v>
      </c>
      <c r="AL230" s="73">
        <f t="shared" ca="1" si="90"/>
        <v>308.17511602098057</v>
      </c>
      <c r="AM230" s="132">
        <f ca="1">IF(X230*(lease_NRI/J230)  - (Z230+Y230+AB230+AC230+AD230)  - (AK230)*(lease_NRI/J230)&gt;0,1,0)</f>
        <v>1</v>
      </c>
      <c r="AN230" s="73">
        <f t="shared" ca="1" si="97"/>
        <v>308.17511602098057</v>
      </c>
      <c r="AO230" s="75">
        <f t="shared" ca="1" si="102"/>
        <v>2326878.7667474775</v>
      </c>
      <c r="AP230" s="72">
        <f ca="1">AL230  /  ( 1 + disc_1/12)^(COUNT($AL$6:AL230)-1)</f>
        <v>48.025703128068152</v>
      </c>
      <c r="AQ230" s="72">
        <f t="shared" ca="1" si="103"/>
        <v>1563128.2082774052</v>
      </c>
      <c r="AS230" s="303">
        <f t="shared" ca="1" si="98"/>
        <v>1</v>
      </c>
      <c r="AT230" s="300">
        <f ca="1">IFERROR(IRR($AN$6:AN230)*12,0)</f>
        <v>0</v>
      </c>
      <c r="AU230" s="297">
        <f t="shared" ca="1" si="99"/>
        <v>0</v>
      </c>
      <c r="AV230" s="303">
        <f t="shared" ca="1" si="100"/>
        <v>0</v>
      </c>
    </row>
    <row r="231" spans="2:48" x14ac:dyDescent="0.25">
      <c r="B231" s="43">
        <f t="shared" si="101"/>
        <v>51044</v>
      </c>
      <c r="C231" s="79">
        <f t="shared" si="91"/>
        <v>2039</v>
      </c>
      <c r="D231" s="64">
        <f ca="1">wellcount_base  +  SUM('forecast production'!I$7:I232)</f>
        <v>1</v>
      </c>
      <c r="E231" s="110">
        <f ca="1">'forecast production'!AE232</f>
        <v>109.53847840664532</v>
      </c>
      <c r="F231" s="98">
        <f ca="1">'forecast production'!AF232</f>
        <v>725.80636922046938</v>
      </c>
      <c r="G231" s="98">
        <f ca="1">'forecast production'!AG232</f>
        <v>0.24572485107288655</v>
      </c>
      <c r="H231" s="98">
        <f ca="1">'forecast production'!AH232</f>
        <v>108.8709553830704</v>
      </c>
      <c r="I231" s="307">
        <f t="shared" ca="1" si="92"/>
        <v>1</v>
      </c>
      <c r="J231" s="306">
        <f t="shared" ca="1" si="93"/>
        <v>0.75</v>
      </c>
      <c r="K231" s="112">
        <f t="shared" ca="1" si="78"/>
        <v>82.153858804983997</v>
      </c>
      <c r="L231" s="98">
        <f t="shared" ca="1" si="79"/>
        <v>408.26608268651398</v>
      </c>
      <c r="M231" s="98">
        <f t="shared" ca="1" si="80"/>
        <v>0.18429363830466491</v>
      </c>
      <c r="N231" s="98">
        <f t="shared" ca="1" si="81"/>
        <v>81.653216537302796</v>
      </c>
      <c r="O231" s="67">
        <f>assumptions!M235</f>
        <v>55</v>
      </c>
      <c r="P231" s="68">
        <f>assumptions!N235</f>
        <v>3</v>
      </c>
      <c r="Q231" s="68">
        <f>assumptions!O235</f>
        <v>22</v>
      </c>
      <c r="R231" s="67">
        <f t="shared" si="82"/>
        <v>52.5</v>
      </c>
      <c r="S231" s="68">
        <f t="shared" si="83"/>
        <v>2.3275000000000001</v>
      </c>
      <c r="T231" s="68">
        <f t="shared" si="84"/>
        <v>22</v>
      </c>
      <c r="U231" s="73">
        <f t="shared" ca="1" si="85"/>
        <v>4313.0775872616596</v>
      </c>
      <c r="V231" s="72">
        <f t="shared" ca="1" si="86"/>
        <v>950.23930745286134</v>
      </c>
      <c r="W231" s="72">
        <f t="shared" ca="1" si="87"/>
        <v>1796.3707638206615</v>
      </c>
      <c r="X231" s="72">
        <f t="shared" ca="1" si="94"/>
        <v>7059.687658535182</v>
      </c>
      <c r="Y231" s="73">
        <f>mult_opex * fixed_month</f>
        <v>1000</v>
      </c>
      <c r="Z231" s="72">
        <f ca="1">mult_opex * fixed_well *D231</f>
        <v>5000</v>
      </c>
      <c r="AA231" s="72">
        <f ca="1">(Z231+Y231)*WI_current_1</f>
        <v>6000</v>
      </c>
      <c r="AB231" s="72">
        <f ca="1">mult_opex * var_bo*E231</f>
        <v>0</v>
      </c>
      <c r="AC231" s="72">
        <f ca="1">mult_opex * var_mcf*F231</f>
        <v>0</v>
      </c>
      <c r="AD231" s="72">
        <f ca="1">mult_opex * var_bw * G231</f>
        <v>0.4914497021457731</v>
      </c>
      <c r="AE231" s="72">
        <f ca="1">SUM(AB231:AD231)*WI_current_1</f>
        <v>0.4914497021457731</v>
      </c>
      <c r="AF231" s="73">
        <f ca="1">mult_capex * IFERROR(OFFSET(assumptions!$F$39,MATCH(B231,assumptions!$E$39:$E$45,0)-1,0),0)</f>
        <v>0</v>
      </c>
      <c r="AG231" s="75">
        <f ca="1">mult_capex * capex_new*WI_current_1 *'forecast production'!I232</f>
        <v>0</v>
      </c>
      <c r="AH231" s="146">
        <f t="shared" ca="1" si="95"/>
        <v>0</v>
      </c>
      <c r="AI231" s="73">
        <f t="shared" ca="1" si="88"/>
        <v>404.39732435955057</v>
      </c>
      <c r="AJ231" s="72">
        <f t="shared" ca="1" si="89"/>
        <v>176.49219146337956</v>
      </c>
      <c r="AK231" s="72">
        <f t="shared" ca="1" si="96"/>
        <v>580.88951582293009</v>
      </c>
      <c r="AL231" s="73">
        <f t="shared" ca="1" si="90"/>
        <v>478.30669301010676</v>
      </c>
      <c r="AM231" s="132">
        <f ca="1">IF(X231*(lease_NRI/J231)  - (Z231+Y231+AB231+AC231+AD231)  - (AK231)*(lease_NRI/J231)&gt;0,1,0)</f>
        <v>1</v>
      </c>
      <c r="AN231" s="73">
        <f t="shared" ca="1" si="97"/>
        <v>478.30669301010676</v>
      </c>
      <c r="AO231" s="75">
        <f t="shared" ca="1" si="102"/>
        <v>2327357.0734404875</v>
      </c>
      <c r="AP231" s="72">
        <f ca="1">AL231  /  ( 1 + disc_1/12)^(COUNT($AL$6:AL231)-1)</f>
        <v>73.922815169610828</v>
      </c>
      <c r="AQ231" s="72">
        <f t="shared" ca="1" si="103"/>
        <v>1563202.1310925749</v>
      </c>
      <c r="AS231" s="303">
        <f t="shared" ca="1" si="98"/>
        <v>1</v>
      </c>
      <c r="AT231" s="300">
        <f ca="1">IFERROR(IRR($AN$6:AN231)*12,0)</f>
        <v>0</v>
      </c>
      <c r="AU231" s="297">
        <f t="shared" ca="1" si="99"/>
        <v>0</v>
      </c>
      <c r="AV231" s="303">
        <f t="shared" ca="1" si="100"/>
        <v>0</v>
      </c>
    </row>
    <row r="232" spans="2:48" x14ac:dyDescent="0.25">
      <c r="B232" s="43">
        <f t="shared" si="101"/>
        <v>51075</v>
      </c>
      <c r="C232" s="79">
        <f t="shared" si="91"/>
        <v>2039</v>
      </c>
      <c r="D232" s="64">
        <f ca="1">wellcount_base  +  SUM('forecast production'!I$7:I233)</f>
        <v>1</v>
      </c>
      <c r="E232" s="110">
        <f ca="1">'forecast production'!AE233</f>
        <v>105.25693277505627</v>
      </c>
      <c r="F232" s="98">
        <f ca="1">'forecast production'!AF233</f>
        <v>698.71174561800035</v>
      </c>
      <c r="G232" s="98">
        <f ca="1">'forecast production'!AG233</f>
        <v>0.22961516551742667</v>
      </c>
      <c r="H232" s="98">
        <f ca="1">'forecast production'!AH233</f>
        <v>104.80676184270006</v>
      </c>
      <c r="I232" s="307">
        <f t="shared" ca="1" si="92"/>
        <v>1</v>
      </c>
      <c r="J232" s="306">
        <f t="shared" ca="1" si="93"/>
        <v>0.75</v>
      </c>
      <c r="K232" s="112">
        <f t="shared" ca="1" si="78"/>
        <v>78.942699581292203</v>
      </c>
      <c r="L232" s="98">
        <f t="shared" ca="1" si="79"/>
        <v>393.0253569101252</v>
      </c>
      <c r="M232" s="98">
        <f t="shared" ca="1" si="80"/>
        <v>0.17221137413807</v>
      </c>
      <c r="N232" s="98">
        <f t="shared" ca="1" si="81"/>
        <v>78.605071382025045</v>
      </c>
      <c r="O232" s="67">
        <f>assumptions!M236</f>
        <v>55</v>
      </c>
      <c r="P232" s="68">
        <f>assumptions!N236</f>
        <v>3</v>
      </c>
      <c r="Q232" s="68">
        <f>assumptions!O236</f>
        <v>22</v>
      </c>
      <c r="R232" s="67">
        <f t="shared" si="82"/>
        <v>52.5</v>
      </c>
      <c r="S232" s="68">
        <f t="shared" si="83"/>
        <v>2.3275000000000001</v>
      </c>
      <c r="T232" s="68">
        <f t="shared" si="84"/>
        <v>22</v>
      </c>
      <c r="U232" s="73">
        <f t="shared" ca="1" si="85"/>
        <v>4144.4917280178406</v>
      </c>
      <c r="V232" s="72">
        <f t="shared" ca="1" si="86"/>
        <v>914.76651820831648</v>
      </c>
      <c r="W232" s="72">
        <f t="shared" ca="1" si="87"/>
        <v>1729.311570404551</v>
      </c>
      <c r="X232" s="72">
        <f t="shared" ca="1" si="94"/>
        <v>6788.5698166307084</v>
      </c>
      <c r="Y232" s="73">
        <f>mult_opex * fixed_month</f>
        <v>1000</v>
      </c>
      <c r="Z232" s="72">
        <f ca="1">mult_opex * fixed_well *D232</f>
        <v>5000</v>
      </c>
      <c r="AA232" s="72">
        <f ca="1">(Z232+Y232)*WI_current_1</f>
        <v>6000</v>
      </c>
      <c r="AB232" s="72">
        <f ca="1">mult_opex * var_bo*E232</f>
        <v>0</v>
      </c>
      <c r="AC232" s="72">
        <f ca="1">mult_opex * var_mcf*F232</f>
        <v>0</v>
      </c>
      <c r="AD232" s="72">
        <f ca="1">mult_opex * var_bw * G232</f>
        <v>0.45923033103485333</v>
      </c>
      <c r="AE232" s="72">
        <f ca="1">SUM(AB232:AD232)*WI_current_1</f>
        <v>0.45923033103485333</v>
      </c>
      <c r="AF232" s="73">
        <f ca="1">mult_capex * IFERROR(OFFSET(assumptions!$F$39,MATCH(B232,assumptions!$E$39:$E$45,0)-1,0),0)</f>
        <v>0</v>
      </c>
      <c r="AG232" s="75">
        <f ca="1">mult_capex * capex_new*WI_current_1 *'forecast production'!I233</f>
        <v>0</v>
      </c>
      <c r="AH232" s="146">
        <f t="shared" ca="1" si="95"/>
        <v>0</v>
      </c>
      <c r="AI232" s="73">
        <f t="shared" ca="1" si="88"/>
        <v>388.95247613478568</v>
      </c>
      <c r="AJ232" s="72">
        <f t="shared" ca="1" si="89"/>
        <v>169.71424541576772</v>
      </c>
      <c r="AK232" s="72">
        <f t="shared" ca="1" si="96"/>
        <v>558.66672155055335</v>
      </c>
      <c r="AL232" s="73">
        <f t="shared" ca="1" si="90"/>
        <v>229.44386474912062</v>
      </c>
      <c r="AM232" s="132">
        <f ca="1">IF(X232*(lease_NRI/J232)  - (Z232+Y232+AB232+AC232+AD232)  - (AK232)*(lease_NRI/J232)&gt;0,1,0)</f>
        <v>1</v>
      </c>
      <c r="AN232" s="73">
        <f t="shared" ca="1" si="97"/>
        <v>229.44386474912062</v>
      </c>
      <c r="AO232" s="75">
        <f t="shared" ca="1" si="102"/>
        <v>2327586.5173052368</v>
      </c>
      <c r="AP232" s="72">
        <f ca="1">AL232  /  ( 1 + disc_1/12)^(COUNT($AL$6:AL232)-1)</f>
        <v>35.167732273937808</v>
      </c>
      <c r="AQ232" s="72">
        <f t="shared" ca="1" si="103"/>
        <v>1563237.2988248488</v>
      </c>
      <c r="AS232" s="303">
        <f t="shared" ca="1" si="98"/>
        <v>1</v>
      </c>
      <c r="AT232" s="300">
        <f ca="1">IFERROR(IRR($AN$6:AN232)*12,0)</f>
        <v>0</v>
      </c>
      <c r="AU232" s="297">
        <f t="shared" ca="1" si="99"/>
        <v>0</v>
      </c>
      <c r="AV232" s="303">
        <f t="shared" ca="1" si="100"/>
        <v>0</v>
      </c>
    </row>
    <row r="233" spans="2:48" x14ac:dyDescent="0.25">
      <c r="B233" s="44">
        <f t="shared" si="101"/>
        <v>51105</v>
      </c>
      <c r="C233" s="100">
        <f t="shared" si="91"/>
        <v>2039</v>
      </c>
      <c r="D233" s="65">
        <f ca="1">wellcount_base  +  SUM('forecast production'!I$7:I234)</f>
        <v>1</v>
      </c>
      <c r="E233" s="109">
        <f ca="1">'forecast production'!AE234</f>
        <v>108.02264487201379</v>
      </c>
      <c r="F233" s="101">
        <f ca="1">'forecast production'!AF234</f>
        <v>718.33960830683998</v>
      </c>
      <c r="G233" s="101">
        <f ca="1">'forecast production'!AG234</f>
        <v>0.22936442207645535</v>
      </c>
      <c r="H233" s="102">
        <f ca="1">'forecast production'!AH234</f>
        <v>107.75094124602602</v>
      </c>
      <c r="I233" s="308">
        <f t="shared" ca="1" si="92"/>
        <v>1</v>
      </c>
      <c r="J233" s="309">
        <f t="shared" ca="1" si="93"/>
        <v>0.75</v>
      </c>
      <c r="K233" s="113">
        <f t="shared" ca="1" si="78"/>
        <v>81.016983654010346</v>
      </c>
      <c r="L233" s="102">
        <f t="shared" ca="1" si="79"/>
        <v>404.06602967259744</v>
      </c>
      <c r="M233" s="102">
        <f t="shared" ca="1" si="80"/>
        <v>0.17202331655734152</v>
      </c>
      <c r="N233" s="102">
        <f t="shared" ca="1" si="81"/>
        <v>80.813205934519516</v>
      </c>
      <c r="O233" s="103">
        <f>assumptions!M237</f>
        <v>55</v>
      </c>
      <c r="P233" s="104">
        <f>assumptions!N237</f>
        <v>3</v>
      </c>
      <c r="Q233" s="104">
        <f>assumptions!O237</f>
        <v>22</v>
      </c>
      <c r="R233" s="103">
        <f t="shared" si="82"/>
        <v>52.5</v>
      </c>
      <c r="S233" s="104">
        <f t="shared" si="83"/>
        <v>2.3275000000000001</v>
      </c>
      <c r="T233" s="104">
        <f t="shared" si="84"/>
        <v>22</v>
      </c>
      <c r="U233" s="105">
        <f t="shared" ca="1" si="85"/>
        <v>4253.3916418355429</v>
      </c>
      <c r="V233" s="106">
        <f t="shared" ca="1" si="86"/>
        <v>940.46368406297063</v>
      </c>
      <c r="W233" s="106">
        <f t="shared" ca="1" si="87"/>
        <v>1777.8905305594294</v>
      </c>
      <c r="X233" s="106">
        <f t="shared" ca="1" si="94"/>
        <v>6971.7458564579429</v>
      </c>
      <c r="Y233" s="105">
        <f>mult_opex * fixed_month</f>
        <v>1000</v>
      </c>
      <c r="Z233" s="106">
        <f ca="1">mult_opex * fixed_well *D233</f>
        <v>5000</v>
      </c>
      <c r="AA233" s="106">
        <f ca="1">(Z233+Y233)*WI_current_1</f>
        <v>6000</v>
      </c>
      <c r="AB233" s="106">
        <f ca="1">mult_opex * var_bo*E233</f>
        <v>0</v>
      </c>
      <c r="AC233" s="106">
        <f ca="1">mult_opex * var_mcf*F233</f>
        <v>0</v>
      </c>
      <c r="AD233" s="106">
        <f ca="1">mult_opex * var_bw * G233</f>
        <v>0.45872884415291071</v>
      </c>
      <c r="AE233" s="106">
        <f ca="1">SUM(AB233:AD233)*WI_current_1</f>
        <v>0.45872884415291071</v>
      </c>
      <c r="AF233" s="105">
        <f ca="1">mult_capex * IFERROR(OFFSET(assumptions!$F$39,MATCH(B233,assumptions!$E$39:$E$45,0)-1,0),0)</f>
        <v>0</v>
      </c>
      <c r="AG233" s="106">
        <f ca="1">mult_capex * capex_new*WI_current_1 *'forecast production'!I234</f>
        <v>0</v>
      </c>
      <c r="AH233" s="147">
        <f t="shared" ca="1" si="95"/>
        <v>0</v>
      </c>
      <c r="AI233" s="105">
        <f t="shared" ca="1" si="88"/>
        <v>399.53258162111501</v>
      </c>
      <c r="AJ233" s="106">
        <f t="shared" ca="1" si="89"/>
        <v>174.29364641144858</v>
      </c>
      <c r="AK233" s="106">
        <f t="shared" ca="1" si="96"/>
        <v>573.82622803256356</v>
      </c>
      <c r="AL233" s="105">
        <f t="shared" ca="1" si="90"/>
        <v>397.46089958122684</v>
      </c>
      <c r="AM233" s="133">
        <f ca="1">IF(X233*(lease_NRI/J233)  - (Z233+Y233+AB233+AC233+AD233)  - (AK233)*(lease_NRI/J233)&gt;0,1,0)</f>
        <v>1</v>
      </c>
      <c r="AN233" s="105">
        <f t="shared" ca="1" si="97"/>
        <v>397.46089958122684</v>
      </c>
      <c r="AO233" s="106">
        <f t="shared" ca="1" si="102"/>
        <v>2327983.978204818</v>
      </c>
      <c r="AP233" s="106">
        <f ca="1">AL233  /  ( 1 + disc_1/12)^(COUNT($AL$6:AL233)-1)</f>
        <v>60.416867215309736</v>
      </c>
      <c r="AQ233" s="106">
        <f t="shared" ca="1" si="103"/>
        <v>1563297.7156920643</v>
      </c>
      <c r="AS233" s="304">
        <f t="shared" ca="1" si="98"/>
        <v>1</v>
      </c>
      <c r="AT233" s="301">
        <f ca="1">IFERROR(IRR($AN$6:AN233)*12,0)</f>
        <v>0</v>
      </c>
      <c r="AU233" s="298">
        <f t="shared" ca="1" si="99"/>
        <v>0</v>
      </c>
      <c r="AV233" s="304">
        <f t="shared" ca="1" si="100"/>
        <v>0</v>
      </c>
    </row>
    <row r="234" spans="2:48" x14ac:dyDescent="0.25">
      <c r="B234" s="43">
        <f t="shared" si="101"/>
        <v>51136</v>
      </c>
      <c r="C234" s="79">
        <f t="shared" si="91"/>
        <v>2040</v>
      </c>
      <c r="D234" s="64">
        <f ca="1">wellcount_base  +  SUM('forecast production'!I$7:I235)</f>
        <v>1</v>
      </c>
      <c r="E234" s="110">
        <f ca="1">'forecast production'!AE235</f>
        <v>107.26036046295064</v>
      </c>
      <c r="F234" s="98">
        <f ca="1">'forecast production'!AF235</f>
        <v>714.57451240869682</v>
      </c>
      <c r="G234" s="98">
        <f ca="1">'forecast production'!AG235</f>
        <v>0.22147423909156261</v>
      </c>
      <c r="H234" s="98">
        <f ca="1">'forecast production'!AH235</f>
        <v>107.18617686130452</v>
      </c>
      <c r="I234" s="307">
        <f t="shared" ca="1" si="92"/>
        <v>1</v>
      </c>
      <c r="J234" s="306">
        <f t="shared" ca="1" si="93"/>
        <v>0.75</v>
      </c>
      <c r="K234" s="112">
        <f t="shared" ca="1" si="78"/>
        <v>80.445270347212983</v>
      </c>
      <c r="L234" s="98">
        <f t="shared" ca="1" si="79"/>
        <v>401.94816322989192</v>
      </c>
      <c r="M234" s="98">
        <f t="shared" ca="1" si="80"/>
        <v>0.16610567931867196</v>
      </c>
      <c r="N234" s="98">
        <f t="shared" ca="1" si="81"/>
        <v>80.389632645978395</v>
      </c>
      <c r="O234" s="67">
        <f>assumptions!M238</f>
        <v>55</v>
      </c>
      <c r="P234" s="68">
        <f>assumptions!N238</f>
        <v>3</v>
      </c>
      <c r="Q234" s="68">
        <f>assumptions!O238</f>
        <v>22</v>
      </c>
      <c r="R234" s="67">
        <f t="shared" si="82"/>
        <v>52.5</v>
      </c>
      <c r="S234" s="68">
        <f t="shared" si="83"/>
        <v>2.3275000000000001</v>
      </c>
      <c r="T234" s="68">
        <f t="shared" si="84"/>
        <v>22</v>
      </c>
      <c r="U234" s="73">
        <f t="shared" ca="1" si="85"/>
        <v>4223.3766932286817</v>
      </c>
      <c r="V234" s="72">
        <f t="shared" ca="1" si="86"/>
        <v>935.53434991757354</v>
      </c>
      <c r="W234" s="72">
        <f t="shared" ca="1" si="87"/>
        <v>1768.5719182115247</v>
      </c>
      <c r="X234" s="72">
        <f t="shared" ca="1" si="94"/>
        <v>6927.4829613577795</v>
      </c>
      <c r="Y234" s="73">
        <f>mult_opex * fixed_month</f>
        <v>1000</v>
      </c>
      <c r="Z234" s="72">
        <f ca="1">mult_opex * fixed_well *D234</f>
        <v>5000</v>
      </c>
      <c r="AA234" s="72">
        <f ca="1">(Z234+Y234)*WI_current_1</f>
        <v>6000</v>
      </c>
      <c r="AB234" s="72">
        <f ca="1">mult_opex * var_bo*E234</f>
        <v>0</v>
      </c>
      <c r="AC234" s="72">
        <f ca="1">mult_opex * var_mcf*F234</f>
        <v>0</v>
      </c>
      <c r="AD234" s="72">
        <f ca="1">mult_opex * var_bw * G234</f>
        <v>0.44294847818312522</v>
      </c>
      <c r="AE234" s="72">
        <f ca="1">SUM(AB234:AD234)*WI_current_1</f>
        <v>0.44294847818312522</v>
      </c>
      <c r="AF234" s="73">
        <f ca="1">mult_capex * IFERROR(OFFSET(assumptions!$F$39,MATCH(B234,assumptions!$E$39:$E$45,0)-1,0),0)</f>
        <v>0</v>
      </c>
      <c r="AG234" s="75">
        <f ca="1">mult_capex * capex_new*WI_current_1 *'forecast production'!I235</f>
        <v>0</v>
      </c>
      <c r="AH234" s="146">
        <f t="shared" ca="1" si="95"/>
        <v>0</v>
      </c>
      <c r="AI234" s="73">
        <f t="shared" ca="1" si="88"/>
        <v>397.08329799820172</v>
      </c>
      <c r="AJ234" s="72">
        <f t="shared" ca="1" si="89"/>
        <v>173.1870740339445</v>
      </c>
      <c r="AK234" s="72">
        <f t="shared" ca="1" si="96"/>
        <v>570.27037203214627</v>
      </c>
      <c r="AL234" s="73">
        <f t="shared" ca="1" si="90"/>
        <v>356.76964084745032</v>
      </c>
      <c r="AM234" s="132">
        <f ca="1">IF(X234*(lease_NRI/J234)  - (Z234+Y234+AB234+AC234+AD234)  - (AK234)*(lease_NRI/J234)&gt;0,1,0)</f>
        <v>1</v>
      </c>
      <c r="AN234" s="73">
        <f t="shared" ca="1" si="97"/>
        <v>356.76964084745032</v>
      </c>
      <c r="AO234" s="75">
        <f t="shared" ca="1" si="102"/>
        <v>2328340.7478456656</v>
      </c>
      <c r="AP234" s="72">
        <f ca="1">AL234  /  ( 1 + disc_1/12)^(COUNT($AL$6:AL234)-1)</f>
        <v>53.78331387422741</v>
      </c>
      <c r="AQ234" s="72">
        <f t="shared" ca="1" si="103"/>
        <v>1563351.4990059384</v>
      </c>
      <c r="AS234" s="303">
        <f t="shared" ca="1" si="98"/>
        <v>1</v>
      </c>
      <c r="AT234" s="300">
        <f ca="1">IFERROR(IRR($AN$6:AN234)*12,0)</f>
        <v>0</v>
      </c>
      <c r="AU234" s="297">
        <f t="shared" ca="1" si="99"/>
        <v>0</v>
      </c>
      <c r="AV234" s="303">
        <f t="shared" ca="1" si="100"/>
        <v>0</v>
      </c>
    </row>
    <row r="235" spans="2:48" x14ac:dyDescent="0.25">
      <c r="B235" s="43">
        <f t="shared" si="101"/>
        <v>51167</v>
      </c>
      <c r="C235" s="79">
        <f t="shared" si="91"/>
        <v>2040</v>
      </c>
      <c r="D235" s="64">
        <f ca="1">wellcount_base  +  SUM('forecast production'!I$7:I236)</f>
        <v>1</v>
      </c>
      <c r="E235" s="110">
        <f ca="1">'forecast production'!AE236</f>
        <v>99.632264610610505</v>
      </c>
      <c r="F235" s="98">
        <f ca="1">'forecast production'!AF236</f>
        <v>664.96920562013725</v>
      </c>
      <c r="G235" s="98">
        <f ca="1">'forecast production'!AG236</f>
        <v>0.2000595778249806</v>
      </c>
      <c r="H235" s="98">
        <f ca="1">'forecast production'!AH236</f>
        <v>99.745380843020598</v>
      </c>
      <c r="I235" s="307">
        <f t="shared" ca="1" si="92"/>
        <v>1</v>
      </c>
      <c r="J235" s="306">
        <f t="shared" ca="1" si="93"/>
        <v>0.75</v>
      </c>
      <c r="K235" s="112">
        <f t="shared" ca="1" si="78"/>
        <v>74.724198457957883</v>
      </c>
      <c r="L235" s="98">
        <f t="shared" ca="1" si="79"/>
        <v>374.04517816132721</v>
      </c>
      <c r="M235" s="98">
        <f t="shared" ca="1" si="80"/>
        <v>0.15004468336873544</v>
      </c>
      <c r="N235" s="98">
        <f t="shared" ca="1" si="81"/>
        <v>74.809035632265449</v>
      </c>
      <c r="O235" s="67">
        <f>assumptions!M239</f>
        <v>55</v>
      </c>
      <c r="P235" s="68">
        <f>assumptions!N239</f>
        <v>3</v>
      </c>
      <c r="Q235" s="68">
        <f>assumptions!O239</f>
        <v>22</v>
      </c>
      <c r="R235" s="67">
        <f t="shared" si="82"/>
        <v>52.5</v>
      </c>
      <c r="S235" s="68">
        <f t="shared" si="83"/>
        <v>2.3275000000000001</v>
      </c>
      <c r="T235" s="68">
        <f t="shared" si="84"/>
        <v>22</v>
      </c>
      <c r="U235" s="73">
        <f t="shared" ca="1" si="85"/>
        <v>3923.0204190427889</v>
      </c>
      <c r="V235" s="72">
        <f t="shared" ca="1" si="86"/>
        <v>870.59015217048909</v>
      </c>
      <c r="W235" s="72">
        <f t="shared" ca="1" si="87"/>
        <v>1645.7987839098398</v>
      </c>
      <c r="X235" s="72">
        <f t="shared" ca="1" si="94"/>
        <v>6439.4093551231172</v>
      </c>
      <c r="Y235" s="73">
        <f>mult_opex * fixed_month</f>
        <v>1000</v>
      </c>
      <c r="Z235" s="72">
        <f ca="1">mult_opex * fixed_well *D235</f>
        <v>5000</v>
      </c>
      <c r="AA235" s="72">
        <f ca="1">(Z235+Y235)*WI_current_1</f>
        <v>6000</v>
      </c>
      <c r="AB235" s="72">
        <f ca="1">mult_opex * var_bo*E235</f>
        <v>0</v>
      </c>
      <c r="AC235" s="72">
        <f ca="1">mult_opex * var_mcf*F235</f>
        <v>0</v>
      </c>
      <c r="AD235" s="72">
        <f ca="1">mult_opex * var_bw * G235</f>
        <v>0.4001191556499612</v>
      </c>
      <c r="AE235" s="72">
        <f ca="1">SUM(AB235:AD235)*WI_current_1</f>
        <v>0.4001191556499612</v>
      </c>
      <c r="AF235" s="73">
        <f ca="1">mult_capex * IFERROR(OFFSET(assumptions!$F$39,MATCH(B235,assumptions!$E$39:$E$45,0)-1,0),0)</f>
        <v>0</v>
      </c>
      <c r="AG235" s="75">
        <f ca="1">mult_capex * capex_new*WI_current_1 *'forecast production'!I236</f>
        <v>0</v>
      </c>
      <c r="AH235" s="146">
        <f t="shared" ca="1" si="95"/>
        <v>0</v>
      </c>
      <c r="AI235" s="73">
        <f t="shared" ca="1" si="88"/>
        <v>369.18810948199291</v>
      </c>
      <c r="AJ235" s="72">
        <f t="shared" ca="1" si="89"/>
        <v>160.98523387807793</v>
      </c>
      <c r="AK235" s="72">
        <f t="shared" ca="1" si="96"/>
        <v>530.17334336007082</v>
      </c>
      <c r="AL235" s="73">
        <f t="shared" ca="1" si="90"/>
        <v>-91.16410739260391</v>
      </c>
      <c r="AM235" s="132">
        <f ca="1">IF(X235*(lease_NRI/J235)  - (Z235+Y235+AB235+AC235+AD235)  - (AK235)*(lease_NRI/J235)&gt;0,1,0)</f>
        <v>0</v>
      </c>
      <c r="AN235" s="73">
        <f t="shared" ca="1" si="97"/>
        <v>0</v>
      </c>
      <c r="AO235" s="75">
        <f t="shared" ca="1" si="102"/>
        <v>2328340.7478456656</v>
      </c>
      <c r="AP235" s="72">
        <f ca="1">AL235  /  ( 1 + disc_1/12)^(COUNT($AL$6:AL235)-1)</f>
        <v>-13.629484387538033</v>
      </c>
      <c r="AQ235" s="72">
        <f t="shared" ca="1" si="103"/>
        <v>1563351.4990059384</v>
      </c>
      <c r="AS235" s="303">
        <f t="shared" ca="1" si="98"/>
        <v>1</v>
      </c>
      <c r="AT235" s="300">
        <f ca="1">IFERROR(IRR($AN$6:AN235)*12,0)</f>
        <v>0</v>
      </c>
      <c r="AU235" s="297">
        <f t="shared" ca="1" si="99"/>
        <v>0</v>
      </c>
      <c r="AV235" s="303">
        <f t="shared" ca="1" si="100"/>
        <v>0</v>
      </c>
    </row>
    <row r="236" spans="2:48" x14ac:dyDescent="0.25">
      <c r="B236" s="43">
        <f t="shared" si="101"/>
        <v>51196</v>
      </c>
      <c r="C236" s="79">
        <f t="shared" si="91"/>
        <v>2040</v>
      </c>
      <c r="D236" s="64">
        <f ca="1">wellcount_base  +  SUM('forecast production'!I$7:I237)</f>
        <v>1</v>
      </c>
      <c r="E236" s="110">
        <f ca="1">'forecast production'!AE237</f>
        <v>105.80021889180418</v>
      </c>
      <c r="F236" s="98">
        <f ca="1">'forecast production'!AF237</f>
        <v>707.3431994796623</v>
      </c>
      <c r="G236" s="98">
        <f ca="1">'forecast production'!AG237</f>
        <v>0.20696930138500388</v>
      </c>
      <c r="H236" s="98">
        <f ca="1">'forecast production'!AH237</f>
        <v>106.10147992194933</v>
      </c>
      <c r="I236" s="307">
        <f t="shared" ca="1" si="92"/>
        <v>1</v>
      </c>
      <c r="J236" s="306">
        <f t="shared" ca="1" si="93"/>
        <v>0.75</v>
      </c>
      <c r="K236" s="112">
        <f t="shared" ca="1" si="78"/>
        <v>79.350164168853127</v>
      </c>
      <c r="L236" s="98">
        <f t="shared" ca="1" si="79"/>
        <v>397.88054970731002</v>
      </c>
      <c r="M236" s="98">
        <f t="shared" ca="1" si="80"/>
        <v>0.15522697603875291</v>
      </c>
      <c r="N236" s="98">
        <f t="shared" ca="1" si="81"/>
        <v>79.576109941461993</v>
      </c>
      <c r="O236" s="67">
        <f>assumptions!M240</f>
        <v>55</v>
      </c>
      <c r="P236" s="68">
        <f>assumptions!N240</f>
        <v>3</v>
      </c>
      <c r="Q236" s="68">
        <f>assumptions!O240</f>
        <v>22</v>
      </c>
      <c r="R236" s="67">
        <f t="shared" si="82"/>
        <v>52.5</v>
      </c>
      <c r="S236" s="68">
        <f t="shared" si="83"/>
        <v>2.3275000000000001</v>
      </c>
      <c r="T236" s="68">
        <f t="shared" si="84"/>
        <v>22</v>
      </c>
      <c r="U236" s="73">
        <f t="shared" ca="1" si="85"/>
        <v>4165.8836188647892</v>
      </c>
      <c r="V236" s="72">
        <f t="shared" ca="1" si="86"/>
        <v>926.06697944376413</v>
      </c>
      <c r="W236" s="72">
        <f t="shared" ca="1" si="87"/>
        <v>1750.674418712164</v>
      </c>
      <c r="X236" s="72">
        <f t="shared" ca="1" si="94"/>
        <v>6842.6250170207177</v>
      </c>
      <c r="Y236" s="73">
        <f>mult_opex * fixed_month</f>
        <v>1000</v>
      </c>
      <c r="Z236" s="72">
        <f ca="1">mult_opex * fixed_well *D236</f>
        <v>5000</v>
      </c>
      <c r="AA236" s="72">
        <f ca="1">(Z236+Y236)*WI_current_1</f>
        <v>6000</v>
      </c>
      <c r="AB236" s="72">
        <f ca="1">mult_opex * var_bo*E236</f>
        <v>0</v>
      </c>
      <c r="AC236" s="72">
        <f ca="1">mult_opex * var_mcf*F236</f>
        <v>0</v>
      </c>
      <c r="AD236" s="72">
        <f ca="1">mult_opex * var_bw * G236</f>
        <v>0.41393860277000777</v>
      </c>
      <c r="AE236" s="72">
        <f ca="1">SUM(AB236:AD236)*WI_current_1</f>
        <v>0.41393860277000777</v>
      </c>
      <c r="AF236" s="73">
        <f ca="1">mult_capex * IFERROR(OFFSET(assumptions!$F$39,MATCH(B236,assumptions!$E$39:$E$45,0)-1,0),0)</f>
        <v>0</v>
      </c>
      <c r="AG236" s="75">
        <f ca="1">mult_capex * capex_new*WI_current_1 *'forecast production'!I237</f>
        <v>0</v>
      </c>
      <c r="AH236" s="146">
        <f t="shared" ca="1" si="95"/>
        <v>0</v>
      </c>
      <c r="AI236" s="73">
        <f t="shared" ca="1" si="88"/>
        <v>392.38625132947493</v>
      </c>
      <c r="AJ236" s="72">
        <f t="shared" ca="1" si="89"/>
        <v>171.06562542551796</v>
      </c>
      <c r="AK236" s="72">
        <f t="shared" ca="1" si="96"/>
        <v>563.4518767549929</v>
      </c>
      <c r="AL236" s="73">
        <f t="shared" ca="1" si="90"/>
        <v>278.75920166295509</v>
      </c>
      <c r="AM236" s="132">
        <f ca="1">IF(X236*(lease_NRI/J236)  - (Z236+Y236+AB236+AC236+AD236)  - (AK236)*(lease_NRI/J236)&gt;0,1,0)</f>
        <v>1</v>
      </c>
      <c r="AN236" s="73">
        <f t="shared" ca="1" si="97"/>
        <v>278.75920166295509</v>
      </c>
      <c r="AO236" s="75">
        <f t="shared" ca="1" si="102"/>
        <v>2328619.5070473286</v>
      </c>
      <c r="AP236" s="72">
        <f ca="1">AL236  /  ( 1 + disc_1/12)^(COUNT($AL$6:AL236)-1)</f>
        <v>41.33144892195147</v>
      </c>
      <c r="AQ236" s="72">
        <f t="shared" ca="1" si="103"/>
        <v>1563392.8304548603</v>
      </c>
      <c r="AS236" s="303">
        <f t="shared" ca="1" si="98"/>
        <v>1</v>
      </c>
      <c r="AT236" s="300">
        <f ca="1">IFERROR(IRR($AN$6:AN236)*12,0)</f>
        <v>0</v>
      </c>
      <c r="AU236" s="297">
        <f t="shared" ca="1" si="99"/>
        <v>0</v>
      </c>
      <c r="AV236" s="303">
        <f t="shared" ca="1" si="100"/>
        <v>0</v>
      </c>
    </row>
    <row r="237" spans="2:48" x14ac:dyDescent="0.25">
      <c r="B237" s="43">
        <f t="shared" si="101"/>
        <v>51227</v>
      </c>
      <c r="C237" s="79">
        <f t="shared" si="91"/>
        <v>2040</v>
      </c>
      <c r="D237" s="64">
        <f ca="1">wellcount_base  +  SUM('forecast production'!I$7:I238)</f>
        <v>1</v>
      </c>
      <c r="E237" s="110">
        <f ca="1">'forecast production'!AE238</f>
        <v>101.66479112608597</v>
      </c>
      <c r="F237" s="98">
        <f ca="1">'forecast production'!AF238</f>
        <v>680.93781291871016</v>
      </c>
      <c r="G237" s="98">
        <f ca="1">'forecast production'!AG238</f>
        <v>0.19340623332734777</v>
      </c>
      <c r="H237" s="98">
        <f ca="1">'forecast production'!AH238</f>
        <v>102.14067193780653</v>
      </c>
      <c r="I237" s="307">
        <f t="shared" ca="1" si="92"/>
        <v>1</v>
      </c>
      <c r="J237" s="306">
        <f t="shared" ca="1" si="93"/>
        <v>0.75</v>
      </c>
      <c r="K237" s="112">
        <f t="shared" ca="1" si="78"/>
        <v>76.248593344564483</v>
      </c>
      <c r="L237" s="98">
        <f t="shared" ca="1" si="79"/>
        <v>383.02751976677445</v>
      </c>
      <c r="M237" s="98">
        <f t="shared" ca="1" si="80"/>
        <v>0.14505467499551083</v>
      </c>
      <c r="N237" s="98">
        <f t="shared" ca="1" si="81"/>
        <v>76.605503953354898</v>
      </c>
      <c r="O237" s="67">
        <f>assumptions!M241</f>
        <v>55</v>
      </c>
      <c r="P237" s="68">
        <f>assumptions!N241</f>
        <v>3</v>
      </c>
      <c r="Q237" s="68">
        <f>assumptions!O241</f>
        <v>22</v>
      </c>
      <c r="R237" s="67">
        <f t="shared" si="82"/>
        <v>52.5</v>
      </c>
      <c r="S237" s="68">
        <f t="shared" si="83"/>
        <v>2.3275000000000001</v>
      </c>
      <c r="T237" s="68">
        <f t="shared" si="84"/>
        <v>22</v>
      </c>
      <c r="U237" s="73">
        <f t="shared" ca="1" si="85"/>
        <v>4003.0511505896352</v>
      </c>
      <c r="V237" s="72">
        <f t="shared" ca="1" si="86"/>
        <v>891.49655225716754</v>
      </c>
      <c r="W237" s="72">
        <f t="shared" ca="1" si="87"/>
        <v>1685.3210869738077</v>
      </c>
      <c r="X237" s="72">
        <f t="shared" ca="1" si="94"/>
        <v>6579.8687898206108</v>
      </c>
      <c r="Y237" s="73">
        <f>mult_opex * fixed_month</f>
        <v>1000</v>
      </c>
      <c r="Z237" s="72">
        <f ca="1">mult_opex * fixed_well *D237</f>
        <v>5000</v>
      </c>
      <c r="AA237" s="72">
        <f ca="1">(Z237+Y237)*WI_current_1</f>
        <v>6000</v>
      </c>
      <c r="AB237" s="72">
        <f ca="1">mult_opex * var_bo*E237</f>
        <v>0</v>
      </c>
      <c r="AC237" s="72">
        <f ca="1">mult_opex * var_mcf*F237</f>
        <v>0</v>
      </c>
      <c r="AD237" s="72">
        <f ca="1">mult_opex * var_bw * G237</f>
        <v>0.38681246665469554</v>
      </c>
      <c r="AE237" s="72">
        <f ca="1">SUM(AB237:AD237)*WI_current_1</f>
        <v>0.38681246665469554</v>
      </c>
      <c r="AF237" s="73">
        <f ca="1">mult_capex * IFERROR(OFFSET(assumptions!$F$39,MATCH(B237,assumptions!$E$39:$E$45,0)-1,0),0)</f>
        <v>0</v>
      </c>
      <c r="AG237" s="75">
        <f ca="1">mult_capex * capex_new*WI_current_1 *'forecast production'!I238</f>
        <v>0</v>
      </c>
      <c r="AH237" s="146">
        <f t="shared" ca="1" si="95"/>
        <v>0</v>
      </c>
      <c r="AI237" s="73">
        <f t="shared" ca="1" si="88"/>
        <v>377.40167586944636</v>
      </c>
      <c r="AJ237" s="72">
        <f t="shared" ca="1" si="89"/>
        <v>164.49671974551529</v>
      </c>
      <c r="AK237" s="72">
        <f t="shared" ca="1" si="96"/>
        <v>541.8983956149616</v>
      </c>
      <c r="AL237" s="73">
        <f t="shared" ca="1" si="90"/>
        <v>37.583581738994326</v>
      </c>
      <c r="AM237" s="132">
        <f ca="1">IF(X237*(lease_NRI/J237)  - (Z237+Y237+AB237+AC237+AD237)  - (AK237)*(lease_NRI/J237)&gt;0,1,0)</f>
        <v>1</v>
      </c>
      <c r="AN237" s="73">
        <f t="shared" ca="1" si="97"/>
        <v>37.583581738994326</v>
      </c>
      <c r="AO237" s="75">
        <f t="shared" ca="1" si="102"/>
        <v>2328657.0906290677</v>
      </c>
      <c r="AP237" s="72">
        <f ca="1">AL237  /  ( 1 + disc_1/12)^(COUNT($AL$6:AL237)-1)</f>
        <v>5.526440011232868</v>
      </c>
      <c r="AQ237" s="72">
        <f t="shared" ca="1" si="103"/>
        <v>1563398.3568948717</v>
      </c>
      <c r="AS237" s="303">
        <f t="shared" ca="1" si="98"/>
        <v>1</v>
      </c>
      <c r="AT237" s="300">
        <f ca="1">IFERROR(IRR($AN$6:AN237)*12,0)</f>
        <v>0</v>
      </c>
      <c r="AU237" s="297">
        <f t="shared" ca="1" si="99"/>
        <v>0</v>
      </c>
      <c r="AV237" s="303">
        <f t="shared" ca="1" si="100"/>
        <v>0</v>
      </c>
    </row>
    <row r="238" spans="2:48" x14ac:dyDescent="0.25">
      <c r="B238" s="43">
        <f t="shared" si="101"/>
        <v>51257</v>
      </c>
      <c r="C238" s="79">
        <f t="shared" si="91"/>
        <v>2040</v>
      </c>
      <c r="D238" s="64">
        <f ca="1">wellcount_base  +  SUM('forecast production'!I$7:I239)</f>
        <v>1</v>
      </c>
      <c r="E238" s="110">
        <f ca="1">'forecast production'!AE239</f>
        <v>104.33611675983757</v>
      </c>
      <c r="F238" s="98">
        <f ca="1">'forecast production'!AF239</f>
        <v>700.06637913421844</v>
      </c>
      <c r="G238" s="98">
        <f ca="1">'forecast production'!AG239</f>
        <v>0.19320064460535349</v>
      </c>
      <c r="H238" s="98">
        <f ca="1">'forecast production'!AH239</f>
        <v>105.00995687013275</v>
      </c>
      <c r="I238" s="307">
        <f t="shared" ca="1" si="92"/>
        <v>1</v>
      </c>
      <c r="J238" s="306">
        <f t="shared" ca="1" si="93"/>
        <v>0.75</v>
      </c>
      <c r="K238" s="112">
        <f t="shared" ca="1" si="78"/>
        <v>78.252087569878171</v>
      </c>
      <c r="L238" s="98">
        <f t="shared" ca="1" si="79"/>
        <v>393.78733826299788</v>
      </c>
      <c r="M238" s="98">
        <f t="shared" ca="1" si="80"/>
        <v>0.14490048345401513</v>
      </c>
      <c r="N238" s="98">
        <f t="shared" ca="1" si="81"/>
        <v>78.757467652599559</v>
      </c>
      <c r="O238" s="67">
        <f>assumptions!M242</f>
        <v>55</v>
      </c>
      <c r="P238" s="68">
        <f>assumptions!N242</f>
        <v>3</v>
      </c>
      <c r="Q238" s="68">
        <f>assumptions!O242</f>
        <v>22</v>
      </c>
      <c r="R238" s="67">
        <f t="shared" si="82"/>
        <v>52.5</v>
      </c>
      <c r="S238" s="68">
        <f t="shared" si="83"/>
        <v>2.3275000000000001</v>
      </c>
      <c r="T238" s="68">
        <f t="shared" si="84"/>
        <v>22</v>
      </c>
      <c r="U238" s="73">
        <f t="shared" ca="1" si="85"/>
        <v>4108.2345974186037</v>
      </c>
      <c r="V238" s="72">
        <f t="shared" ca="1" si="86"/>
        <v>916.54002980712755</v>
      </c>
      <c r="W238" s="72">
        <f t="shared" ca="1" si="87"/>
        <v>1732.6642883571903</v>
      </c>
      <c r="X238" s="72">
        <f t="shared" ca="1" si="94"/>
        <v>6757.4389155829213</v>
      </c>
      <c r="Y238" s="73">
        <f>mult_opex * fixed_month</f>
        <v>1000</v>
      </c>
      <c r="Z238" s="72">
        <f ca="1">mult_opex * fixed_well *D238</f>
        <v>5000</v>
      </c>
      <c r="AA238" s="72">
        <f ca="1">(Z238+Y238)*WI_current_1</f>
        <v>6000</v>
      </c>
      <c r="AB238" s="72">
        <f ca="1">mult_opex * var_bo*E238</f>
        <v>0</v>
      </c>
      <c r="AC238" s="72">
        <f ca="1">mult_opex * var_mcf*F238</f>
        <v>0</v>
      </c>
      <c r="AD238" s="72">
        <f ca="1">mult_opex * var_bw * G238</f>
        <v>0.38640128921070699</v>
      </c>
      <c r="AE238" s="72">
        <f ca="1">SUM(AB238:AD238)*WI_current_1</f>
        <v>0.38640128921070699</v>
      </c>
      <c r="AF238" s="73">
        <f ca="1">mult_capex * IFERROR(OFFSET(assumptions!$F$39,MATCH(B238,assumptions!$E$39:$E$45,0)-1,0),0)</f>
        <v>0</v>
      </c>
      <c r="AG238" s="75">
        <f ca="1">mult_capex * capex_new*WI_current_1 *'forecast production'!I239</f>
        <v>0</v>
      </c>
      <c r="AH238" s="146">
        <f t="shared" ca="1" si="95"/>
        <v>0</v>
      </c>
      <c r="AI238" s="73">
        <f t="shared" ca="1" si="88"/>
        <v>387.66911534357962</v>
      </c>
      <c r="AJ238" s="72">
        <f t="shared" ca="1" si="89"/>
        <v>168.93597288957304</v>
      </c>
      <c r="AK238" s="72">
        <f t="shared" ca="1" si="96"/>
        <v>556.60508823315263</v>
      </c>
      <c r="AL238" s="73">
        <f t="shared" ca="1" si="90"/>
        <v>200.44742606055752</v>
      </c>
      <c r="AM238" s="132">
        <f ca="1">IF(X238*(lease_NRI/J238)  - (Z238+Y238+AB238+AC238+AD238)  - (AK238)*(lease_NRI/J238)&gt;0,1,0)</f>
        <v>1</v>
      </c>
      <c r="AN238" s="73">
        <f t="shared" ca="1" si="97"/>
        <v>200.44742606055752</v>
      </c>
      <c r="AO238" s="75">
        <f t="shared" ca="1" si="102"/>
        <v>2328857.5380551284</v>
      </c>
      <c r="AP238" s="72">
        <f ca="1">AL238  /  ( 1 + disc_1/12)^(COUNT($AL$6:AL238)-1)</f>
        <v>29.23099869123595</v>
      </c>
      <c r="AQ238" s="72">
        <f t="shared" ca="1" si="103"/>
        <v>1563427.5878935629</v>
      </c>
      <c r="AS238" s="303">
        <f t="shared" ca="1" si="98"/>
        <v>1</v>
      </c>
      <c r="AT238" s="300">
        <f ca="1">IFERROR(IRR($AN$6:AN238)*12,0)</f>
        <v>0</v>
      </c>
      <c r="AU238" s="297">
        <f t="shared" ca="1" si="99"/>
        <v>0</v>
      </c>
      <c r="AV238" s="303">
        <f t="shared" ca="1" si="100"/>
        <v>0</v>
      </c>
    </row>
    <row r="239" spans="2:48" x14ac:dyDescent="0.25">
      <c r="B239" s="43">
        <f t="shared" si="101"/>
        <v>51288</v>
      </c>
      <c r="C239" s="79">
        <f t="shared" si="91"/>
        <v>2040</v>
      </c>
      <c r="D239" s="64">
        <f ca="1">wellcount_base  +  SUM('forecast production'!I$7:I240)</f>
        <v>1</v>
      </c>
      <c r="E239" s="110">
        <f ca="1">'forecast production'!AE240</f>
        <v>100.25791655632858</v>
      </c>
      <c r="F239" s="98">
        <f ca="1">'forecast production'!AF240</f>
        <v>673.9326390021813</v>
      </c>
      <c r="G239" s="98">
        <f ca="1">'forecast production'!AG240</f>
        <v>0.18054203491909288</v>
      </c>
      <c r="H239" s="98">
        <f ca="1">'forecast production'!AH240</f>
        <v>101.0898958503272</v>
      </c>
      <c r="I239" s="307">
        <f t="shared" ca="1" si="92"/>
        <v>1</v>
      </c>
      <c r="J239" s="306">
        <f t="shared" ca="1" si="93"/>
        <v>0.75</v>
      </c>
      <c r="K239" s="112">
        <f t="shared" ca="1" si="78"/>
        <v>75.193437417246429</v>
      </c>
      <c r="L239" s="98">
        <f t="shared" ca="1" si="79"/>
        <v>379.087109438727</v>
      </c>
      <c r="M239" s="98">
        <f t="shared" ca="1" si="80"/>
        <v>0.13540652618931964</v>
      </c>
      <c r="N239" s="98">
        <f t="shared" ca="1" si="81"/>
        <v>75.817421887745397</v>
      </c>
      <c r="O239" s="67">
        <f>assumptions!M243</f>
        <v>55</v>
      </c>
      <c r="P239" s="68">
        <f>assumptions!N243</f>
        <v>3</v>
      </c>
      <c r="Q239" s="68">
        <f>assumptions!O243</f>
        <v>22</v>
      </c>
      <c r="R239" s="67">
        <f t="shared" si="82"/>
        <v>52.5</v>
      </c>
      <c r="S239" s="68">
        <f t="shared" si="83"/>
        <v>2.3275000000000001</v>
      </c>
      <c r="T239" s="68">
        <f t="shared" si="84"/>
        <v>22</v>
      </c>
      <c r="U239" s="73">
        <f t="shared" ca="1" si="85"/>
        <v>3947.6554644054377</v>
      </c>
      <c r="V239" s="72">
        <f t="shared" ca="1" si="86"/>
        <v>882.32524721863717</v>
      </c>
      <c r="W239" s="72">
        <f t="shared" ca="1" si="87"/>
        <v>1667.9832815303987</v>
      </c>
      <c r="X239" s="72">
        <f t="shared" ca="1" si="94"/>
        <v>6497.9639931544734</v>
      </c>
      <c r="Y239" s="73">
        <f>mult_opex * fixed_month</f>
        <v>1000</v>
      </c>
      <c r="Z239" s="72">
        <f ca="1">mult_opex * fixed_well *D239</f>
        <v>5000</v>
      </c>
      <c r="AA239" s="72">
        <f ca="1">(Z239+Y239)*WI_current_1</f>
        <v>6000</v>
      </c>
      <c r="AB239" s="72">
        <f ca="1">mult_opex * var_bo*E239</f>
        <v>0</v>
      </c>
      <c r="AC239" s="72">
        <f ca="1">mult_opex * var_mcf*F239</f>
        <v>0</v>
      </c>
      <c r="AD239" s="72">
        <f ca="1">mult_opex * var_bw * G239</f>
        <v>0.36108406983818575</v>
      </c>
      <c r="AE239" s="72">
        <f ca="1">SUM(AB239:AD239)*WI_current_1</f>
        <v>0.36108406983818575</v>
      </c>
      <c r="AF239" s="73">
        <f ca="1">mult_capex * IFERROR(OFFSET(assumptions!$F$39,MATCH(B239,assumptions!$E$39:$E$45,0)-1,0),0)</f>
        <v>0</v>
      </c>
      <c r="AG239" s="75">
        <f ca="1">mult_capex * capex_new*WI_current_1 *'forecast production'!I240</f>
        <v>0</v>
      </c>
      <c r="AH239" s="146">
        <f t="shared" ca="1" si="95"/>
        <v>0</v>
      </c>
      <c r="AI239" s="73">
        <f t="shared" ca="1" si="88"/>
        <v>372.8652910188278</v>
      </c>
      <c r="AJ239" s="72">
        <f t="shared" ca="1" si="89"/>
        <v>162.44909982886185</v>
      </c>
      <c r="AK239" s="72">
        <f t="shared" ca="1" si="96"/>
        <v>535.31439084768965</v>
      </c>
      <c r="AL239" s="73">
        <f t="shared" ca="1" si="90"/>
        <v>-37.711481763054508</v>
      </c>
      <c r="AM239" s="132">
        <f ca="1">IF(X239*(lease_NRI/J239)  - (Z239+Y239+AB239+AC239+AD239)  - (AK239)*(lease_NRI/J239)&gt;0,1,0)</f>
        <v>0</v>
      </c>
      <c r="AN239" s="73">
        <f t="shared" ca="1" si="97"/>
        <v>0</v>
      </c>
      <c r="AO239" s="75">
        <f t="shared" ca="1" si="102"/>
        <v>2328857.5380551284</v>
      </c>
      <c r="AP239" s="72">
        <f ca="1">AL239  /  ( 1 + disc_1/12)^(COUNT($AL$6:AL239)-1)</f>
        <v>-5.453968715335054</v>
      </c>
      <c r="AQ239" s="72">
        <f t="shared" ca="1" si="103"/>
        <v>1563427.5878935629</v>
      </c>
      <c r="AS239" s="303">
        <f t="shared" ca="1" si="98"/>
        <v>1</v>
      </c>
      <c r="AT239" s="300">
        <f ca="1">IFERROR(IRR($AN$6:AN239)*12,0)</f>
        <v>0</v>
      </c>
      <c r="AU239" s="297">
        <f t="shared" ca="1" si="99"/>
        <v>0</v>
      </c>
      <c r="AV239" s="303">
        <f t="shared" ca="1" si="100"/>
        <v>0</v>
      </c>
    </row>
    <row r="240" spans="2:48" x14ac:dyDescent="0.25">
      <c r="B240" s="43">
        <f t="shared" si="101"/>
        <v>51318</v>
      </c>
      <c r="C240" s="79">
        <f t="shared" si="91"/>
        <v>2040</v>
      </c>
      <c r="D240" s="64">
        <f ca="1">wellcount_base  +  SUM('forecast production'!I$7:I241)</f>
        <v>1</v>
      </c>
      <c r="E240" s="110">
        <f ca="1">'forecast production'!AE241</f>
        <v>102.89227540875854</v>
      </c>
      <c r="F240" s="98">
        <f ca="1">'forecast production'!AF241</f>
        <v>692.86441935770165</v>
      </c>
      <c r="G240" s="98">
        <f ca="1">'forecast production'!AG241</f>
        <v>0.18035222134236673</v>
      </c>
      <c r="H240" s="98">
        <f ca="1">'forecast production'!AH241</f>
        <v>103.92966290365524</v>
      </c>
      <c r="I240" s="307">
        <f t="shared" ca="1" si="92"/>
        <v>1</v>
      </c>
      <c r="J240" s="306">
        <f t="shared" ca="1" si="93"/>
        <v>0.75</v>
      </c>
      <c r="K240" s="112">
        <f t="shared" ca="1" si="78"/>
        <v>77.169206556568895</v>
      </c>
      <c r="L240" s="98">
        <f t="shared" ca="1" si="79"/>
        <v>389.7362358887072</v>
      </c>
      <c r="M240" s="98">
        <f t="shared" ca="1" si="80"/>
        <v>0.13526416600677504</v>
      </c>
      <c r="N240" s="98">
        <f t="shared" ca="1" si="81"/>
        <v>77.947247177741431</v>
      </c>
      <c r="O240" s="67">
        <f>assumptions!M244</f>
        <v>55</v>
      </c>
      <c r="P240" s="68">
        <f>assumptions!N244</f>
        <v>3</v>
      </c>
      <c r="Q240" s="68">
        <f>assumptions!O244</f>
        <v>22</v>
      </c>
      <c r="R240" s="67">
        <f t="shared" si="82"/>
        <v>52.5</v>
      </c>
      <c r="S240" s="68">
        <f t="shared" si="83"/>
        <v>2.3275000000000001</v>
      </c>
      <c r="T240" s="68">
        <f t="shared" si="84"/>
        <v>22</v>
      </c>
      <c r="U240" s="73">
        <f t="shared" ca="1" si="85"/>
        <v>4051.383344219867</v>
      </c>
      <c r="V240" s="72">
        <f t="shared" ca="1" si="86"/>
        <v>907.11108903096601</v>
      </c>
      <c r="W240" s="72">
        <f t="shared" ca="1" si="87"/>
        <v>1714.8394379103115</v>
      </c>
      <c r="X240" s="72">
        <f t="shared" ca="1" si="94"/>
        <v>6673.333871161145</v>
      </c>
      <c r="Y240" s="73">
        <f>mult_opex * fixed_month</f>
        <v>1000</v>
      </c>
      <c r="Z240" s="72">
        <f ca="1">mult_opex * fixed_well *D240</f>
        <v>5000</v>
      </c>
      <c r="AA240" s="72">
        <f ca="1">(Z240+Y240)*WI_current_1</f>
        <v>6000</v>
      </c>
      <c r="AB240" s="72">
        <f ca="1">mult_opex * var_bo*E240</f>
        <v>0</v>
      </c>
      <c r="AC240" s="72">
        <f ca="1">mult_opex * var_mcf*F240</f>
        <v>0</v>
      </c>
      <c r="AD240" s="72">
        <f ca="1">mult_opex * var_bw * G240</f>
        <v>0.36070444268473345</v>
      </c>
      <c r="AE240" s="72">
        <f ca="1">SUM(AB240:AD240)*WI_current_1</f>
        <v>0.36070444268473345</v>
      </c>
      <c r="AF240" s="73">
        <f ca="1">mult_capex * IFERROR(OFFSET(assumptions!$F$39,MATCH(B240,assumptions!$E$39:$E$45,0)-1,0),0)</f>
        <v>0</v>
      </c>
      <c r="AG240" s="75">
        <f ca="1">mult_capex * capex_new*WI_current_1 *'forecast production'!I241</f>
        <v>0</v>
      </c>
      <c r="AH240" s="146">
        <f t="shared" ca="1" si="95"/>
        <v>0</v>
      </c>
      <c r="AI240" s="73">
        <f t="shared" ca="1" si="88"/>
        <v>383.00992335470971</v>
      </c>
      <c r="AJ240" s="72">
        <f t="shared" ca="1" si="89"/>
        <v>166.83334677902863</v>
      </c>
      <c r="AK240" s="72">
        <f t="shared" ca="1" si="96"/>
        <v>549.84327013373832</v>
      </c>
      <c r="AL240" s="73">
        <f t="shared" ca="1" si="90"/>
        <v>123.12989658472179</v>
      </c>
      <c r="AM240" s="132">
        <f ca="1">IF(X240*(lease_NRI/J240)  - (Z240+Y240+AB240+AC240+AD240)  - (AK240)*(lease_NRI/J240)&gt;0,1,0)</f>
        <v>1</v>
      </c>
      <c r="AN240" s="73">
        <f t="shared" ca="1" si="97"/>
        <v>123.12989658472179</v>
      </c>
      <c r="AO240" s="75">
        <f t="shared" ca="1" si="102"/>
        <v>2328980.6679517133</v>
      </c>
      <c r="AP240" s="72">
        <f ca="1">AL240  /  ( 1 + disc_1/12)^(COUNT($AL$6:AL240)-1)</f>
        <v>17.660314599861767</v>
      </c>
      <c r="AQ240" s="72">
        <f t="shared" ca="1" si="103"/>
        <v>1563445.2482081626</v>
      </c>
      <c r="AS240" s="303">
        <f t="shared" ca="1" si="98"/>
        <v>1</v>
      </c>
      <c r="AT240" s="300">
        <f ca="1">IFERROR(IRR($AN$6:AN240)*12,0)</f>
        <v>0</v>
      </c>
      <c r="AU240" s="297">
        <f t="shared" ca="1" si="99"/>
        <v>0</v>
      </c>
      <c r="AV240" s="303">
        <f t="shared" ca="1" si="100"/>
        <v>0</v>
      </c>
    </row>
    <row r="241" spans="2:48" x14ac:dyDescent="0.25">
      <c r="B241" s="43">
        <f t="shared" si="101"/>
        <v>51349</v>
      </c>
      <c r="C241" s="79">
        <f t="shared" si="91"/>
        <v>2040</v>
      </c>
      <c r="D241" s="64">
        <f ca="1">wellcount_base  +  SUM('forecast production'!I$7:I242)</f>
        <v>1</v>
      </c>
      <c r="E241" s="110">
        <f ca="1">'forecast production'!AE242</f>
        <v>102.16619452590238</v>
      </c>
      <c r="F241" s="98">
        <f ca="1">'forecast production'!AF242</f>
        <v>689.23284878422066</v>
      </c>
      <c r="G241" s="98">
        <f ca="1">'forecast production'!AG242</f>
        <v>0.17415539082814735</v>
      </c>
      <c r="H241" s="98">
        <f ca="1">'forecast production'!AH242</f>
        <v>103.3849273176331</v>
      </c>
      <c r="I241" s="307">
        <f t="shared" ca="1" si="92"/>
        <v>1</v>
      </c>
      <c r="J241" s="306">
        <f t="shared" ca="1" si="93"/>
        <v>0.75</v>
      </c>
      <c r="K241" s="112">
        <f t="shared" ca="1" si="78"/>
        <v>76.624645894426791</v>
      </c>
      <c r="L241" s="98">
        <f t="shared" ca="1" si="79"/>
        <v>387.69347744112417</v>
      </c>
      <c r="M241" s="98">
        <f t="shared" ca="1" si="80"/>
        <v>0.13061654312111051</v>
      </c>
      <c r="N241" s="98">
        <f t="shared" ca="1" si="81"/>
        <v>77.538695488224818</v>
      </c>
      <c r="O241" s="67">
        <f>assumptions!M245</f>
        <v>55</v>
      </c>
      <c r="P241" s="68">
        <f>assumptions!N245</f>
        <v>3</v>
      </c>
      <c r="Q241" s="68">
        <f>assumptions!O245</f>
        <v>22</v>
      </c>
      <c r="R241" s="67">
        <f t="shared" si="82"/>
        <v>52.5</v>
      </c>
      <c r="S241" s="68">
        <f t="shared" si="83"/>
        <v>2.3275000000000001</v>
      </c>
      <c r="T241" s="68">
        <f t="shared" si="84"/>
        <v>22</v>
      </c>
      <c r="U241" s="73">
        <f t="shared" ca="1" si="85"/>
        <v>4022.7939094574067</v>
      </c>
      <c r="V241" s="72">
        <f t="shared" ca="1" si="86"/>
        <v>902.35656874421659</v>
      </c>
      <c r="W241" s="72">
        <f t="shared" ca="1" si="87"/>
        <v>1705.851300740946</v>
      </c>
      <c r="X241" s="72">
        <f t="shared" ca="1" si="94"/>
        <v>6631.0017789425692</v>
      </c>
      <c r="Y241" s="73">
        <f>mult_opex * fixed_month</f>
        <v>1000</v>
      </c>
      <c r="Z241" s="72">
        <f ca="1">mult_opex * fixed_well *D241</f>
        <v>5000</v>
      </c>
      <c r="AA241" s="72">
        <f ca="1">(Z241+Y241)*WI_current_1</f>
        <v>6000</v>
      </c>
      <c r="AB241" s="72">
        <f ca="1">mult_opex * var_bo*E241</f>
        <v>0</v>
      </c>
      <c r="AC241" s="72">
        <f ca="1">mult_opex * var_mcf*F241</f>
        <v>0</v>
      </c>
      <c r="AD241" s="72">
        <f ca="1">mult_opex * var_bw * G241</f>
        <v>0.3483107816562947</v>
      </c>
      <c r="AE241" s="72">
        <f ca="1">SUM(AB241:AD241)*WI_current_1</f>
        <v>0.3483107816562947</v>
      </c>
      <c r="AF241" s="73">
        <f ca="1">mult_capex * IFERROR(OFFSET(assumptions!$F$39,MATCH(B241,assumptions!$E$39:$E$45,0)-1,0),0)</f>
        <v>0</v>
      </c>
      <c r="AG241" s="75">
        <f ca="1">mult_capex * capex_new*WI_current_1 *'forecast production'!I242</f>
        <v>0</v>
      </c>
      <c r="AH241" s="146">
        <f t="shared" ca="1" si="95"/>
        <v>0</v>
      </c>
      <c r="AI241" s="73">
        <f t="shared" ca="1" si="88"/>
        <v>380.66411004642788</v>
      </c>
      <c r="AJ241" s="72">
        <f t="shared" ca="1" si="89"/>
        <v>165.77504447356424</v>
      </c>
      <c r="AK241" s="72">
        <f t="shared" ca="1" si="96"/>
        <v>546.43915451999214</v>
      </c>
      <c r="AL241" s="73">
        <f t="shared" ca="1" si="90"/>
        <v>84.214313640920409</v>
      </c>
      <c r="AM241" s="132">
        <f ca="1">IF(X241*(lease_NRI/J241)  - (Z241+Y241+AB241+AC241+AD241)  - (AK241)*(lease_NRI/J241)&gt;0,1,0)</f>
        <v>1</v>
      </c>
      <c r="AN241" s="73">
        <f t="shared" ca="1" si="97"/>
        <v>84.214313640920409</v>
      </c>
      <c r="AO241" s="75">
        <f t="shared" ca="1" si="102"/>
        <v>2329064.882265354</v>
      </c>
      <c r="AP241" s="72">
        <f ca="1">AL241  /  ( 1 + disc_1/12)^(COUNT($AL$6:AL241)-1)</f>
        <v>11.978893678862931</v>
      </c>
      <c r="AQ241" s="72">
        <f t="shared" ca="1" si="103"/>
        <v>1563457.2271018415</v>
      </c>
      <c r="AS241" s="303">
        <f t="shared" ca="1" si="98"/>
        <v>1</v>
      </c>
      <c r="AT241" s="300">
        <f ca="1">IFERROR(IRR($AN$6:AN241)*12,0)</f>
        <v>0</v>
      </c>
      <c r="AU241" s="297">
        <f t="shared" ca="1" si="99"/>
        <v>0</v>
      </c>
      <c r="AV241" s="303">
        <f t="shared" ca="1" si="100"/>
        <v>0</v>
      </c>
    </row>
    <row r="242" spans="2:48" x14ac:dyDescent="0.25">
      <c r="B242" s="43">
        <f t="shared" si="101"/>
        <v>51380</v>
      </c>
      <c r="C242" s="79">
        <f t="shared" si="91"/>
        <v>2040</v>
      </c>
      <c r="D242" s="64">
        <f ca="1">wellcount_base  +  SUM('forecast production'!I$7:I243)</f>
        <v>1</v>
      </c>
      <c r="E242" s="110">
        <f ca="1">'forecast production'!AE243</f>
        <v>98.172810372394594</v>
      </c>
      <c r="F242" s="98">
        <f ca="1">'forecast production'!AF243</f>
        <v>663.50352839767913</v>
      </c>
      <c r="G242" s="98">
        <f ca="1">'forecast production'!AG243</f>
        <v>0.16274758905054587</v>
      </c>
      <c r="H242" s="98">
        <f ca="1">'forecast production'!AH243</f>
        <v>99.525529259651876</v>
      </c>
      <c r="I242" s="307">
        <f t="shared" ca="1" si="92"/>
        <v>1</v>
      </c>
      <c r="J242" s="306">
        <f t="shared" ca="1" si="93"/>
        <v>0.75</v>
      </c>
      <c r="K242" s="112">
        <f t="shared" ca="1" si="78"/>
        <v>73.629607779295952</v>
      </c>
      <c r="L242" s="98">
        <f t="shared" ca="1" si="79"/>
        <v>373.22073472369453</v>
      </c>
      <c r="M242" s="98">
        <f t="shared" ca="1" si="80"/>
        <v>0.1220606917879094</v>
      </c>
      <c r="N242" s="98">
        <f t="shared" ca="1" si="81"/>
        <v>74.644146944738907</v>
      </c>
      <c r="O242" s="67">
        <f>assumptions!M246</f>
        <v>55</v>
      </c>
      <c r="P242" s="68">
        <f>assumptions!N246</f>
        <v>3</v>
      </c>
      <c r="Q242" s="68">
        <f>assumptions!O246</f>
        <v>22</v>
      </c>
      <c r="R242" s="67">
        <f t="shared" si="82"/>
        <v>52.5</v>
      </c>
      <c r="S242" s="68">
        <f t="shared" si="83"/>
        <v>2.3275000000000001</v>
      </c>
      <c r="T242" s="68">
        <f t="shared" si="84"/>
        <v>22</v>
      </c>
      <c r="U242" s="73">
        <f t="shared" ca="1" si="85"/>
        <v>3865.5544084130374</v>
      </c>
      <c r="V242" s="72">
        <f t="shared" ca="1" si="86"/>
        <v>868.67126006939907</v>
      </c>
      <c r="W242" s="72">
        <f t="shared" ca="1" si="87"/>
        <v>1642.1712327842561</v>
      </c>
      <c r="X242" s="72">
        <f t="shared" ca="1" si="94"/>
        <v>6376.396901266693</v>
      </c>
      <c r="Y242" s="73">
        <f>mult_opex * fixed_month</f>
        <v>1000</v>
      </c>
      <c r="Z242" s="72">
        <f ca="1">mult_opex * fixed_well *D242</f>
        <v>5000</v>
      </c>
      <c r="AA242" s="72">
        <f ca="1">(Z242+Y242)*WI_current_1</f>
        <v>6000</v>
      </c>
      <c r="AB242" s="72">
        <f ca="1">mult_opex * var_bo*E242</f>
        <v>0</v>
      </c>
      <c r="AC242" s="72">
        <f ca="1">mult_opex * var_mcf*F242</f>
        <v>0</v>
      </c>
      <c r="AD242" s="72">
        <f ca="1">mult_opex * var_bw * G242</f>
        <v>0.32549517810109174</v>
      </c>
      <c r="AE242" s="72">
        <f ca="1">SUM(AB242:AD242)*WI_current_1</f>
        <v>0.32549517810109174</v>
      </c>
      <c r="AF242" s="73">
        <f ca="1">mult_capex * IFERROR(OFFSET(assumptions!$F$39,MATCH(B242,assumptions!$E$39:$E$45,0)-1,0),0)</f>
        <v>0</v>
      </c>
      <c r="AG242" s="75">
        <f ca="1">mult_capex * capex_new*WI_current_1 *'forecast production'!I243</f>
        <v>0</v>
      </c>
      <c r="AH242" s="146">
        <f t="shared" ca="1" si="95"/>
        <v>0</v>
      </c>
      <c r="AI242" s="73">
        <f t="shared" ca="1" si="88"/>
        <v>366.1286897510239</v>
      </c>
      <c r="AJ242" s="72">
        <f t="shared" ca="1" si="89"/>
        <v>159.40992253166735</v>
      </c>
      <c r="AK242" s="72">
        <f t="shared" ca="1" si="96"/>
        <v>525.53861228269125</v>
      </c>
      <c r="AL242" s="73">
        <f t="shared" ca="1" si="90"/>
        <v>-149.46720619409916</v>
      </c>
      <c r="AM242" s="132">
        <f ca="1">IF(X242*(lease_NRI/J242)  - (Z242+Y242+AB242+AC242+AD242)  - (AK242)*(lease_NRI/J242)&gt;0,1,0)</f>
        <v>0</v>
      </c>
      <c r="AN242" s="73">
        <f t="shared" ca="1" si="97"/>
        <v>0</v>
      </c>
      <c r="AO242" s="75">
        <f t="shared" ca="1" si="102"/>
        <v>2329064.882265354</v>
      </c>
      <c r="AP242" s="72">
        <f ca="1">AL242  /  ( 1 + disc_1/12)^(COUNT($AL$6:AL242)-1)</f>
        <v>-21.084950676777581</v>
      </c>
      <c r="AQ242" s="72">
        <f t="shared" ca="1" si="103"/>
        <v>1563457.2271018415</v>
      </c>
      <c r="AS242" s="303">
        <f t="shared" ca="1" si="98"/>
        <v>1</v>
      </c>
      <c r="AT242" s="300">
        <f ca="1">IFERROR(IRR($AN$6:AN242)*12,0)</f>
        <v>0</v>
      </c>
      <c r="AU242" s="297">
        <f t="shared" ca="1" si="99"/>
        <v>0</v>
      </c>
      <c r="AV242" s="303">
        <f t="shared" ca="1" si="100"/>
        <v>0</v>
      </c>
    </row>
    <row r="243" spans="2:48" x14ac:dyDescent="0.25">
      <c r="B243" s="43">
        <f t="shared" si="101"/>
        <v>51410</v>
      </c>
      <c r="C243" s="79">
        <f t="shared" si="91"/>
        <v>2040</v>
      </c>
      <c r="D243" s="64">
        <f ca="1">wellcount_base  +  SUM('forecast production'!I$7:I244)</f>
        <v>1</v>
      </c>
      <c r="E243" s="110">
        <f ca="1">'forecast production'!AE244</f>
        <v>100.75238135247918</v>
      </c>
      <c r="F243" s="98">
        <f ca="1">'forecast production'!AF244</f>
        <v>682.14233936747542</v>
      </c>
      <c r="G243" s="98">
        <f ca="1">'forecast production'!AG244</f>
        <v>0.16257933723459012</v>
      </c>
      <c r="H243" s="98">
        <f ca="1">'forecast production'!AH244</f>
        <v>102.32135090512131</v>
      </c>
      <c r="I243" s="307">
        <f t="shared" ca="1" si="92"/>
        <v>1</v>
      </c>
      <c r="J243" s="306">
        <f t="shared" ca="1" si="93"/>
        <v>0.75</v>
      </c>
      <c r="K243" s="112">
        <f t="shared" ca="1" si="78"/>
        <v>75.564286014359382</v>
      </c>
      <c r="L243" s="98">
        <f t="shared" ca="1" si="79"/>
        <v>383.70506589420495</v>
      </c>
      <c r="M243" s="98">
        <f t="shared" ca="1" si="80"/>
        <v>0.12193450292594259</v>
      </c>
      <c r="N243" s="98">
        <f t="shared" ca="1" si="81"/>
        <v>76.741013178840973</v>
      </c>
      <c r="O243" s="67">
        <f>assumptions!M247</f>
        <v>55</v>
      </c>
      <c r="P243" s="68">
        <f>assumptions!N247</f>
        <v>3</v>
      </c>
      <c r="Q243" s="68">
        <f>assumptions!O247</f>
        <v>22</v>
      </c>
      <c r="R243" s="67">
        <f t="shared" si="82"/>
        <v>52.5</v>
      </c>
      <c r="S243" s="68">
        <f t="shared" si="83"/>
        <v>2.3275000000000001</v>
      </c>
      <c r="T243" s="68">
        <f t="shared" si="84"/>
        <v>22</v>
      </c>
      <c r="U243" s="73">
        <f t="shared" ca="1" si="85"/>
        <v>3967.1250157538675</v>
      </c>
      <c r="V243" s="72">
        <f t="shared" ca="1" si="86"/>
        <v>893.07354086876205</v>
      </c>
      <c r="W243" s="72">
        <f t="shared" ca="1" si="87"/>
        <v>1688.3022899345015</v>
      </c>
      <c r="X243" s="72">
        <f t="shared" ca="1" si="94"/>
        <v>6548.5008465571309</v>
      </c>
      <c r="Y243" s="73">
        <f>mult_opex * fixed_month</f>
        <v>1000</v>
      </c>
      <c r="Z243" s="72">
        <f ca="1">mult_opex * fixed_well *D243</f>
        <v>5000</v>
      </c>
      <c r="AA243" s="72">
        <f ca="1">(Z243+Y243)*WI_current_1</f>
        <v>6000</v>
      </c>
      <c r="AB243" s="72">
        <f ca="1">mult_opex * var_bo*E243</f>
        <v>0</v>
      </c>
      <c r="AC243" s="72">
        <f ca="1">mult_opex * var_mcf*F243</f>
        <v>0</v>
      </c>
      <c r="AD243" s="72">
        <f ca="1">mult_opex * var_bw * G243</f>
        <v>0.32515867446918023</v>
      </c>
      <c r="AE243" s="72">
        <f ca="1">SUM(AB243:AD243)*WI_current_1</f>
        <v>0.32515867446918023</v>
      </c>
      <c r="AF243" s="73">
        <f ca="1">mult_capex * IFERROR(OFFSET(assumptions!$F$39,MATCH(B243,assumptions!$E$39:$E$45,0)-1,0),0)</f>
        <v>0</v>
      </c>
      <c r="AG243" s="75">
        <f ca="1">mult_capex * capex_new*WI_current_1 *'forecast production'!I244</f>
        <v>0</v>
      </c>
      <c r="AH243" s="146">
        <f t="shared" ca="1" si="95"/>
        <v>0</v>
      </c>
      <c r="AI243" s="73">
        <f t="shared" ca="1" si="88"/>
        <v>376.09093803492266</v>
      </c>
      <c r="AJ243" s="72">
        <f t="shared" ca="1" si="89"/>
        <v>163.71252116392827</v>
      </c>
      <c r="AK243" s="72">
        <f t="shared" ca="1" si="96"/>
        <v>539.80345919885099</v>
      </c>
      <c r="AL243" s="73">
        <f t="shared" ca="1" si="90"/>
        <v>8.3722286838110449</v>
      </c>
      <c r="AM243" s="132">
        <f ca="1">IF(X243*(lease_NRI/J243)  - (Z243+Y243+AB243+AC243+AD243)  - (AK243)*(lease_NRI/J243)&gt;0,1,0)</f>
        <v>1</v>
      </c>
      <c r="AN243" s="73">
        <f t="shared" ca="1" si="97"/>
        <v>8.3722286838110449</v>
      </c>
      <c r="AO243" s="75">
        <f t="shared" ca="1" si="102"/>
        <v>2329073.2544940379</v>
      </c>
      <c r="AP243" s="72">
        <f ca="1">AL243  /  ( 1 + disc_1/12)^(COUNT($AL$6:AL243)-1)</f>
        <v>1.1712878294931799</v>
      </c>
      <c r="AQ243" s="72">
        <f t="shared" ca="1" si="103"/>
        <v>1563458.398389671</v>
      </c>
      <c r="AS243" s="303">
        <f t="shared" ca="1" si="98"/>
        <v>1</v>
      </c>
      <c r="AT243" s="300">
        <f ca="1">IFERROR(IRR($AN$6:AN243)*12,0)</f>
        <v>0</v>
      </c>
      <c r="AU243" s="297">
        <f t="shared" ca="1" si="99"/>
        <v>0</v>
      </c>
      <c r="AV243" s="303">
        <f t="shared" ca="1" si="100"/>
        <v>0</v>
      </c>
    </row>
    <row r="244" spans="2:48" x14ac:dyDescent="0.25">
      <c r="B244" s="43">
        <f t="shared" si="101"/>
        <v>51441</v>
      </c>
      <c r="C244" s="79">
        <f t="shared" si="91"/>
        <v>2040</v>
      </c>
      <c r="D244" s="64">
        <f ca="1">wellcount_base  +  SUM('forecast production'!I$7:I245)</f>
        <v>1</v>
      </c>
      <c r="E244" s="110">
        <f ca="1">'forecast production'!AE245</f>
        <v>96.814259109713674</v>
      </c>
      <c r="F244" s="98">
        <f ca="1">'forecast production'!AF245</f>
        <v>656.67771035310057</v>
      </c>
      <c r="G244" s="98">
        <f ca="1">'forecast production'!AG245</f>
        <v>0.1519316345003191</v>
      </c>
      <c r="H244" s="98">
        <f ca="1">'forecast production'!AH245</f>
        <v>98.501656552965088</v>
      </c>
      <c r="I244" s="307">
        <f t="shared" ca="1" si="92"/>
        <v>1</v>
      </c>
      <c r="J244" s="306">
        <f t="shared" ca="1" si="93"/>
        <v>0.75</v>
      </c>
      <c r="K244" s="112">
        <f t="shared" ca="1" si="78"/>
        <v>72.610694332285249</v>
      </c>
      <c r="L244" s="98">
        <f t="shared" ca="1" si="79"/>
        <v>369.38121207361905</v>
      </c>
      <c r="M244" s="98">
        <f t="shared" ca="1" si="80"/>
        <v>0.11394872587523933</v>
      </c>
      <c r="N244" s="98">
        <f t="shared" ca="1" si="81"/>
        <v>73.876242414723819</v>
      </c>
      <c r="O244" s="67">
        <f>assumptions!M248</f>
        <v>55</v>
      </c>
      <c r="P244" s="68">
        <f>assumptions!N248</f>
        <v>3</v>
      </c>
      <c r="Q244" s="68">
        <f>assumptions!O248</f>
        <v>22</v>
      </c>
      <c r="R244" s="67">
        <f t="shared" si="82"/>
        <v>52.5</v>
      </c>
      <c r="S244" s="68">
        <f t="shared" si="83"/>
        <v>2.3275000000000001</v>
      </c>
      <c r="T244" s="68">
        <f t="shared" si="84"/>
        <v>22</v>
      </c>
      <c r="U244" s="73">
        <f t="shared" ca="1" si="85"/>
        <v>3812.0614524449757</v>
      </c>
      <c r="V244" s="72">
        <f t="shared" ca="1" si="86"/>
        <v>859.73477110134843</v>
      </c>
      <c r="W244" s="72">
        <f t="shared" ca="1" si="87"/>
        <v>1625.2773331239241</v>
      </c>
      <c r="X244" s="72">
        <f t="shared" ca="1" si="94"/>
        <v>6297.0735566702479</v>
      </c>
      <c r="Y244" s="73">
        <f>mult_opex * fixed_month</f>
        <v>1000</v>
      </c>
      <c r="Z244" s="72">
        <f ca="1">mult_opex * fixed_well *D244</f>
        <v>5000</v>
      </c>
      <c r="AA244" s="72">
        <f ca="1">(Z244+Y244)*WI_current_1</f>
        <v>6000</v>
      </c>
      <c r="AB244" s="72">
        <f ca="1">mult_opex * var_bo*E244</f>
        <v>0</v>
      </c>
      <c r="AC244" s="72">
        <f ca="1">mult_opex * var_mcf*F244</f>
        <v>0</v>
      </c>
      <c r="AD244" s="72">
        <f ca="1">mult_opex * var_bw * G244</f>
        <v>0.3038632690006382</v>
      </c>
      <c r="AE244" s="72">
        <f ca="1">SUM(AB244:AD244)*WI_current_1</f>
        <v>0.3038632690006382</v>
      </c>
      <c r="AF244" s="73">
        <f ca="1">mult_capex * IFERROR(OFFSET(assumptions!$F$39,MATCH(B244,assumptions!$E$39:$E$45,0)-1,0),0)</f>
        <v>0</v>
      </c>
      <c r="AG244" s="75">
        <f ca="1">mult_capex * capex_new*WI_current_1 *'forecast production'!I245</f>
        <v>0</v>
      </c>
      <c r="AH244" s="146">
        <f t="shared" ca="1" si="95"/>
        <v>0</v>
      </c>
      <c r="AI244" s="73">
        <f t="shared" ca="1" si="88"/>
        <v>361.73073462936429</v>
      </c>
      <c r="AJ244" s="72">
        <f t="shared" ca="1" si="89"/>
        <v>157.4268389167562</v>
      </c>
      <c r="AK244" s="72">
        <f t="shared" ca="1" si="96"/>
        <v>519.15757354612049</v>
      </c>
      <c r="AL244" s="73">
        <f t="shared" ca="1" si="90"/>
        <v>-222.38788014487272</v>
      </c>
      <c r="AM244" s="132">
        <f ca="1">IF(X244*(lease_NRI/J244)  - (Z244+Y244+AB244+AC244+AD244)  - (AK244)*(lease_NRI/J244)&gt;0,1,0)</f>
        <v>0</v>
      </c>
      <c r="AN244" s="73">
        <f t="shared" ca="1" si="97"/>
        <v>0</v>
      </c>
      <c r="AO244" s="75">
        <f t="shared" ca="1" si="102"/>
        <v>2329073.2544940379</v>
      </c>
      <c r="AP244" s="72">
        <f ca="1">AL244  /  ( 1 + disc_1/12)^(COUNT($AL$6:AL244)-1)</f>
        <v>-30.855283357254216</v>
      </c>
      <c r="AQ244" s="72">
        <f t="shared" ca="1" si="103"/>
        <v>1563458.398389671</v>
      </c>
      <c r="AS244" s="303">
        <f t="shared" ca="1" si="98"/>
        <v>1</v>
      </c>
      <c r="AT244" s="300">
        <f ca="1">IFERROR(IRR($AN$6:AN244)*12,0)</f>
        <v>0</v>
      </c>
      <c r="AU244" s="297">
        <f t="shared" ca="1" si="99"/>
        <v>0</v>
      </c>
      <c r="AV244" s="303">
        <f t="shared" ca="1" si="100"/>
        <v>0</v>
      </c>
    </row>
    <row r="245" spans="2:48" x14ac:dyDescent="0.25">
      <c r="B245" s="44">
        <f t="shared" si="101"/>
        <v>51471</v>
      </c>
      <c r="C245" s="100">
        <f t="shared" si="91"/>
        <v>2040</v>
      </c>
      <c r="D245" s="65">
        <f ca="1">wellcount_base  +  SUM('forecast production'!I$7:I246)</f>
        <v>1</v>
      </c>
      <c r="E245" s="109">
        <f ca="1">'forecast production'!AE246</f>
        <v>99.358133042938974</v>
      </c>
      <c r="F245" s="101">
        <f ca="1">'forecast production'!AF246</f>
        <v>675.12477383881901</v>
      </c>
      <c r="G245" s="101">
        <f ca="1">'forecast production'!AG246</f>
        <v>0.15177632919992209</v>
      </c>
      <c r="H245" s="102">
        <f ca="1">'forecast production'!AH246</f>
        <v>101.26871607582285</v>
      </c>
      <c r="I245" s="308">
        <f t="shared" ca="1" si="92"/>
        <v>1</v>
      </c>
      <c r="J245" s="309">
        <f t="shared" ca="1" si="93"/>
        <v>0.75</v>
      </c>
      <c r="K245" s="113">
        <f t="shared" ca="1" si="78"/>
        <v>74.518599782204234</v>
      </c>
      <c r="L245" s="102">
        <f t="shared" ca="1" si="79"/>
        <v>379.75768528433571</v>
      </c>
      <c r="M245" s="102">
        <f t="shared" ca="1" si="80"/>
        <v>0.11383224689994156</v>
      </c>
      <c r="N245" s="102">
        <f t="shared" ca="1" si="81"/>
        <v>75.951537056867139</v>
      </c>
      <c r="O245" s="103">
        <f>assumptions!M249</f>
        <v>55</v>
      </c>
      <c r="P245" s="104">
        <f>assumptions!N249</f>
        <v>3</v>
      </c>
      <c r="Q245" s="104">
        <f>assumptions!O249</f>
        <v>22</v>
      </c>
      <c r="R245" s="103">
        <f t="shared" si="82"/>
        <v>52.5</v>
      </c>
      <c r="S245" s="104">
        <f t="shared" si="83"/>
        <v>2.3275000000000001</v>
      </c>
      <c r="T245" s="104">
        <f t="shared" si="84"/>
        <v>22</v>
      </c>
      <c r="U245" s="105">
        <f t="shared" ca="1" si="85"/>
        <v>3912.2264885657223</v>
      </c>
      <c r="V245" s="106">
        <f t="shared" ca="1" si="86"/>
        <v>883.88601249929138</v>
      </c>
      <c r="W245" s="106">
        <f t="shared" ca="1" si="87"/>
        <v>1670.933815251077</v>
      </c>
      <c r="X245" s="106">
        <f t="shared" ca="1" si="94"/>
        <v>6467.0463163160912</v>
      </c>
      <c r="Y245" s="105">
        <f>mult_opex * fixed_month</f>
        <v>1000</v>
      </c>
      <c r="Z245" s="106">
        <f ca="1">mult_opex * fixed_well *D245</f>
        <v>5000</v>
      </c>
      <c r="AA245" s="106">
        <f ca="1">(Z245+Y245)*WI_current_1</f>
        <v>6000</v>
      </c>
      <c r="AB245" s="106">
        <f ca="1">mult_opex * var_bo*E245</f>
        <v>0</v>
      </c>
      <c r="AC245" s="106">
        <f ca="1">mult_opex * var_mcf*F245</f>
        <v>0</v>
      </c>
      <c r="AD245" s="106">
        <f ca="1">mult_opex * var_bw * G245</f>
        <v>0.30355265839984419</v>
      </c>
      <c r="AE245" s="106">
        <f ca="1">SUM(AB245:AD245)*WI_current_1</f>
        <v>0.30355265839984419</v>
      </c>
      <c r="AF245" s="105">
        <f ca="1">mult_capex * IFERROR(OFFSET(assumptions!$F$39,MATCH(B245,assumptions!$E$39:$E$45,0)-1,0),0)</f>
        <v>0</v>
      </c>
      <c r="AG245" s="106">
        <f ca="1">mult_capex * capex_new*WI_current_1 *'forecast production'!I246</f>
        <v>0</v>
      </c>
      <c r="AH245" s="147">
        <f t="shared" ca="1" si="95"/>
        <v>0</v>
      </c>
      <c r="AI245" s="105">
        <f t="shared" ca="1" si="88"/>
        <v>371.57390555530083</v>
      </c>
      <c r="AJ245" s="106">
        <f t="shared" ca="1" si="89"/>
        <v>161.67615790790228</v>
      </c>
      <c r="AK245" s="106">
        <f t="shared" ca="1" si="96"/>
        <v>533.25006346320311</v>
      </c>
      <c r="AL245" s="105">
        <f t="shared" ca="1" si="90"/>
        <v>-66.507299805512048</v>
      </c>
      <c r="AM245" s="133">
        <f ca="1">IF(X245*(lease_NRI/J245)  - (Z245+Y245+AB245+AC245+AD245)  - (AK245)*(lease_NRI/J245)&gt;0,1,0)</f>
        <v>0</v>
      </c>
      <c r="AN245" s="105">
        <f t="shared" ca="1" si="97"/>
        <v>0</v>
      </c>
      <c r="AO245" s="106">
        <f t="shared" ca="1" si="102"/>
        <v>2329073.2544940379</v>
      </c>
      <c r="AP245" s="106">
        <f ca="1">AL245  /  ( 1 + disc_1/12)^(COUNT($AL$6:AL245)-1)</f>
        <v>-9.1513173393363711</v>
      </c>
      <c r="AQ245" s="106">
        <f t="shared" ca="1" si="103"/>
        <v>1563458.398389671</v>
      </c>
      <c r="AS245" s="304">
        <f t="shared" ca="1" si="98"/>
        <v>1</v>
      </c>
      <c r="AT245" s="301">
        <f ca="1">IFERROR(IRR($AN$6:AN245)*12,0)</f>
        <v>0</v>
      </c>
      <c r="AU245" s="298">
        <f t="shared" ca="1" si="99"/>
        <v>0</v>
      </c>
      <c r="AV245" s="304">
        <f t="shared" ca="1" si="100"/>
        <v>0</v>
      </c>
    </row>
    <row r="246" spans="2:48" x14ac:dyDescent="0.25">
      <c r="B246" s="43">
        <f t="shared" si="101"/>
        <v>51502</v>
      </c>
      <c r="C246" s="79">
        <f t="shared" si="91"/>
        <v>2041</v>
      </c>
      <c r="D246" s="64">
        <f ca="1">wellcount_base  +  SUM('forecast production'!I$7:I247)</f>
        <v>1</v>
      </c>
      <c r="E246" s="110">
        <f ca="1">'forecast production'!AE247</f>
        <v>98.656991575592102</v>
      </c>
      <c r="F246" s="98">
        <f ca="1">'forecast production'!AF247</f>
        <v>671.58618361308072</v>
      </c>
      <c r="G246" s="98">
        <f ca="1">'forecast production'!AG247</f>
        <v>0.14656577257577377</v>
      </c>
      <c r="H246" s="98">
        <f ca="1">'forecast production'!AH247</f>
        <v>100.73792754196209</v>
      </c>
      <c r="I246" s="307">
        <f t="shared" ca="1" si="92"/>
        <v>1</v>
      </c>
      <c r="J246" s="306">
        <f t="shared" ca="1" si="93"/>
        <v>0.75</v>
      </c>
      <c r="K246" s="112">
        <f t="shared" ca="1" si="78"/>
        <v>73.99274368169408</v>
      </c>
      <c r="L246" s="98">
        <f t="shared" ca="1" si="79"/>
        <v>377.76722828235791</v>
      </c>
      <c r="M246" s="98">
        <f t="shared" ca="1" si="80"/>
        <v>0.10992432943183034</v>
      </c>
      <c r="N246" s="98">
        <f t="shared" ca="1" si="81"/>
        <v>75.553445656471567</v>
      </c>
      <c r="O246" s="67">
        <f>assumptions!M250</f>
        <v>55</v>
      </c>
      <c r="P246" s="68">
        <f>assumptions!N250</f>
        <v>3</v>
      </c>
      <c r="Q246" s="68">
        <f>assumptions!O250</f>
        <v>22</v>
      </c>
      <c r="R246" s="67">
        <f t="shared" si="82"/>
        <v>52.5</v>
      </c>
      <c r="S246" s="68">
        <f t="shared" si="83"/>
        <v>2.3275000000000001</v>
      </c>
      <c r="T246" s="68">
        <f t="shared" si="84"/>
        <v>22</v>
      </c>
      <c r="U246" s="73">
        <f t="shared" ca="1" si="85"/>
        <v>3884.6190432889393</v>
      </c>
      <c r="V246" s="72">
        <f t="shared" ca="1" si="86"/>
        <v>879.25322382718809</v>
      </c>
      <c r="W246" s="72">
        <f t="shared" ca="1" si="87"/>
        <v>1662.1758044423746</v>
      </c>
      <c r="X246" s="72">
        <f t="shared" ca="1" si="94"/>
        <v>6426.0480715585018</v>
      </c>
      <c r="Y246" s="73">
        <f>mult_opex * fixed_month</f>
        <v>1000</v>
      </c>
      <c r="Z246" s="72">
        <f ca="1">mult_opex * fixed_well *D246</f>
        <v>5000</v>
      </c>
      <c r="AA246" s="72">
        <f ca="1">(Z246+Y246)*WI_current_1</f>
        <v>6000</v>
      </c>
      <c r="AB246" s="72">
        <f ca="1">mult_opex * var_bo*E246</f>
        <v>0</v>
      </c>
      <c r="AC246" s="72">
        <f ca="1">mult_opex * var_mcf*F246</f>
        <v>0</v>
      </c>
      <c r="AD246" s="72">
        <f ca="1">mult_opex * var_bw * G246</f>
        <v>0.29313154515154755</v>
      </c>
      <c r="AE246" s="72">
        <f ca="1">SUM(AB246:AD246)*WI_current_1</f>
        <v>0.29313154515154755</v>
      </c>
      <c r="AF246" s="73">
        <f ca="1">mult_capex * IFERROR(OFFSET(assumptions!$F$39,MATCH(B246,assumptions!$E$39:$E$45,0)-1,0),0)</f>
        <v>0</v>
      </c>
      <c r="AG246" s="75">
        <f ca="1">mult_capex * capex_new*WI_current_1 *'forecast production'!I247</f>
        <v>0</v>
      </c>
      <c r="AH246" s="146">
        <f t="shared" ca="1" si="95"/>
        <v>0</v>
      </c>
      <c r="AI246" s="73">
        <f t="shared" ca="1" si="88"/>
        <v>369.29965311150841</v>
      </c>
      <c r="AJ246" s="72">
        <f t="shared" ca="1" si="89"/>
        <v>160.65120178896257</v>
      </c>
      <c r="AK246" s="72">
        <f t="shared" ca="1" si="96"/>
        <v>529.95085490047097</v>
      </c>
      <c r="AL246" s="73">
        <f t="shared" ca="1" si="90"/>
        <v>-104.19591488712103</v>
      </c>
      <c r="AM246" s="132">
        <f ca="1">IF(X246*(lease_NRI/J246)  - (Z246+Y246+AB246+AC246+AD246)  - (AK246)*(lease_NRI/J246)&gt;0,1,0)</f>
        <v>0</v>
      </c>
      <c r="AN246" s="73">
        <f t="shared" ca="1" si="97"/>
        <v>0</v>
      </c>
      <c r="AO246" s="75">
        <f t="shared" ca="1" si="102"/>
        <v>2329073.2544940379</v>
      </c>
      <c r="AP246" s="72">
        <f ca="1">AL246  /  ( 1 + disc_1/12)^(COUNT($AL$6:AL246)-1)</f>
        <v>-14.218731975392958</v>
      </c>
      <c r="AQ246" s="72">
        <f t="shared" ca="1" si="103"/>
        <v>1563458.398389671</v>
      </c>
      <c r="AS246" s="303">
        <f t="shared" ca="1" si="98"/>
        <v>1</v>
      </c>
      <c r="AT246" s="300">
        <f ca="1">IFERROR(IRR($AN$6:AN246)*12,0)</f>
        <v>0</v>
      </c>
      <c r="AU246" s="297">
        <f t="shared" ca="1" si="99"/>
        <v>0</v>
      </c>
      <c r="AV246" s="303">
        <f t="shared" ca="1" si="100"/>
        <v>0</v>
      </c>
    </row>
    <row r="247" spans="2:48" x14ac:dyDescent="0.25">
      <c r="B247" s="43">
        <f t="shared" si="101"/>
        <v>51533</v>
      </c>
      <c r="C247" s="79">
        <f t="shared" si="91"/>
        <v>2041</v>
      </c>
      <c r="D247" s="64">
        <f ca="1">wellcount_base  +  SUM('forecast production'!I$7:I248)</f>
        <v>1</v>
      </c>
      <c r="E247" s="110">
        <f ca="1">'forecast production'!AE248</f>
        <v>88.480720647561199</v>
      </c>
      <c r="F247" s="98">
        <f ca="1">'forecast production'!AF248</f>
        <v>603.4145785235504</v>
      </c>
      <c r="G247" s="98">
        <f ca="1">'forecast production'!AG248</f>
        <v>0.12783802875491737</v>
      </c>
      <c r="H247" s="98">
        <f ca="1">'forecast production'!AH248</f>
        <v>90.512186778532552</v>
      </c>
      <c r="I247" s="307">
        <f t="shared" ca="1" si="92"/>
        <v>1</v>
      </c>
      <c r="J247" s="306">
        <f t="shared" ca="1" si="93"/>
        <v>0.75</v>
      </c>
      <c r="K247" s="112">
        <f t="shared" ca="1" si="78"/>
        <v>66.360540485670896</v>
      </c>
      <c r="L247" s="98">
        <f t="shared" ca="1" si="79"/>
        <v>339.42070041949705</v>
      </c>
      <c r="M247" s="98">
        <f t="shared" ca="1" si="80"/>
        <v>9.5878521566188035E-2</v>
      </c>
      <c r="N247" s="98">
        <f t="shared" ca="1" si="81"/>
        <v>67.88414008389941</v>
      </c>
      <c r="O247" s="67">
        <f>assumptions!M251</f>
        <v>55</v>
      </c>
      <c r="P247" s="68">
        <f>assumptions!N251</f>
        <v>3</v>
      </c>
      <c r="Q247" s="68">
        <f>assumptions!O251</f>
        <v>22</v>
      </c>
      <c r="R247" s="67">
        <f t="shared" si="82"/>
        <v>52.5</v>
      </c>
      <c r="S247" s="68">
        <f t="shared" si="83"/>
        <v>2.3275000000000001</v>
      </c>
      <c r="T247" s="68">
        <f t="shared" si="84"/>
        <v>22</v>
      </c>
      <c r="U247" s="73">
        <f t="shared" ca="1" si="85"/>
        <v>3483.9283754977218</v>
      </c>
      <c r="V247" s="72">
        <f t="shared" ca="1" si="86"/>
        <v>790.00168022637945</v>
      </c>
      <c r="W247" s="72">
        <f t="shared" ca="1" si="87"/>
        <v>1493.451081845787</v>
      </c>
      <c r="X247" s="72">
        <f t="shared" ca="1" si="94"/>
        <v>5767.3811375698879</v>
      </c>
      <c r="Y247" s="73">
        <f>mult_opex * fixed_month</f>
        <v>1000</v>
      </c>
      <c r="Z247" s="72">
        <f ca="1">mult_opex * fixed_well *D247</f>
        <v>5000</v>
      </c>
      <c r="AA247" s="72">
        <f ca="1">(Z247+Y247)*WI_current_1</f>
        <v>6000</v>
      </c>
      <c r="AB247" s="72">
        <f ca="1">mult_opex * var_bo*E247</f>
        <v>0</v>
      </c>
      <c r="AC247" s="72">
        <f ca="1">mult_opex * var_mcf*F247</f>
        <v>0</v>
      </c>
      <c r="AD247" s="72">
        <f ca="1">mult_opex * var_bw * G247</f>
        <v>0.25567605750983474</v>
      </c>
      <c r="AE247" s="72">
        <f ca="1">SUM(AB247:AD247)*WI_current_1</f>
        <v>0.25567605750983474</v>
      </c>
      <c r="AF247" s="73">
        <f ca="1">mult_capex * IFERROR(OFFSET(assumptions!$F$39,MATCH(B247,assumptions!$E$39:$E$45,0)-1,0),0)</f>
        <v>0</v>
      </c>
      <c r="AG247" s="75">
        <f ca="1">mult_capex * capex_new*WI_current_1 *'forecast production'!I248</f>
        <v>0</v>
      </c>
      <c r="AH247" s="146">
        <f t="shared" ca="1" si="95"/>
        <v>0</v>
      </c>
      <c r="AI247" s="73">
        <f t="shared" ca="1" si="88"/>
        <v>331.51966242830764</v>
      </c>
      <c r="AJ247" s="72">
        <f t="shared" ca="1" si="89"/>
        <v>144.1845284392472</v>
      </c>
      <c r="AK247" s="72">
        <f t="shared" ca="1" si="96"/>
        <v>475.70419086755487</v>
      </c>
      <c r="AL247" s="73">
        <f t="shared" ca="1" si="90"/>
        <v>-708.57872935517662</v>
      </c>
      <c r="AM247" s="132">
        <f ca="1">IF(X247*(lease_NRI/J247)  - (Z247+Y247+AB247+AC247+AD247)  - (AK247)*(lease_NRI/J247)&gt;0,1,0)</f>
        <v>0</v>
      </c>
      <c r="AN247" s="73">
        <f t="shared" ca="1" si="97"/>
        <v>0</v>
      </c>
      <c r="AO247" s="75">
        <f t="shared" ca="1" si="102"/>
        <v>2329073.2544940379</v>
      </c>
      <c r="AP247" s="72">
        <f ca="1">AL247  /  ( 1 + disc_1/12)^(COUNT($AL$6:AL247)-1)</f>
        <v>-95.89460231541058</v>
      </c>
      <c r="AQ247" s="72">
        <f t="shared" ca="1" si="103"/>
        <v>1563458.398389671</v>
      </c>
      <c r="AS247" s="303">
        <f t="shared" ca="1" si="98"/>
        <v>1</v>
      </c>
      <c r="AT247" s="300">
        <f ca="1">IFERROR(IRR($AN$6:AN247)*12,0)</f>
        <v>0</v>
      </c>
      <c r="AU247" s="297">
        <f t="shared" ca="1" si="99"/>
        <v>0</v>
      </c>
      <c r="AV247" s="303">
        <f t="shared" ca="1" si="100"/>
        <v>0</v>
      </c>
    </row>
    <row r="248" spans="2:48" x14ac:dyDescent="0.25">
      <c r="B248" s="43">
        <f t="shared" si="101"/>
        <v>51561</v>
      </c>
      <c r="C248" s="79">
        <f t="shared" si="91"/>
        <v>2041</v>
      </c>
      <c r="D248" s="64">
        <f ca="1">wellcount_base  +  SUM('forecast production'!I$7:I249)</f>
        <v>1</v>
      </c>
      <c r="E248" s="110">
        <f ca="1">'forecast production'!AE249</f>
        <v>97.336201380459869</v>
      </c>
      <c r="F248" s="98">
        <f ca="1">'forecast production'!AF249</f>
        <v>664.90260751088249</v>
      </c>
      <c r="G248" s="98">
        <f ca="1">'forecast production'!AG249</f>
        <v>0.13714030850907394</v>
      </c>
      <c r="H248" s="98">
        <f ca="1">'forecast production'!AH249</f>
        <v>99.735391126632379</v>
      </c>
      <c r="I248" s="307">
        <f t="shared" ca="1" si="92"/>
        <v>1</v>
      </c>
      <c r="J248" s="306">
        <f t="shared" ca="1" si="93"/>
        <v>0.75</v>
      </c>
      <c r="K248" s="112">
        <f t="shared" ca="1" si="78"/>
        <v>73.002151035344895</v>
      </c>
      <c r="L248" s="98">
        <f t="shared" ca="1" si="79"/>
        <v>374.00771672487139</v>
      </c>
      <c r="M248" s="98">
        <f t="shared" ca="1" si="80"/>
        <v>0.10285523138180545</v>
      </c>
      <c r="N248" s="98">
        <f t="shared" ca="1" si="81"/>
        <v>74.801543344974277</v>
      </c>
      <c r="O248" s="67">
        <f>assumptions!M252</f>
        <v>55</v>
      </c>
      <c r="P248" s="68">
        <f>assumptions!N252</f>
        <v>3</v>
      </c>
      <c r="Q248" s="68">
        <f>assumptions!O252</f>
        <v>22</v>
      </c>
      <c r="R248" s="67">
        <f t="shared" si="82"/>
        <v>52.5</v>
      </c>
      <c r="S248" s="68">
        <f t="shared" si="83"/>
        <v>2.3275000000000001</v>
      </c>
      <c r="T248" s="68">
        <f t="shared" si="84"/>
        <v>22</v>
      </c>
      <c r="U248" s="73">
        <f t="shared" ca="1" si="85"/>
        <v>3832.6129293556069</v>
      </c>
      <c r="V248" s="72">
        <f t="shared" ca="1" si="86"/>
        <v>870.50296067713816</v>
      </c>
      <c r="W248" s="72">
        <f t="shared" ca="1" si="87"/>
        <v>1645.633953589434</v>
      </c>
      <c r="X248" s="72">
        <f t="shared" ca="1" si="94"/>
        <v>6348.7498436221786</v>
      </c>
      <c r="Y248" s="73">
        <f>mult_opex * fixed_month</f>
        <v>1000</v>
      </c>
      <c r="Z248" s="72">
        <f ca="1">mult_opex * fixed_well *D248</f>
        <v>5000</v>
      </c>
      <c r="AA248" s="72">
        <f ca="1">(Z248+Y248)*WI_current_1</f>
        <v>6000</v>
      </c>
      <c r="AB248" s="72">
        <f ca="1">mult_opex * var_bo*E248</f>
        <v>0</v>
      </c>
      <c r="AC248" s="72">
        <f ca="1">mult_opex * var_mcf*F248</f>
        <v>0</v>
      </c>
      <c r="AD248" s="72">
        <f ca="1">mult_opex * var_bw * G248</f>
        <v>0.27428061701814788</v>
      </c>
      <c r="AE248" s="72">
        <f ca="1">SUM(AB248:AD248)*WI_current_1</f>
        <v>0.27428061701814788</v>
      </c>
      <c r="AF248" s="73">
        <f ca="1">mult_capex * IFERROR(OFFSET(assumptions!$F$39,MATCH(B248,assumptions!$E$39:$E$45,0)-1,0),0)</f>
        <v>0</v>
      </c>
      <c r="AG248" s="75">
        <f ca="1">mult_capex * capex_new*WI_current_1 *'forecast production'!I249</f>
        <v>0</v>
      </c>
      <c r="AH248" s="146">
        <f t="shared" ca="1" si="95"/>
        <v>0</v>
      </c>
      <c r="AI248" s="73">
        <f t="shared" ca="1" si="88"/>
        <v>365.01046332035082</v>
      </c>
      <c r="AJ248" s="72">
        <f t="shared" ca="1" si="89"/>
        <v>158.71874609055448</v>
      </c>
      <c r="AK248" s="72">
        <f t="shared" ca="1" si="96"/>
        <v>523.72920941090524</v>
      </c>
      <c r="AL248" s="73">
        <f t="shared" ca="1" si="90"/>
        <v>-175.2536464057448</v>
      </c>
      <c r="AM248" s="132">
        <f ca="1">IF(X248*(lease_NRI/J248)  - (Z248+Y248+AB248+AC248+AD248)  - (AK248)*(lease_NRI/J248)&gt;0,1,0)</f>
        <v>0</v>
      </c>
      <c r="AN248" s="73">
        <f t="shared" ca="1" si="97"/>
        <v>0</v>
      </c>
      <c r="AO248" s="75">
        <f t="shared" ca="1" si="102"/>
        <v>2329073.2544940379</v>
      </c>
      <c r="AP248" s="72">
        <f ca="1">AL248  /  ( 1 + disc_1/12)^(COUNT($AL$6:AL248)-1)</f>
        <v>-23.521715338321659</v>
      </c>
      <c r="AQ248" s="72">
        <f t="shared" ca="1" si="103"/>
        <v>1563458.398389671</v>
      </c>
      <c r="AS248" s="303">
        <f t="shared" ca="1" si="98"/>
        <v>1</v>
      </c>
      <c r="AT248" s="300">
        <f ca="1">IFERROR(IRR($AN$6:AN248)*12,0)</f>
        <v>0</v>
      </c>
      <c r="AU248" s="297">
        <f t="shared" ca="1" si="99"/>
        <v>0</v>
      </c>
      <c r="AV248" s="303">
        <f t="shared" ca="1" si="100"/>
        <v>0</v>
      </c>
    </row>
    <row r="249" spans="2:48" x14ac:dyDescent="0.25">
      <c r="B249" s="43">
        <f t="shared" si="101"/>
        <v>51592</v>
      </c>
      <c r="C249" s="79">
        <f t="shared" si="91"/>
        <v>2041</v>
      </c>
      <c r="D249" s="64">
        <f ca="1">wellcount_base  +  SUM('forecast production'!I$7:I250)</f>
        <v>1</v>
      </c>
      <c r="E249" s="110">
        <f ca="1">'forecast production'!AE250</f>
        <v>93.531607835999097</v>
      </c>
      <c r="F249" s="98">
        <f ca="1">'forecast production'!AF250</f>
        <v>640.08154414358751</v>
      </c>
      <c r="G249" s="98">
        <f ca="1">'forecast production'!AG250</f>
        <v>0.12816247604891243</v>
      </c>
      <c r="H249" s="98">
        <f ca="1">'forecast production'!AH250</f>
        <v>96.01223162153812</v>
      </c>
      <c r="I249" s="307">
        <f t="shared" ca="1" si="92"/>
        <v>1</v>
      </c>
      <c r="J249" s="306">
        <f t="shared" ca="1" si="93"/>
        <v>0.75</v>
      </c>
      <c r="K249" s="112">
        <f t="shared" ca="1" si="78"/>
        <v>70.148705876999315</v>
      </c>
      <c r="L249" s="98">
        <f t="shared" ca="1" si="79"/>
        <v>360.045868580768</v>
      </c>
      <c r="M249" s="98">
        <f t="shared" ca="1" si="80"/>
        <v>9.6121857036684327E-2</v>
      </c>
      <c r="N249" s="98">
        <f t="shared" ca="1" si="81"/>
        <v>72.009173716153583</v>
      </c>
      <c r="O249" s="67">
        <f>assumptions!M253</f>
        <v>55</v>
      </c>
      <c r="P249" s="68">
        <f>assumptions!N253</f>
        <v>3</v>
      </c>
      <c r="Q249" s="68">
        <f>assumptions!O253</f>
        <v>22</v>
      </c>
      <c r="R249" s="67">
        <f t="shared" si="82"/>
        <v>52.5</v>
      </c>
      <c r="S249" s="68">
        <f t="shared" si="83"/>
        <v>2.3275000000000001</v>
      </c>
      <c r="T249" s="68">
        <f t="shared" si="84"/>
        <v>22</v>
      </c>
      <c r="U249" s="73">
        <f t="shared" ca="1" si="85"/>
        <v>3682.8070585424639</v>
      </c>
      <c r="V249" s="72">
        <f t="shared" ca="1" si="86"/>
        <v>838.00675912173756</v>
      </c>
      <c r="W249" s="72">
        <f t="shared" ca="1" si="87"/>
        <v>1584.2018217553789</v>
      </c>
      <c r="X249" s="72">
        <f t="shared" ca="1" si="94"/>
        <v>6105.0156394195801</v>
      </c>
      <c r="Y249" s="73">
        <f>mult_opex * fixed_month</f>
        <v>1000</v>
      </c>
      <c r="Z249" s="72">
        <f ca="1">mult_opex * fixed_well *D249</f>
        <v>5000</v>
      </c>
      <c r="AA249" s="72">
        <f ca="1">(Z249+Y249)*WI_current_1</f>
        <v>6000</v>
      </c>
      <c r="AB249" s="72">
        <f ca="1">mult_opex * var_bo*E249</f>
        <v>0</v>
      </c>
      <c r="AC249" s="72">
        <f ca="1">mult_opex * var_mcf*F249</f>
        <v>0</v>
      </c>
      <c r="AD249" s="72">
        <f ca="1">mult_opex * var_bw * G249</f>
        <v>0.25632495209782485</v>
      </c>
      <c r="AE249" s="72">
        <f ca="1">SUM(AB249:AD249)*WI_current_1</f>
        <v>0.25632495209782485</v>
      </c>
      <c r="AF249" s="73">
        <f ca="1">mult_capex * IFERROR(OFFSET(assumptions!$F$39,MATCH(B249,assumptions!$E$39:$E$45,0)-1,0),0)</f>
        <v>0</v>
      </c>
      <c r="AG249" s="75">
        <f ca="1">mult_capex * capex_new*WI_current_1 *'forecast production'!I250</f>
        <v>0</v>
      </c>
      <c r="AH249" s="146">
        <f t="shared" ca="1" si="95"/>
        <v>0</v>
      </c>
      <c r="AI249" s="73">
        <f t="shared" ca="1" si="88"/>
        <v>351.07476825873709</v>
      </c>
      <c r="AJ249" s="72">
        <f t="shared" ca="1" si="89"/>
        <v>152.6253909854895</v>
      </c>
      <c r="AK249" s="72">
        <f t="shared" ca="1" si="96"/>
        <v>503.7001592442266</v>
      </c>
      <c r="AL249" s="73">
        <f t="shared" ca="1" si="90"/>
        <v>-398.9408447767446</v>
      </c>
      <c r="AM249" s="132">
        <f ca="1">IF(X249*(lease_NRI/J249)  - (Z249+Y249+AB249+AC249+AD249)  - (AK249)*(lease_NRI/J249)&gt;0,1,0)</f>
        <v>0</v>
      </c>
      <c r="AN249" s="73">
        <f t="shared" ca="1" si="97"/>
        <v>0</v>
      </c>
      <c r="AO249" s="75">
        <f t="shared" ca="1" si="102"/>
        <v>2329073.2544940379</v>
      </c>
      <c r="AP249" s="72">
        <f ca="1">AL249  /  ( 1 + disc_1/12)^(COUNT($AL$6:AL249)-1)</f>
        <v>-53.101440886709021</v>
      </c>
      <c r="AQ249" s="72">
        <f t="shared" ca="1" si="103"/>
        <v>1563458.398389671</v>
      </c>
      <c r="AS249" s="303">
        <f t="shared" ca="1" si="98"/>
        <v>1</v>
      </c>
      <c r="AT249" s="300">
        <f ca="1">IFERROR(IRR($AN$6:AN249)*12,0)</f>
        <v>0</v>
      </c>
      <c r="AU249" s="297">
        <f t="shared" ca="1" si="99"/>
        <v>0</v>
      </c>
      <c r="AV249" s="303">
        <f t="shared" ca="1" si="100"/>
        <v>0</v>
      </c>
    </row>
    <row r="250" spans="2:48" x14ac:dyDescent="0.25">
      <c r="B250" s="43">
        <f t="shared" si="101"/>
        <v>51622</v>
      </c>
      <c r="C250" s="79">
        <f t="shared" si="91"/>
        <v>2041</v>
      </c>
      <c r="D250" s="64">
        <f ca="1">wellcount_base  +  SUM('forecast production'!I$7:I251)</f>
        <v>1</v>
      </c>
      <c r="E250" s="110">
        <f ca="1">'forecast production'!AE251</f>
        <v>95.989227419050565</v>
      </c>
      <c r="F250" s="98">
        <f ca="1">'forecast production'!AF251</f>
        <v>658.06239638616523</v>
      </c>
      <c r="G250" s="98">
        <f ca="1">'forecast production'!AG251</f>
        <v>0.12803514844477487</v>
      </c>
      <c r="H250" s="98">
        <f ca="1">'forecast production'!AH251</f>
        <v>98.709359457924776</v>
      </c>
      <c r="I250" s="307">
        <f t="shared" ca="1" si="92"/>
        <v>1</v>
      </c>
      <c r="J250" s="306">
        <f t="shared" ca="1" si="93"/>
        <v>0.75</v>
      </c>
      <c r="K250" s="112">
        <f t="shared" ca="1" si="78"/>
        <v>71.991920564287923</v>
      </c>
      <c r="L250" s="98">
        <f t="shared" ca="1" si="79"/>
        <v>370.16009796721789</v>
      </c>
      <c r="M250" s="98">
        <f t="shared" ca="1" si="80"/>
        <v>9.6026361333581153E-2</v>
      </c>
      <c r="N250" s="98">
        <f t="shared" ca="1" si="81"/>
        <v>74.032019593443579</v>
      </c>
      <c r="O250" s="67">
        <f>assumptions!M254</f>
        <v>55</v>
      </c>
      <c r="P250" s="68">
        <f>assumptions!N254</f>
        <v>3</v>
      </c>
      <c r="Q250" s="68">
        <f>assumptions!O254</f>
        <v>22</v>
      </c>
      <c r="R250" s="67">
        <f t="shared" si="82"/>
        <v>52.5</v>
      </c>
      <c r="S250" s="68">
        <f t="shared" si="83"/>
        <v>2.3275000000000001</v>
      </c>
      <c r="T250" s="68">
        <f t="shared" si="84"/>
        <v>22</v>
      </c>
      <c r="U250" s="73">
        <f t="shared" ca="1" si="85"/>
        <v>3779.5758296251161</v>
      </c>
      <c r="V250" s="72">
        <f t="shared" ca="1" si="86"/>
        <v>861.5476280186997</v>
      </c>
      <c r="W250" s="72">
        <f t="shared" ca="1" si="87"/>
        <v>1628.7044310557587</v>
      </c>
      <c r="X250" s="72">
        <f t="shared" ca="1" si="94"/>
        <v>6269.827888699574</v>
      </c>
      <c r="Y250" s="73">
        <f>mult_opex * fixed_month</f>
        <v>1000</v>
      </c>
      <c r="Z250" s="72">
        <f ca="1">mult_opex * fixed_well *D250</f>
        <v>5000</v>
      </c>
      <c r="AA250" s="72">
        <f ca="1">(Z250+Y250)*WI_current_1</f>
        <v>6000</v>
      </c>
      <c r="AB250" s="72">
        <f ca="1">mult_opex * var_bo*E250</f>
        <v>0</v>
      </c>
      <c r="AC250" s="72">
        <f ca="1">mult_opex * var_mcf*F250</f>
        <v>0</v>
      </c>
      <c r="AD250" s="72">
        <f ca="1">mult_opex * var_bw * G250</f>
        <v>0.25607029688954974</v>
      </c>
      <c r="AE250" s="72">
        <f ca="1">SUM(AB250:AD250)*WI_current_1</f>
        <v>0.25607029688954974</v>
      </c>
      <c r="AF250" s="73">
        <f ca="1">mult_capex * IFERROR(OFFSET(assumptions!$F$39,MATCH(B250,assumptions!$E$39:$E$45,0)-1,0),0)</f>
        <v>0</v>
      </c>
      <c r="AG250" s="75">
        <f ca="1">mult_capex * capex_new*WI_current_1 *'forecast production'!I251</f>
        <v>0</v>
      </c>
      <c r="AH250" s="146">
        <f t="shared" ca="1" si="95"/>
        <v>0</v>
      </c>
      <c r="AI250" s="73">
        <f t="shared" ca="1" si="88"/>
        <v>360.62939259333973</v>
      </c>
      <c r="AJ250" s="72">
        <f t="shared" ca="1" si="89"/>
        <v>156.74569721748935</v>
      </c>
      <c r="AK250" s="72">
        <f t="shared" ca="1" si="96"/>
        <v>517.37508981082908</v>
      </c>
      <c r="AL250" s="73">
        <f t="shared" ca="1" si="90"/>
        <v>-247.80327140814461</v>
      </c>
      <c r="AM250" s="132">
        <f ca="1">IF(X250*(lease_NRI/J250)  - (Z250+Y250+AB250+AC250+AD250)  - (AK250)*(lease_NRI/J250)&gt;0,1,0)</f>
        <v>0</v>
      </c>
      <c r="AN250" s="73">
        <f t="shared" ca="1" si="97"/>
        <v>0</v>
      </c>
      <c r="AO250" s="75">
        <f t="shared" ca="1" si="102"/>
        <v>2329073.2544940379</v>
      </c>
      <c r="AP250" s="72">
        <f ca="1">AL250  /  ( 1 + disc_1/12)^(COUNT($AL$6:AL250)-1)</f>
        <v>-32.711519172085218</v>
      </c>
      <c r="AQ250" s="72">
        <f t="shared" ca="1" si="103"/>
        <v>1563458.398389671</v>
      </c>
      <c r="AS250" s="303">
        <f t="shared" ca="1" si="98"/>
        <v>1</v>
      </c>
      <c r="AT250" s="300">
        <f ca="1">IFERROR(IRR($AN$6:AN250)*12,0)</f>
        <v>0</v>
      </c>
      <c r="AU250" s="297">
        <f t="shared" ca="1" si="99"/>
        <v>0</v>
      </c>
      <c r="AV250" s="303">
        <f t="shared" ca="1" si="100"/>
        <v>0</v>
      </c>
    </row>
    <row r="251" spans="2:48" x14ac:dyDescent="0.25">
      <c r="B251" s="43">
        <f t="shared" si="101"/>
        <v>51653</v>
      </c>
      <c r="C251" s="79">
        <f t="shared" si="91"/>
        <v>2041</v>
      </c>
      <c r="D251" s="64">
        <f ca="1">wellcount_base  +  SUM('forecast production'!I$7:I252)</f>
        <v>1</v>
      </c>
      <c r="E251" s="110">
        <f ca="1">'forecast production'!AE252</f>
        <v>92.237283231822303</v>
      </c>
      <c r="F251" s="98">
        <f ca="1">'forecast production'!AF252</f>
        <v>633.49668066205038</v>
      </c>
      <c r="G251" s="98">
        <f ca="1">'forecast production'!AG252</f>
        <v>0.11965481615680831</v>
      </c>
      <c r="H251" s="98">
        <f ca="1">'forecast production'!AH252</f>
        <v>95.024502099307554</v>
      </c>
      <c r="I251" s="307">
        <f t="shared" ca="1" si="92"/>
        <v>1</v>
      </c>
      <c r="J251" s="306">
        <f t="shared" ca="1" si="93"/>
        <v>0.75</v>
      </c>
      <c r="K251" s="112">
        <f t="shared" ca="1" si="78"/>
        <v>69.177962423866731</v>
      </c>
      <c r="L251" s="98">
        <f t="shared" ca="1" si="79"/>
        <v>356.34188287240329</v>
      </c>
      <c r="M251" s="98">
        <f t="shared" ca="1" si="80"/>
        <v>8.9741112117606242E-2</v>
      </c>
      <c r="N251" s="98">
        <f t="shared" ca="1" si="81"/>
        <v>71.268376574480669</v>
      </c>
      <c r="O251" s="67">
        <f>assumptions!M255</f>
        <v>55</v>
      </c>
      <c r="P251" s="68">
        <f>assumptions!N255</f>
        <v>3</v>
      </c>
      <c r="Q251" s="68">
        <f>assumptions!O255</f>
        <v>22</v>
      </c>
      <c r="R251" s="67">
        <f t="shared" si="82"/>
        <v>52.5</v>
      </c>
      <c r="S251" s="68">
        <f t="shared" si="83"/>
        <v>2.3275000000000001</v>
      </c>
      <c r="T251" s="68">
        <f t="shared" si="84"/>
        <v>22</v>
      </c>
      <c r="U251" s="73">
        <f t="shared" ca="1" si="85"/>
        <v>3631.8430272530036</v>
      </c>
      <c r="V251" s="72">
        <f t="shared" ca="1" si="86"/>
        <v>829.38573238551874</v>
      </c>
      <c r="W251" s="72">
        <f t="shared" ca="1" si="87"/>
        <v>1567.9042846385746</v>
      </c>
      <c r="X251" s="72">
        <f t="shared" ca="1" si="94"/>
        <v>6029.1330442770968</v>
      </c>
      <c r="Y251" s="73">
        <f>mult_opex * fixed_month</f>
        <v>1000</v>
      </c>
      <c r="Z251" s="72">
        <f ca="1">mult_opex * fixed_well *D251</f>
        <v>5000</v>
      </c>
      <c r="AA251" s="72">
        <f ca="1">(Z251+Y251)*WI_current_1</f>
        <v>6000</v>
      </c>
      <c r="AB251" s="72">
        <f ca="1">mult_opex * var_bo*E251</f>
        <v>0</v>
      </c>
      <c r="AC251" s="72">
        <f ca="1">mult_opex * var_mcf*F251</f>
        <v>0</v>
      </c>
      <c r="AD251" s="72">
        <f ca="1">mult_opex * var_bw * G251</f>
        <v>0.23930963231361663</v>
      </c>
      <c r="AE251" s="72">
        <f ca="1">SUM(AB251:AD251)*WI_current_1</f>
        <v>0.23930963231361663</v>
      </c>
      <c r="AF251" s="73">
        <f ca="1">mult_capex * IFERROR(OFFSET(assumptions!$F$39,MATCH(B251,assumptions!$E$39:$E$45,0)-1,0),0)</f>
        <v>0</v>
      </c>
      <c r="AG251" s="75">
        <f ca="1">mult_capex * capex_new*WI_current_1 *'forecast production'!I252</f>
        <v>0</v>
      </c>
      <c r="AH251" s="146">
        <f t="shared" ca="1" si="95"/>
        <v>0</v>
      </c>
      <c r="AI251" s="73">
        <f t="shared" ca="1" si="88"/>
        <v>346.86153053044518</v>
      </c>
      <c r="AJ251" s="72">
        <f t="shared" ca="1" si="89"/>
        <v>150.72832610692743</v>
      </c>
      <c r="AK251" s="72">
        <f t="shared" ca="1" si="96"/>
        <v>497.58985663737258</v>
      </c>
      <c r="AL251" s="73">
        <f t="shared" ca="1" si="90"/>
        <v>-468.69612199258972</v>
      </c>
      <c r="AM251" s="132">
        <f ca="1">IF(X251*(lease_NRI/J251)  - (Z251+Y251+AB251+AC251+AD251)  - (AK251)*(lease_NRI/J251)&gt;0,1,0)</f>
        <v>0</v>
      </c>
      <c r="AN251" s="73">
        <f t="shared" ca="1" si="97"/>
        <v>0</v>
      </c>
      <c r="AO251" s="75">
        <f t="shared" ca="1" si="102"/>
        <v>2329073.2544940379</v>
      </c>
      <c r="AP251" s="72">
        <f ca="1">AL251  /  ( 1 + disc_1/12)^(COUNT($AL$6:AL251)-1)</f>
        <v>-61.359373166015757</v>
      </c>
      <c r="AQ251" s="72">
        <f t="shared" ca="1" si="103"/>
        <v>1563458.398389671</v>
      </c>
      <c r="AS251" s="303">
        <f t="shared" ca="1" si="98"/>
        <v>1</v>
      </c>
      <c r="AT251" s="300">
        <f ca="1">IFERROR(IRR($AN$6:AN251)*12,0)</f>
        <v>0</v>
      </c>
      <c r="AU251" s="297">
        <f t="shared" ca="1" si="99"/>
        <v>0</v>
      </c>
      <c r="AV251" s="303">
        <f t="shared" ca="1" si="100"/>
        <v>0</v>
      </c>
    </row>
    <row r="252" spans="2:48" x14ac:dyDescent="0.25">
      <c r="B252" s="43">
        <f t="shared" si="101"/>
        <v>51683</v>
      </c>
      <c r="C252" s="79">
        <f t="shared" si="91"/>
        <v>2041</v>
      </c>
      <c r="D252" s="64">
        <f ca="1">wellcount_base  +  SUM('forecast production'!I$7:I253)</f>
        <v>1</v>
      </c>
      <c r="E252" s="110">
        <f ca="1">'forecast production'!AE253</f>
        <v>94.660893376057857</v>
      </c>
      <c r="F252" s="98">
        <f ca="1">'forecast production'!AF253</f>
        <v>651.29255419623962</v>
      </c>
      <c r="G252" s="98">
        <f ca="1">'forecast production'!AG253</f>
        <v>0.11953732738052104</v>
      </c>
      <c r="H252" s="98">
        <f ca="1">'forecast production'!AH253</f>
        <v>97.693883129435932</v>
      </c>
      <c r="I252" s="307">
        <f t="shared" ca="1" si="92"/>
        <v>1</v>
      </c>
      <c r="J252" s="306">
        <f t="shared" ca="1" si="93"/>
        <v>0.75</v>
      </c>
      <c r="K252" s="112">
        <f t="shared" ca="1" si="78"/>
        <v>70.995670032043392</v>
      </c>
      <c r="L252" s="98">
        <f t="shared" ca="1" si="79"/>
        <v>366.35206173538484</v>
      </c>
      <c r="M252" s="98">
        <f t="shared" ca="1" si="80"/>
        <v>8.9652995535390786E-2</v>
      </c>
      <c r="N252" s="98">
        <f t="shared" ca="1" si="81"/>
        <v>73.270412347076956</v>
      </c>
      <c r="O252" s="67">
        <f>assumptions!M256</f>
        <v>55</v>
      </c>
      <c r="P252" s="68">
        <f>assumptions!N256</f>
        <v>3</v>
      </c>
      <c r="Q252" s="68">
        <f>assumptions!O256</f>
        <v>22</v>
      </c>
      <c r="R252" s="67">
        <f t="shared" si="82"/>
        <v>52.5</v>
      </c>
      <c r="S252" s="68">
        <f t="shared" si="83"/>
        <v>2.3275000000000001</v>
      </c>
      <c r="T252" s="68">
        <f t="shared" si="84"/>
        <v>22</v>
      </c>
      <c r="U252" s="73">
        <f t="shared" ca="1" si="85"/>
        <v>3727.272676682278</v>
      </c>
      <c r="V252" s="72">
        <f t="shared" ca="1" si="86"/>
        <v>852.68442368910826</v>
      </c>
      <c r="W252" s="72">
        <f t="shared" ca="1" si="87"/>
        <v>1611.9490716356931</v>
      </c>
      <c r="X252" s="72">
        <f t="shared" ca="1" si="94"/>
        <v>6191.9061720070795</v>
      </c>
      <c r="Y252" s="73">
        <f>mult_opex * fixed_month</f>
        <v>1000</v>
      </c>
      <c r="Z252" s="72">
        <f ca="1">mult_opex * fixed_well *D252</f>
        <v>5000</v>
      </c>
      <c r="AA252" s="72">
        <f ca="1">(Z252+Y252)*WI_current_1</f>
        <v>6000</v>
      </c>
      <c r="AB252" s="72">
        <f ca="1">mult_opex * var_bo*E252</f>
        <v>0</v>
      </c>
      <c r="AC252" s="72">
        <f ca="1">mult_opex * var_mcf*F252</f>
        <v>0</v>
      </c>
      <c r="AD252" s="72">
        <f ca="1">mult_opex * var_bw * G252</f>
        <v>0.23907465476104209</v>
      </c>
      <c r="AE252" s="72">
        <f ca="1">SUM(AB252:AD252)*WI_current_1</f>
        <v>0.23907465476104209</v>
      </c>
      <c r="AF252" s="73">
        <f ca="1">mult_capex * IFERROR(OFFSET(assumptions!$F$39,MATCH(B252,assumptions!$E$39:$E$45,0)-1,0),0)</f>
        <v>0</v>
      </c>
      <c r="AG252" s="75">
        <f ca="1">mult_capex * capex_new*WI_current_1 *'forecast production'!I253</f>
        <v>0</v>
      </c>
      <c r="AH252" s="146">
        <f t="shared" ca="1" si="95"/>
        <v>0</v>
      </c>
      <c r="AI252" s="73">
        <f t="shared" ca="1" si="88"/>
        <v>356.30205527674491</v>
      </c>
      <c r="AJ252" s="72">
        <f t="shared" ca="1" si="89"/>
        <v>154.79765430017699</v>
      </c>
      <c r="AK252" s="72">
        <f t="shared" ca="1" si="96"/>
        <v>511.0997095769219</v>
      </c>
      <c r="AL252" s="73">
        <f t="shared" ca="1" si="90"/>
        <v>-319.43261222460296</v>
      </c>
      <c r="AM252" s="132">
        <f ca="1">IF(X252*(lease_NRI/J252)  - (Z252+Y252+AB252+AC252+AD252)  - (AK252)*(lease_NRI/J252)&gt;0,1,0)</f>
        <v>0</v>
      </c>
      <c r="AN252" s="73">
        <f t="shared" ca="1" si="97"/>
        <v>0</v>
      </c>
      <c r="AO252" s="75">
        <f t="shared" ca="1" si="102"/>
        <v>2329073.2544940379</v>
      </c>
      <c r="AP252" s="72">
        <f ca="1">AL252  /  ( 1 + disc_1/12)^(COUNT($AL$6:AL252)-1)</f>
        <v>-41.472926580756393</v>
      </c>
      <c r="AQ252" s="72">
        <f t="shared" ca="1" si="103"/>
        <v>1563458.398389671</v>
      </c>
      <c r="AS252" s="303">
        <f t="shared" ca="1" si="98"/>
        <v>1</v>
      </c>
      <c r="AT252" s="300">
        <f ca="1">IFERROR(IRR($AN$6:AN252)*12,0)</f>
        <v>0</v>
      </c>
      <c r="AU252" s="297">
        <f t="shared" ca="1" si="99"/>
        <v>0</v>
      </c>
      <c r="AV252" s="303">
        <f t="shared" ca="1" si="100"/>
        <v>0</v>
      </c>
    </row>
    <row r="253" spans="2:48" x14ac:dyDescent="0.25">
      <c r="B253" s="43">
        <f t="shared" si="101"/>
        <v>51714</v>
      </c>
      <c r="C253" s="79">
        <f t="shared" si="91"/>
        <v>2041</v>
      </c>
      <c r="D253" s="64">
        <f ca="1">wellcount_base  +  SUM('forecast production'!I$7:I254)</f>
        <v>1</v>
      </c>
      <c r="E253" s="110">
        <f ca="1">'forecast production'!AE254</f>
        <v>93.992898963830214</v>
      </c>
      <c r="F253" s="98">
        <f ca="1">'forecast production'!AF254</f>
        <v>647.87887785716725</v>
      </c>
      <c r="G253" s="98">
        <f ca="1">'forecast production'!AG254</f>
        <v>0.1154383628809869</v>
      </c>
      <c r="H253" s="98">
        <f ca="1">'forecast production'!AH254</f>
        <v>97.181831678575094</v>
      </c>
      <c r="I253" s="307">
        <f t="shared" ca="1" si="92"/>
        <v>1</v>
      </c>
      <c r="J253" s="306">
        <f t="shared" ca="1" si="93"/>
        <v>0.75</v>
      </c>
      <c r="K253" s="112">
        <f t="shared" ca="1" si="78"/>
        <v>70.494674222872661</v>
      </c>
      <c r="L253" s="98">
        <f t="shared" ca="1" si="79"/>
        <v>364.43186879465657</v>
      </c>
      <c r="M253" s="98">
        <f t="shared" ca="1" si="80"/>
        <v>8.6578772160740169E-2</v>
      </c>
      <c r="N253" s="98">
        <f t="shared" ca="1" si="81"/>
        <v>72.886373758931313</v>
      </c>
      <c r="O253" s="67">
        <f>assumptions!M257</f>
        <v>55</v>
      </c>
      <c r="P253" s="68">
        <f>assumptions!N257</f>
        <v>3</v>
      </c>
      <c r="Q253" s="68">
        <f>assumptions!O257</f>
        <v>22</v>
      </c>
      <c r="R253" s="67">
        <f t="shared" si="82"/>
        <v>52.5</v>
      </c>
      <c r="S253" s="68">
        <f t="shared" si="83"/>
        <v>2.3275000000000001</v>
      </c>
      <c r="T253" s="68">
        <f t="shared" si="84"/>
        <v>22</v>
      </c>
      <c r="U253" s="73">
        <f t="shared" ca="1" si="85"/>
        <v>3700.9703967008145</v>
      </c>
      <c r="V253" s="72">
        <f t="shared" ca="1" si="86"/>
        <v>848.21517461956319</v>
      </c>
      <c r="W253" s="72">
        <f t="shared" ca="1" si="87"/>
        <v>1603.5002226964889</v>
      </c>
      <c r="X253" s="72">
        <f t="shared" ca="1" si="94"/>
        <v>6152.6857940168666</v>
      </c>
      <c r="Y253" s="73">
        <f>mult_opex * fixed_month</f>
        <v>1000</v>
      </c>
      <c r="Z253" s="72">
        <f ca="1">mult_opex * fixed_well *D253</f>
        <v>5000</v>
      </c>
      <c r="AA253" s="72">
        <f ca="1">(Z253+Y253)*WI_current_1</f>
        <v>6000</v>
      </c>
      <c r="AB253" s="72">
        <f ca="1">mult_opex * var_bo*E253</f>
        <v>0</v>
      </c>
      <c r="AC253" s="72">
        <f ca="1">mult_opex * var_mcf*F253</f>
        <v>0</v>
      </c>
      <c r="AD253" s="72">
        <f ca="1">mult_opex * var_bw * G253</f>
        <v>0.23087672576197379</v>
      </c>
      <c r="AE253" s="72">
        <f ca="1">SUM(AB253:AD253)*WI_current_1</f>
        <v>0.23087672576197379</v>
      </c>
      <c r="AF253" s="73">
        <f ca="1">mult_capex * IFERROR(OFFSET(assumptions!$F$39,MATCH(B253,assumptions!$E$39:$E$45,0)-1,0),0)</f>
        <v>0</v>
      </c>
      <c r="AG253" s="75">
        <f ca="1">mult_capex * capex_new*WI_current_1 *'forecast production'!I254</f>
        <v>0</v>
      </c>
      <c r="AH253" s="146">
        <f t="shared" ca="1" si="95"/>
        <v>0</v>
      </c>
      <c r="AI253" s="73">
        <f t="shared" ca="1" si="88"/>
        <v>354.1232930469414</v>
      </c>
      <c r="AJ253" s="72">
        <f t="shared" ca="1" si="89"/>
        <v>153.81714485042167</v>
      </c>
      <c r="AK253" s="72">
        <f t="shared" ca="1" si="96"/>
        <v>507.94043789736304</v>
      </c>
      <c r="AL253" s="73">
        <f t="shared" ca="1" si="90"/>
        <v>-355.48552060625843</v>
      </c>
      <c r="AM253" s="132">
        <f ca="1">IF(X253*(lease_NRI/J253)  - (Z253+Y253+AB253+AC253+AD253)  - (AK253)*(lease_NRI/J253)&gt;0,1,0)</f>
        <v>0</v>
      </c>
      <c r="AN253" s="73">
        <f t="shared" ca="1" si="97"/>
        <v>0</v>
      </c>
      <c r="AO253" s="75">
        <f t="shared" ca="1" si="102"/>
        <v>2329073.2544940379</v>
      </c>
      <c r="AP253" s="72">
        <f ca="1">AL253  /  ( 1 + disc_1/12)^(COUNT($AL$6:AL253)-1)</f>
        <v>-45.772351213096776</v>
      </c>
      <c r="AQ253" s="72">
        <f t="shared" ca="1" si="103"/>
        <v>1563458.398389671</v>
      </c>
      <c r="AS253" s="303">
        <f t="shared" ca="1" si="98"/>
        <v>1</v>
      </c>
      <c r="AT253" s="300">
        <f ca="1">IFERROR(IRR($AN$6:AN253)*12,0)</f>
        <v>0</v>
      </c>
      <c r="AU253" s="297">
        <f t="shared" ca="1" si="99"/>
        <v>0</v>
      </c>
      <c r="AV253" s="303">
        <f t="shared" ca="1" si="100"/>
        <v>0</v>
      </c>
    </row>
    <row r="254" spans="2:48" x14ac:dyDescent="0.25">
      <c r="B254" s="43">
        <f t="shared" si="101"/>
        <v>51745</v>
      </c>
      <c r="C254" s="79">
        <f t="shared" si="91"/>
        <v>2041</v>
      </c>
      <c r="D254" s="64">
        <f ca="1">wellcount_base  +  SUM('forecast production'!I$7:I255)</f>
        <v>1</v>
      </c>
      <c r="E254" s="110">
        <f ca="1">'forecast production'!AE255</f>
        <v>90.318985542603059</v>
      </c>
      <c r="F254" s="98">
        <f ca="1">'forecast production'!AF255</f>
        <v>623.69331669381825</v>
      </c>
      <c r="G254" s="98">
        <f ca="1">'forecast production'!AG255</f>
        <v>0.10788448197709467</v>
      </c>
      <c r="H254" s="98">
        <f ca="1">'forecast production'!AH255</f>
        <v>93.553997504072726</v>
      </c>
      <c r="I254" s="307">
        <f t="shared" ca="1" si="92"/>
        <v>1</v>
      </c>
      <c r="J254" s="306">
        <f t="shared" ca="1" si="93"/>
        <v>0.75</v>
      </c>
      <c r="K254" s="112">
        <f t="shared" ca="1" si="78"/>
        <v>67.739239156952294</v>
      </c>
      <c r="L254" s="98">
        <f t="shared" ca="1" si="79"/>
        <v>350.82749064027274</v>
      </c>
      <c r="M254" s="98">
        <f t="shared" ca="1" si="80"/>
        <v>8.0913361482821008E-2</v>
      </c>
      <c r="N254" s="98">
        <f t="shared" ca="1" si="81"/>
        <v>70.165498128054537</v>
      </c>
      <c r="O254" s="67">
        <f>assumptions!M258</f>
        <v>55</v>
      </c>
      <c r="P254" s="68">
        <f>assumptions!N258</f>
        <v>3</v>
      </c>
      <c r="Q254" s="68">
        <f>assumptions!O258</f>
        <v>22</v>
      </c>
      <c r="R254" s="67">
        <f t="shared" si="82"/>
        <v>52.5</v>
      </c>
      <c r="S254" s="68">
        <f t="shared" si="83"/>
        <v>2.3275000000000001</v>
      </c>
      <c r="T254" s="68">
        <f t="shared" si="84"/>
        <v>22</v>
      </c>
      <c r="U254" s="73">
        <f t="shared" ca="1" si="85"/>
        <v>3556.3100557399953</v>
      </c>
      <c r="V254" s="72">
        <f t="shared" ca="1" si="86"/>
        <v>816.55098446523482</v>
      </c>
      <c r="W254" s="72">
        <f t="shared" ca="1" si="87"/>
        <v>1543.6409588171998</v>
      </c>
      <c r="X254" s="72">
        <f t="shared" ca="1" si="94"/>
        <v>5916.50199902243</v>
      </c>
      <c r="Y254" s="73">
        <f>mult_opex * fixed_month</f>
        <v>1000</v>
      </c>
      <c r="Z254" s="72">
        <f ca="1">mult_opex * fixed_well *D254</f>
        <v>5000</v>
      </c>
      <c r="AA254" s="72">
        <f ca="1">(Z254+Y254)*WI_current_1</f>
        <v>6000</v>
      </c>
      <c r="AB254" s="72">
        <f ca="1">mult_opex * var_bo*E254</f>
        <v>0</v>
      </c>
      <c r="AC254" s="72">
        <f ca="1">mult_opex * var_mcf*F254</f>
        <v>0</v>
      </c>
      <c r="AD254" s="72">
        <f ca="1">mult_opex * var_bw * G254</f>
        <v>0.21576896395418935</v>
      </c>
      <c r="AE254" s="72">
        <f ca="1">SUM(AB254:AD254)*WI_current_1</f>
        <v>0.21576896395418935</v>
      </c>
      <c r="AF254" s="73">
        <f ca="1">mult_capex * IFERROR(OFFSET(assumptions!$F$39,MATCH(B254,assumptions!$E$39:$E$45,0)-1,0),0)</f>
        <v>0</v>
      </c>
      <c r="AG254" s="75">
        <f ca="1">mult_capex * capex_new*WI_current_1 *'forecast production'!I255</f>
        <v>0</v>
      </c>
      <c r="AH254" s="146">
        <f t="shared" ca="1" si="95"/>
        <v>0</v>
      </c>
      <c r="AI254" s="73">
        <f t="shared" ca="1" si="88"/>
        <v>340.60465831022236</v>
      </c>
      <c r="AJ254" s="72">
        <f t="shared" ca="1" si="89"/>
        <v>147.91254997556075</v>
      </c>
      <c r="AK254" s="72">
        <f t="shared" ca="1" si="96"/>
        <v>488.51720828578311</v>
      </c>
      <c r="AL254" s="73">
        <f t="shared" ca="1" si="90"/>
        <v>-572.23097822730779</v>
      </c>
      <c r="AM254" s="132">
        <f ca="1">IF(X254*(lease_NRI/J254)  - (Z254+Y254+AB254+AC254+AD254)  - (AK254)*(lease_NRI/J254)&gt;0,1,0)</f>
        <v>0</v>
      </c>
      <c r="AN254" s="73">
        <f t="shared" ca="1" si="97"/>
        <v>0</v>
      </c>
      <c r="AO254" s="75">
        <f t="shared" ca="1" si="102"/>
        <v>2329073.2544940379</v>
      </c>
      <c r="AP254" s="72">
        <f ca="1">AL254  /  ( 1 + disc_1/12)^(COUNT($AL$6:AL254)-1)</f>
        <v>-73.071588128928141</v>
      </c>
      <c r="AQ254" s="72">
        <f t="shared" ca="1" si="103"/>
        <v>1563458.398389671</v>
      </c>
      <c r="AS254" s="303">
        <f t="shared" ca="1" si="98"/>
        <v>1</v>
      </c>
      <c r="AT254" s="300">
        <f ca="1">IFERROR(IRR($AN$6:AN254)*12,0)</f>
        <v>0</v>
      </c>
      <c r="AU254" s="297">
        <f t="shared" ca="1" si="99"/>
        <v>0</v>
      </c>
      <c r="AV254" s="303">
        <f t="shared" ca="1" si="100"/>
        <v>0</v>
      </c>
    </row>
    <row r="255" spans="2:48" x14ac:dyDescent="0.25">
      <c r="B255" s="43">
        <f t="shared" si="101"/>
        <v>51775</v>
      </c>
      <c r="C255" s="79">
        <f t="shared" si="91"/>
        <v>2041</v>
      </c>
      <c r="D255" s="64">
        <f ca="1">wellcount_base  +  SUM('forecast production'!I$7:I256)</f>
        <v>1</v>
      </c>
      <c r="E255" s="110">
        <f ca="1">'forecast production'!AE256</f>
        <v>92.692190844280859</v>
      </c>
      <c r="F255" s="98">
        <f ca="1">'forecast production'!AF256</f>
        <v>641.21379900542672</v>
      </c>
      <c r="G255" s="98">
        <f ca="1">'forecast production'!AG256</f>
        <v>0.10778043440184233</v>
      </c>
      <c r="H255" s="98">
        <f ca="1">'forecast production'!AH256</f>
        <v>96.182069850814003</v>
      </c>
      <c r="I255" s="307">
        <f t="shared" ca="1" si="92"/>
        <v>1</v>
      </c>
      <c r="J255" s="306">
        <f t="shared" ca="1" si="93"/>
        <v>0.75</v>
      </c>
      <c r="K255" s="112">
        <f t="shared" ca="1" si="78"/>
        <v>69.519143133210648</v>
      </c>
      <c r="L255" s="98">
        <f t="shared" ca="1" si="79"/>
        <v>360.68276194055255</v>
      </c>
      <c r="M255" s="98">
        <f t="shared" ca="1" si="80"/>
        <v>8.0835325801381752E-2</v>
      </c>
      <c r="N255" s="98">
        <f t="shared" ca="1" si="81"/>
        <v>72.136552388110502</v>
      </c>
      <c r="O255" s="67">
        <f>assumptions!M259</f>
        <v>55</v>
      </c>
      <c r="P255" s="68">
        <f>assumptions!N259</f>
        <v>3</v>
      </c>
      <c r="Q255" s="68">
        <f>assumptions!O259</f>
        <v>22</v>
      </c>
      <c r="R255" s="67">
        <f t="shared" si="82"/>
        <v>52.5</v>
      </c>
      <c r="S255" s="68">
        <f t="shared" si="83"/>
        <v>2.3275000000000001</v>
      </c>
      <c r="T255" s="68">
        <f t="shared" si="84"/>
        <v>22</v>
      </c>
      <c r="U255" s="73">
        <f t="shared" ca="1" si="85"/>
        <v>3649.755014493559</v>
      </c>
      <c r="V255" s="72">
        <f t="shared" ca="1" si="86"/>
        <v>839.48912841663616</v>
      </c>
      <c r="W255" s="72">
        <f t="shared" ca="1" si="87"/>
        <v>1587.0041525384311</v>
      </c>
      <c r="X255" s="72">
        <f t="shared" ca="1" si="94"/>
        <v>6076.2482954486268</v>
      </c>
      <c r="Y255" s="73">
        <f>mult_opex * fixed_month</f>
        <v>1000</v>
      </c>
      <c r="Z255" s="72">
        <f ca="1">mult_opex * fixed_well *D255</f>
        <v>5000</v>
      </c>
      <c r="AA255" s="72">
        <f ca="1">(Z255+Y255)*WI_current_1</f>
        <v>6000</v>
      </c>
      <c r="AB255" s="72">
        <f ca="1">mult_opex * var_bo*E255</f>
        <v>0</v>
      </c>
      <c r="AC255" s="72">
        <f ca="1">mult_opex * var_mcf*F255</f>
        <v>0</v>
      </c>
      <c r="AD255" s="72">
        <f ca="1">mult_opex * var_bw * G255</f>
        <v>0.21556086880368466</v>
      </c>
      <c r="AE255" s="72">
        <f ca="1">SUM(AB255:AD255)*WI_current_1</f>
        <v>0.21556086880368466</v>
      </c>
      <c r="AF255" s="73">
        <f ca="1">mult_capex * IFERROR(OFFSET(assumptions!$F$39,MATCH(B255,assumptions!$E$39:$E$45,0)-1,0),0)</f>
        <v>0</v>
      </c>
      <c r="AG255" s="75">
        <f ca="1">mult_capex * capex_new*WI_current_1 *'forecast production'!I256</f>
        <v>0</v>
      </c>
      <c r="AH255" s="146">
        <f t="shared" ca="1" si="95"/>
        <v>0</v>
      </c>
      <c r="AI255" s="73">
        <f t="shared" ca="1" si="88"/>
        <v>349.87572673833375</v>
      </c>
      <c r="AJ255" s="72">
        <f t="shared" ca="1" si="89"/>
        <v>151.90620738621567</v>
      </c>
      <c r="AK255" s="72">
        <f t="shared" ca="1" si="96"/>
        <v>501.78193412454942</v>
      </c>
      <c r="AL255" s="73">
        <f t="shared" ca="1" si="90"/>
        <v>-425.74919954472625</v>
      </c>
      <c r="AM255" s="132">
        <f ca="1">IF(X255*(lease_NRI/J255)  - (Z255+Y255+AB255+AC255+AD255)  - (AK255)*(lease_NRI/J255)&gt;0,1,0)</f>
        <v>0</v>
      </c>
      <c r="AN255" s="73">
        <f t="shared" ca="1" si="97"/>
        <v>0</v>
      </c>
      <c r="AO255" s="75">
        <f t="shared" ca="1" si="102"/>
        <v>2329073.2544940379</v>
      </c>
      <c r="AP255" s="72">
        <f ca="1">AL255  /  ( 1 + disc_1/12)^(COUNT($AL$6:AL255)-1)</f>
        <v>-53.917146196230888</v>
      </c>
      <c r="AQ255" s="72">
        <f t="shared" ca="1" si="103"/>
        <v>1563458.398389671</v>
      </c>
      <c r="AS255" s="303">
        <f t="shared" ca="1" si="98"/>
        <v>1</v>
      </c>
      <c r="AT255" s="300">
        <f ca="1">IFERROR(IRR($AN$6:AN255)*12,0)</f>
        <v>0</v>
      </c>
      <c r="AU255" s="297">
        <f t="shared" ca="1" si="99"/>
        <v>0</v>
      </c>
      <c r="AV255" s="303">
        <f t="shared" ca="1" si="100"/>
        <v>0</v>
      </c>
    </row>
    <row r="256" spans="2:48" x14ac:dyDescent="0.25">
      <c r="B256" s="43">
        <f t="shared" si="101"/>
        <v>51806</v>
      </c>
      <c r="C256" s="79">
        <f t="shared" si="91"/>
        <v>2041</v>
      </c>
      <c r="D256" s="64">
        <f ca="1">wellcount_base  +  SUM('forecast production'!I$7:I257)</f>
        <v>1</v>
      </c>
      <c r="E256" s="110">
        <f ca="1">'forecast production'!AE257</f>
        <v>89.069118380936587</v>
      </c>
      <c r="F256" s="98">
        <f ca="1">'forecast production'!AF257</f>
        <v>617.27704773191465</v>
      </c>
      <c r="G256" s="98">
        <f ca="1">'forecast production'!AG257</f>
        <v>0.10072886713409641</v>
      </c>
      <c r="H256" s="98">
        <f ca="1">'forecast production'!AH257</f>
        <v>92.5915571597872</v>
      </c>
      <c r="I256" s="307">
        <f t="shared" ca="1" si="92"/>
        <v>1</v>
      </c>
      <c r="J256" s="306">
        <f t="shared" ca="1" si="93"/>
        <v>0.75</v>
      </c>
      <c r="K256" s="112">
        <f t="shared" ca="1" si="78"/>
        <v>66.801838785702444</v>
      </c>
      <c r="L256" s="98">
        <f t="shared" ca="1" si="79"/>
        <v>347.21833934920198</v>
      </c>
      <c r="M256" s="98">
        <f t="shared" ca="1" si="80"/>
        <v>7.5546650350572314E-2</v>
      </c>
      <c r="N256" s="98">
        <f t="shared" ca="1" si="81"/>
        <v>69.443667869840397</v>
      </c>
      <c r="O256" s="67">
        <f>assumptions!M260</f>
        <v>55</v>
      </c>
      <c r="P256" s="68">
        <f>assumptions!N260</f>
        <v>3</v>
      </c>
      <c r="Q256" s="68">
        <f>assumptions!O260</f>
        <v>22</v>
      </c>
      <c r="R256" s="67">
        <f t="shared" si="82"/>
        <v>52.5</v>
      </c>
      <c r="S256" s="68">
        <f t="shared" si="83"/>
        <v>2.3275000000000001</v>
      </c>
      <c r="T256" s="68">
        <f t="shared" si="84"/>
        <v>22</v>
      </c>
      <c r="U256" s="73">
        <f t="shared" ca="1" si="85"/>
        <v>3507.0965362493785</v>
      </c>
      <c r="V256" s="72">
        <f t="shared" ca="1" si="86"/>
        <v>808.15068483526761</v>
      </c>
      <c r="W256" s="72">
        <f t="shared" ca="1" si="87"/>
        <v>1527.7606931364887</v>
      </c>
      <c r="X256" s="72">
        <f t="shared" ca="1" si="94"/>
        <v>5843.0079142211353</v>
      </c>
      <c r="Y256" s="73">
        <f>mult_opex * fixed_month</f>
        <v>1000</v>
      </c>
      <c r="Z256" s="72">
        <f ca="1">mult_opex * fixed_well *D256</f>
        <v>5000</v>
      </c>
      <c r="AA256" s="72">
        <f ca="1">(Z256+Y256)*WI_current_1</f>
        <v>6000</v>
      </c>
      <c r="AB256" s="72">
        <f ca="1">mult_opex * var_bo*E256</f>
        <v>0</v>
      </c>
      <c r="AC256" s="72">
        <f ca="1">mult_opex * var_mcf*F256</f>
        <v>0</v>
      </c>
      <c r="AD256" s="72">
        <f ca="1">mult_opex * var_bw * G256</f>
        <v>0.20145773426819283</v>
      </c>
      <c r="AE256" s="72">
        <f ca="1">SUM(AB256:AD256)*WI_current_1</f>
        <v>0.20145773426819283</v>
      </c>
      <c r="AF256" s="73">
        <f ca="1">mult_capex * IFERROR(OFFSET(assumptions!$F$39,MATCH(B256,assumptions!$E$39:$E$45,0)-1,0),0)</f>
        <v>0</v>
      </c>
      <c r="AG256" s="75">
        <f ca="1">mult_capex * capex_new*WI_current_1 *'forecast production'!I257</f>
        <v>0</v>
      </c>
      <c r="AH256" s="146">
        <f t="shared" ca="1" si="95"/>
        <v>0</v>
      </c>
      <c r="AI256" s="73">
        <f t="shared" ca="1" si="88"/>
        <v>336.51979401535311</v>
      </c>
      <c r="AJ256" s="72">
        <f t="shared" ca="1" si="89"/>
        <v>146.07519785552839</v>
      </c>
      <c r="AK256" s="72">
        <f t="shared" ca="1" si="96"/>
        <v>482.59499187088147</v>
      </c>
      <c r="AL256" s="73">
        <f t="shared" ca="1" si="90"/>
        <v>-639.78853538401381</v>
      </c>
      <c r="AM256" s="132">
        <f ca="1">IF(X256*(lease_NRI/J256)  - (Z256+Y256+AB256+AC256+AD256)  - (AK256)*(lease_NRI/J256)&gt;0,1,0)</f>
        <v>0</v>
      </c>
      <c r="AN256" s="73">
        <f t="shared" ca="1" si="97"/>
        <v>0</v>
      </c>
      <c r="AO256" s="75">
        <f t="shared" ca="1" si="102"/>
        <v>2329073.2544940379</v>
      </c>
      <c r="AP256" s="72">
        <f ca="1">AL256  /  ( 1 + disc_1/12)^(COUNT($AL$6:AL256)-1)</f>
        <v>-80.35360879522355</v>
      </c>
      <c r="AQ256" s="72">
        <f t="shared" ca="1" si="103"/>
        <v>1563458.398389671</v>
      </c>
      <c r="AS256" s="303">
        <f t="shared" ca="1" si="98"/>
        <v>1</v>
      </c>
      <c r="AT256" s="300">
        <f ca="1">IFERROR(IRR($AN$6:AN256)*12,0)</f>
        <v>0</v>
      </c>
      <c r="AU256" s="297">
        <f t="shared" ca="1" si="99"/>
        <v>0</v>
      </c>
      <c r="AV256" s="303">
        <f t="shared" ca="1" si="100"/>
        <v>0</v>
      </c>
    </row>
    <row r="257" spans="2:48" x14ac:dyDescent="0.25">
      <c r="B257" s="44">
        <f t="shared" si="101"/>
        <v>51836</v>
      </c>
      <c r="C257" s="100">
        <f t="shared" si="91"/>
        <v>2041</v>
      </c>
      <c r="D257" s="65">
        <f ca="1">wellcount_base  +  SUM('forecast production'!I$7:I258)</f>
        <v>1</v>
      </c>
      <c r="E257" s="109">
        <f ca="1">'forecast production'!AE258</f>
        <v>91.409482399503872</v>
      </c>
      <c r="F257" s="101">
        <f ca="1">'forecast production'!AF258</f>
        <v>634.61728740848991</v>
      </c>
      <c r="G257" s="101">
        <f ca="1">'forecast production'!AG258</f>
        <v>0.10063288598012242</v>
      </c>
      <c r="H257" s="102">
        <f ca="1">'forecast production'!AH258</f>
        <v>95.19259311127351</v>
      </c>
      <c r="I257" s="308">
        <f t="shared" ca="1" si="92"/>
        <v>1</v>
      </c>
      <c r="J257" s="309">
        <f t="shared" ca="1" si="93"/>
        <v>0.75</v>
      </c>
      <c r="K257" s="113">
        <f t="shared" ca="1" si="78"/>
        <v>68.557111799627904</v>
      </c>
      <c r="L257" s="102">
        <f t="shared" ca="1" si="79"/>
        <v>356.97222416727556</v>
      </c>
      <c r="M257" s="102">
        <f t="shared" ca="1" si="80"/>
        <v>7.5474664485091811E-2</v>
      </c>
      <c r="N257" s="102">
        <f t="shared" ca="1" si="81"/>
        <v>71.39444483345514</v>
      </c>
      <c r="O257" s="103">
        <f>assumptions!M261</f>
        <v>55</v>
      </c>
      <c r="P257" s="104">
        <f>assumptions!N261</f>
        <v>3</v>
      </c>
      <c r="Q257" s="104">
        <f>assumptions!O261</f>
        <v>22</v>
      </c>
      <c r="R257" s="103">
        <f t="shared" si="82"/>
        <v>52.5</v>
      </c>
      <c r="S257" s="104">
        <f t="shared" si="83"/>
        <v>2.3275000000000001</v>
      </c>
      <c r="T257" s="104">
        <f t="shared" si="84"/>
        <v>22</v>
      </c>
      <c r="U257" s="105">
        <f t="shared" ca="1" si="85"/>
        <v>3599.248369480465</v>
      </c>
      <c r="V257" s="106">
        <f t="shared" ca="1" si="86"/>
        <v>830.85285174933392</v>
      </c>
      <c r="W257" s="106">
        <f t="shared" ca="1" si="87"/>
        <v>1570.677786336013</v>
      </c>
      <c r="X257" s="106">
        <f t="shared" ca="1" si="94"/>
        <v>6000.7790075658122</v>
      </c>
      <c r="Y257" s="105">
        <f>mult_opex * fixed_month</f>
        <v>1000</v>
      </c>
      <c r="Z257" s="106">
        <f ca="1">mult_opex * fixed_well *D257</f>
        <v>5000</v>
      </c>
      <c r="AA257" s="106">
        <f ca="1">(Z257+Y257)*WI_current_1</f>
        <v>6000</v>
      </c>
      <c r="AB257" s="106">
        <f ca="1">mult_opex * var_bo*E257</f>
        <v>0</v>
      </c>
      <c r="AC257" s="106">
        <f ca="1">mult_opex * var_mcf*F257</f>
        <v>0</v>
      </c>
      <c r="AD257" s="106">
        <f ca="1">mult_opex * var_bw * G257</f>
        <v>0.20126577196024484</v>
      </c>
      <c r="AE257" s="106">
        <f ca="1">SUM(AB257:AD257)*WI_current_1</f>
        <v>0.20126577196024484</v>
      </c>
      <c r="AF257" s="105">
        <f ca="1">mult_capex * IFERROR(OFFSET(assumptions!$F$39,MATCH(B257,assumptions!$E$39:$E$45,0)-1,0),0)</f>
        <v>0</v>
      </c>
      <c r="AG257" s="106">
        <f ca="1">mult_capex * capex_new*WI_current_1 *'forecast production'!I258</f>
        <v>0</v>
      </c>
      <c r="AH257" s="147">
        <f t="shared" ca="1" si="95"/>
        <v>0</v>
      </c>
      <c r="AI257" s="105">
        <f t="shared" ca="1" si="88"/>
        <v>345.68022285250242</v>
      </c>
      <c r="AJ257" s="106">
        <f t="shared" ca="1" si="89"/>
        <v>150.01947518914531</v>
      </c>
      <c r="AK257" s="106">
        <f t="shared" ca="1" si="96"/>
        <v>495.69969804164771</v>
      </c>
      <c r="AL257" s="105">
        <f t="shared" ca="1" si="90"/>
        <v>-495.12195624779633</v>
      </c>
      <c r="AM257" s="133">
        <f ca="1">IF(X257*(lease_NRI/J257)  - (Z257+Y257+AB257+AC257+AD257)  - (AK257)*(lease_NRI/J257)&gt;0,1,0)</f>
        <v>0</v>
      </c>
      <c r="AN257" s="105">
        <f t="shared" ca="1" si="97"/>
        <v>0</v>
      </c>
      <c r="AO257" s="106">
        <f t="shared" ca="1" si="102"/>
        <v>2329073.2544940379</v>
      </c>
      <c r="AP257" s="106">
        <f ca="1">AL257  /  ( 1 + disc_1/12)^(COUNT($AL$6:AL257)-1)</f>
        <v>-61.670432492570256</v>
      </c>
      <c r="AQ257" s="106">
        <f t="shared" ca="1" si="103"/>
        <v>1563458.398389671</v>
      </c>
      <c r="AS257" s="304">
        <f t="shared" ca="1" si="98"/>
        <v>1</v>
      </c>
      <c r="AT257" s="301">
        <f ca="1">IFERROR(IRR($AN$6:AN257)*12,0)</f>
        <v>0</v>
      </c>
      <c r="AU257" s="298">
        <f t="shared" ca="1" si="99"/>
        <v>0</v>
      </c>
      <c r="AV257" s="304">
        <f t="shared" ca="1" si="100"/>
        <v>0</v>
      </c>
    </row>
    <row r="258" spans="2:48" x14ac:dyDescent="0.25">
      <c r="B258" s="43">
        <f t="shared" si="101"/>
        <v>51867</v>
      </c>
      <c r="C258" s="79">
        <f t="shared" si="91"/>
        <v>2042</v>
      </c>
      <c r="D258" s="64">
        <f ca="1">wellcount_base  +  SUM('forecast production'!I$7:I259)</f>
        <v>1</v>
      </c>
      <c r="E258" s="110">
        <f ca="1">'forecast production'!AE259</f>
        <v>90.764432249544754</v>
      </c>
      <c r="F258" s="98">
        <f ca="1">'forecast production'!AF259</f>
        <v>631.29101259629579</v>
      </c>
      <c r="G258" s="98">
        <f ca="1">'forecast production'!AG259</f>
        <v>9.7185076671061424E-2</v>
      </c>
      <c r="H258" s="98">
        <f ca="1">'forecast production'!AH259</f>
        <v>94.693651889444354</v>
      </c>
      <c r="I258" s="307">
        <f t="shared" ca="1" si="92"/>
        <v>1</v>
      </c>
      <c r="J258" s="306">
        <f t="shared" ca="1" si="93"/>
        <v>0.75</v>
      </c>
      <c r="K258" s="112">
        <f t="shared" ca="1" si="78"/>
        <v>68.073324187158562</v>
      </c>
      <c r="L258" s="98">
        <f t="shared" ca="1" si="79"/>
        <v>355.10119458541635</v>
      </c>
      <c r="M258" s="98">
        <f t="shared" ca="1" si="80"/>
        <v>7.2888807503296071E-2</v>
      </c>
      <c r="N258" s="98">
        <f t="shared" ca="1" si="81"/>
        <v>71.020238917083262</v>
      </c>
      <c r="O258" s="67">
        <f>assumptions!M262</f>
        <v>55</v>
      </c>
      <c r="P258" s="68">
        <f>assumptions!N262</f>
        <v>3</v>
      </c>
      <c r="Q258" s="68">
        <f>assumptions!O262</f>
        <v>22</v>
      </c>
      <c r="R258" s="67">
        <f t="shared" si="82"/>
        <v>52.5</v>
      </c>
      <c r="S258" s="68">
        <f t="shared" si="83"/>
        <v>2.3275000000000001</v>
      </c>
      <c r="T258" s="68">
        <f t="shared" si="84"/>
        <v>22</v>
      </c>
      <c r="U258" s="73">
        <f t="shared" ca="1" si="85"/>
        <v>3573.8495198258247</v>
      </c>
      <c r="V258" s="72">
        <f t="shared" ca="1" si="86"/>
        <v>826.49803039755659</v>
      </c>
      <c r="W258" s="72">
        <f t="shared" ca="1" si="87"/>
        <v>1562.4452561758317</v>
      </c>
      <c r="X258" s="72">
        <f t="shared" ca="1" si="94"/>
        <v>5962.7928063992131</v>
      </c>
      <c r="Y258" s="73">
        <f>mult_opex * fixed_month</f>
        <v>1000</v>
      </c>
      <c r="Z258" s="72">
        <f ca="1">mult_opex * fixed_well *D258</f>
        <v>5000</v>
      </c>
      <c r="AA258" s="72">
        <f ca="1">(Z258+Y258)*WI_current_1</f>
        <v>6000</v>
      </c>
      <c r="AB258" s="72">
        <f ca="1">mult_opex * var_bo*E258</f>
        <v>0</v>
      </c>
      <c r="AC258" s="72">
        <f ca="1">mult_opex * var_mcf*F258</f>
        <v>0</v>
      </c>
      <c r="AD258" s="72">
        <f ca="1">mult_opex * var_bw * G258</f>
        <v>0.19437015334212285</v>
      </c>
      <c r="AE258" s="72">
        <f ca="1">SUM(AB258:AD258)*WI_current_1</f>
        <v>0.19437015334212285</v>
      </c>
      <c r="AF258" s="73">
        <f ca="1">mult_capex * IFERROR(OFFSET(assumptions!$F$39,MATCH(B258,assumptions!$E$39:$E$45,0)-1,0),0)</f>
        <v>0</v>
      </c>
      <c r="AG258" s="75">
        <f ca="1">mult_capex * capex_new*WI_current_1 *'forecast production'!I259</f>
        <v>0</v>
      </c>
      <c r="AH258" s="146">
        <f t="shared" ca="1" si="95"/>
        <v>0</v>
      </c>
      <c r="AI258" s="73">
        <f t="shared" ca="1" si="88"/>
        <v>343.56782440499205</v>
      </c>
      <c r="AJ258" s="72">
        <f t="shared" ca="1" si="89"/>
        <v>149.06982015998034</v>
      </c>
      <c r="AK258" s="72">
        <f t="shared" ca="1" si="96"/>
        <v>492.63764456497239</v>
      </c>
      <c r="AL258" s="73">
        <f t="shared" ca="1" si="90"/>
        <v>-530.03920831910091</v>
      </c>
      <c r="AM258" s="132">
        <f ca="1">IF(X258*(lease_NRI/J258)  - (Z258+Y258+AB258+AC258+AD258)  - (AK258)*(lease_NRI/J258)&gt;0,1,0)</f>
        <v>0</v>
      </c>
      <c r="AN258" s="73">
        <f t="shared" ca="1" si="97"/>
        <v>0</v>
      </c>
      <c r="AO258" s="75">
        <f t="shared" ca="1" si="102"/>
        <v>2329073.2544940379</v>
      </c>
      <c r="AP258" s="72">
        <f ca="1">AL258  /  ( 1 + disc_1/12)^(COUNT($AL$6:AL258)-1)</f>
        <v>-65.473970876854935</v>
      </c>
      <c r="AQ258" s="72">
        <f t="shared" ca="1" si="103"/>
        <v>1563458.398389671</v>
      </c>
      <c r="AS258" s="303">
        <f t="shared" ca="1" si="98"/>
        <v>1</v>
      </c>
      <c r="AT258" s="300">
        <f ca="1">IFERROR(IRR($AN$6:AN258)*12,0)</f>
        <v>0</v>
      </c>
      <c r="AU258" s="297">
        <f t="shared" ca="1" si="99"/>
        <v>0</v>
      </c>
      <c r="AV258" s="303">
        <f t="shared" ca="1" si="100"/>
        <v>0</v>
      </c>
    </row>
    <row r="259" spans="2:48" x14ac:dyDescent="0.25">
      <c r="B259" s="43">
        <f t="shared" si="101"/>
        <v>51898</v>
      </c>
      <c r="C259" s="79">
        <f t="shared" si="91"/>
        <v>2042</v>
      </c>
      <c r="D259" s="64">
        <f ca="1">wellcount_base  +  SUM('forecast production'!I$7:I260)</f>
        <v>1</v>
      </c>
      <c r="E259" s="110">
        <f ca="1">'forecast production'!AE260</f>
        <v>81.402262995756317</v>
      </c>
      <c r="F259" s="98">
        <f ca="1">'forecast production'!AF260</f>
        <v>567.20970381213738</v>
      </c>
      <c r="G259" s="98">
        <f ca="1">'forecast production'!AG260</f>
        <v>8.4773128672891815E-2</v>
      </c>
      <c r="H259" s="98">
        <f ca="1">'forecast production'!AH260</f>
        <v>85.081455571820612</v>
      </c>
      <c r="I259" s="307">
        <f t="shared" ca="1" si="92"/>
        <v>1</v>
      </c>
      <c r="J259" s="306">
        <f t="shared" ca="1" si="93"/>
        <v>0.75</v>
      </c>
      <c r="K259" s="112">
        <f t="shared" ca="1" si="78"/>
        <v>61.051697246817241</v>
      </c>
      <c r="L259" s="98">
        <f t="shared" ca="1" si="79"/>
        <v>319.05545839432727</v>
      </c>
      <c r="M259" s="98">
        <f t="shared" ca="1" si="80"/>
        <v>6.3579846504668858E-2</v>
      </c>
      <c r="N259" s="98">
        <f t="shared" ca="1" si="81"/>
        <v>63.811091678865459</v>
      </c>
      <c r="O259" s="67">
        <f>assumptions!M263</f>
        <v>55</v>
      </c>
      <c r="P259" s="68">
        <f>assumptions!N263</f>
        <v>3</v>
      </c>
      <c r="Q259" s="68">
        <f>assumptions!O263</f>
        <v>22</v>
      </c>
      <c r="R259" s="67">
        <f t="shared" si="82"/>
        <v>52.5</v>
      </c>
      <c r="S259" s="68">
        <f t="shared" si="83"/>
        <v>2.3275000000000001</v>
      </c>
      <c r="T259" s="68">
        <f t="shared" si="84"/>
        <v>22</v>
      </c>
      <c r="U259" s="73">
        <f t="shared" ca="1" si="85"/>
        <v>3205.2141054579051</v>
      </c>
      <c r="V259" s="72">
        <f t="shared" ca="1" si="86"/>
        <v>742.60157941279681</v>
      </c>
      <c r="W259" s="72">
        <f t="shared" ca="1" si="87"/>
        <v>1403.8440169350401</v>
      </c>
      <c r="X259" s="72">
        <f t="shared" ca="1" si="94"/>
        <v>5351.6597018057419</v>
      </c>
      <c r="Y259" s="73">
        <f>mult_opex * fixed_month</f>
        <v>1000</v>
      </c>
      <c r="Z259" s="72">
        <f ca="1">mult_opex * fixed_well *D259</f>
        <v>5000</v>
      </c>
      <c r="AA259" s="72">
        <f ca="1">(Z259+Y259)*WI_current_1</f>
        <v>6000</v>
      </c>
      <c r="AB259" s="72">
        <f ca="1">mult_opex * var_bo*E259</f>
        <v>0</v>
      </c>
      <c r="AC259" s="72">
        <f ca="1">mult_opex * var_mcf*F259</f>
        <v>0</v>
      </c>
      <c r="AD259" s="72">
        <f ca="1">mult_opex * var_bw * G259</f>
        <v>0.16954625734578363</v>
      </c>
      <c r="AE259" s="72">
        <f ca="1">SUM(AB259:AD259)*WI_current_1</f>
        <v>0.16954625734578363</v>
      </c>
      <c r="AF259" s="73">
        <f ca="1">mult_capex * IFERROR(OFFSET(assumptions!$F$39,MATCH(B259,assumptions!$E$39:$E$45,0)-1,0),0)</f>
        <v>0</v>
      </c>
      <c r="AG259" s="75">
        <f ca="1">mult_capex * capex_new*WI_current_1 *'forecast production'!I260</f>
        <v>0</v>
      </c>
      <c r="AH259" s="146">
        <f t="shared" ca="1" si="95"/>
        <v>0</v>
      </c>
      <c r="AI259" s="73">
        <f t="shared" ca="1" si="88"/>
        <v>308.42326857715136</v>
      </c>
      <c r="AJ259" s="72">
        <f t="shared" ca="1" si="89"/>
        <v>133.79149254514354</v>
      </c>
      <c r="AK259" s="72">
        <f t="shared" ca="1" si="96"/>
        <v>442.21476112229493</v>
      </c>
      <c r="AL259" s="73">
        <f t="shared" ca="1" si="90"/>
        <v>-1090.7246055738997</v>
      </c>
      <c r="AM259" s="132">
        <f ca="1">IF(X259*(lease_NRI/J259)  - (Z259+Y259+AB259+AC259+AD259)  - (AK259)*(lease_NRI/J259)&gt;0,1,0)</f>
        <v>0</v>
      </c>
      <c r="AN259" s="73">
        <f t="shared" ca="1" si="97"/>
        <v>0</v>
      </c>
      <c r="AO259" s="75">
        <f t="shared" ca="1" si="102"/>
        <v>2329073.2544940379</v>
      </c>
      <c r="AP259" s="72">
        <f ca="1">AL259  /  ( 1 + disc_1/12)^(COUNT($AL$6:AL259)-1)</f>
        <v>-133.62006246714498</v>
      </c>
      <c r="AQ259" s="72">
        <f t="shared" ca="1" si="103"/>
        <v>1563458.398389671</v>
      </c>
      <c r="AS259" s="303">
        <f t="shared" ca="1" si="98"/>
        <v>1</v>
      </c>
      <c r="AT259" s="300">
        <f ca="1">IFERROR(IRR($AN$6:AN259)*12,0)</f>
        <v>0</v>
      </c>
      <c r="AU259" s="297">
        <f t="shared" ca="1" si="99"/>
        <v>0</v>
      </c>
      <c r="AV259" s="303">
        <f t="shared" ca="1" si="100"/>
        <v>0</v>
      </c>
    </row>
    <row r="260" spans="2:48" x14ac:dyDescent="0.25">
      <c r="B260" s="43">
        <f t="shared" si="101"/>
        <v>51926</v>
      </c>
      <c r="C260" s="79">
        <f t="shared" si="91"/>
        <v>2042</v>
      </c>
      <c r="D260" s="64">
        <f ca="1">wellcount_base  +  SUM('forecast production'!I$7:I261)</f>
        <v>1</v>
      </c>
      <c r="E260" s="110">
        <f ca="1">'forecast production'!AE261</f>
        <v>89.549305270023083</v>
      </c>
      <c r="F260" s="98">
        <f ca="1">'forecast production'!AF261</f>
        <v>625.00845106022962</v>
      </c>
      <c r="G260" s="98">
        <f ca="1">'forecast production'!AG261</f>
        <v>9.094762730444178E-2</v>
      </c>
      <c r="H260" s="98">
        <f ca="1">'forecast production'!AH261</f>
        <v>93.751267659034454</v>
      </c>
      <c r="I260" s="307">
        <f t="shared" ca="1" si="92"/>
        <v>1</v>
      </c>
      <c r="J260" s="306">
        <f t="shared" ca="1" si="93"/>
        <v>0.75</v>
      </c>
      <c r="K260" s="112">
        <f t="shared" ca="1" si="78"/>
        <v>67.161978952517316</v>
      </c>
      <c r="L260" s="98">
        <f t="shared" ca="1" si="79"/>
        <v>351.56725372137919</v>
      </c>
      <c r="M260" s="98">
        <f t="shared" ca="1" si="80"/>
        <v>6.8210720478331335E-2</v>
      </c>
      <c r="N260" s="98">
        <f t="shared" ca="1" si="81"/>
        <v>70.313450744275841</v>
      </c>
      <c r="O260" s="67">
        <f>assumptions!M264</f>
        <v>55</v>
      </c>
      <c r="P260" s="68">
        <f>assumptions!N264</f>
        <v>3</v>
      </c>
      <c r="Q260" s="68">
        <f>assumptions!O264</f>
        <v>22</v>
      </c>
      <c r="R260" s="67">
        <f t="shared" si="82"/>
        <v>52.5</v>
      </c>
      <c r="S260" s="68">
        <f t="shared" si="83"/>
        <v>2.3275000000000001</v>
      </c>
      <c r="T260" s="68">
        <f t="shared" si="84"/>
        <v>22</v>
      </c>
      <c r="U260" s="73">
        <f t="shared" ca="1" si="85"/>
        <v>3526.0038950071589</v>
      </c>
      <c r="V260" s="72">
        <f t="shared" ca="1" si="86"/>
        <v>818.27278303651008</v>
      </c>
      <c r="W260" s="72">
        <f t="shared" ca="1" si="87"/>
        <v>1546.8959163740685</v>
      </c>
      <c r="X260" s="72">
        <f t="shared" ca="1" si="94"/>
        <v>5891.1725944177369</v>
      </c>
      <c r="Y260" s="73">
        <f>mult_opex * fixed_month</f>
        <v>1000</v>
      </c>
      <c r="Z260" s="72">
        <f ca="1">mult_opex * fixed_well *D260</f>
        <v>5000</v>
      </c>
      <c r="AA260" s="72">
        <f ca="1">(Z260+Y260)*WI_current_1</f>
        <v>6000</v>
      </c>
      <c r="AB260" s="72">
        <f ca="1">mult_opex * var_bo*E260</f>
        <v>0</v>
      </c>
      <c r="AC260" s="72">
        <f ca="1">mult_opex * var_mcf*F260</f>
        <v>0</v>
      </c>
      <c r="AD260" s="72">
        <f ca="1">mult_opex * var_bw * G260</f>
        <v>0.18189525460888356</v>
      </c>
      <c r="AE260" s="72">
        <f ca="1">SUM(AB260:AD260)*WI_current_1</f>
        <v>0.18189525460888356</v>
      </c>
      <c r="AF260" s="73">
        <f ca="1">mult_capex * IFERROR(OFFSET(assumptions!$F$39,MATCH(B260,assumptions!$E$39:$E$45,0)-1,0),0)</f>
        <v>0</v>
      </c>
      <c r="AG260" s="75">
        <f ca="1">mult_capex * capex_new*WI_current_1 *'forecast production'!I261</f>
        <v>0</v>
      </c>
      <c r="AH260" s="146">
        <f t="shared" ca="1" si="95"/>
        <v>0</v>
      </c>
      <c r="AI260" s="73">
        <f t="shared" ca="1" si="88"/>
        <v>339.58383162612267</v>
      </c>
      <c r="AJ260" s="72">
        <f t="shared" ca="1" si="89"/>
        <v>147.27931486044344</v>
      </c>
      <c r="AK260" s="72">
        <f t="shared" ca="1" si="96"/>
        <v>486.86314648656611</v>
      </c>
      <c r="AL260" s="73">
        <f t="shared" ca="1" si="90"/>
        <v>-595.87244732343788</v>
      </c>
      <c r="AM260" s="132">
        <f ca="1">IF(X260*(lease_NRI/J260)  - (Z260+Y260+AB260+AC260+AD260)  - (AK260)*(lease_NRI/J260)&gt;0,1,0)</f>
        <v>0</v>
      </c>
      <c r="AN260" s="73">
        <f t="shared" ca="1" si="97"/>
        <v>0</v>
      </c>
      <c r="AO260" s="75">
        <f t="shared" ca="1" si="102"/>
        <v>2329073.2544940379</v>
      </c>
      <c r="AP260" s="72">
        <f ca="1">AL260  /  ( 1 + disc_1/12)^(COUNT($AL$6:AL260)-1)</f>
        <v>-72.394527872989514</v>
      </c>
      <c r="AQ260" s="72">
        <f t="shared" ca="1" si="103"/>
        <v>1563458.398389671</v>
      </c>
      <c r="AS260" s="303">
        <f t="shared" ca="1" si="98"/>
        <v>1</v>
      </c>
      <c r="AT260" s="300">
        <f ca="1">IFERROR(IRR($AN$6:AN260)*12,0)</f>
        <v>0</v>
      </c>
      <c r="AU260" s="297">
        <f t="shared" ca="1" si="99"/>
        <v>0</v>
      </c>
      <c r="AV260" s="303">
        <f t="shared" ca="1" si="100"/>
        <v>0</v>
      </c>
    </row>
    <row r="261" spans="2:48" x14ac:dyDescent="0.25">
      <c r="B261" s="43">
        <f t="shared" si="101"/>
        <v>51957</v>
      </c>
      <c r="C261" s="79">
        <f t="shared" si="91"/>
        <v>2042</v>
      </c>
      <c r="D261" s="64">
        <f ca="1">wellcount_base  +  SUM('forecast production'!I$7:I262)</f>
        <v>1</v>
      </c>
      <c r="E261" s="108">
        <f ca="1">'forecast production'!AE262</f>
        <v>86.049079209119171</v>
      </c>
      <c r="F261" s="97">
        <f ca="1">'forecast production'!AF262</f>
        <v>601.67665149497225</v>
      </c>
      <c r="G261" s="97">
        <f ca="1">'forecast production'!AG262</f>
        <v>8.4999867021875841E-2</v>
      </c>
      <c r="H261" s="98">
        <f ca="1">'forecast production'!AH262</f>
        <v>90.251497724245823</v>
      </c>
      <c r="I261" s="307">
        <f t="shared" ca="1" si="92"/>
        <v>1</v>
      </c>
      <c r="J261" s="306">
        <f t="shared" ca="1" si="93"/>
        <v>0.75</v>
      </c>
      <c r="K261" s="112">
        <f t="shared" ca="1" si="78"/>
        <v>64.536809406839382</v>
      </c>
      <c r="L261" s="98">
        <f t="shared" ca="1" si="79"/>
        <v>338.44311646592189</v>
      </c>
      <c r="M261" s="98">
        <f t="shared" ca="1" si="80"/>
        <v>6.3749900266406881E-2</v>
      </c>
      <c r="N261" s="98">
        <f t="shared" ca="1" si="81"/>
        <v>67.688623293184364</v>
      </c>
      <c r="O261" s="67">
        <f>assumptions!M265</f>
        <v>55</v>
      </c>
      <c r="P261" s="68">
        <f>assumptions!N265</f>
        <v>3</v>
      </c>
      <c r="Q261" s="68">
        <f>assumptions!O265</f>
        <v>22</v>
      </c>
      <c r="R261" s="67">
        <f t="shared" si="82"/>
        <v>52.5</v>
      </c>
      <c r="S261" s="68">
        <f t="shared" si="83"/>
        <v>2.3275000000000001</v>
      </c>
      <c r="T261" s="68">
        <f t="shared" si="84"/>
        <v>22</v>
      </c>
      <c r="U261" s="73">
        <f t="shared" ca="1" si="85"/>
        <v>3388.1824938590676</v>
      </c>
      <c r="V261" s="72">
        <f t="shared" ca="1" si="86"/>
        <v>787.72635357443323</v>
      </c>
      <c r="W261" s="72">
        <f t="shared" ca="1" si="87"/>
        <v>1489.1497124500561</v>
      </c>
      <c r="X261" s="72">
        <f t="shared" ca="1" si="94"/>
        <v>5665.0585598835569</v>
      </c>
      <c r="Y261" s="73">
        <f>mult_opex * fixed_month</f>
        <v>1000</v>
      </c>
      <c r="Z261" s="72">
        <f ca="1">mult_opex * fixed_well *D261</f>
        <v>5000</v>
      </c>
      <c r="AA261" s="72">
        <f ca="1">(Z261+Y261)*WI_current_1</f>
        <v>6000</v>
      </c>
      <c r="AB261" s="72">
        <f ca="1">mult_opex * var_bo*E261</f>
        <v>0</v>
      </c>
      <c r="AC261" s="72">
        <f ca="1">mult_opex * var_mcf*F261</f>
        <v>0</v>
      </c>
      <c r="AD261" s="72">
        <f ca="1">mult_opex * var_bw * G261</f>
        <v>0.16999973404375168</v>
      </c>
      <c r="AE261" s="72">
        <f ca="1">SUM(AB261:AD261)*WI_current_1</f>
        <v>0.16999973404375168</v>
      </c>
      <c r="AF261" s="73">
        <f ca="1">mult_capex * IFERROR(OFFSET(assumptions!$F$39,MATCH(B261,assumptions!$E$39:$E$45,0)-1,0),0)</f>
        <v>0</v>
      </c>
      <c r="AG261" s="75">
        <f ca="1">mult_capex * capex_new*WI_current_1 *'forecast production'!I262</f>
        <v>0</v>
      </c>
      <c r="AH261" s="146">
        <f t="shared" ca="1" si="95"/>
        <v>0</v>
      </c>
      <c r="AI261" s="73">
        <f t="shared" ca="1" si="88"/>
        <v>326.62209966935382</v>
      </c>
      <c r="AJ261" s="72">
        <f t="shared" ca="1" si="89"/>
        <v>141.62646399708893</v>
      </c>
      <c r="AK261" s="72">
        <f t="shared" ca="1" si="96"/>
        <v>468.24856366644275</v>
      </c>
      <c r="AL261" s="73">
        <f t="shared" ca="1" si="90"/>
        <v>-803.36000351692928</v>
      </c>
      <c r="AM261" s="132">
        <f ca="1">IF(X261*(lease_NRI/J261)  - (Z261+Y261+AB261+AC261+AD261)  - (AK261)*(lease_NRI/J261)&gt;0,1,0)</f>
        <v>0</v>
      </c>
      <c r="AN261" s="73">
        <f t="shared" ca="1" si="97"/>
        <v>0</v>
      </c>
      <c r="AO261" s="75">
        <f t="shared" ca="1" si="102"/>
        <v>2329073.2544940379</v>
      </c>
      <c r="AP261" s="72">
        <f ca="1">AL261  /  ( 1 + disc_1/12)^(COUNT($AL$6:AL261)-1)</f>
        <v>-96.796246617379751</v>
      </c>
      <c r="AQ261" s="72">
        <f t="shared" ca="1" si="103"/>
        <v>1563458.398389671</v>
      </c>
      <c r="AS261" s="303">
        <f t="shared" ca="1" si="98"/>
        <v>1</v>
      </c>
      <c r="AT261" s="300">
        <f ca="1">IFERROR(IRR($AN$6:AN261)*12,0)</f>
        <v>0</v>
      </c>
      <c r="AU261" s="297">
        <f t="shared" ca="1" si="99"/>
        <v>0</v>
      </c>
      <c r="AV261" s="303">
        <f t="shared" ca="1" si="100"/>
        <v>0</v>
      </c>
    </row>
    <row r="262" spans="2:48" x14ac:dyDescent="0.25">
      <c r="B262" s="43">
        <f t="shared" si="101"/>
        <v>51987</v>
      </c>
      <c r="C262" s="79">
        <f t="shared" si="91"/>
        <v>2042</v>
      </c>
      <c r="D262" s="64">
        <f ca="1">wellcount_base  +  SUM('forecast production'!I$7:I263)</f>
        <v>1</v>
      </c>
      <c r="E262" s="110">
        <f ca="1">'forecast production'!AE263</f>
        <v>88.310089225526511</v>
      </c>
      <c r="F262" s="98">
        <f ca="1">'forecast production'!AF263</f>
        <v>618.57865260299525</v>
      </c>
      <c r="G262" s="98">
        <f ca="1">'forecast production'!AG263</f>
        <v>8.4921304803870057E-2</v>
      </c>
      <c r="H262" s="98">
        <f ca="1">'forecast production'!AH263</f>
        <v>92.786797890449279</v>
      </c>
      <c r="I262" s="307">
        <f t="shared" ca="1" si="92"/>
        <v>1</v>
      </c>
      <c r="J262" s="306">
        <f t="shared" ca="1" si="93"/>
        <v>0.75</v>
      </c>
      <c r="K262" s="112">
        <f t="shared" ref="K262:K325" ca="1" si="104">E262*NRI_current</f>
        <v>66.232566919144887</v>
      </c>
      <c r="L262" s="98">
        <f t="shared" ref="L262:L325" ca="1" si="105">F262 * NRI_current * ( 1-shrink_ngl-shrink_leaseuse) - vol_leaseuse</f>
        <v>347.95049208918488</v>
      </c>
      <c r="M262" s="98">
        <f t="shared" ref="M262:M325" ca="1" si="106">G262*NRI_current</f>
        <v>6.3690978602902543E-2</v>
      </c>
      <c r="N262" s="98">
        <f t="shared" ref="N262:N325" ca="1" si="107">H262 * NRI_current</f>
        <v>69.590098417836955</v>
      </c>
      <c r="O262" s="67">
        <f>assumptions!M266</f>
        <v>55</v>
      </c>
      <c r="P262" s="68">
        <f>assumptions!N266</f>
        <v>3</v>
      </c>
      <c r="Q262" s="68">
        <f>assumptions!O266</f>
        <v>22</v>
      </c>
      <c r="R262" s="67">
        <f t="shared" ref="R262:R325" si="108" xml:space="preserve"> (O262*mult_oilprice )  *  (1+  pdiff_oil)   + diff_oil</f>
        <v>52.5</v>
      </c>
      <c r="S262" s="68">
        <f t="shared" ref="S262:S325" si="109" xml:space="preserve"> (  (P262*mult_gasprice )  * (1+   pdiff_gas)  +  diff_gas ) *  energy_residue/1000</f>
        <v>2.3275000000000001</v>
      </c>
      <c r="T262" s="68">
        <f t="shared" ref="T262:T325" si="110">mult_oilprice * (1+pdiff_ngl)*O262</f>
        <v>22</v>
      </c>
      <c r="U262" s="73">
        <f t="shared" ref="U262:U325" ca="1" si="111">K262*R262</f>
        <v>3477.2097632551067</v>
      </c>
      <c r="V262" s="72">
        <f t="shared" ref="V262:V325" ca="1" si="112">L262*S262</f>
        <v>809.85477033757786</v>
      </c>
      <c r="W262" s="72">
        <f t="shared" ref="W262:W325" ca="1" si="113">N262*T262</f>
        <v>1530.982165192413</v>
      </c>
      <c r="X262" s="72">
        <f t="shared" ca="1" si="94"/>
        <v>5818.0466987850978</v>
      </c>
      <c r="Y262" s="73">
        <f>mult_opex * fixed_month</f>
        <v>1000</v>
      </c>
      <c r="Z262" s="72">
        <f ca="1">mult_opex * fixed_well *D262</f>
        <v>5000</v>
      </c>
      <c r="AA262" s="72">
        <f ca="1">(Z262+Y262)*WI_current_1</f>
        <v>6000</v>
      </c>
      <c r="AB262" s="72">
        <f ca="1">mult_opex * var_bo*E262</f>
        <v>0</v>
      </c>
      <c r="AC262" s="72">
        <f ca="1">mult_opex * var_mcf*F262</f>
        <v>0</v>
      </c>
      <c r="AD262" s="72">
        <f ca="1">mult_opex * var_bw * G262</f>
        <v>0.16984260960774011</v>
      </c>
      <c r="AE262" s="72">
        <f ca="1">SUM(AB262:AD262)*WI_current_1</f>
        <v>0.16984260960774011</v>
      </c>
      <c r="AF262" s="73">
        <f ca="1">mult_capex * IFERROR(OFFSET(assumptions!$F$39,MATCH(B262,assumptions!$E$39:$E$45,0)-1,0),0)</f>
        <v>0</v>
      </c>
      <c r="AG262" s="75">
        <f ca="1">mult_capex * capex_new*WI_current_1 *'forecast production'!I263</f>
        <v>0</v>
      </c>
      <c r="AH262" s="146">
        <f t="shared" ca="1" si="95"/>
        <v>0</v>
      </c>
      <c r="AI262" s="73">
        <f t="shared" ref="AI262:AI325" ca="1" si="114">U262*sev_oil   +  V262*sev_gas  +  W262*sev_ngl</f>
        <v>335.51441927448423</v>
      </c>
      <c r="AJ262" s="72">
        <f t="shared" ref="AJ262:AJ325" ca="1" si="115">adval * X262</f>
        <v>145.45116746962745</v>
      </c>
      <c r="AK262" s="72">
        <f t="shared" ca="1" si="96"/>
        <v>480.96558674411165</v>
      </c>
      <c r="AL262" s="73">
        <f t="shared" ref="AL262:AL325" ca="1" si="116">X262-AE262-AH262-AK262-AA262</f>
        <v>-663.08873056862194</v>
      </c>
      <c r="AM262" s="132">
        <f ca="1">IF(X262*(lease_NRI/J262)  - (Z262+Y262+AB262+AC262+AD262)  - (AK262)*(lease_NRI/J262)&gt;0,1,0)</f>
        <v>0</v>
      </c>
      <c r="AN262" s="73">
        <f t="shared" ca="1" si="97"/>
        <v>0</v>
      </c>
      <c r="AO262" s="75">
        <f t="shared" ca="1" si="102"/>
        <v>2329073.2544940379</v>
      </c>
      <c r="AP262" s="72">
        <f ca="1">AL262  /  ( 1 + disc_1/12)^(COUNT($AL$6:AL262)-1)</f>
        <v>-79.234775939821745</v>
      </c>
      <c r="AQ262" s="72">
        <f t="shared" ca="1" si="103"/>
        <v>1563458.398389671</v>
      </c>
      <c r="AS262" s="303">
        <f t="shared" ca="1" si="98"/>
        <v>1</v>
      </c>
      <c r="AT262" s="300">
        <f ca="1">IFERROR(IRR($AN$6:AN262)*12,0)</f>
        <v>0</v>
      </c>
      <c r="AU262" s="297">
        <f t="shared" ca="1" si="99"/>
        <v>0</v>
      </c>
      <c r="AV262" s="303">
        <f t="shared" ca="1" si="100"/>
        <v>0</v>
      </c>
    </row>
    <row r="263" spans="2:48" x14ac:dyDescent="0.25">
      <c r="B263" s="43">
        <f t="shared" si="101"/>
        <v>52018</v>
      </c>
      <c r="C263" s="79">
        <f t="shared" ref="C263:C326" si="117">YEAR(B263)</f>
        <v>2042</v>
      </c>
      <c r="D263" s="64">
        <f ca="1">wellcount_base  +  SUM('forecast production'!I$7:I264)</f>
        <v>1</v>
      </c>
      <c r="E263" s="110">
        <f ca="1">'forecast production'!AE264</f>
        <v>84.858300573276523</v>
      </c>
      <c r="F263" s="98">
        <f ca="1">'forecast production'!AF264</f>
        <v>595.48687982232718</v>
      </c>
      <c r="G263" s="98">
        <f ca="1">'forecast production'!AG264</f>
        <v>7.9368599558142711E-2</v>
      </c>
      <c r="H263" s="98">
        <f ca="1">'forecast production'!AH264</f>
        <v>89.323031973349089</v>
      </c>
      <c r="I263" s="307">
        <f t="shared" ref="I263:I326" ca="1" si="118">IF(AV262,WI_APO, WI)</f>
        <v>1</v>
      </c>
      <c r="J263" s="306">
        <f t="shared" ref="J263:J326" ca="1" si="119">IF(AV262,NRI_APO, NRI)</f>
        <v>0.75</v>
      </c>
      <c r="K263" s="112">
        <f t="shared" ca="1" si="104"/>
        <v>63.643725429957392</v>
      </c>
      <c r="L263" s="98">
        <f t="shared" ca="1" si="105"/>
        <v>334.96136990005903</v>
      </c>
      <c r="M263" s="98">
        <f t="shared" ca="1" si="106"/>
        <v>5.9526449668607033E-2</v>
      </c>
      <c r="N263" s="98">
        <f t="shared" ca="1" si="107"/>
        <v>66.992273980011817</v>
      </c>
      <c r="O263" s="67">
        <f>assumptions!M267</f>
        <v>55</v>
      </c>
      <c r="P263" s="68">
        <f>assumptions!N267</f>
        <v>3</v>
      </c>
      <c r="Q263" s="68">
        <f>assumptions!O267</f>
        <v>22</v>
      </c>
      <c r="R263" s="67">
        <f t="shared" si="108"/>
        <v>52.5</v>
      </c>
      <c r="S263" s="68">
        <f t="shared" si="109"/>
        <v>2.3275000000000001</v>
      </c>
      <c r="T263" s="68">
        <f t="shared" si="110"/>
        <v>22</v>
      </c>
      <c r="U263" s="73">
        <f t="shared" ca="1" si="111"/>
        <v>3341.2955850727631</v>
      </c>
      <c r="V263" s="72">
        <f t="shared" ca="1" si="112"/>
        <v>779.62258844238738</v>
      </c>
      <c r="W263" s="72">
        <f t="shared" ca="1" si="113"/>
        <v>1473.8300275602601</v>
      </c>
      <c r="X263" s="72">
        <f t="shared" ref="X263:X326" ca="1" si="120">SUM(U263:W263)</f>
        <v>5594.7482010754102</v>
      </c>
      <c r="Y263" s="73">
        <f>mult_opex * fixed_month</f>
        <v>1000</v>
      </c>
      <c r="Z263" s="72">
        <f ca="1">mult_opex * fixed_well *D263</f>
        <v>5000</v>
      </c>
      <c r="AA263" s="72">
        <f ca="1">(Z263+Y263)*WI_current_1</f>
        <v>6000</v>
      </c>
      <c r="AB263" s="72">
        <f ca="1">mult_opex * var_bo*E263</f>
        <v>0</v>
      </c>
      <c r="AC263" s="72">
        <f ca="1">mult_opex * var_mcf*F263</f>
        <v>0</v>
      </c>
      <c r="AD263" s="72">
        <f ca="1">mult_opex * var_bw * G263</f>
        <v>0.15873719911628542</v>
      </c>
      <c r="AE263" s="72">
        <f ca="1">SUM(AB263:AD263)*WI_current_1</f>
        <v>0.15873719911628542</v>
      </c>
      <c r="AF263" s="73">
        <f ca="1">mult_capex * IFERROR(OFFSET(assumptions!$F$39,MATCH(B263,assumptions!$E$39:$E$45,0)-1,0),0)</f>
        <v>0</v>
      </c>
      <c r="AG263" s="75">
        <f ca="1">mult_capex * capex_new*WI_current_1 *'forecast production'!I264</f>
        <v>0</v>
      </c>
      <c r="AH263" s="146">
        <f t="shared" ref="AH263:AH326" ca="1" si="121">AG263+AF263</f>
        <v>0</v>
      </c>
      <c r="AI263" s="73">
        <f t="shared" ca="1" si="114"/>
        <v>322.70854311354566</v>
      </c>
      <c r="AJ263" s="72">
        <f t="shared" ca="1" si="115"/>
        <v>139.86870502688527</v>
      </c>
      <c r="AK263" s="72">
        <f t="shared" ref="AK263:AK326" ca="1" si="122">SUM(AI263:AJ263)</f>
        <v>462.57724814043092</v>
      </c>
      <c r="AL263" s="73">
        <f t="shared" ca="1" si="116"/>
        <v>-867.98778426413719</v>
      </c>
      <c r="AM263" s="132">
        <f ca="1">IF(X263*(lease_NRI/J263)  - (Z263+Y263+AB263+AC263+AD263)  - (AK263)*(lease_NRI/J263)&gt;0,1,0)</f>
        <v>0</v>
      </c>
      <c r="AN263" s="73">
        <f t="shared" ref="AN263:AN326" ca="1" si="123">AL263*AM263</f>
        <v>0</v>
      </c>
      <c r="AO263" s="75">
        <f t="shared" ca="1" si="102"/>
        <v>2329073.2544940379</v>
      </c>
      <c r="AP263" s="72">
        <f ca="1">AL263  /  ( 1 + disc_1/12)^(COUNT($AL$6:AL263)-1)</f>
        <v>-102.86169488030535</v>
      </c>
      <c r="AQ263" s="72">
        <f t="shared" ca="1" si="103"/>
        <v>1563458.398389671</v>
      </c>
      <c r="AS263" s="303">
        <f t="shared" ref="AS263:AS326" ca="1" si="124">IF(AO263&gt; (ROI_threshold-1)*initial_investment,1,0)</f>
        <v>1</v>
      </c>
      <c r="AT263" s="300">
        <f ca="1">IFERROR(IRR($AN$6:AN263)*12,0)</f>
        <v>0</v>
      </c>
      <c r="AU263" s="297">
        <f t="shared" ref="AU263:AU326" ca="1" si="125">IF(AT263&gt;ROR_threshold,1,0)</f>
        <v>0</v>
      </c>
      <c r="AV263" s="303">
        <f t="shared" ref="AV263:AV326" ca="1" si="126">IF(AND(AS263,AU263),1,0)</f>
        <v>0</v>
      </c>
    </row>
    <row r="264" spans="2:48" x14ac:dyDescent="0.25">
      <c r="B264" s="43">
        <f t="shared" ref="B264:B327" si="127">EOMONTH(B263,0)+1</f>
        <v>52048</v>
      </c>
      <c r="C264" s="79">
        <f t="shared" si="117"/>
        <v>2042</v>
      </c>
      <c r="D264" s="64">
        <f ca="1">wellcount_base  +  SUM('forecast production'!I$7:I265)</f>
        <v>1</v>
      </c>
      <c r="E264" s="110">
        <f ca="1">'forecast production'!AE265</f>
        <v>87.088021905973264</v>
      </c>
      <c r="F264" s="98">
        <f ca="1">'forecast production'!AF265</f>
        <v>612.21500094446503</v>
      </c>
      <c r="G264" s="98">
        <f ca="1">'forecast production'!AG265</f>
        <v>7.9296158148691009E-2</v>
      </c>
      <c r="H264" s="98">
        <f ca="1">'forecast production'!AH265</f>
        <v>91.832250141669746</v>
      </c>
      <c r="I264" s="307">
        <f t="shared" ca="1" si="118"/>
        <v>1</v>
      </c>
      <c r="J264" s="306">
        <f t="shared" ca="1" si="119"/>
        <v>0.75</v>
      </c>
      <c r="K264" s="112">
        <f t="shared" ca="1" si="104"/>
        <v>65.316016429479944</v>
      </c>
      <c r="L264" s="98">
        <f t="shared" ca="1" si="105"/>
        <v>344.37093803126163</v>
      </c>
      <c r="M264" s="98">
        <f t="shared" ca="1" si="106"/>
        <v>5.9472118611518257E-2</v>
      </c>
      <c r="N264" s="98">
        <f t="shared" ca="1" si="107"/>
        <v>68.874187606252306</v>
      </c>
      <c r="O264" s="67">
        <f>assumptions!M268</f>
        <v>55</v>
      </c>
      <c r="P264" s="68">
        <f>assumptions!N268</f>
        <v>3</v>
      </c>
      <c r="Q264" s="68">
        <f>assumptions!O268</f>
        <v>22</v>
      </c>
      <c r="R264" s="67">
        <f t="shared" si="108"/>
        <v>52.5</v>
      </c>
      <c r="S264" s="68">
        <f t="shared" si="109"/>
        <v>2.3275000000000001</v>
      </c>
      <c r="T264" s="68">
        <f t="shared" si="110"/>
        <v>22</v>
      </c>
      <c r="U264" s="73">
        <f t="shared" ca="1" si="111"/>
        <v>3429.0908625476973</v>
      </c>
      <c r="V264" s="72">
        <f t="shared" ca="1" si="112"/>
        <v>801.52335826776152</v>
      </c>
      <c r="W264" s="72">
        <f t="shared" ca="1" si="113"/>
        <v>1515.2321273375508</v>
      </c>
      <c r="X264" s="72">
        <f t="shared" ca="1" si="120"/>
        <v>5745.8463481530098</v>
      </c>
      <c r="Y264" s="73">
        <f>mult_opex * fixed_month</f>
        <v>1000</v>
      </c>
      <c r="Z264" s="72">
        <f ca="1">mult_opex * fixed_well *D264</f>
        <v>5000</v>
      </c>
      <c r="AA264" s="72">
        <f ca="1">(Z264+Y264)*WI_current_1</f>
        <v>6000</v>
      </c>
      <c r="AB264" s="72">
        <f ca="1">mult_opex * var_bo*E264</f>
        <v>0</v>
      </c>
      <c r="AC264" s="72">
        <f ca="1">mult_opex * var_mcf*F264</f>
        <v>0</v>
      </c>
      <c r="AD264" s="72">
        <f ca="1">mult_opex * var_bw * G264</f>
        <v>0.15859231629738202</v>
      </c>
      <c r="AE264" s="72">
        <f ca="1">SUM(AB264:AD264)*WI_current_1</f>
        <v>0.15859231629738202</v>
      </c>
      <c r="AF264" s="73">
        <f ca="1">mult_capex * IFERROR(OFFSET(assumptions!$F$39,MATCH(B264,assumptions!$E$39:$E$45,0)-1,0),0)</f>
        <v>0</v>
      </c>
      <c r="AG264" s="75">
        <f ca="1">mult_capex * capex_new*WI_current_1 *'forecast production'!I265</f>
        <v>0</v>
      </c>
      <c r="AH264" s="146">
        <f t="shared" ca="1" si="121"/>
        <v>0</v>
      </c>
      <c r="AI264" s="73">
        <f t="shared" ca="1" si="114"/>
        <v>331.49484109759248</v>
      </c>
      <c r="AJ264" s="72">
        <f t="shared" ca="1" si="115"/>
        <v>143.64615870382525</v>
      </c>
      <c r="AK264" s="72">
        <f t="shared" ca="1" si="122"/>
        <v>475.14099980141771</v>
      </c>
      <c r="AL264" s="73">
        <f t="shared" ca="1" si="116"/>
        <v>-729.45324396470551</v>
      </c>
      <c r="AM264" s="132">
        <f ca="1">IF(X264*(lease_NRI/J264)  - (Z264+Y264+AB264+AC264+AD264)  - (AK264)*(lease_NRI/J264)&gt;0,1,0)</f>
        <v>0</v>
      </c>
      <c r="AN264" s="73">
        <f t="shared" ca="1" si="123"/>
        <v>0</v>
      </c>
      <c r="AO264" s="75">
        <f t="shared" ref="AO264:AO327" ca="1" si="128">AO263+AN264</f>
        <v>2329073.2544940379</v>
      </c>
      <c r="AP264" s="72">
        <f ca="1">AL264  /  ( 1 + disc_1/12)^(COUNT($AL$6:AL264)-1)</f>
        <v>-85.730113486352394</v>
      </c>
      <c r="AQ264" s="72">
        <f t="shared" ref="AQ264:AQ327" ca="1" si="129">AQ263+AP264*AM264</f>
        <v>1563458.398389671</v>
      </c>
      <c r="AS264" s="303">
        <f t="shared" ca="1" si="124"/>
        <v>1</v>
      </c>
      <c r="AT264" s="300">
        <f ca="1">IFERROR(IRR($AN$6:AN264)*12,0)</f>
        <v>0</v>
      </c>
      <c r="AU264" s="297">
        <f t="shared" ca="1" si="125"/>
        <v>0</v>
      </c>
      <c r="AV264" s="303">
        <f t="shared" ca="1" si="126"/>
        <v>0</v>
      </c>
    </row>
    <row r="265" spans="2:48" x14ac:dyDescent="0.25">
      <c r="B265" s="43">
        <f t="shared" si="127"/>
        <v>52079</v>
      </c>
      <c r="C265" s="79">
        <f t="shared" si="117"/>
        <v>2042</v>
      </c>
      <c r="D265" s="64">
        <f ca="1">wellcount_base  +  SUM('forecast production'!I$7:I266)</f>
        <v>1</v>
      </c>
      <c r="E265" s="108">
        <f ca="1">'forecast production'!AE266</f>
        <v>86.473467046723812</v>
      </c>
      <c r="F265" s="97">
        <f ca="1">'forecast production'!AF266</f>
        <v>609.0061451857373</v>
      </c>
      <c r="G265" s="97">
        <f ca="1">'forecast production'!AG266</f>
        <v>7.6582550692613466E-2</v>
      </c>
      <c r="H265" s="98">
        <f ca="1">'forecast production'!AH266</f>
        <v>91.350921777860577</v>
      </c>
      <c r="I265" s="307">
        <f t="shared" ca="1" si="118"/>
        <v>1</v>
      </c>
      <c r="J265" s="306">
        <f t="shared" ca="1" si="119"/>
        <v>0.75</v>
      </c>
      <c r="K265" s="112">
        <f t="shared" ca="1" si="104"/>
        <v>64.855100285042852</v>
      </c>
      <c r="L265" s="98">
        <f t="shared" ca="1" si="105"/>
        <v>342.56595666697723</v>
      </c>
      <c r="M265" s="98">
        <f t="shared" ca="1" si="106"/>
        <v>5.7436913019460099E-2</v>
      </c>
      <c r="N265" s="98">
        <f t="shared" ca="1" si="107"/>
        <v>68.51319133339544</v>
      </c>
      <c r="O265" s="67">
        <f>assumptions!M269</f>
        <v>55</v>
      </c>
      <c r="P265" s="68">
        <f>assumptions!N269</f>
        <v>3</v>
      </c>
      <c r="Q265" s="68">
        <f>assumptions!O269</f>
        <v>22</v>
      </c>
      <c r="R265" s="67">
        <f t="shared" si="108"/>
        <v>52.5</v>
      </c>
      <c r="S265" s="68">
        <f t="shared" si="109"/>
        <v>2.3275000000000001</v>
      </c>
      <c r="T265" s="68">
        <f t="shared" si="110"/>
        <v>22</v>
      </c>
      <c r="U265" s="73">
        <f t="shared" ca="1" si="111"/>
        <v>3404.8927649647499</v>
      </c>
      <c r="V265" s="72">
        <f t="shared" ca="1" si="112"/>
        <v>797.3222641423896</v>
      </c>
      <c r="W265" s="72">
        <f t="shared" ca="1" si="113"/>
        <v>1507.2902093346997</v>
      </c>
      <c r="X265" s="72">
        <f t="shared" ca="1" si="120"/>
        <v>5709.5052384418395</v>
      </c>
      <c r="Y265" s="73">
        <f>mult_opex * fixed_month</f>
        <v>1000</v>
      </c>
      <c r="Z265" s="72">
        <f ca="1">mult_opex * fixed_well *D265</f>
        <v>5000</v>
      </c>
      <c r="AA265" s="72">
        <f ca="1">(Z265+Y265)*WI_current_1</f>
        <v>6000</v>
      </c>
      <c r="AB265" s="72">
        <f ca="1">mult_opex * var_bo*E265</f>
        <v>0</v>
      </c>
      <c r="AC265" s="72">
        <f ca="1">mult_opex * var_mcf*F265</f>
        <v>0</v>
      </c>
      <c r="AD265" s="72">
        <f ca="1">mult_opex * var_bw * G265</f>
        <v>0.15316510138522693</v>
      </c>
      <c r="AE265" s="72">
        <f ca="1">SUM(AB265:AD265)*WI_current_1</f>
        <v>0.15316510138522693</v>
      </c>
      <c r="AF265" s="73">
        <f ca="1">mult_capex * IFERROR(OFFSET(assumptions!$F$39,MATCH(B265,assumptions!$E$39:$E$45,0)-1,0),0)</f>
        <v>0</v>
      </c>
      <c r="AG265" s="75">
        <f ca="1">mult_capex * capex_new*WI_current_1 *'forecast production'!I266</f>
        <v>0</v>
      </c>
      <c r="AH265" s="146">
        <f t="shared" ca="1" si="121"/>
        <v>0</v>
      </c>
      <c r="AI265" s="73">
        <f t="shared" ca="1" si="114"/>
        <v>329.47100269916018</v>
      </c>
      <c r="AJ265" s="72">
        <f t="shared" ca="1" si="115"/>
        <v>142.73763096104599</v>
      </c>
      <c r="AK265" s="72">
        <f t="shared" ca="1" si="122"/>
        <v>472.20863366020615</v>
      </c>
      <c r="AL265" s="73">
        <f t="shared" ca="1" si="116"/>
        <v>-762.85656031975213</v>
      </c>
      <c r="AM265" s="132">
        <f ca="1">IF(X265*(lease_NRI/J265)  - (Z265+Y265+AB265+AC265+AD265)  - (AK265)*(lease_NRI/J265)&gt;0,1,0)</f>
        <v>0</v>
      </c>
      <c r="AN265" s="73">
        <f t="shared" ca="1" si="123"/>
        <v>0</v>
      </c>
      <c r="AO265" s="75">
        <f t="shared" ca="1" si="128"/>
        <v>2329073.2544940379</v>
      </c>
      <c r="AP265" s="72">
        <f ca="1">AL265  /  ( 1 + disc_1/12)^(COUNT($AL$6:AL265)-1)</f>
        <v>-88.914931808551827</v>
      </c>
      <c r="AQ265" s="72">
        <f t="shared" ca="1" si="129"/>
        <v>1563458.398389671</v>
      </c>
      <c r="AS265" s="303">
        <f t="shared" ca="1" si="124"/>
        <v>1</v>
      </c>
      <c r="AT265" s="300">
        <f ca="1">IFERROR(IRR($AN$6:AN265)*12,0)</f>
        <v>0</v>
      </c>
      <c r="AU265" s="297">
        <f t="shared" ca="1" si="125"/>
        <v>0</v>
      </c>
      <c r="AV265" s="303">
        <f t="shared" ca="1" si="126"/>
        <v>0</v>
      </c>
    </row>
    <row r="266" spans="2:48" x14ac:dyDescent="0.25">
      <c r="B266" s="43">
        <f t="shared" si="127"/>
        <v>52110</v>
      </c>
      <c r="C266" s="79">
        <f t="shared" si="117"/>
        <v>2042</v>
      </c>
      <c r="D266" s="64">
        <f ca="1">wellcount_base  +  SUM('forecast production'!I$7:I267)</f>
        <v>1</v>
      </c>
      <c r="E266" s="110">
        <f ca="1">'forecast production'!AE267</f>
        <v>83.093466699194792</v>
      </c>
      <c r="F266" s="98">
        <f ca="1">'forecast production'!AF267</f>
        <v>586.2717176921891</v>
      </c>
      <c r="G266" s="98">
        <f ca="1">'forecast production'!AG267</f>
        <v>7.1576375193310809E-2</v>
      </c>
      <c r="H266" s="98">
        <f ca="1">'forecast production'!AH267</f>
        <v>87.940757653828356</v>
      </c>
      <c r="I266" s="307">
        <f t="shared" ca="1" si="118"/>
        <v>1</v>
      </c>
      <c r="J266" s="306">
        <f t="shared" ca="1" si="119"/>
        <v>0.75</v>
      </c>
      <c r="K266" s="112">
        <f t="shared" ca="1" si="104"/>
        <v>62.320100024396098</v>
      </c>
      <c r="L266" s="98">
        <f t="shared" ca="1" si="105"/>
        <v>329.77784120185635</v>
      </c>
      <c r="M266" s="98">
        <f t="shared" ca="1" si="106"/>
        <v>5.3682281394983107E-2</v>
      </c>
      <c r="N266" s="98">
        <f t="shared" ca="1" si="107"/>
        <v>65.955568240371264</v>
      </c>
      <c r="O266" s="67">
        <f>assumptions!M270</f>
        <v>55</v>
      </c>
      <c r="P266" s="68">
        <f>assumptions!N270</f>
        <v>3</v>
      </c>
      <c r="Q266" s="68">
        <f>assumptions!O270</f>
        <v>22</v>
      </c>
      <c r="R266" s="67">
        <f t="shared" si="108"/>
        <v>52.5</v>
      </c>
      <c r="S266" s="68">
        <f t="shared" si="109"/>
        <v>2.3275000000000001</v>
      </c>
      <c r="T266" s="68">
        <f t="shared" si="110"/>
        <v>22</v>
      </c>
      <c r="U266" s="73">
        <f t="shared" ca="1" si="111"/>
        <v>3271.8052512807953</v>
      </c>
      <c r="V266" s="72">
        <f t="shared" ca="1" si="112"/>
        <v>767.55792539732067</v>
      </c>
      <c r="W266" s="72">
        <f t="shared" ca="1" si="113"/>
        <v>1451.0225012881679</v>
      </c>
      <c r="X266" s="72">
        <f t="shared" ca="1" si="120"/>
        <v>5490.3856779662838</v>
      </c>
      <c r="Y266" s="73">
        <f>mult_opex * fixed_month</f>
        <v>1000</v>
      </c>
      <c r="Z266" s="72">
        <f ca="1">mult_opex * fixed_well *D266</f>
        <v>5000</v>
      </c>
      <c r="AA266" s="72">
        <f ca="1">(Z266+Y266)*WI_current_1</f>
        <v>6000</v>
      </c>
      <c r="AB266" s="72">
        <f ca="1">mult_opex * var_bo*E266</f>
        <v>0</v>
      </c>
      <c r="AC266" s="72">
        <f ca="1">mult_opex * var_mcf*F266</f>
        <v>0</v>
      </c>
      <c r="AD266" s="72">
        <f ca="1">mult_opex * var_bw * G266</f>
        <v>0.14315275038662162</v>
      </c>
      <c r="AE266" s="72">
        <f ca="1">SUM(AB266:AD266)*WI_current_1</f>
        <v>0.14315275038662162</v>
      </c>
      <c r="AF266" s="73">
        <f ca="1">mult_capex * IFERROR(OFFSET(assumptions!$F$39,MATCH(B266,assumptions!$E$39:$E$45,0)-1,0),0)</f>
        <v>0</v>
      </c>
      <c r="AG266" s="75">
        <f ca="1">mult_capex * capex_new*WI_current_1 *'forecast production'!I267</f>
        <v>0</v>
      </c>
      <c r="AH266" s="146">
        <f t="shared" ca="1" si="121"/>
        <v>0</v>
      </c>
      <c r="AI266" s="73">
        <f t="shared" ca="1" si="114"/>
        <v>316.89657356032819</v>
      </c>
      <c r="AJ266" s="72">
        <f t="shared" ca="1" si="115"/>
        <v>137.2596419491571</v>
      </c>
      <c r="AK266" s="72">
        <f t="shared" ca="1" si="122"/>
        <v>454.15621550948526</v>
      </c>
      <c r="AL266" s="73">
        <f t="shared" ca="1" si="116"/>
        <v>-963.91369029358793</v>
      </c>
      <c r="AM266" s="132">
        <f ca="1">IF(X266*(lease_NRI/J266)  - (Z266+Y266+AB266+AC266+AD266)  - (AK266)*(lease_NRI/J266)&gt;0,1,0)</f>
        <v>0</v>
      </c>
      <c r="AN266" s="73">
        <f t="shared" ca="1" si="123"/>
        <v>0</v>
      </c>
      <c r="AO266" s="75">
        <f t="shared" ca="1" si="128"/>
        <v>2329073.2544940379</v>
      </c>
      <c r="AP266" s="72">
        <f ca="1">AL266  /  ( 1 + disc_1/12)^(COUNT($AL$6:AL266)-1)</f>
        <v>-111.4206887223946</v>
      </c>
      <c r="AQ266" s="72">
        <f t="shared" ca="1" si="129"/>
        <v>1563458.398389671</v>
      </c>
      <c r="AS266" s="303">
        <f t="shared" ca="1" si="124"/>
        <v>1</v>
      </c>
      <c r="AT266" s="300">
        <f ca="1">IFERROR(IRR($AN$6:AN266)*12,0)</f>
        <v>0</v>
      </c>
      <c r="AU266" s="297">
        <f t="shared" ca="1" si="125"/>
        <v>0</v>
      </c>
      <c r="AV266" s="303">
        <f t="shared" ca="1" si="126"/>
        <v>0</v>
      </c>
    </row>
    <row r="267" spans="2:48" x14ac:dyDescent="0.25">
      <c r="B267" s="43">
        <f t="shared" si="127"/>
        <v>52140</v>
      </c>
      <c r="C267" s="79">
        <f t="shared" si="117"/>
        <v>2042</v>
      </c>
      <c r="D267" s="64">
        <f ca="1">wellcount_base  +  SUM('forecast production'!I$7:I268)</f>
        <v>1</v>
      </c>
      <c r="E267" s="110">
        <f ca="1">'forecast production'!AE268</f>
        <v>85.276815576738386</v>
      </c>
      <c r="F267" s="98">
        <f ca="1">'forecast production'!AF268</f>
        <v>602.74097106510112</v>
      </c>
      <c r="G267" s="98">
        <f ca="1">'forecast production'!AG268</f>
        <v>7.1512290786333477E-2</v>
      </c>
      <c r="H267" s="98">
        <f ca="1">'forecast production'!AH268</f>
        <v>90.411145659765182</v>
      </c>
      <c r="I267" s="307">
        <f t="shared" ca="1" si="118"/>
        <v>1</v>
      </c>
      <c r="J267" s="306">
        <f t="shared" ca="1" si="119"/>
        <v>0.75</v>
      </c>
      <c r="K267" s="112">
        <f t="shared" ca="1" si="104"/>
        <v>63.957611682553789</v>
      </c>
      <c r="L267" s="98">
        <f t="shared" ca="1" si="105"/>
        <v>339.04179622411937</v>
      </c>
      <c r="M267" s="98">
        <f t="shared" ca="1" si="106"/>
        <v>5.3634218089750108E-2</v>
      </c>
      <c r="N267" s="98">
        <f t="shared" ca="1" si="107"/>
        <v>67.80835924482389</v>
      </c>
      <c r="O267" s="67">
        <f>assumptions!M271</f>
        <v>55</v>
      </c>
      <c r="P267" s="68">
        <f>assumptions!N271</f>
        <v>3</v>
      </c>
      <c r="Q267" s="68">
        <f>assumptions!O271</f>
        <v>22</v>
      </c>
      <c r="R267" s="67">
        <f t="shared" si="108"/>
        <v>52.5</v>
      </c>
      <c r="S267" s="68">
        <f t="shared" si="109"/>
        <v>2.3275000000000001</v>
      </c>
      <c r="T267" s="68">
        <f t="shared" si="110"/>
        <v>22</v>
      </c>
      <c r="U267" s="73">
        <f t="shared" ca="1" si="111"/>
        <v>3357.7746133340738</v>
      </c>
      <c r="V267" s="72">
        <f t="shared" ca="1" si="112"/>
        <v>789.11978071163787</v>
      </c>
      <c r="W267" s="72">
        <f t="shared" ca="1" si="113"/>
        <v>1491.7839033861255</v>
      </c>
      <c r="X267" s="72">
        <f t="shared" ca="1" si="120"/>
        <v>5638.6782974318376</v>
      </c>
      <c r="Y267" s="73">
        <f>mult_opex * fixed_month</f>
        <v>1000</v>
      </c>
      <c r="Z267" s="72">
        <f ca="1">mult_opex * fixed_well *D267</f>
        <v>5000</v>
      </c>
      <c r="AA267" s="72">
        <f ca="1">(Z267+Y267)*WI_current_1</f>
        <v>6000</v>
      </c>
      <c r="AB267" s="72">
        <f ca="1">mult_opex * var_bo*E267</f>
        <v>0</v>
      </c>
      <c r="AC267" s="72">
        <f ca="1">mult_opex * var_mcf*F267</f>
        <v>0</v>
      </c>
      <c r="AD267" s="72">
        <f ca="1">mult_opex * var_bw * G267</f>
        <v>0.14302458157266695</v>
      </c>
      <c r="AE267" s="72">
        <f ca="1">SUM(AB267:AD267)*WI_current_1</f>
        <v>0.14302458157266695</v>
      </c>
      <c r="AF267" s="73">
        <f ca="1">mult_capex * IFERROR(OFFSET(assumptions!$F$39,MATCH(B267,assumptions!$E$39:$E$45,0)-1,0),0)</f>
        <v>0</v>
      </c>
      <c r="AG267" s="75">
        <f ca="1">mult_capex * capex_new*WI_current_1 *'forecast production'!I268</f>
        <v>0</v>
      </c>
      <c r="AH267" s="146">
        <f t="shared" ca="1" si="121"/>
        <v>0</v>
      </c>
      <c r="AI267" s="73">
        <f t="shared" ca="1" si="114"/>
        <v>325.52540852069967</v>
      </c>
      <c r="AJ267" s="72">
        <f t="shared" ca="1" si="115"/>
        <v>140.96695743579593</v>
      </c>
      <c r="AK267" s="72">
        <f t="shared" ca="1" si="122"/>
        <v>466.49236595649563</v>
      </c>
      <c r="AL267" s="73">
        <f t="shared" ca="1" si="116"/>
        <v>-827.95709310623079</v>
      </c>
      <c r="AM267" s="132">
        <f ca="1">IF(X267*(lease_NRI/J267)  - (Z267+Y267+AB267+AC267+AD267)  - (AK267)*(lease_NRI/J267)&gt;0,1,0)</f>
        <v>0</v>
      </c>
      <c r="AN267" s="73">
        <f t="shared" ca="1" si="123"/>
        <v>0</v>
      </c>
      <c r="AO267" s="75">
        <f t="shared" ca="1" si="128"/>
        <v>2329073.2544940379</v>
      </c>
      <c r="AP267" s="72">
        <f ca="1">AL267  /  ( 1 + disc_1/12)^(COUNT($AL$6:AL267)-1)</f>
        <v>-94.914244882483359</v>
      </c>
      <c r="AQ267" s="72">
        <f t="shared" ca="1" si="129"/>
        <v>1563458.398389671</v>
      </c>
      <c r="AS267" s="303">
        <f t="shared" ca="1" si="124"/>
        <v>1</v>
      </c>
      <c r="AT267" s="300">
        <f ca="1">IFERROR(IRR($AN$6:AN267)*12,0)</f>
        <v>0</v>
      </c>
      <c r="AU267" s="297">
        <f t="shared" ca="1" si="125"/>
        <v>0</v>
      </c>
      <c r="AV267" s="303">
        <f t="shared" ca="1" si="126"/>
        <v>0</v>
      </c>
    </row>
    <row r="268" spans="2:48" x14ac:dyDescent="0.25">
      <c r="B268" s="43">
        <f t="shared" si="127"/>
        <v>52171</v>
      </c>
      <c r="C268" s="79">
        <f t="shared" si="117"/>
        <v>2042</v>
      </c>
      <c r="D268" s="64">
        <f ca="1">wellcount_base  +  SUM('forecast production'!I$7:I269)</f>
        <v>1</v>
      </c>
      <c r="E268" s="110">
        <f ca="1">'forecast production'!AE269</f>
        <v>81.943588910461671</v>
      </c>
      <c r="F268" s="98">
        <f ca="1">'forecast production'!AF269</f>
        <v>580.24042486799976</v>
      </c>
      <c r="G268" s="98">
        <f ca="1">'forecast production'!AG269</f>
        <v>6.6838353230084566E-2</v>
      </c>
      <c r="H268" s="98">
        <f ca="1">'forecast production'!AH269</f>
        <v>87.036063730199956</v>
      </c>
      <c r="I268" s="307">
        <f t="shared" ca="1" si="118"/>
        <v>1</v>
      </c>
      <c r="J268" s="306">
        <f t="shared" ca="1" si="119"/>
        <v>0.75</v>
      </c>
      <c r="K268" s="112">
        <f t="shared" ca="1" si="104"/>
        <v>61.457691682846253</v>
      </c>
      <c r="L268" s="98">
        <f t="shared" ca="1" si="105"/>
        <v>326.38523898824985</v>
      </c>
      <c r="M268" s="98">
        <f t="shared" ca="1" si="106"/>
        <v>5.0128764922563421E-2</v>
      </c>
      <c r="N268" s="98">
        <f t="shared" ca="1" si="107"/>
        <v>65.277047797649971</v>
      </c>
      <c r="O268" s="67">
        <f>assumptions!M272</f>
        <v>55</v>
      </c>
      <c r="P268" s="68">
        <f>assumptions!N272</f>
        <v>3</v>
      </c>
      <c r="Q268" s="68">
        <f>assumptions!O272</f>
        <v>22</v>
      </c>
      <c r="R268" s="67">
        <f t="shared" si="108"/>
        <v>52.5</v>
      </c>
      <c r="S268" s="68">
        <f t="shared" si="109"/>
        <v>2.3275000000000001</v>
      </c>
      <c r="T268" s="68">
        <f t="shared" si="110"/>
        <v>22</v>
      </c>
      <c r="U268" s="73">
        <f t="shared" ca="1" si="111"/>
        <v>3226.5288133494282</v>
      </c>
      <c r="V268" s="72">
        <f t="shared" ca="1" si="112"/>
        <v>759.66164374515154</v>
      </c>
      <c r="W268" s="72">
        <f t="shared" ca="1" si="113"/>
        <v>1436.0950515482994</v>
      </c>
      <c r="X268" s="72">
        <f t="shared" ca="1" si="120"/>
        <v>5422.285508642879</v>
      </c>
      <c r="Y268" s="73">
        <f>mult_opex * fixed_month</f>
        <v>1000</v>
      </c>
      <c r="Z268" s="72">
        <f ca="1">mult_opex * fixed_well *D268</f>
        <v>5000</v>
      </c>
      <c r="AA268" s="72">
        <f ca="1">(Z268+Y268)*WI_current_1</f>
        <v>6000</v>
      </c>
      <c r="AB268" s="72">
        <f ca="1">mult_opex * var_bo*E268</f>
        <v>0</v>
      </c>
      <c r="AC268" s="72">
        <f ca="1">mult_opex * var_mcf*F268</f>
        <v>0</v>
      </c>
      <c r="AD268" s="72">
        <f ca="1">mult_opex * var_bw * G268</f>
        <v>0.13367670646016913</v>
      </c>
      <c r="AE268" s="72">
        <f ca="1">SUM(AB268:AD268)*WI_current_1</f>
        <v>0.13367670646016913</v>
      </c>
      <c r="AF268" s="73">
        <f ca="1">mult_capex * IFERROR(OFFSET(assumptions!$F$39,MATCH(B268,assumptions!$E$39:$E$45,0)-1,0),0)</f>
        <v>0</v>
      </c>
      <c r="AG268" s="75">
        <f ca="1">mult_capex * capex_new*WI_current_1 *'forecast production'!I269</f>
        <v>0</v>
      </c>
      <c r="AH268" s="146">
        <f t="shared" ca="1" si="121"/>
        <v>0</v>
      </c>
      <c r="AI268" s="73">
        <f t="shared" ca="1" si="114"/>
        <v>313.10207756108252</v>
      </c>
      <c r="AJ268" s="72">
        <f t="shared" ca="1" si="115"/>
        <v>135.55713771607199</v>
      </c>
      <c r="AK268" s="72">
        <f t="shared" ca="1" si="122"/>
        <v>448.65921527715454</v>
      </c>
      <c r="AL268" s="73">
        <f t="shared" ca="1" si="116"/>
        <v>-1026.5073833407359</v>
      </c>
      <c r="AM268" s="132">
        <f ca="1">IF(X268*(lease_NRI/J268)  - (Z268+Y268+AB268+AC268+AD268)  - (AK268)*(lease_NRI/J268)&gt;0,1,0)</f>
        <v>0</v>
      </c>
      <c r="AN268" s="73">
        <f t="shared" ca="1" si="123"/>
        <v>0</v>
      </c>
      <c r="AO268" s="75">
        <f t="shared" ca="1" si="128"/>
        <v>2329073.2544940379</v>
      </c>
      <c r="AP268" s="72">
        <f ca="1">AL268  /  ( 1 + disc_1/12)^(COUNT($AL$6:AL268)-1)</f>
        <v>-116.70286530303346</v>
      </c>
      <c r="AQ268" s="72">
        <f t="shared" ca="1" si="129"/>
        <v>1563458.398389671</v>
      </c>
      <c r="AS268" s="303">
        <f t="shared" ca="1" si="124"/>
        <v>1</v>
      </c>
      <c r="AT268" s="300">
        <f ca="1">IFERROR(IRR($AN$6:AN268)*12,0)</f>
        <v>0</v>
      </c>
      <c r="AU268" s="297">
        <f t="shared" ca="1" si="125"/>
        <v>0</v>
      </c>
      <c r="AV268" s="303">
        <f t="shared" ca="1" si="126"/>
        <v>0</v>
      </c>
    </row>
    <row r="269" spans="2:48" x14ac:dyDescent="0.25">
      <c r="B269" s="44">
        <f t="shared" si="127"/>
        <v>52201</v>
      </c>
      <c r="C269" s="100">
        <f t="shared" si="117"/>
        <v>2042</v>
      </c>
      <c r="D269" s="65">
        <f ca="1">wellcount_base  +  SUM('forecast production'!I$7:I270)</f>
        <v>1</v>
      </c>
      <c r="E269" s="109">
        <f ca="1">'forecast production'!AE270</f>
        <v>84.096723807543569</v>
      </c>
      <c r="F269" s="101">
        <f ca="1">'forecast production'!AF270</f>
        <v>596.54025016398032</v>
      </c>
      <c r="G269" s="101">
        <f ca="1">'forecast production'!AG270</f>
        <v>6.6779281028322535E-2</v>
      </c>
      <c r="H269" s="102">
        <f ca="1">'forecast production'!AH270</f>
        <v>89.481037524597042</v>
      </c>
      <c r="I269" s="308">
        <f t="shared" ca="1" si="118"/>
        <v>1</v>
      </c>
      <c r="J269" s="309">
        <f t="shared" ca="1" si="119"/>
        <v>0.75</v>
      </c>
      <c r="K269" s="113">
        <f t="shared" ca="1" si="104"/>
        <v>63.072542855657673</v>
      </c>
      <c r="L269" s="102">
        <f t="shared" ca="1" si="105"/>
        <v>335.55389071723891</v>
      </c>
      <c r="M269" s="102">
        <f t="shared" ca="1" si="106"/>
        <v>5.0084460771241901E-2</v>
      </c>
      <c r="N269" s="102">
        <f t="shared" ca="1" si="107"/>
        <v>67.110778143447789</v>
      </c>
      <c r="O269" s="103">
        <f>assumptions!M273</f>
        <v>55</v>
      </c>
      <c r="P269" s="104">
        <f>assumptions!N273</f>
        <v>3</v>
      </c>
      <c r="Q269" s="104">
        <f>assumptions!O273</f>
        <v>22</v>
      </c>
      <c r="R269" s="103">
        <f t="shared" si="108"/>
        <v>52.5</v>
      </c>
      <c r="S269" s="104">
        <f t="shared" si="109"/>
        <v>2.3275000000000001</v>
      </c>
      <c r="T269" s="104">
        <f t="shared" si="110"/>
        <v>22</v>
      </c>
      <c r="U269" s="105">
        <f t="shared" ca="1" si="111"/>
        <v>3311.3084999220277</v>
      </c>
      <c r="V269" s="106">
        <f t="shared" ca="1" si="112"/>
        <v>781.00168064437366</v>
      </c>
      <c r="W269" s="106">
        <f t="shared" ca="1" si="113"/>
        <v>1476.4371191558514</v>
      </c>
      <c r="X269" s="106">
        <f t="shared" ca="1" si="120"/>
        <v>5568.747299722253</v>
      </c>
      <c r="Y269" s="105">
        <f>mult_opex * fixed_month</f>
        <v>1000</v>
      </c>
      <c r="Z269" s="106">
        <f ca="1">mult_opex * fixed_well *D269</f>
        <v>5000</v>
      </c>
      <c r="AA269" s="106">
        <f ca="1">(Z269+Y269)*WI_current_1</f>
        <v>6000</v>
      </c>
      <c r="AB269" s="106">
        <f ca="1">mult_opex * var_bo*E269</f>
        <v>0</v>
      </c>
      <c r="AC269" s="106">
        <f ca="1">mult_opex * var_mcf*F269</f>
        <v>0</v>
      </c>
      <c r="AD269" s="106">
        <f ca="1">mult_opex * var_bw * G269</f>
        <v>0.13355856205664507</v>
      </c>
      <c r="AE269" s="106">
        <f ca="1">SUM(AB269:AD269)*WI_current_1</f>
        <v>0.13355856205664507</v>
      </c>
      <c r="AF269" s="105">
        <f ca="1">mult_capex * IFERROR(OFFSET(assumptions!$F$39,MATCH(B269,assumptions!$E$39:$E$45,0)-1,0),0)</f>
        <v>0</v>
      </c>
      <c r="AG269" s="106">
        <f ca="1">mult_capex * capex_new*WI_current_1 *'forecast production'!I270</f>
        <v>0</v>
      </c>
      <c r="AH269" s="147">
        <f t="shared" ca="1" si="121"/>
        <v>0</v>
      </c>
      <c r="AI269" s="105">
        <f t="shared" ca="1" si="114"/>
        <v>321.62810098143018</v>
      </c>
      <c r="AJ269" s="106">
        <f t="shared" ca="1" si="115"/>
        <v>139.21868249305632</v>
      </c>
      <c r="AK269" s="106">
        <f t="shared" ca="1" si="122"/>
        <v>460.84678347448653</v>
      </c>
      <c r="AL269" s="105">
        <f t="shared" ca="1" si="116"/>
        <v>-892.23304231429029</v>
      </c>
      <c r="AM269" s="133">
        <f ca="1">IF(X269*(lease_NRI/J269)  - (Z269+Y269+AB269+AC269+AD269)  - (AK269)*(lease_NRI/J269)&gt;0,1,0)</f>
        <v>0</v>
      </c>
      <c r="AN269" s="105">
        <f t="shared" ca="1" si="123"/>
        <v>0</v>
      </c>
      <c r="AO269" s="106">
        <f t="shared" ca="1" si="128"/>
        <v>2329073.2544940379</v>
      </c>
      <c r="AP269" s="106">
        <f ca="1">AL269  /  ( 1 + disc_1/12)^(COUNT($AL$6:AL269)-1)</f>
        <v>-100.59898985305482</v>
      </c>
      <c r="AQ269" s="106">
        <f t="shared" ca="1" si="129"/>
        <v>1563458.398389671</v>
      </c>
      <c r="AS269" s="304">
        <f t="shared" ca="1" si="124"/>
        <v>1</v>
      </c>
      <c r="AT269" s="301">
        <f ca="1">IFERROR(IRR($AN$6:AN269)*12,0)</f>
        <v>0</v>
      </c>
      <c r="AU269" s="298">
        <f t="shared" ca="1" si="125"/>
        <v>0</v>
      </c>
      <c r="AV269" s="304">
        <f t="shared" ca="1" si="126"/>
        <v>0</v>
      </c>
    </row>
    <row r="270" spans="2:48" x14ac:dyDescent="0.25">
      <c r="B270" s="43">
        <f t="shared" si="127"/>
        <v>52232</v>
      </c>
      <c r="C270" s="79">
        <f t="shared" si="117"/>
        <v>2043</v>
      </c>
      <c r="D270" s="64">
        <f ca="1">wellcount_base  +  SUM('forecast production'!I$7:I271)</f>
        <v>1</v>
      </c>
      <c r="E270" s="110">
        <f ca="1">'forecast production'!AE271</f>
        <v>83.50327766958118</v>
      </c>
      <c r="F270" s="98">
        <f ca="1">'forecast production'!AF271</f>
        <v>593.41355184051804</v>
      </c>
      <c r="G270" s="98">
        <f ca="1">'forecast production'!AG271</f>
        <v>6.4495943836623604E-2</v>
      </c>
      <c r="H270" s="98">
        <f ca="1">'forecast production'!AH271</f>
        <v>89.012032776077703</v>
      </c>
      <c r="I270" s="307">
        <f t="shared" ca="1" si="118"/>
        <v>1</v>
      </c>
      <c r="J270" s="306">
        <f t="shared" ca="1" si="119"/>
        <v>0.75</v>
      </c>
      <c r="K270" s="112">
        <f t="shared" ca="1" si="104"/>
        <v>62.627458252185889</v>
      </c>
      <c r="L270" s="98">
        <f t="shared" ca="1" si="105"/>
        <v>333.79512291029141</v>
      </c>
      <c r="M270" s="98">
        <f t="shared" ca="1" si="106"/>
        <v>4.8371957877467703E-2</v>
      </c>
      <c r="N270" s="98">
        <f t="shared" ca="1" si="107"/>
        <v>66.759024582058274</v>
      </c>
      <c r="O270" s="67">
        <f>assumptions!M274</f>
        <v>55</v>
      </c>
      <c r="P270" s="68">
        <f>assumptions!N274</f>
        <v>3</v>
      </c>
      <c r="Q270" s="68">
        <f>assumptions!O274</f>
        <v>22</v>
      </c>
      <c r="R270" s="67">
        <f t="shared" si="108"/>
        <v>52.5</v>
      </c>
      <c r="S270" s="68">
        <f t="shared" si="109"/>
        <v>2.3275000000000001</v>
      </c>
      <c r="T270" s="68">
        <f t="shared" si="110"/>
        <v>22</v>
      </c>
      <c r="U270" s="73">
        <f t="shared" ca="1" si="111"/>
        <v>3287.9415582397592</v>
      </c>
      <c r="V270" s="72">
        <f t="shared" ca="1" si="112"/>
        <v>776.90814857370333</v>
      </c>
      <c r="W270" s="72">
        <f t="shared" ca="1" si="113"/>
        <v>1468.6985408052819</v>
      </c>
      <c r="X270" s="72">
        <f t="shared" ca="1" si="120"/>
        <v>5533.5482476187444</v>
      </c>
      <c r="Y270" s="73">
        <f>mult_opex * fixed_month</f>
        <v>1000</v>
      </c>
      <c r="Z270" s="72">
        <f ca="1">mult_opex * fixed_well *D270</f>
        <v>5000</v>
      </c>
      <c r="AA270" s="72">
        <f ca="1">(Z270+Y270)*WI_current_1</f>
        <v>6000</v>
      </c>
      <c r="AB270" s="72">
        <f ca="1">mult_opex * var_bo*E270</f>
        <v>0</v>
      </c>
      <c r="AC270" s="72">
        <f ca="1">mult_opex * var_mcf*F270</f>
        <v>0</v>
      </c>
      <c r="AD270" s="72">
        <f ca="1">mult_opex * var_bw * G270</f>
        <v>0.12899188767324721</v>
      </c>
      <c r="AE270" s="72">
        <f ca="1">SUM(AB270:AD270)*WI_current_1</f>
        <v>0.12899188767324721</v>
      </c>
      <c r="AF270" s="73">
        <f ca="1">mult_capex * IFERROR(OFFSET(assumptions!$F$39,MATCH(B270,assumptions!$E$39:$E$45,0)-1,0),0)</f>
        <v>0</v>
      </c>
      <c r="AG270" s="75">
        <f ca="1">mult_capex * capex_new*WI_current_1 *'forecast production'!I271</f>
        <v>0</v>
      </c>
      <c r="AH270" s="146">
        <f t="shared" ca="1" si="121"/>
        <v>0</v>
      </c>
      <c r="AI270" s="73">
        <f t="shared" ca="1" si="114"/>
        <v>319.66581338245282</v>
      </c>
      <c r="AJ270" s="72">
        <f t="shared" ca="1" si="115"/>
        <v>138.33870619046863</v>
      </c>
      <c r="AK270" s="72">
        <f t="shared" ca="1" si="122"/>
        <v>458.00451957292148</v>
      </c>
      <c r="AL270" s="73">
        <f t="shared" ca="1" si="116"/>
        <v>-924.58526384185097</v>
      </c>
      <c r="AM270" s="132">
        <f ca="1">IF(X270*(lease_NRI/J270)  - (Z270+Y270+AB270+AC270+AD270)  - (AK270)*(lease_NRI/J270)&gt;0,1,0)</f>
        <v>0</v>
      </c>
      <c r="AN270" s="73">
        <f t="shared" ca="1" si="123"/>
        <v>0</v>
      </c>
      <c r="AO270" s="75">
        <f t="shared" ca="1" si="128"/>
        <v>2329073.2544940379</v>
      </c>
      <c r="AP270" s="72">
        <f ca="1">AL270  /  ( 1 + disc_1/12)^(COUNT($AL$6:AL270)-1)</f>
        <v>-103.38514955902561</v>
      </c>
      <c r="AQ270" s="72">
        <f t="shared" ca="1" si="129"/>
        <v>1563458.398389671</v>
      </c>
      <c r="AS270" s="303">
        <f t="shared" ca="1" si="124"/>
        <v>1</v>
      </c>
      <c r="AT270" s="300">
        <f ca="1">IFERROR(IRR($AN$6:AN270)*12,0)</f>
        <v>0</v>
      </c>
      <c r="AU270" s="297">
        <f t="shared" ca="1" si="125"/>
        <v>0</v>
      </c>
      <c r="AV270" s="303">
        <f t="shared" ca="1" si="126"/>
        <v>0</v>
      </c>
    </row>
    <row r="271" spans="2:48" x14ac:dyDescent="0.25">
      <c r="B271" s="43">
        <f t="shared" si="127"/>
        <v>52263</v>
      </c>
      <c r="C271" s="79">
        <f t="shared" si="117"/>
        <v>2043</v>
      </c>
      <c r="D271" s="64">
        <f ca="1">wellcount_base  +  SUM('forecast production'!I$7:I272)</f>
        <v>1</v>
      </c>
      <c r="E271" s="110">
        <f ca="1">'forecast production'!AE272</f>
        <v>74.890081956095813</v>
      </c>
      <c r="F271" s="98">
        <f ca="1">'forecast production'!AF272</f>
        <v>533.17712158340908</v>
      </c>
      <c r="G271" s="98">
        <f ca="1">'forecast production'!AG272</f>
        <v>5.6262889387361126E-2</v>
      </c>
      <c r="H271" s="98">
        <f ca="1">'forecast production'!AH272</f>
        <v>79.976568237511358</v>
      </c>
      <c r="I271" s="307">
        <f t="shared" ca="1" si="118"/>
        <v>1</v>
      </c>
      <c r="J271" s="306">
        <f t="shared" ca="1" si="119"/>
        <v>0.75</v>
      </c>
      <c r="K271" s="112">
        <f t="shared" ca="1" si="104"/>
        <v>56.167561467071863</v>
      </c>
      <c r="L271" s="98">
        <f t="shared" ca="1" si="105"/>
        <v>299.91213089066758</v>
      </c>
      <c r="M271" s="98">
        <f t="shared" ca="1" si="106"/>
        <v>4.2197167040520844E-2</v>
      </c>
      <c r="N271" s="98">
        <f t="shared" ca="1" si="107"/>
        <v>59.982426178133522</v>
      </c>
      <c r="O271" s="67">
        <f>assumptions!M275</f>
        <v>55</v>
      </c>
      <c r="P271" s="68">
        <f>assumptions!N275</f>
        <v>3</v>
      </c>
      <c r="Q271" s="68">
        <f>assumptions!O275</f>
        <v>22</v>
      </c>
      <c r="R271" s="67">
        <f t="shared" si="108"/>
        <v>52.5</v>
      </c>
      <c r="S271" s="68">
        <f t="shared" si="109"/>
        <v>2.3275000000000001</v>
      </c>
      <c r="T271" s="68">
        <f t="shared" si="110"/>
        <v>22</v>
      </c>
      <c r="U271" s="73">
        <f t="shared" ca="1" si="111"/>
        <v>2948.7969770212726</v>
      </c>
      <c r="V271" s="72">
        <f t="shared" ca="1" si="112"/>
        <v>698.04548464802883</v>
      </c>
      <c r="W271" s="72">
        <f t="shared" ca="1" si="113"/>
        <v>1319.6133759189374</v>
      </c>
      <c r="X271" s="72">
        <f t="shared" ca="1" si="120"/>
        <v>4966.4558375882389</v>
      </c>
      <c r="Y271" s="73">
        <f>mult_opex * fixed_month</f>
        <v>1000</v>
      </c>
      <c r="Z271" s="72">
        <f ca="1">mult_opex * fixed_well *D271</f>
        <v>5000</v>
      </c>
      <c r="AA271" s="72">
        <f ca="1">(Z271+Y271)*WI_current_1</f>
        <v>6000</v>
      </c>
      <c r="AB271" s="72">
        <f ca="1">mult_opex * var_bo*E271</f>
        <v>0</v>
      </c>
      <c r="AC271" s="72">
        <f ca="1">mult_opex * var_mcf*F271</f>
        <v>0</v>
      </c>
      <c r="AD271" s="72">
        <f ca="1">mult_opex * var_bw * G271</f>
        <v>0.11252577877472225</v>
      </c>
      <c r="AE271" s="72">
        <f ca="1">SUM(AB271:AD271)*WI_current_1</f>
        <v>0.11252577877472225</v>
      </c>
      <c r="AF271" s="73">
        <f ca="1">mult_capex * IFERROR(OFFSET(assumptions!$F$39,MATCH(B271,assumptions!$E$39:$E$45,0)-1,0),0)</f>
        <v>0</v>
      </c>
      <c r="AG271" s="75">
        <f ca="1">mult_capex * capex_new*WI_current_1 *'forecast production'!I272</f>
        <v>0</v>
      </c>
      <c r="AH271" s="146">
        <f t="shared" ca="1" si="121"/>
        <v>0</v>
      </c>
      <c r="AI271" s="73">
        <f t="shared" ca="1" si="114"/>
        <v>286.96907548550098</v>
      </c>
      <c r="AJ271" s="72">
        <f t="shared" ca="1" si="115"/>
        <v>124.16139593970598</v>
      </c>
      <c r="AK271" s="72">
        <f t="shared" ca="1" si="122"/>
        <v>411.13047142520696</v>
      </c>
      <c r="AL271" s="73">
        <f t="shared" ca="1" si="116"/>
        <v>-1444.7871596157429</v>
      </c>
      <c r="AM271" s="132">
        <f ca="1">IF(X271*(lease_NRI/J271)  - (Z271+Y271+AB271+AC271+AD271)  - (AK271)*(lease_NRI/J271)&gt;0,1,0)</f>
        <v>0</v>
      </c>
      <c r="AN271" s="73">
        <f t="shared" ca="1" si="123"/>
        <v>0</v>
      </c>
      <c r="AO271" s="75">
        <f t="shared" ca="1" si="128"/>
        <v>2329073.2544940379</v>
      </c>
      <c r="AP271" s="72">
        <f ca="1">AL271  /  ( 1 + disc_1/12)^(COUNT($AL$6:AL271)-1)</f>
        <v>-160.21786566478264</v>
      </c>
      <c r="AQ271" s="72">
        <f t="shared" ca="1" si="129"/>
        <v>1563458.398389671</v>
      </c>
      <c r="AS271" s="303">
        <f t="shared" ca="1" si="124"/>
        <v>1</v>
      </c>
      <c r="AT271" s="300">
        <f ca="1">IFERROR(IRR($AN$6:AN271)*12,0)</f>
        <v>0</v>
      </c>
      <c r="AU271" s="297">
        <f t="shared" ca="1" si="125"/>
        <v>0</v>
      </c>
      <c r="AV271" s="303">
        <f t="shared" ca="1" si="126"/>
        <v>0</v>
      </c>
    </row>
    <row r="272" spans="2:48" x14ac:dyDescent="0.25">
      <c r="B272" s="43">
        <f t="shared" si="127"/>
        <v>52291</v>
      </c>
      <c r="C272" s="79">
        <f t="shared" si="117"/>
        <v>2043</v>
      </c>
      <c r="D272" s="64">
        <f ca="1">wellcount_base  +  SUM('forecast production'!I$7:I273)</f>
        <v>1</v>
      </c>
      <c r="E272" s="110">
        <f ca="1">'forecast production'!AE273</f>
        <v>82.385360848421243</v>
      </c>
      <c r="F272" s="98">
        <f ca="1">'forecast production'!AF273</f>
        <v>587.50794399661572</v>
      </c>
      <c r="G272" s="98">
        <f ca="1">'forecast production'!AG273</f>
        <v>6.0364718972651034E-2</v>
      </c>
      <c r="H272" s="98">
        <f ca="1">'forecast production'!AH273</f>
        <v>88.126191599492358</v>
      </c>
      <c r="I272" s="307">
        <f t="shared" ca="1" si="118"/>
        <v>1</v>
      </c>
      <c r="J272" s="306">
        <f t="shared" ca="1" si="119"/>
        <v>0.75</v>
      </c>
      <c r="K272" s="112">
        <f t="shared" ca="1" si="104"/>
        <v>61.789020636315932</v>
      </c>
      <c r="L272" s="98">
        <f t="shared" ca="1" si="105"/>
        <v>330.47321849809634</v>
      </c>
      <c r="M272" s="98">
        <f t="shared" ca="1" si="106"/>
        <v>4.5273539229488277E-2</v>
      </c>
      <c r="N272" s="98">
        <f t="shared" ca="1" si="107"/>
        <v>66.094643699619269</v>
      </c>
      <c r="O272" s="67">
        <f>assumptions!M276</f>
        <v>55</v>
      </c>
      <c r="P272" s="68">
        <f>assumptions!N276</f>
        <v>3</v>
      </c>
      <c r="Q272" s="68">
        <f>assumptions!O276</f>
        <v>22</v>
      </c>
      <c r="R272" s="67">
        <f t="shared" si="108"/>
        <v>52.5</v>
      </c>
      <c r="S272" s="68">
        <f t="shared" si="109"/>
        <v>2.3275000000000001</v>
      </c>
      <c r="T272" s="68">
        <f t="shared" si="110"/>
        <v>22</v>
      </c>
      <c r="U272" s="73">
        <f t="shared" ca="1" si="111"/>
        <v>3243.9235834065867</v>
      </c>
      <c r="V272" s="72">
        <f t="shared" ca="1" si="112"/>
        <v>769.17641605431925</v>
      </c>
      <c r="W272" s="72">
        <f t="shared" ca="1" si="113"/>
        <v>1454.0821613916239</v>
      </c>
      <c r="X272" s="72">
        <f t="shared" ca="1" si="120"/>
        <v>5467.1821608525297</v>
      </c>
      <c r="Y272" s="73">
        <f>mult_opex * fixed_month</f>
        <v>1000</v>
      </c>
      <c r="Z272" s="72">
        <f ca="1">mult_opex * fixed_well *D272</f>
        <v>5000</v>
      </c>
      <c r="AA272" s="72">
        <f ca="1">(Z272+Y272)*WI_current_1</f>
        <v>6000</v>
      </c>
      <c r="AB272" s="72">
        <f ca="1">mult_opex * var_bo*E272</f>
        <v>0</v>
      </c>
      <c r="AC272" s="72">
        <f ca="1">mult_opex * var_mcf*F272</f>
        <v>0</v>
      </c>
      <c r="AD272" s="72">
        <f ca="1">mult_opex * var_bw * G272</f>
        <v>0.12072943794530207</v>
      </c>
      <c r="AE272" s="72">
        <f ca="1">SUM(AB272:AD272)*WI_current_1</f>
        <v>0.12072943794530207</v>
      </c>
      <c r="AF272" s="73">
        <f ca="1">mult_capex * IFERROR(OFFSET(assumptions!$F$39,MATCH(B272,assumptions!$E$39:$E$45,0)-1,0),0)</f>
        <v>0</v>
      </c>
      <c r="AG272" s="75">
        <f ca="1">mult_capex * capex_new*WI_current_1 *'forecast production'!I273</f>
        <v>0</v>
      </c>
      <c r="AH272" s="146">
        <f t="shared" ca="1" si="121"/>
        <v>0</v>
      </c>
      <c r="AI272" s="73">
        <f t="shared" ca="1" si="114"/>
        <v>315.96487814514876</v>
      </c>
      <c r="AJ272" s="72">
        <f t="shared" ca="1" si="115"/>
        <v>136.67955402131324</v>
      </c>
      <c r="AK272" s="72">
        <f t="shared" ca="1" si="122"/>
        <v>452.64443216646202</v>
      </c>
      <c r="AL272" s="73">
        <f t="shared" ca="1" si="116"/>
        <v>-985.58300075187799</v>
      </c>
      <c r="AM272" s="132">
        <f ca="1">IF(X272*(lease_NRI/J272)  - (Z272+Y272+AB272+AC272+AD272)  - (AK272)*(lease_NRI/J272)&gt;0,1,0)</f>
        <v>0</v>
      </c>
      <c r="AN272" s="73">
        <f t="shared" ca="1" si="123"/>
        <v>0</v>
      </c>
      <c r="AO272" s="75">
        <f t="shared" ca="1" si="128"/>
        <v>2329073.2544940379</v>
      </c>
      <c r="AP272" s="72">
        <f ca="1">AL272  /  ( 1 + disc_1/12)^(COUNT($AL$6:AL272)-1)</f>
        <v>-108.39173018703899</v>
      </c>
      <c r="AQ272" s="72">
        <f t="shared" ca="1" si="129"/>
        <v>1563458.398389671</v>
      </c>
      <c r="AS272" s="303">
        <f t="shared" ca="1" si="124"/>
        <v>1</v>
      </c>
      <c r="AT272" s="300">
        <f ca="1">IFERROR(IRR($AN$6:AN272)*12,0)</f>
        <v>0</v>
      </c>
      <c r="AU272" s="297">
        <f t="shared" ca="1" si="125"/>
        <v>0</v>
      </c>
      <c r="AV272" s="303">
        <f t="shared" ca="1" si="126"/>
        <v>0</v>
      </c>
    </row>
    <row r="273" spans="2:48" x14ac:dyDescent="0.25">
      <c r="B273" s="43">
        <f t="shared" si="127"/>
        <v>52322</v>
      </c>
      <c r="C273" s="79">
        <f t="shared" si="117"/>
        <v>2043</v>
      </c>
      <c r="D273" s="64">
        <f ca="1">wellcount_base  +  SUM('forecast production'!I$7:I274)</f>
        <v>1</v>
      </c>
      <c r="E273" s="110">
        <f ca="1">'forecast production'!AE274</f>
        <v>79.165152872389655</v>
      </c>
      <c r="F273" s="98">
        <f ca="1">'forecast production'!AF274</f>
        <v>565.5760524052738</v>
      </c>
      <c r="G273" s="98">
        <f ca="1">'forecast production'!AG274</f>
        <v>5.6421033142819425E-2</v>
      </c>
      <c r="H273" s="98">
        <f ca="1">'forecast production'!AH274</f>
        <v>84.83640786079107</v>
      </c>
      <c r="I273" s="307">
        <f t="shared" ca="1" si="118"/>
        <v>1</v>
      </c>
      <c r="J273" s="306">
        <f t="shared" ca="1" si="119"/>
        <v>0.75</v>
      </c>
      <c r="K273" s="112">
        <f t="shared" ca="1" si="104"/>
        <v>59.373864654292241</v>
      </c>
      <c r="L273" s="98">
        <f t="shared" ca="1" si="105"/>
        <v>318.13652947796652</v>
      </c>
      <c r="M273" s="98">
        <f t="shared" ca="1" si="106"/>
        <v>4.2315774857114567E-2</v>
      </c>
      <c r="N273" s="98">
        <f t="shared" ca="1" si="107"/>
        <v>63.627305895593302</v>
      </c>
      <c r="O273" s="67">
        <f>assumptions!M277</f>
        <v>55</v>
      </c>
      <c r="P273" s="68">
        <f>assumptions!N277</f>
        <v>3</v>
      </c>
      <c r="Q273" s="68">
        <f>assumptions!O277</f>
        <v>22</v>
      </c>
      <c r="R273" s="67">
        <f t="shared" si="108"/>
        <v>52.5</v>
      </c>
      <c r="S273" s="68">
        <f t="shared" si="109"/>
        <v>2.3275000000000001</v>
      </c>
      <c r="T273" s="68">
        <f t="shared" si="110"/>
        <v>22</v>
      </c>
      <c r="U273" s="73">
        <f t="shared" ca="1" si="111"/>
        <v>3117.1278943503426</v>
      </c>
      <c r="V273" s="72">
        <f t="shared" ca="1" si="112"/>
        <v>740.46277235996706</v>
      </c>
      <c r="W273" s="72">
        <f t="shared" ca="1" si="113"/>
        <v>1399.8007297030526</v>
      </c>
      <c r="X273" s="72">
        <f t="shared" ca="1" si="120"/>
        <v>5257.3913964133626</v>
      </c>
      <c r="Y273" s="73">
        <f>mult_opex * fixed_month</f>
        <v>1000</v>
      </c>
      <c r="Z273" s="72">
        <f ca="1">mult_opex * fixed_well *D273</f>
        <v>5000</v>
      </c>
      <c r="AA273" s="72">
        <f ca="1">(Z273+Y273)*WI_current_1</f>
        <v>6000</v>
      </c>
      <c r="AB273" s="72">
        <f ca="1">mult_opex * var_bo*E273</f>
        <v>0</v>
      </c>
      <c r="AC273" s="72">
        <f ca="1">mult_opex * var_mcf*F273</f>
        <v>0</v>
      </c>
      <c r="AD273" s="72">
        <f ca="1">mult_opex * var_bw * G273</f>
        <v>0.11284206628563885</v>
      </c>
      <c r="AE273" s="72">
        <f ca="1">SUM(AB273:AD273)*WI_current_1</f>
        <v>0.11284206628563885</v>
      </c>
      <c r="AF273" s="73">
        <f ca="1">mult_capex * IFERROR(OFFSET(assumptions!$F$39,MATCH(B273,assumptions!$E$39:$E$45,0)-1,0),0)</f>
        <v>0</v>
      </c>
      <c r="AG273" s="75">
        <f ca="1">mult_capex * capex_new*WI_current_1 *'forecast production'!I274</f>
        <v>0</v>
      </c>
      <c r="AH273" s="146">
        <f t="shared" ca="1" si="121"/>
        <v>0</v>
      </c>
      <c r="AI273" s="73">
        <f t="shared" ca="1" si="114"/>
        <v>303.90764579484221</v>
      </c>
      <c r="AJ273" s="72">
        <f t="shared" ca="1" si="115"/>
        <v>131.43478491033406</v>
      </c>
      <c r="AK273" s="72">
        <f t="shared" ca="1" si="122"/>
        <v>435.3424307051763</v>
      </c>
      <c r="AL273" s="73">
        <f t="shared" ca="1" si="116"/>
        <v>-1178.0638763580992</v>
      </c>
      <c r="AM273" s="132">
        <f ca="1">IF(X273*(lease_NRI/J273)  - (Z273+Y273+AB273+AC273+AD273)  - (AK273)*(lease_NRI/J273)&gt;0,1,0)</f>
        <v>0</v>
      </c>
      <c r="AN273" s="73">
        <f t="shared" ca="1" si="123"/>
        <v>0</v>
      </c>
      <c r="AO273" s="75">
        <f t="shared" ca="1" si="128"/>
        <v>2329073.2544940379</v>
      </c>
      <c r="AP273" s="72">
        <f ca="1">AL273  /  ( 1 + disc_1/12)^(COUNT($AL$6:AL273)-1)</f>
        <v>-128.48950599995925</v>
      </c>
      <c r="AQ273" s="72">
        <f t="shared" ca="1" si="129"/>
        <v>1563458.398389671</v>
      </c>
      <c r="AS273" s="303">
        <f t="shared" ca="1" si="124"/>
        <v>1</v>
      </c>
      <c r="AT273" s="300">
        <f ca="1">IFERROR(IRR($AN$6:AN273)*12,0)</f>
        <v>0</v>
      </c>
      <c r="AU273" s="297">
        <f t="shared" ca="1" si="125"/>
        <v>0</v>
      </c>
      <c r="AV273" s="303">
        <f t="shared" ca="1" si="126"/>
        <v>0</v>
      </c>
    </row>
    <row r="274" spans="2:48" x14ac:dyDescent="0.25">
      <c r="B274" s="43">
        <f t="shared" si="127"/>
        <v>52352</v>
      </c>
      <c r="C274" s="79">
        <f t="shared" si="117"/>
        <v>2043</v>
      </c>
      <c r="D274" s="64">
        <f ca="1">wellcount_base  +  SUM('forecast production'!I$7:I275)</f>
        <v>1</v>
      </c>
      <c r="E274" s="110">
        <f ca="1">'forecast production'!AE275</f>
        <v>81.245282087484412</v>
      </c>
      <c r="F274" s="98">
        <f ca="1">'forecast production'!AF275</f>
        <v>581.46393344681542</v>
      </c>
      <c r="G274" s="98">
        <f ca="1">'forecast production'!AG275</f>
        <v>5.6372775192978682E-2</v>
      </c>
      <c r="H274" s="98">
        <f ca="1">'forecast production'!AH275</f>
        <v>87.219590017022313</v>
      </c>
      <c r="I274" s="307">
        <f t="shared" ca="1" si="118"/>
        <v>1</v>
      </c>
      <c r="J274" s="306">
        <f t="shared" ca="1" si="119"/>
        <v>0.75</v>
      </c>
      <c r="K274" s="112">
        <f t="shared" ca="1" si="104"/>
        <v>60.933961565613309</v>
      </c>
      <c r="L274" s="98">
        <f t="shared" ca="1" si="105"/>
        <v>327.07346256383369</v>
      </c>
      <c r="M274" s="98">
        <f t="shared" ca="1" si="106"/>
        <v>4.2279581394734013E-2</v>
      </c>
      <c r="N274" s="98">
        <f t="shared" ca="1" si="107"/>
        <v>65.414692512766734</v>
      </c>
      <c r="O274" s="67">
        <f>assumptions!M278</f>
        <v>55</v>
      </c>
      <c r="P274" s="68">
        <f>assumptions!N278</f>
        <v>3</v>
      </c>
      <c r="Q274" s="68">
        <f>assumptions!O278</f>
        <v>22</v>
      </c>
      <c r="R274" s="67">
        <f t="shared" si="108"/>
        <v>52.5</v>
      </c>
      <c r="S274" s="68">
        <f t="shared" si="109"/>
        <v>2.3275000000000001</v>
      </c>
      <c r="T274" s="68">
        <f t="shared" si="110"/>
        <v>22</v>
      </c>
      <c r="U274" s="73">
        <f t="shared" ca="1" si="111"/>
        <v>3199.0329821946989</v>
      </c>
      <c r="V274" s="72">
        <f t="shared" ca="1" si="112"/>
        <v>761.26348411732295</v>
      </c>
      <c r="W274" s="72">
        <f t="shared" ca="1" si="113"/>
        <v>1439.1232352808681</v>
      </c>
      <c r="X274" s="72">
        <f t="shared" ca="1" si="120"/>
        <v>5399.4197015928903</v>
      </c>
      <c r="Y274" s="73">
        <f>mult_opex * fixed_month</f>
        <v>1000</v>
      </c>
      <c r="Z274" s="72">
        <f ca="1">mult_opex * fixed_well *D274</f>
        <v>5000</v>
      </c>
      <c r="AA274" s="72">
        <f ca="1">(Z274+Y274)*WI_current_1</f>
        <v>6000</v>
      </c>
      <c r="AB274" s="72">
        <f ca="1">mult_opex * var_bo*E274</f>
        <v>0</v>
      </c>
      <c r="AC274" s="72">
        <f ca="1">mult_opex * var_mcf*F274</f>
        <v>0</v>
      </c>
      <c r="AD274" s="72">
        <f ca="1">mult_opex * var_bw * G274</f>
        <v>0.11274555038595736</v>
      </c>
      <c r="AE274" s="72">
        <f ca="1">SUM(AB274:AD274)*WI_current_1</f>
        <v>0.11274555038595736</v>
      </c>
      <c r="AF274" s="73">
        <f ca="1">mult_capex * IFERROR(OFFSET(assumptions!$F$39,MATCH(B274,assumptions!$E$39:$E$45,0)-1,0),0)</f>
        <v>0</v>
      </c>
      <c r="AG274" s="75">
        <f ca="1">mult_capex * capex_new*WI_current_1 *'forecast production'!I275</f>
        <v>0</v>
      </c>
      <c r="AH274" s="146">
        <f t="shared" ca="1" si="121"/>
        <v>0</v>
      </c>
      <c r="AI274" s="73">
        <f t="shared" ca="1" si="114"/>
        <v>312.18452113582049</v>
      </c>
      <c r="AJ274" s="72">
        <f t="shared" ca="1" si="115"/>
        <v>134.98549253982227</v>
      </c>
      <c r="AK274" s="72">
        <f t="shared" ca="1" si="122"/>
        <v>447.17001367564274</v>
      </c>
      <c r="AL274" s="73">
        <f t="shared" ca="1" si="116"/>
        <v>-1047.8630576331379</v>
      </c>
      <c r="AM274" s="132">
        <f ca="1">IF(X274*(lease_NRI/J274)  - (Z274+Y274+AB274+AC274+AD274)  - (AK274)*(lease_NRI/J274)&gt;0,1,0)</f>
        <v>0</v>
      </c>
      <c r="AN274" s="73">
        <f t="shared" ca="1" si="123"/>
        <v>0</v>
      </c>
      <c r="AO274" s="75">
        <f t="shared" ca="1" si="128"/>
        <v>2329073.2544940379</v>
      </c>
      <c r="AP274" s="72">
        <f ca="1">AL274  /  ( 1 + disc_1/12)^(COUNT($AL$6:AL274)-1)</f>
        <v>-113.34418017707722</v>
      </c>
      <c r="AQ274" s="72">
        <f t="shared" ca="1" si="129"/>
        <v>1563458.398389671</v>
      </c>
      <c r="AS274" s="303">
        <f t="shared" ca="1" si="124"/>
        <v>1</v>
      </c>
      <c r="AT274" s="300">
        <f ca="1">IFERROR(IRR($AN$6:AN274)*12,0)</f>
        <v>0</v>
      </c>
      <c r="AU274" s="297">
        <f t="shared" ca="1" si="125"/>
        <v>0</v>
      </c>
      <c r="AV274" s="303">
        <f t="shared" ca="1" si="126"/>
        <v>0</v>
      </c>
    </row>
    <row r="275" spans="2:48" x14ac:dyDescent="0.25">
      <c r="B275" s="43">
        <f t="shared" si="127"/>
        <v>52383</v>
      </c>
      <c r="C275" s="79">
        <f t="shared" si="117"/>
        <v>2043</v>
      </c>
      <c r="D275" s="64">
        <f ca="1">wellcount_base  +  SUM('forecast production'!I$7:I276)</f>
        <v>1</v>
      </c>
      <c r="E275" s="110">
        <f ca="1">'forecast production'!AE276</f>
        <v>78.069636527414389</v>
      </c>
      <c r="F275" s="98">
        <f ca="1">'forecast production'!AF276</f>
        <v>559.75766703298768</v>
      </c>
      <c r="G275" s="98">
        <f ca="1">'forecast production'!AG276</f>
        <v>5.2690513552992146E-2</v>
      </c>
      <c r="H275" s="98">
        <f ca="1">'forecast production'!AH276</f>
        <v>83.963650054948147</v>
      </c>
      <c r="I275" s="307">
        <f t="shared" ca="1" si="118"/>
        <v>1</v>
      </c>
      <c r="J275" s="306">
        <f t="shared" ca="1" si="119"/>
        <v>0.75</v>
      </c>
      <c r="K275" s="112">
        <f t="shared" ca="1" si="104"/>
        <v>58.552227395560791</v>
      </c>
      <c r="L275" s="98">
        <f t="shared" ca="1" si="105"/>
        <v>314.86368770605554</v>
      </c>
      <c r="M275" s="98">
        <f t="shared" ca="1" si="106"/>
        <v>3.951788516474411E-2</v>
      </c>
      <c r="N275" s="98">
        <f t="shared" ca="1" si="107"/>
        <v>62.97273754121111</v>
      </c>
      <c r="O275" s="67">
        <f>assumptions!M279</f>
        <v>55</v>
      </c>
      <c r="P275" s="68">
        <f>assumptions!N279</f>
        <v>3</v>
      </c>
      <c r="Q275" s="68">
        <f>assumptions!O279</f>
        <v>22</v>
      </c>
      <c r="R275" s="67">
        <f t="shared" si="108"/>
        <v>52.5</v>
      </c>
      <c r="S275" s="68">
        <f t="shared" si="109"/>
        <v>2.3275000000000001</v>
      </c>
      <c r="T275" s="68">
        <f t="shared" si="110"/>
        <v>22</v>
      </c>
      <c r="U275" s="73">
        <f t="shared" ca="1" si="111"/>
        <v>3073.9919382669414</v>
      </c>
      <c r="V275" s="72">
        <f t="shared" ca="1" si="112"/>
        <v>732.8452331358443</v>
      </c>
      <c r="W275" s="72">
        <f t="shared" ca="1" si="113"/>
        <v>1385.4002259066444</v>
      </c>
      <c r="X275" s="72">
        <f t="shared" ca="1" si="120"/>
        <v>5192.23739730943</v>
      </c>
      <c r="Y275" s="73">
        <f>mult_opex * fixed_month</f>
        <v>1000</v>
      </c>
      <c r="Z275" s="72">
        <f ca="1">mult_opex * fixed_well *D275</f>
        <v>5000</v>
      </c>
      <c r="AA275" s="72">
        <f ca="1">(Z275+Y275)*WI_current_1</f>
        <v>6000</v>
      </c>
      <c r="AB275" s="72">
        <f ca="1">mult_opex * var_bo*E275</f>
        <v>0</v>
      </c>
      <c r="AC275" s="72">
        <f ca="1">mult_opex * var_mcf*F275</f>
        <v>0</v>
      </c>
      <c r="AD275" s="72">
        <f ca="1">mult_opex * var_bw * G275</f>
        <v>0.10538102710598429</v>
      </c>
      <c r="AE275" s="72">
        <f ca="1">SUM(AB275:AD275)*WI_current_1</f>
        <v>0.10538102710598429</v>
      </c>
      <c r="AF275" s="73">
        <f ca="1">mult_capex * IFERROR(OFFSET(assumptions!$F$39,MATCH(B275,assumptions!$E$39:$E$45,0)-1,0),0)</f>
        <v>0</v>
      </c>
      <c r="AG275" s="75">
        <f ca="1">mult_capex * capex_new*WI_current_1 *'forecast production'!I276</f>
        <v>0</v>
      </c>
      <c r="AH275" s="146">
        <f t="shared" ca="1" si="121"/>
        <v>0</v>
      </c>
      <c r="AI275" s="73">
        <f t="shared" ca="1" si="114"/>
        <v>300.27203858846593</v>
      </c>
      <c r="AJ275" s="72">
        <f t="shared" ca="1" si="115"/>
        <v>129.80593493273577</v>
      </c>
      <c r="AK275" s="72">
        <f t="shared" ca="1" si="122"/>
        <v>430.07797352120167</v>
      </c>
      <c r="AL275" s="73">
        <f t="shared" ca="1" si="116"/>
        <v>-1237.9459572388778</v>
      </c>
      <c r="AM275" s="132">
        <f ca="1">IF(X275*(lease_NRI/J275)  - (Z275+Y275+AB275+AC275+AD275)  - (AK275)*(lease_NRI/J275)&gt;0,1,0)</f>
        <v>0</v>
      </c>
      <c r="AN275" s="73">
        <f t="shared" ca="1" si="123"/>
        <v>0</v>
      </c>
      <c r="AO275" s="75">
        <f t="shared" ca="1" si="128"/>
        <v>2329073.2544940379</v>
      </c>
      <c r="AP275" s="72">
        <f ca="1">AL275  /  ( 1 + disc_1/12)^(COUNT($AL$6:AL275)-1)</f>
        <v>-132.79822113148114</v>
      </c>
      <c r="AQ275" s="72">
        <f t="shared" ca="1" si="129"/>
        <v>1563458.398389671</v>
      </c>
      <c r="AS275" s="303">
        <f t="shared" ca="1" si="124"/>
        <v>1</v>
      </c>
      <c r="AT275" s="300">
        <f ca="1">IFERROR(IRR($AN$6:AN275)*12,0)</f>
        <v>0</v>
      </c>
      <c r="AU275" s="297">
        <f t="shared" ca="1" si="125"/>
        <v>0</v>
      </c>
      <c r="AV275" s="303">
        <f t="shared" ca="1" si="126"/>
        <v>0</v>
      </c>
    </row>
    <row r="276" spans="2:48" x14ac:dyDescent="0.25">
      <c r="B276" s="43">
        <f t="shared" si="127"/>
        <v>52413</v>
      </c>
      <c r="C276" s="79">
        <f t="shared" si="117"/>
        <v>2043</v>
      </c>
      <c r="D276" s="64">
        <f ca="1">wellcount_base  +  SUM('forecast production'!I$7:I277)</f>
        <v>1</v>
      </c>
      <c r="E276" s="110">
        <f ca="1">'forecast production'!AE277</f>
        <v>80.120980153495381</v>
      </c>
      <c r="F276" s="98">
        <f ca="1">'forecast production'!AF277</f>
        <v>575.48210088779717</v>
      </c>
      <c r="G276" s="98">
        <f ca="1">'forecast production'!AG277</f>
        <v>5.2646052071321517E-2</v>
      </c>
      <c r="H276" s="98">
        <f ca="1">'forecast production'!AH277</f>
        <v>86.322315133169568</v>
      </c>
      <c r="I276" s="307">
        <f t="shared" ca="1" si="118"/>
        <v>1</v>
      </c>
      <c r="J276" s="306">
        <f t="shared" ca="1" si="119"/>
        <v>0.75</v>
      </c>
      <c r="K276" s="112">
        <f t="shared" ca="1" si="104"/>
        <v>60.090735115121532</v>
      </c>
      <c r="L276" s="98">
        <f t="shared" ca="1" si="105"/>
        <v>323.70868174938596</v>
      </c>
      <c r="M276" s="98">
        <f t="shared" ca="1" si="106"/>
        <v>3.9484539053491141E-2</v>
      </c>
      <c r="N276" s="98">
        <f t="shared" ca="1" si="107"/>
        <v>64.741736349877172</v>
      </c>
      <c r="O276" s="67">
        <f>assumptions!M280</f>
        <v>55</v>
      </c>
      <c r="P276" s="68">
        <f>assumptions!N280</f>
        <v>3</v>
      </c>
      <c r="Q276" s="68">
        <f>assumptions!O280</f>
        <v>22</v>
      </c>
      <c r="R276" s="67">
        <f t="shared" si="108"/>
        <v>52.5</v>
      </c>
      <c r="S276" s="68">
        <f t="shared" si="109"/>
        <v>2.3275000000000001</v>
      </c>
      <c r="T276" s="68">
        <f t="shared" si="110"/>
        <v>22</v>
      </c>
      <c r="U276" s="73">
        <f t="shared" ca="1" si="111"/>
        <v>3154.7635935438802</v>
      </c>
      <c r="V276" s="72">
        <f t="shared" ca="1" si="112"/>
        <v>753.43195677169581</v>
      </c>
      <c r="W276" s="72">
        <f t="shared" ca="1" si="113"/>
        <v>1424.3181996972978</v>
      </c>
      <c r="X276" s="72">
        <f t="shared" ca="1" si="120"/>
        <v>5332.513750012874</v>
      </c>
      <c r="Y276" s="73">
        <f>mult_opex * fixed_month</f>
        <v>1000</v>
      </c>
      <c r="Z276" s="72">
        <f ca="1">mult_opex * fixed_well *D276</f>
        <v>5000</v>
      </c>
      <c r="AA276" s="72">
        <f ca="1">(Z276+Y276)*WI_current_1</f>
        <v>6000</v>
      </c>
      <c r="AB276" s="72">
        <f ca="1">mult_opex * var_bo*E276</f>
        <v>0</v>
      </c>
      <c r="AC276" s="72">
        <f ca="1">mult_opex * var_mcf*F276</f>
        <v>0</v>
      </c>
      <c r="AD276" s="72">
        <f ca="1">mult_opex * var_bw * G276</f>
        <v>0.10529210414264303</v>
      </c>
      <c r="AE276" s="72">
        <f ca="1">SUM(AB276:AD276)*WI_current_1</f>
        <v>0.10529210414264303</v>
      </c>
      <c r="AF276" s="73">
        <f ca="1">mult_capex * IFERROR(OFFSET(assumptions!$F$39,MATCH(B276,assumptions!$E$39:$E$45,0)-1,0),0)</f>
        <v>0</v>
      </c>
      <c r="AG276" s="75">
        <f ca="1">mult_capex * capex_new*WI_current_1 *'forecast production'!I277</f>
        <v>0</v>
      </c>
      <c r="AH276" s="146">
        <f t="shared" ca="1" si="121"/>
        <v>0</v>
      </c>
      <c r="AI276" s="73">
        <f t="shared" ca="1" si="114"/>
        <v>308.45038703819301</v>
      </c>
      <c r="AJ276" s="72">
        <f t="shared" ca="1" si="115"/>
        <v>133.31284375032186</v>
      </c>
      <c r="AK276" s="72">
        <f t="shared" ca="1" si="122"/>
        <v>441.76323078851487</v>
      </c>
      <c r="AL276" s="73">
        <f t="shared" ca="1" si="116"/>
        <v>-1109.3547728797839</v>
      </c>
      <c r="AM276" s="132">
        <f ca="1">IF(X276*(lease_NRI/J276)  - (Z276+Y276+AB276+AC276+AD276)  - (AK276)*(lease_NRI/J276)&gt;0,1,0)</f>
        <v>0</v>
      </c>
      <c r="AN276" s="73">
        <f t="shared" ca="1" si="123"/>
        <v>0</v>
      </c>
      <c r="AO276" s="75">
        <f t="shared" ca="1" si="128"/>
        <v>2329073.2544940379</v>
      </c>
      <c r="AP276" s="72">
        <f ca="1">AL276  /  ( 1 + disc_1/12)^(COUNT($AL$6:AL276)-1)</f>
        <v>-118.02035146452893</v>
      </c>
      <c r="AQ276" s="72">
        <f t="shared" ca="1" si="129"/>
        <v>1563458.398389671</v>
      </c>
      <c r="AS276" s="303">
        <f t="shared" ca="1" si="124"/>
        <v>1</v>
      </c>
      <c r="AT276" s="300">
        <f ca="1">IFERROR(IRR($AN$6:AN276)*12,0)</f>
        <v>0</v>
      </c>
      <c r="AU276" s="297">
        <f t="shared" ca="1" si="125"/>
        <v>0</v>
      </c>
      <c r="AV276" s="303">
        <f t="shared" ca="1" si="126"/>
        <v>0</v>
      </c>
    </row>
    <row r="277" spans="2:48" x14ac:dyDescent="0.25">
      <c r="B277" s="43">
        <f t="shared" si="127"/>
        <v>52444</v>
      </c>
      <c r="C277" s="79">
        <f t="shared" si="117"/>
        <v>2043</v>
      </c>
      <c r="D277" s="64">
        <f ca="1">wellcount_base  +  SUM('forecast production'!I$7:I278)</f>
        <v>1</v>
      </c>
      <c r="E277" s="110">
        <f ca="1">'forecast production'!AE278</f>
        <v>79.555589682985897</v>
      </c>
      <c r="F277" s="98">
        <f ca="1">'forecast production'!AF278</f>
        <v>572.46577647459287</v>
      </c>
      <c r="G277" s="98">
        <f ca="1">'forecast production'!AG278</f>
        <v>5.0848064396481055E-2</v>
      </c>
      <c r="H277" s="98">
        <f ca="1">'forecast production'!AH278</f>
        <v>85.869866471188942</v>
      </c>
      <c r="I277" s="307">
        <f t="shared" ca="1" si="118"/>
        <v>1</v>
      </c>
      <c r="J277" s="306">
        <f t="shared" ca="1" si="119"/>
        <v>0.75</v>
      </c>
      <c r="K277" s="112">
        <f t="shared" ca="1" si="104"/>
        <v>59.666692262239422</v>
      </c>
      <c r="L277" s="98">
        <f t="shared" ca="1" si="105"/>
        <v>322.01199926695847</v>
      </c>
      <c r="M277" s="98">
        <f t="shared" ca="1" si="106"/>
        <v>3.8136048297360794E-2</v>
      </c>
      <c r="N277" s="98">
        <f t="shared" ca="1" si="107"/>
        <v>64.402399853391699</v>
      </c>
      <c r="O277" s="67">
        <f>assumptions!M281</f>
        <v>55</v>
      </c>
      <c r="P277" s="68">
        <f>assumptions!N281</f>
        <v>3</v>
      </c>
      <c r="Q277" s="68">
        <f>assumptions!O281</f>
        <v>22</v>
      </c>
      <c r="R277" s="67">
        <f t="shared" si="108"/>
        <v>52.5</v>
      </c>
      <c r="S277" s="68">
        <f t="shared" si="109"/>
        <v>2.3275000000000001</v>
      </c>
      <c r="T277" s="68">
        <f t="shared" si="110"/>
        <v>22</v>
      </c>
      <c r="U277" s="73">
        <f t="shared" ca="1" si="111"/>
        <v>3132.5013437675698</v>
      </c>
      <c r="V277" s="72">
        <f t="shared" ca="1" si="112"/>
        <v>749.48292829384593</v>
      </c>
      <c r="W277" s="72">
        <f t="shared" ca="1" si="113"/>
        <v>1416.8527967746174</v>
      </c>
      <c r="X277" s="72">
        <f t="shared" ca="1" si="120"/>
        <v>5298.8370688360328</v>
      </c>
      <c r="Y277" s="73">
        <f>mult_opex * fixed_month</f>
        <v>1000</v>
      </c>
      <c r="Z277" s="72">
        <f ca="1">mult_opex * fixed_well *D277</f>
        <v>5000</v>
      </c>
      <c r="AA277" s="72">
        <f ca="1">(Z277+Y277)*WI_current_1</f>
        <v>6000</v>
      </c>
      <c r="AB277" s="72">
        <f ca="1">mult_opex * var_bo*E277</f>
        <v>0</v>
      </c>
      <c r="AC277" s="72">
        <f ca="1">mult_opex * var_mcf*F277</f>
        <v>0</v>
      </c>
      <c r="AD277" s="72">
        <f ca="1">mult_opex * var_bw * G277</f>
        <v>0.10169612879296211</v>
      </c>
      <c r="AE277" s="72">
        <f ca="1">SUM(AB277:AD277)*WI_current_1</f>
        <v>0.10169612879296211</v>
      </c>
      <c r="AF277" s="73">
        <f ca="1">mult_capex * IFERROR(OFFSET(assumptions!$F$39,MATCH(B277,assumptions!$E$39:$E$45,0)-1,0),0)</f>
        <v>0</v>
      </c>
      <c r="AG277" s="75">
        <f ca="1">mult_capex * capex_new*WI_current_1 *'forecast production'!I278</f>
        <v>0</v>
      </c>
      <c r="AH277" s="146">
        <f t="shared" ca="1" si="121"/>
        <v>0</v>
      </c>
      <c r="AI277" s="73">
        <f t="shared" ca="1" si="114"/>
        <v>306.57024119344294</v>
      </c>
      <c r="AJ277" s="72">
        <f t="shared" ca="1" si="115"/>
        <v>132.47092672090082</v>
      </c>
      <c r="AK277" s="72">
        <f t="shared" ca="1" si="122"/>
        <v>439.04116791434376</v>
      </c>
      <c r="AL277" s="73">
        <f t="shared" ca="1" si="116"/>
        <v>-1140.305795207104</v>
      </c>
      <c r="AM277" s="132">
        <f ca="1">IF(X277*(lease_NRI/J277)  - (Z277+Y277+AB277+AC277+AD277)  - (AK277)*(lease_NRI/J277)&gt;0,1,0)</f>
        <v>0</v>
      </c>
      <c r="AN277" s="73">
        <f t="shared" ca="1" si="123"/>
        <v>0</v>
      </c>
      <c r="AO277" s="75">
        <f t="shared" ca="1" si="128"/>
        <v>2329073.2544940379</v>
      </c>
      <c r="AP277" s="72">
        <f ca="1">AL277  /  ( 1 + disc_1/12)^(COUNT($AL$6:AL277)-1)</f>
        <v>-120.31053405729865</v>
      </c>
      <c r="AQ277" s="72">
        <f t="shared" ca="1" si="129"/>
        <v>1563458.398389671</v>
      </c>
      <c r="AS277" s="303">
        <f t="shared" ca="1" si="124"/>
        <v>1</v>
      </c>
      <c r="AT277" s="300">
        <f ca="1">IFERROR(IRR($AN$6:AN277)*12,0)</f>
        <v>0</v>
      </c>
      <c r="AU277" s="297">
        <f t="shared" ca="1" si="125"/>
        <v>0</v>
      </c>
      <c r="AV277" s="303">
        <f t="shared" ca="1" si="126"/>
        <v>0</v>
      </c>
    </row>
    <row r="278" spans="2:48" x14ac:dyDescent="0.25">
      <c r="B278" s="43">
        <f t="shared" si="127"/>
        <v>52475</v>
      </c>
      <c r="C278" s="79">
        <f t="shared" si="117"/>
        <v>2043</v>
      </c>
      <c r="D278" s="64">
        <f ca="1">wellcount_base  +  SUM('forecast production'!I$7:I279)</f>
        <v>1</v>
      </c>
      <c r="E278" s="110">
        <f ca="1">'forecast production'!AE279</f>
        <v>76.44598936325923</v>
      </c>
      <c r="F278" s="98">
        <f ca="1">'forecast production'!AF279</f>
        <v>551.09541463065773</v>
      </c>
      <c r="G278" s="98">
        <f ca="1">'forecast production'!AG279</f>
        <v>4.752752780441797E-2</v>
      </c>
      <c r="H278" s="98">
        <f ca="1">'forecast production'!AH279</f>
        <v>82.664312194598665</v>
      </c>
      <c r="I278" s="307">
        <f t="shared" ca="1" si="118"/>
        <v>1</v>
      </c>
      <c r="J278" s="306">
        <f t="shared" ca="1" si="119"/>
        <v>0.75</v>
      </c>
      <c r="K278" s="112">
        <f t="shared" ca="1" si="104"/>
        <v>57.334492022444422</v>
      </c>
      <c r="L278" s="98">
        <f t="shared" ca="1" si="105"/>
        <v>309.99117072974502</v>
      </c>
      <c r="M278" s="98">
        <f t="shared" ca="1" si="106"/>
        <v>3.5645645853313479E-2</v>
      </c>
      <c r="N278" s="98">
        <f t="shared" ca="1" si="107"/>
        <v>61.998234145948999</v>
      </c>
      <c r="O278" s="67">
        <f>assumptions!M282</f>
        <v>55</v>
      </c>
      <c r="P278" s="68">
        <f>assumptions!N282</f>
        <v>3</v>
      </c>
      <c r="Q278" s="68">
        <f>assumptions!O282</f>
        <v>22</v>
      </c>
      <c r="R278" s="67">
        <f t="shared" si="108"/>
        <v>52.5</v>
      </c>
      <c r="S278" s="68">
        <f t="shared" si="109"/>
        <v>2.3275000000000001</v>
      </c>
      <c r="T278" s="68">
        <f t="shared" si="110"/>
        <v>22</v>
      </c>
      <c r="U278" s="73">
        <f t="shared" ca="1" si="111"/>
        <v>3010.0608311783321</v>
      </c>
      <c r="V278" s="72">
        <f t="shared" ca="1" si="112"/>
        <v>721.50444987348158</v>
      </c>
      <c r="W278" s="72">
        <f t="shared" ca="1" si="113"/>
        <v>1363.9611512108779</v>
      </c>
      <c r="X278" s="72">
        <f t="shared" ca="1" si="120"/>
        <v>5095.5264322626917</v>
      </c>
      <c r="Y278" s="73">
        <f>mult_opex * fixed_month</f>
        <v>1000</v>
      </c>
      <c r="Z278" s="72">
        <f ca="1">mult_opex * fixed_well *D278</f>
        <v>5000</v>
      </c>
      <c r="AA278" s="72">
        <f ca="1">(Z278+Y278)*WI_current_1</f>
        <v>6000</v>
      </c>
      <c r="AB278" s="72">
        <f ca="1">mult_opex * var_bo*E278</f>
        <v>0</v>
      </c>
      <c r="AC278" s="72">
        <f ca="1">mult_opex * var_mcf*F278</f>
        <v>0</v>
      </c>
      <c r="AD278" s="72">
        <f ca="1">mult_opex * var_bw * G278</f>
        <v>9.5055055608835939E-2</v>
      </c>
      <c r="AE278" s="72">
        <f ca="1">SUM(AB278:AD278)*WI_current_1</f>
        <v>9.5055055608835939E-2</v>
      </c>
      <c r="AF278" s="73">
        <f ca="1">mult_capex * IFERROR(OFFSET(assumptions!$F$39,MATCH(B278,assumptions!$E$39:$E$45,0)-1,0),0)</f>
        <v>0</v>
      </c>
      <c r="AG278" s="75">
        <f ca="1">mult_capex * capex_new*WI_current_1 *'forecast production'!I279</f>
        <v>0</v>
      </c>
      <c r="AH278" s="146">
        <f t="shared" ca="1" si="121"/>
        <v>0</v>
      </c>
      <c r="AI278" s="73">
        <f t="shared" ca="1" si="114"/>
        <v>294.87271831553022</v>
      </c>
      <c r="AJ278" s="72">
        <f t="shared" ca="1" si="115"/>
        <v>127.3881608065673</v>
      </c>
      <c r="AK278" s="72">
        <f t="shared" ca="1" si="122"/>
        <v>422.26087912209755</v>
      </c>
      <c r="AL278" s="73">
        <f t="shared" ca="1" si="116"/>
        <v>-1326.8295019150146</v>
      </c>
      <c r="AM278" s="132">
        <f ca="1">IF(X278*(lease_NRI/J278)  - (Z278+Y278+AB278+AC278+AD278)  - (AK278)*(lease_NRI/J278)&gt;0,1,0)</f>
        <v>0</v>
      </c>
      <c r="AN278" s="73">
        <f t="shared" ca="1" si="123"/>
        <v>0</v>
      </c>
      <c r="AO278" s="75">
        <f t="shared" ca="1" si="128"/>
        <v>2329073.2544940379</v>
      </c>
      <c r="AP278" s="72">
        <f ca="1">AL278  /  ( 1 + disc_1/12)^(COUNT($AL$6:AL278)-1)</f>
        <v>-138.83319501090926</v>
      </c>
      <c r="AQ278" s="72">
        <f t="shared" ca="1" si="129"/>
        <v>1563458.398389671</v>
      </c>
      <c r="AS278" s="303">
        <f t="shared" ca="1" si="124"/>
        <v>1</v>
      </c>
      <c r="AT278" s="300">
        <f ca="1">IFERROR(IRR($AN$6:AN278)*12,0)</f>
        <v>0</v>
      </c>
      <c r="AU278" s="297">
        <f t="shared" ca="1" si="125"/>
        <v>0</v>
      </c>
      <c r="AV278" s="303">
        <f t="shared" ca="1" si="126"/>
        <v>0</v>
      </c>
    </row>
    <row r="279" spans="2:48" x14ac:dyDescent="0.25">
      <c r="B279" s="43">
        <f t="shared" si="127"/>
        <v>52505</v>
      </c>
      <c r="C279" s="79">
        <f t="shared" si="117"/>
        <v>2043</v>
      </c>
      <c r="D279" s="64">
        <f ca="1">wellcount_base  +  SUM('forecast production'!I$7:I280)</f>
        <v>1</v>
      </c>
      <c r="E279" s="110">
        <f ca="1">'forecast production'!AE280</f>
        <v>78.454670330599328</v>
      </c>
      <c r="F279" s="98">
        <f ca="1">'forecast production'!AF280</f>
        <v>566.57651280119501</v>
      </c>
      <c r="G279" s="98">
        <f ca="1">'forecast production'!AG280</f>
        <v>4.7488246258932554E-2</v>
      </c>
      <c r="H279" s="98">
        <f ca="1">'forecast production'!AH280</f>
        <v>84.986476920179257</v>
      </c>
      <c r="I279" s="307">
        <f t="shared" ca="1" si="118"/>
        <v>1</v>
      </c>
      <c r="J279" s="306">
        <f t="shared" ca="1" si="119"/>
        <v>0.75</v>
      </c>
      <c r="K279" s="112">
        <f t="shared" ca="1" si="104"/>
        <v>58.841002747949496</v>
      </c>
      <c r="L279" s="98">
        <f t="shared" ca="1" si="105"/>
        <v>318.69928845067221</v>
      </c>
      <c r="M279" s="98">
        <f t="shared" ca="1" si="106"/>
        <v>3.5616184694199415E-2</v>
      </c>
      <c r="N279" s="98">
        <f t="shared" ca="1" si="107"/>
        <v>63.739857690134443</v>
      </c>
      <c r="O279" s="67">
        <f>assumptions!M283</f>
        <v>55</v>
      </c>
      <c r="P279" s="68">
        <f>assumptions!N283</f>
        <v>3</v>
      </c>
      <c r="Q279" s="68">
        <f>assumptions!O283</f>
        <v>22</v>
      </c>
      <c r="R279" s="67">
        <f t="shared" si="108"/>
        <v>52.5</v>
      </c>
      <c r="S279" s="68">
        <f t="shared" si="109"/>
        <v>2.3275000000000001</v>
      </c>
      <c r="T279" s="68">
        <f t="shared" si="110"/>
        <v>22</v>
      </c>
      <c r="U279" s="73">
        <f t="shared" ca="1" si="111"/>
        <v>3089.1526442673485</v>
      </c>
      <c r="V279" s="72">
        <f t="shared" ca="1" si="112"/>
        <v>741.77259386893957</v>
      </c>
      <c r="W279" s="72">
        <f t="shared" ca="1" si="113"/>
        <v>1402.2768691829579</v>
      </c>
      <c r="X279" s="72">
        <f t="shared" ca="1" si="120"/>
        <v>5233.2021073192464</v>
      </c>
      <c r="Y279" s="73">
        <f>mult_opex * fixed_month</f>
        <v>1000</v>
      </c>
      <c r="Z279" s="72">
        <f ca="1">mult_opex * fixed_well *D279</f>
        <v>5000</v>
      </c>
      <c r="AA279" s="72">
        <f ca="1">(Z279+Y279)*WI_current_1</f>
        <v>6000</v>
      </c>
      <c r="AB279" s="72">
        <f ca="1">mult_opex * var_bo*E279</f>
        <v>0</v>
      </c>
      <c r="AC279" s="72">
        <f ca="1">mult_opex * var_mcf*F279</f>
        <v>0</v>
      </c>
      <c r="AD279" s="72">
        <f ca="1">mult_opex * var_bw * G279</f>
        <v>9.4976492517865108E-2</v>
      </c>
      <c r="AE279" s="72">
        <f ca="1">SUM(AB279:AD279)*WI_current_1</f>
        <v>9.4976492517865108E-2</v>
      </c>
      <c r="AF279" s="73">
        <f ca="1">mult_capex * IFERROR(OFFSET(assumptions!$F$39,MATCH(B279,assumptions!$E$39:$E$45,0)-1,0),0)</f>
        <v>0</v>
      </c>
      <c r="AG279" s="75">
        <f ca="1">mult_capex * capex_new*WI_current_1 *'forecast production'!I280</f>
        <v>0</v>
      </c>
      <c r="AH279" s="146">
        <f t="shared" ca="1" si="121"/>
        <v>0</v>
      </c>
      <c r="AI279" s="73">
        <f t="shared" ca="1" si="114"/>
        <v>302.90473136519029</v>
      </c>
      <c r="AJ279" s="72">
        <f t="shared" ca="1" si="115"/>
        <v>130.83005268298118</v>
      </c>
      <c r="AK279" s="72">
        <f t="shared" ca="1" si="122"/>
        <v>433.73478404817149</v>
      </c>
      <c r="AL279" s="73">
        <f t="shared" ca="1" si="116"/>
        <v>-1200.6276532214433</v>
      </c>
      <c r="AM279" s="132">
        <f ca="1">IF(X279*(lease_NRI/J279)  - (Z279+Y279+AB279+AC279+AD279)  - (AK279)*(lease_NRI/J279)&gt;0,1,0)</f>
        <v>0</v>
      </c>
      <c r="AN279" s="73">
        <f t="shared" ca="1" si="123"/>
        <v>0</v>
      </c>
      <c r="AO279" s="75">
        <f t="shared" ca="1" si="128"/>
        <v>2329073.2544940379</v>
      </c>
      <c r="AP279" s="72">
        <f ca="1">AL279  /  ( 1 + disc_1/12)^(COUNT($AL$6:AL279)-1)</f>
        <v>-124.58977930953722</v>
      </c>
      <c r="AQ279" s="72">
        <f t="shared" ca="1" si="129"/>
        <v>1563458.398389671</v>
      </c>
      <c r="AS279" s="303">
        <f t="shared" ca="1" si="124"/>
        <v>1</v>
      </c>
      <c r="AT279" s="300">
        <f ca="1">IFERROR(IRR($AN$6:AN279)*12,0)</f>
        <v>0</v>
      </c>
      <c r="AU279" s="297">
        <f t="shared" ca="1" si="125"/>
        <v>0</v>
      </c>
      <c r="AV279" s="303">
        <f t="shared" ca="1" si="126"/>
        <v>0</v>
      </c>
    </row>
    <row r="280" spans="2:48" x14ac:dyDescent="0.25">
      <c r="B280" s="43">
        <f t="shared" si="127"/>
        <v>52536</v>
      </c>
      <c r="C280" s="79">
        <f t="shared" si="117"/>
        <v>2043</v>
      </c>
      <c r="D280" s="64">
        <f ca="1">wellcount_base  +  SUM('forecast production'!I$7:I281)</f>
        <v>1</v>
      </c>
      <c r="E280" s="110">
        <f ca="1">'forecast production'!AE281</f>
        <v>75.388101797624728</v>
      </c>
      <c r="F280" s="98">
        <f ca="1">'forecast production'!AF281</f>
        <v>545.42599937591967</v>
      </c>
      <c r="G280" s="98">
        <f ca="1">'forecast production'!AG281</f>
        <v>4.4387643202669656E-2</v>
      </c>
      <c r="H280" s="98">
        <f ca="1">'forecast production'!AH281</f>
        <v>81.81389990638796</v>
      </c>
      <c r="I280" s="307">
        <f t="shared" ca="1" si="118"/>
        <v>1</v>
      </c>
      <c r="J280" s="306">
        <f t="shared" ca="1" si="119"/>
        <v>0.75</v>
      </c>
      <c r="K280" s="112">
        <f t="shared" ca="1" si="104"/>
        <v>56.541076348218546</v>
      </c>
      <c r="L280" s="98">
        <f t="shared" ca="1" si="105"/>
        <v>306.80212464895482</v>
      </c>
      <c r="M280" s="98">
        <f t="shared" ca="1" si="106"/>
        <v>3.329073240200224E-2</v>
      </c>
      <c r="N280" s="98">
        <f t="shared" ca="1" si="107"/>
        <v>61.360424929790966</v>
      </c>
      <c r="O280" s="67">
        <f>assumptions!M284</f>
        <v>55</v>
      </c>
      <c r="P280" s="68">
        <f>assumptions!N284</f>
        <v>3</v>
      </c>
      <c r="Q280" s="68">
        <f>assumptions!O284</f>
        <v>22</v>
      </c>
      <c r="R280" s="67">
        <f t="shared" si="108"/>
        <v>52.5</v>
      </c>
      <c r="S280" s="68">
        <f t="shared" si="109"/>
        <v>2.3275000000000001</v>
      </c>
      <c r="T280" s="68">
        <f t="shared" si="110"/>
        <v>22</v>
      </c>
      <c r="U280" s="73">
        <f t="shared" ca="1" si="111"/>
        <v>2968.4065082814736</v>
      </c>
      <c r="V280" s="72">
        <f t="shared" ca="1" si="112"/>
        <v>714.08194512044236</v>
      </c>
      <c r="W280" s="72">
        <f t="shared" ca="1" si="113"/>
        <v>1349.9293484554012</v>
      </c>
      <c r="X280" s="72">
        <f t="shared" ca="1" si="120"/>
        <v>5032.4178018573175</v>
      </c>
      <c r="Y280" s="73">
        <f>mult_opex * fixed_month</f>
        <v>1000</v>
      </c>
      <c r="Z280" s="72">
        <f ca="1">mult_opex * fixed_well *D280</f>
        <v>5000</v>
      </c>
      <c r="AA280" s="72">
        <f ca="1">(Z280+Y280)*WI_current_1</f>
        <v>6000</v>
      </c>
      <c r="AB280" s="72">
        <f ca="1">mult_opex * var_bo*E280</f>
        <v>0</v>
      </c>
      <c r="AC280" s="72">
        <f ca="1">mult_opex * var_mcf*F280</f>
        <v>0</v>
      </c>
      <c r="AD280" s="72">
        <f ca="1">mult_opex * var_bw * G280</f>
        <v>8.8775286405339313E-2</v>
      </c>
      <c r="AE280" s="72">
        <f ca="1">SUM(AB280:AD280)*WI_current_1</f>
        <v>8.8775286405339313E-2</v>
      </c>
      <c r="AF280" s="73">
        <f ca="1">mult_capex * IFERROR(OFFSET(assumptions!$F$39,MATCH(B280,assumptions!$E$39:$E$45,0)-1,0),0)</f>
        <v>0</v>
      </c>
      <c r="AG280" s="75">
        <f ca="1">mult_capex * capex_new*WI_current_1 *'forecast production'!I281</f>
        <v>0</v>
      </c>
      <c r="AH280" s="146">
        <f t="shared" ca="1" si="121"/>
        <v>0</v>
      </c>
      <c r="AI280" s="73">
        <f t="shared" ca="1" si="114"/>
        <v>291.34754639913604</v>
      </c>
      <c r="AJ280" s="72">
        <f t="shared" ca="1" si="115"/>
        <v>125.81044504643295</v>
      </c>
      <c r="AK280" s="72">
        <f t="shared" ca="1" si="122"/>
        <v>417.157991445569</v>
      </c>
      <c r="AL280" s="73">
        <f t="shared" ca="1" si="116"/>
        <v>-1384.8289648746568</v>
      </c>
      <c r="AM280" s="132">
        <f ca="1">IF(X280*(lease_NRI/J280)  - (Z280+Y280+AB280+AC280+AD280)  - (AK280)*(lease_NRI/J280)&gt;0,1,0)</f>
        <v>0</v>
      </c>
      <c r="AN280" s="73">
        <f t="shared" ca="1" si="123"/>
        <v>0</v>
      </c>
      <c r="AO280" s="75">
        <f t="shared" ca="1" si="128"/>
        <v>2329073.2544940379</v>
      </c>
      <c r="AP280" s="72">
        <f ca="1">AL280  /  ( 1 + disc_1/12)^(COUNT($AL$6:AL280)-1)</f>
        <v>-142.51680872311235</v>
      </c>
      <c r="AQ280" s="72">
        <f t="shared" ca="1" si="129"/>
        <v>1563458.398389671</v>
      </c>
      <c r="AS280" s="303">
        <f t="shared" ca="1" si="124"/>
        <v>1</v>
      </c>
      <c r="AT280" s="300">
        <f ca="1">IFERROR(IRR($AN$6:AN280)*12,0)</f>
        <v>0</v>
      </c>
      <c r="AU280" s="297">
        <f t="shared" ca="1" si="125"/>
        <v>0</v>
      </c>
      <c r="AV280" s="303">
        <f t="shared" ca="1" si="126"/>
        <v>0</v>
      </c>
    </row>
    <row r="281" spans="2:48" x14ac:dyDescent="0.25">
      <c r="B281" s="44">
        <f t="shared" si="127"/>
        <v>52566</v>
      </c>
      <c r="C281" s="100">
        <f t="shared" si="117"/>
        <v>2043</v>
      </c>
      <c r="D281" s="65">
        <f ca="1">wellcount_base  +  SUM('forecast production'!I$7:I282)</f>
        <v>1</v>
      </c>
      <c r="E281" s="109">
        <f ca="1">'forecast production'!AE282</f>
        <v>77.368985902940082</v>
      </c>
      <c r="F281" s="101">
        <f ca="1">'forecast production'!AF282</f>
        <v>560.74783515414151</v>
      </c>
      <c r="G281" s="101">
        <f ca="1">'forecast production'!AG282</f>
        <v>4.4351466158270368E-2</v>
      </c>
      <c r="H281" s="102">
        <f ca="1">'forecast production'!AH282</f>
        <v>84.112175273121224</v>
      </c>
      <c r="I281" s="308">
        <f t="shared" ca="1" si="118"/>
        <v>1</v>
      </c>
      <c r="J281" s="309">
        <f t="shared" ca="1" si="119"/>
        <v>0.75</v>
      </c>
      <c r="K281" s="113">
        <f t="shared" ca="1" si="104"/>
        <v>58.026739427205058</v>
      </c>
      <c r="L281" s="102">
        <f t="shared" ca="1" si="105"/>
        <v>315.42065727420459</v>
      </c>
      <c r="M281" s="102">
        <f t="shared" ca="1" si="106"/>
        <v>3.3263599618702774E-2</v>
      </c>
      <c r="N281" s="102">
        <f t="shared" ca="1" si="107"/>
        <v>63.084131454840914</v>
      </c>
      <c r="O281" s="103">
        <f>assumptions!M285</f>
        <v>55</v>
      </c>
      <c r="P281" s="104">
        <f>assumptions!N285</f>
        <v>3</v>
      </c>
      <c r="Q281" s="104">
        <f>assumptions!O285</f>
        <v>22</v>
      </c>
      <c r="R281" s="103">
        <f t="shared" si="108"/>
        <v>52.5</v>
      </c>
      <c r="S281" s="104">
        <f t="shared" si="109"/>
        <v>2.3275000000000001</v>
      </c>
      <c r="T281" s="104">
        <f t="shared" si="110"/>
        <v>22</v>
      </c>
      <c r="U281" s="105">
        <f t="shared" ca="1" si="111"/>
        <v>3046.4038199282654</v>
      </c>
      <c r="V281" s="106">
        <f t="shared" ca="1" si="112"/>
        <v>734.14157980571122</v>
      </c>
      <c r="W281" s="106">
        <f t="shared" ca="1" si="113"/>
        <v>1387.8508920065001</v>
      </c>
      <c r="X281" s="106">
        <f t="shared" ca="1" si="120"/>
        <v>5168.396291740477</v>
      </c>
      <c r="Y281" s="105">
        <f>mult_opex * fixed_month</f>
        <v>1000</v>
      </c>
      <c r="Z281" s="106">
        <f ca="1">mult_opex * fixed_well *D281</f>
        <v>5000</v>
      </c>
      <c r="AA281" s="106">
        <f ca="1">(Z281+Y281)*WI_current_1</f>
        <v>6000</v>
      </c>
      <c r="AB281" s="106">
        <f ca="1">mult_opex * var_bo*E281</f>
        <v>0</v>
      </c>
      <c r="AC281" s="106">
        <f ca="1">mult_opex * var_mcf*F281</f>
        <v>0</v>
      </c>
      <c r="AD281" s="106">
        <f ca="1">mult_opex * var_bw * G281</f>
        <v>8.8702932316540736E-2</v>
      </c>
      <c r="AE281" s="106">
        <f ca="1">SUM(AB281:AD281)*WI_current_1</f>
        <v>8.8702932316540736E-2</v>
      </c>
      <c r="AF281" s="105">
        <f ca="1">mult_capex * IFERROR(OFFSET(assumptions!$F$39,MATCH(B281,assumptions!$E$39:$E$45,0)-1,0),0)</f>
        <v>0</v>
      </c>
      <c r="AG281" s="106">
        <f ca="1">mult_capex * capex_new*WI_current_1 *'forecast production'!I282</f>
        <v>0</v>
      </c>
      <c r="AH281" s="147">
        <f t="shared" ca="1" si="121"/>
        <v>0</v>
      </c>
      <c r="AI281" s="105">
        <f t="shared" ca="1" si="114"/>
        <v>299.28401110261603</v>
      </c>
      <c r="AJ281" s="106">
        <f t="shared" ca="1" si="115"/>
        <v>129.20990729351192</v>
      </c>
      <c r="AK281" s="106">
        <f t="shared" ca="1" si="122"/>
        <v>428.49391839612792</v>
      </c>
      <c r="AL281" s="105">
        <f t="shared" ca="1" si="116"/>
        <v>-1260.1863295879675</v>
      </c>
      <c r="AM281" s="133">
        <f ca="1">IF(X281*(lease_NRI/J281)  - (Z281+Y281+AB281+AC281+AD281)  - (AK281)*(lease_NRI/J281)&gt;0,1,0)</f>
        <v>0</v>
      </c>
      <c r="AN281" s="105">
        <f t="shared" ca="1" si="123"/>
        <v>0</v>
      </c>
      <c r="AO281" s="106">
        <f t="shared" ca="1" si="128"/>
        <v>2329073.2544940379</v>
      </c>
      <c r="AP281" s="106">
        <f ca="1">AL281  /  ( 1 + disc_1/12)^(COUNT($AL$6:AL281)-1)</f>
        <v>-128.61765590768368</v>
      </c>
      <c r="AQ281" s="106">
        <f t="shared" ca="1" si="129"/>
        <v>1563458.398389671</v>
      </c>
      <c r="AS281" s="304">
        <f t="shared" ca="1" si="124"/>
        <v>1</v>
      </c>
      <c r="AT281" s="301">
        <f ca="1">IFERROR(IRR($AN$6:AN281)*12,0)</f>
        <v>0</v>
      </c>
      <c r="AU281" s="298">
        <f t="shared" ca="1" si="125"/>
        <v>0</v>
      </c>
      <c r="AV281" s="304">
        <f t="shared" ca="1" si="126"/>
        <v>0</v>
      </c>
    </row>
    <row r="282" spans="2:48" x14ac:dyDescent="0.25">
      <c r="B282" s="43">
        <f t="shared" si="127"/>
        <v>52597</v>
      </c>
      <c r="C282" s="79">
        <f t="shared" si="117"/>
        <v>2044</v>
      </c>
      <c r="D282" s="64">
        <f ca="1">wellcount_base  +  SUM('forecast production'!I$7:I283)</f>
        <v>1</v>
      </c>
      <c r="E282" s="110">
        <f ca="1">'forecast production'!AE283</f>
        <v>76.823015456014687</v>
      </c>
      <c r="F282" s="98">
        <f ca="1">'forecast production'!AF283</f>
        <v>557.80873873008682</v>
      </c>
      <c r="G282" s="98">
        <f ca="1">'forecast production'!AG283</f>
        <v>4.283803366732087E-2</v>
      </c>
      <c r="H282" s="98">
        <f ca="1">'forecast production'!AH283</f>
        <v>83.671310809513031</v>
      </c>
      <c r="I282" s="307">
        <f t="shared" ca="1" si="118"/>
        <v>1</v>
      </c>
      <c r="J282" s="306">
        <f t="shared" ca="1" si="119"/>
        <v>0.75</v>
      </c>
      <c r="K282" s="112">
        <f t="shared" ca="1" si="104"/>
        <v>57.617261592011019</v>
      </c>
      <c r="L282" s="98">
        <f t="shared" ca="1" si="105"/>
        <v>313.76741553567382</v>
      </c>
      <c r="M282" s="98">
        <f t="shared" ca="1" si="106"/>
        <v>3.2128525250490654E-2</v>
      </c>
      <c r="N282" s="98">
        <f t="shared" ca="1" si="107"/>
        <v>62.75348310713477</v>
      </c>
      <c r="O282" s="67">
        <f>assumptions!M286</f>
        <v>55</v>
      </c>
      <c r="P282" s="68">
        <f>assumptions!N286</f>
        <v>3</v>
      </c>
      <c r="Q282" s="68">
        <f>assumptions!O286</f>
        <v>22</v>
      </c>
      <c r="R282" s="67">
        <f t="shared" si="108"/>
        <v>52.5</v>
      </c>
      <c r="S282" s="68">
        <f t="shared" si="109"/>
        <v>2.3275000000000001</v>
      </c>
      <c r="T282" s="68">
        <f t="shared" si="110"/>
        <v>22</v>
      </c>
      <c r="U282" s="73">
        <f t="shared" ca="1" si="111"/>
        <v>3024.9062335805784</v>
      </c>
      <c r="V282" s="72">
        <f t="shared" ca="1" si="112"/>
        <v>730.29365965928082</v>
      </c>
      <c r="W282" s="72">
        <f t="shared" ca="1" si="113"/>
        <v>1380.5766283569649</v>
      </c>
      <c r="X282" s="72">
        <f t="shared" ca="1" si="120"/>
        <v>5135.7765215968238</v>
      </c>
      <c r="Y282" s="73">
        <f>mult_opex * fixed_month</f>
        <v>1000</v>
      </c>
      <c r="Z282" s="72">
        <f ca="1">mult_opex * fixed_well *D282</f>
        <v>5000</v>
      </c>
      <c r="AA282" s="72">
        <f ca="1">(Z282+Y282)*WI_current_1</f>
        <v>6000</v>
      </c>
      <c r="AB282" s="72">
        <f ca="1">mult_opex * var_bo*E282</f>
        <v>0</v>
      </c>
      <c r="AC282" s="72">
        <f ca="1">mult_opex * var_mcf*F282</f>
        <v>0</v>
      </c>
      <c r="AD282" s="72">
        <f ca="1">mult_opex * var_bw * G282</f>
        <v>8.567606733464174E-2</v>
      </c>
      <c r="AE282" s="72">
        <f ca="1">SUM(AB282:AD282)*WI_current_1</f>
        <v>8.567606733464174E-2</v>
      </c>
      <c r="AF282" s="73">
        <f ca="1">mult_capex * IFERROR(OFFSET(assumptions!$F$39,MATCH(B282,assumptions!$E$39:$E$45,0)-1,0),0)</f>
        <v>0</v>
      </c>
      <c r="AG282" s="75">
        <f ca="1">mult_capex * capex_new*WI_current_1 *'forecast production'!I283</f>
        <v>0</v>
      </c>
      <c r="AH282" s="146">
        <f t="shared" ca="1" si="121"/>
        <v>0</v>
      </c>
      <c r="AI282" s="73">
        <f t="shared" ca="1" si="114"/>
        <v>297.46095834592501</v>
      </c>
      <c r="AJ282" s="72">
        <f t="shared" ca="1" si="115"/>
        <v>128.39441303992061</v>
      </c>
      <c r="AK282" s="72">
        <f t="shared" ca="1" si="122"/>
        <v>425.85537138584561</v>
      </c>
      <c r="AL282" s="73">
        <f t="shared" ca="1" si="116"/>
        <v>-1290.1645258563567</v>
      </c>
      <c r="AM282" s="132">
        <f ca="1">IF(X282*(lease_NRI/J282)  - (Z282+Y282+AB282+AC282+AD282)  - (AK282)*(lease_NRI/J282)&gt;0,1,0)</f>
        <v>0</v>
      </c>
      <c r="AN282" s="73">
        <f t="shared" ca="1" si="123"/>
        <v>0</v>
      </c>
      <c r="AO282" s="75">
        <f t="shared" ca="1" si="128"/>
        <v>2329073.2544940379</v>
      </c>
      <c r="AP282" s="72">
        <f ca="1">AL282  /  ( 1 + disc_1/12)^(COUNT($AL$6:AL282)-1)</f>
        <v>-130.58906074246036</v>
      </c>
      <c r="AQ282" s="72">
        <f t="shared" ca="1" si="129"/>
        <v>1563458.398389671</v>
      </c>
      <c r="AS282" s="303">
        <f t="shared" ca="1" si="124"/>
        <v>1</v>
      </c>
      <c r="AT282" s="300">
        <f ca="1">IFERROR(IRR($AN$6:AN282)*12,0)</f>
        <v>0</v>
      </c>
      <c r="AU282" s="297">
        <f t="shared" ca="1" si="125"/>
        <v>0</v>
      </c>
      <c r="AV282" s="303">
        <f t="shared" ca="1" si="126"/>
        <v>0</v>
      </c>
    </row>
    <row r="283" spans="2:48" x14ac:dyDescent="0.25">
      <c r="B283" s="43">
        <f t="shared" si="127"/>
        <v>52628</v>
      </c>
      <c r="C283" s="79">
        <f t="shared" si="117"/>
        <v>2044</v>
      </c>
      <c r="D283" s="64">
        <f ca="1">wellcount_base  +  SUM('forecast production'!I$7:I284)</f>
        <v>1</v>
      </c>
      <c r="E283" s="110">
        <f ca="1">'forecast production'!AE284</f>
        <v>71.359549521022743</v>
      </c>
      <c r="F283" s="98">
        <f ca="1">'forecast production'!AF284</f>
        <v>519.08601194156176</v>
      </c>
      <c r="G283" s="98">
        <f ca="1">'forecast production'!AG284</f>
        <v>3.8707043062920658E-2</v>
      </c>
      <c r="H283" s="98">
        <f ca="1">'forecast production'!AH284</f>
        <v>77.862901791234265</v>
      </c>
      <c r="I283" s="307">
        <f t="shared" ca="1" si="118"/>
        <v>1</v>
      </c>
      <c r="J283" s="306">
        <f t="shared" ca="1" si="119"/>
        <v>0.75</v>
      </c>
      <c r="K283" s="112">
        <f t="shared" ca="1" si="104"/>
        <v>53.519662140767053</v>
      </c>
      <c r="L283" s="98">
        <f t="shared" ca="1" si="105"/>
        <v>291.98588171712851</v>
      </c>
      <c r="M283" s="98">
        <f t="shared" ca="1" si="106"/>
        <v>2.9030282297190492E-2</v>
      </c>
      <c r="N283" s="98">
        <f t="shared" ca="1" si="107"/>
        <v>58.397176343425699</v>
      </c>
      <c r="O283" s="67">
        <f>assumptions!M287</f>
        <v>55</v>
      </c>
      <c r="P283" s="68">
        <f>assumptions!N287</f>
        <v>3</v>
      </c>
      <c r="Q283" s="68">
        <f>assumptions!O287</f>
        <v>22</v>
      </c>
      <c r="R283" s="67">
        <f t="shared" si="108"/>
        <v>52.5</v>
      </c>
      <c r="S283" s="68">
        <f t="shared" si="109"/>
        <v>2.3275000000000001</v>
      </c>
      <c r="T283" s="68">
        <f t="shared" si="110"/>
        <v>22</v>
      </c>
      <c r="U283" s="73">
        <f t="shared" ca="1" si="111"/>
        <v>2809.7822623902703</v>
      </c>
      <c r="V283" s="72">
        <f t="shared" ca="1" si="112"/>
        <v>679.59713969661664</v>
      </c>
      <c r="W283" s="72">
        <f t="shared" ca="1" si="113"/>
        <v>1284.7378795553655</v>
      </c>
      <c r="X283" s="72">
        <f t="shared" ca="1" si="120"/>
        <v>4774.1172816422522</v>
      </c>
      <c r="Y283" s="73">
        <f>mult_opex * fixed_month</f>
        <v>1000</v>
      </c>
      <c r="Z283" s="72">
        <f ca="1">mult_opex * fixed_well *D283</f>
        <v>5000</v>
      </c>
      <c r="AA283" s="72">
        <f ca="1">(Z283+Y283)*WI_current_1</f>
        <v>6000</v>
      </c>
      <c r="AB283" s="72">
        <f ca="1">mult_opex * var_bo*E283</f>
        <v>0</v>
      </c>
      <c r="AC283" s="72">
        <f ca="1">mult_opex * var_mcf*F283</f>
        <v>0</v>
      </c>
      <c r="AD283" s="72">
        <f ca="1">mult_opex * var_bw * G283</f>
        <v>7.7414086125841317E-2</v>
      </c>
      <c r="AE283" s="72">
        <f ca="1">SUM(AB283:AD283)*WI_current_1</f>
        <v>7.7414086125841317E-2</v>
      </c>
      <c r="AF283" s="73">
        <f ca="1">mult_capex * IFERROR(OFFSET(assumptions!$F$39,MATCH(B283,assumptions!$E$39:$E$45,0)-1,0),0)</f>
        <v>0</v>
      </c>
      <c r="AG283" s="75">
        <f ca="1">mult_capex * capex_new*WI_current_1 *'forecast production'!I284</f>
        <v>0</v>
      </c>
      <c r="AH283" s="146">
        <f t="shared" ca="1" si="121"/>
        <v>0</v>
      </c>
      <c r="AI283" s="73">
        <f t="shared" ca="1" si="114"/>
        <v>276.57511051385109</v>
      </c>
      <c r="AJ283" s="72">
        <f t="shared" ca="1" si="115"/>
        <v>119.35293204105631</v>
      </c>
      <c r="AK283" s="72">
        <f t="shared" ca="1" si="122"/>
        <v>395.92804255490739</v>
      </c>
      <c r="AL283" s="73">
        <f t="shared" ca="1" si="116"/>
        <v>-1621.8881749987813</v>
      </c>
      <c r="AM283" s="132">
        <f ca="1">IF(X283*(lease_NRI/J283)  - (Z283+Y283+AB283+AC283+AD283)  - (AK283)*(lease_NRI/J283)&gt;0,1,0)</f>
        <v>0</v>
      </c>
      <c r="AN283" s="73">
        <f t="shared" ca="1" si="123"/>
        <v>0</v>
      </c>
      <c r="AO283" s="75">
        <f t="shared" ca="1" si="128"/>
        <v>2329073.2544940379</v>
      </c>
      <c r="AP283" s="72">
        <f ca="1">AL283  /  ( 1 + disc_1/12)^(COUNT($AL$6:AL283)-1)</f>
        <v>-162.80902855154741</v>
      </c>
      <c r="AQ283" s="72">
        <f t="shared" ca="1" si="129"/>
        <v>1563458.398389671</v>
      </c>
      <c r="AS283" s="303">
        <f t="shared" ca="1" si="124"/>
        <v>1</v>
      </c>
      <c r="AT283" s="300">
        <f ca="1">IFERROR(IRR($AN$6:AN283)*12,0)</f>
        <v>0</v>
      </c>
      <c r="AU283" s="297">
        <f t="shared" ca="1" si="125"/>
        <v>0</v>
      </c>
      <c r="AV283" s="303">
        <f t="shared" ca="1" si="126"/>
        <v>0</v>
      </c>
    </row>
    <row r="284" spans="2:48" x14ac:dyDescent="0.25">
      <c r="B284" s="43">
        <f t="shared" si="127"/>
        <v>52657</v>
      </c>
      <c r="C284" s="79">
        <f t="shared" si="117"/>
        <v>2044</v>
      </c>
      <c r="D284" s="64">
        <f ca="1">wellcount_base  +  SUM('forecast production'!I$7:I285)</f>
        <v>1</v>
      </c>
      <c r="E284" s="110">
        <f ca="1">'forecast production'!AE285</f>
        <v>75.77721924570919</v>
      </c>
      <c r="F284" s="98">
        <f ca="1">'forecast production'!AF285</f>
        <v>552.16385569233262</v>
      </c>
      <c r="G284" s="98">
        <f ca="1">'forecast production'!AG285</f>
        <v>4.0054642365551084E-2</v>
      </c>
      <c r="H284" s="98">
        <f ca="1">'forecast production'!AH285</f>
        <v>82.824578353849887</v>
      </c>
      <c r="I284" s="307">
        <f t="shared" ca="1" si="118"/>
        <v>1</v>
      </c>
      <c r="J284" s="306">
        <f t="shared" ca="1" si="119"/>
        <v>0.75</v>
      </c>
      <c r="K284" s="112">
        <f t="shared" ca="1" si="104"/>
        <v>56.832914434281889</v>
      </c>
      <c r="L284" s="98">
        <f t="shared" ca="1" si="105"/>
        <v>310.5921688269371</v>
      </c>
      <c r="M284" s="98">
        <f t="shared" ca="1" si="106"/>
        <v>3.0040981774163311E-2</v>
      </c>
      <c r="N284" s="98">
        <f t="shared" ca="1" si="107"/>
        <v>62.118433765387415</v>
      </c>
      <c r="O284" s="67">
        <f>assumptions!M288</f>
        <v>55</v>
      </c>
      <c r="P284" s="68">
        <f>assumptions!N288</f>
        <v>3</v>
      </c>
      <c r="Q284" s="68">
        <f>assumptions!O288</f>
        <v>22</v>
      </c>
      <c r="R284" s="67">
        <f t="shared" si="108"/>
        <v>52.5</v>
      </c>
      <c r="S284" s="68">
        <f t="shared" si="109"/>
        <v>2.3275000000000001</v>
      </c>
      <c r="T284" s="68">
        <f t="shared" si="110"/>
        <v>22</v>
      </c>
      <c r="U284" s="73">
        <f t="shared" ca="1" si="111"/>
        <v>2983.7280077997993</v>
      </c>
      <c r="V284" s="72">
        <f t="shared" ca="1" si="112"/>
        <v>722.90327294469614</v>
      </c>
      <c r="W284" s="72">
        <f t="shared" ca="1" si="113"/>
        <v>1366.6055428385232</v>
      </c>
      <c r="X284" s="72">
        <f t="shared" ca="1" si="120"/>
        <v>5073.236823583019</v>
      </c>
      <c r="Y284" s="73">
        <f>mult_opex * fixed_month</f>
        <v>1000</v>
      </c>
      <c r="Z284" s="72">
        <f ca="1">mult_opex * fixed_well *D284</f>
        <v>5000</v>
      </c>
      <c r="AA284" s="72">
        <f ca="1">(Z284+Y284)*WI_current_1</f>
        <v>6000</v>
      </c>
      <c r="AB284" s="72">
        <f ca="1">mult_opex * var_bo*E284</f>
        <v>0</v>
      </c>
      <c r="AC284" s="72">
        <f ca="1">mult_opex * var_mcf*F284</f>
        <v>0</v>
      </c>
      <c r="AD284" s="72">
        <f ca="1">mult_opex * var_bw * G284</f>
        <v>8.0109284731102168E-2</v>
      </c>
      <c r="AE284" s="72">
        <f ca="1">SUM(AB284:AD284)*WI_current_1</f>
        <v>8.0109284731102168E-2</v>
      </c>
      <c r="AF284" s="73">
        <f ca="1">mult_capex * IFERROR(OFFSET(assumptions!$F$39,MATCH(B284,assumptions!$E$39:$E$45,0)-1,0),0)</f>
        <v>0</v>
      </c>
      <c r="AG284" s="75">
        <f ca="1">mult_capex * capex_new*WI_current_1 *'forecast production'!I285</f>
        <v>0</v>
      </c>
      <c r="AH284" s="146">
        <f t="shared" ca="1" si="121"/>
        <v>0</v>
      </c>
      <c r="AI284" s="73">
        <f t="shared" ca="1" si="114"/>
        <v>293.96464954253224</v>
      </c>
      <c r="AJ284" s="72">
        <f t="shared" ca="1" si="115"/>
        <v>126.83092058957548</v>
      </c>
      <c r="AK284" s="72">
        <f t="shared" ca="1" si="122"/>
        <v>420.79557013210774</v>
      </c>
      <c r="AL284" s="73">
        <f t="shared" ca="1" si="116"/>
        <v>-1347.6388558338203</v>
      </c>
      <c r="AM284" s="132">
        <f ca="1">IF(X284*(lease_NRI/J284)  - (Z284+Y284+AB284+AC284+AD284)  - (AK284)*(lease_NRI/J284)&gt;0,1,0)</f>
        <v>0</v>
      </c>
      <c r="AN284" s="73">
        <f t="shared" ca="1" si="123"/>
        <v>0</v>
      </c>
      <c r="AO284" s="75">
        <f t="shared" ca="1" si="128"/>
        <v>2329073.2544940379</v>
      </c>
      <c r="AP284" s="72">
        <f ca="1">AL284  /  ( 1 + disc_1/12)^(COUNT($AL$6:AL284)-1)</f>
        <v>-134.16121341225008</v>
      </c>
      <c r="AQ284" s="72">
        <f t="shared" ca="1" si="129"/>
        <v>1563458.398389671</v>
      </c>
      <c r="AS284" s="303">
        <f t="shared" ca="1" si="124"/>
        <v>1</v>
      </c>
      <c r="AT284" s="300">
        <f ca="1">IFERROR(IRR($AN$6:AN284)*12,0)</f>
        <v>0</v>
      </c>
      <c r="AU284" s="297">
        <f t="shared" ca="1" si="125"/>
        <v>0</v>
      </c>
      <c r="AV284" s="303">
        <f t="shared" ca="1" si="126"/>
        <v>0</v>
      </c>
    </row>
    <row r="285" spans="2:48" x14ac:dyDescent="0.25">
      <c r="B285" s="43">
        <f t="shared" si="127"/>
        <v>52688</v>
      </c>
      <c r="C285" s="79">
        <f t="shared" si="117"/>
        <v>2044</v>
      </c>
      <c r="D285" s="64">
        <f ca="1">wellcount_base  +  SUM('forecast production'!I$7:I286)</f>
        <v>1</v>
      </c>
      <c r="E285" s="110">
        <f ca="1">'forecast production'!AE286</f>
        <v>72.815304613017474</v>
      </c>
      <c r="F285" s="98">
        <f ca="1">'forecast production'!AF286</f>
        <v>531.55137215496723</v>
      </c>
      <c r="G285" s="98">
        <f ca="1">'forecast production'!AG286</f>
        <v>3.7440500515196998E-2</v>
      </c>
      <c r="H285" s="98">
        <f ca="1">'forecast production'!AH286</f>
        <v>79.732705823245084</v>
      </c>
      <c r="I285" s="307">
        <f t="shared" ca="1" si="118"/>
        <v>1</v>
      </c>
      <c r="J285" s="306">
        <f t="shared" ca="1" si="119"/>
        <v>0.75</v>
      </c>
      <c r="K285" s="112">
        <f t="shared" ca="1" si="104"/>
        <v>54.611478459763106</v>
      </c>
      <c r="L285" s="98">
        <f t="shared" ca="1" si="105"/>
        <v>298.99764683716904</v>
      </c>
      <c r="M285" s="98">
        <f t="shared" ca="1" si="106"/>
        <v>2.8080375386397748E-2</v>
      </c>
      <c r="N285" s="98">
        <f t="shared" ca="1" si="107"/>
        <v>59.799529367433813</v>
      </c>
      <c r="O285" s="67">
        <f>assumptions!M289</f>
        <v>55</v>
      </c>
      <c r="P285" s="68">
        <f>assumptions!N289</f>
        <v>3</v>
      </c>
      <c r="Q285" s="68">
        <f>assumptions!O289</f>
        <v>22</v>
      </c>
      <c r="R285" s="67">
        <f t="shared" si="108"/>
        <v>52.5</v>
      </c>
      <c r="S285" s="68">
        <f t="shared" si="109"/>
        <v>2.3275000000000001</v>
      </c>
      <c r="T285" s="68">
        <f t="shared" si="110"/>
        <v>22</v>
      </c>
      <c r="U285" s="73">
        <f t="shared" ca="1" si="111"/>
        <v>2867.1026191375631</v>
      </c>
      <c r="V285" s="72">
        <f t="shared" ca="1" si="112"/>
        <v>695.91702301351097</v>
      </c>
      <c r="W285" s="72">
        <f t="shared" ca="1" si="113"/>
        <v>1315.5896460835438</v>
      </c>
      <c r="X285" s="72">
        <f t="shared" ca="1" si="120"/>
        <v>4878.6092882346184</v>
      </c>
      <c r="Y285" s="73">
        <f>mult_opex * fixed_month</f>
        <v>1000</v>
      </c>
      <c r="Z285" s="72">
        <f ca="1">mult_opex * fixed_well *D285</f>
        <v>5000</v>
      </c>
      <c r="AA285" s="72">
        <f ca="1">(Z285+Y285)*WI_current_1</f>
        <v>6000</v>
      </c>
      <c r="AB285" s="72">
        <f ca="1">mult_opex * var_bo*E285</f>
        <v>0</v>
      </c>
      <c r="AC285" s="72">
        <f ca="1">mult_opex * var_mcf*F285</f>
        <v>0</v>
      </c>
      <c r="AD285" s="72">
        <f ca="1">mult_opex * var_bw * G285</f>
        <v>7.4881001030393995E-2</v>
      </c>
      <c r="AE285" s="72">
        <f ca="1">SUM(AB285:AD285)*WI_current_1</f>
        <v>7.4881001030393995E-2</v>
      </c>
      <c r="AF285" s="73">
        <f ca="1">mult_capex * IFERROR(OFFSET(assumptions!$F$39,MATCH(B285,assumptions!$E$39:$E$45,0)-1,0),0)</f>
        <v>0</v>
      </c>
      <c r="AG285" s="75">
        <f ca="1">mult_capex * capex_new*WI_current_1 *'forecast production'!I286</f>
        <v>0</v>
      </c>
      <c r="AH285" s="146">
        <f t="shared" ca="1" si="121"/>
        <v>0</v>
      </c>
      <c r="AI285" s="73">
        <f t="shared" ca="1" si="114"/>
        <v>282.74972066260699</v>
      </c>
      <c r="AJ285" s="72">
        <f t="shared" ca="1" si="115"/>
        <v>121.96523220586546</v>
      </c>
      <c r="AK285" s="72">
        <f t="shared" ca="1" si="122"/>
        <v>404.71495286847244</v>
      </c>
      <c r="AL285" s="73">
        <f t="shared" ca="1" si="116"/>
        <v>-1526.1805456348839</v>
      </c>
      <c r="AM285" s="132">
        <f ca="1">IF(X285*(lease_NRI/J285)  - (Z285+Y285+AB285+AC285+AD285)  - (AK285)*(lease_NRI/J285)&gt;0,1,0)</f>
        <v>0</v>
      </c>
      <c r="AN285" s="73">
        <f t="shared" ca="1" si="123"/>
        <v>0</v>
      </c>
      <c r="AO285" s="75">
        <f t="shared" ca="1" si="128"/>
        <v>2329073.2544940379</v>
      </c>
      <c r="AP285" s="72">
        <f ca="1">AL285  /  ( 1 + disc_1/12)^(COUNT($AL$6:AL285)-1)</f>
        <v>-150.6798718798895</v>
      </c>
      <c r="AQ285" s="72">
        <f t="shared" ca="1" si="129"/>
        <v>1563458.398389671</v>
      </c>
      <c r="AS285" s="303">
        <f t="shared" ca="1" si="124"/>
        <v>1</v>
      </c>
      <c r="AT285" s="300">
        <f ca="1">IFERROR(IRR($AN$6:AN285)*12,0)</f>
        <v>0</v>
      </c>
      <c r="AU285" s="297">
        <f t="shared" ca="1" si="125"/>
        <v>0</v>
      </c>
      <c r="AV285" s="303">
        <f t="shared" ca="1" si="126"/>
        <v>0</v>
      </c>
    </row>
    <row r="286" spans="2:48" x14ac:dyDescent="0.25">
      <c r="B286" s="43">
        <f t="shared" si="127"/>
        <v>52718</v>
      </c>
      <c r="C286" s="79">
        <f t="shared" si="117"/>
        <v>2044</v>
      </c>
      <c r="D286" s="64">
        <f ca="1">wellcount_base  +  SUM('forecast production'!I$7:I287)</f>
        <v>1</v>
      </c>
      <c r="E286" s="110">
        <f ca="1">'forecast production'!AE287</f>
        <v>74.72858636560521</v>
      </c>
      <c r="F286" s="98">
        <f ca="1">'forecast production'!AF287</f>
        <v>546.483448809116</v>
      </c>
      <c r="G286" s="98">
        <f ca="1">'forecast production'!AG287</f>
        <v>3.7411054939035335E-2</v>
      </c>
      <c r="H286" s="98">
        <f ca="1">'forecast production'!AH287</f>
        <v>81.972517321367405</v>
      </c>
      <c r="I286" s="307">
        <f t="shared" ca="1" si="118"/>
        <v>1</v>
      </c>
      <c r="J286" s="306">
        <f t="shared" ca="1" si="119"/>
        <v>0.75</v>
      </c>
      <c r="K286" s="112">
        <f t="shared" ca="1" si="104"/>
        <v>56.046439774203904</v>
      </c>
      <c r="L286" s="98">
        <f t="shared" ca="1" si="105"/>
        <v>307.39693995512778</v>
      </c>
      <c r="M286" s="98">
        <f t="shared" ca="1" si="106"/>
        <v>2.8058291204276501E-2</v>
      </c>
      <c r="N286" s="98">
        <f t="shared" ca="1" si="107"/>
        <v>61.479387991025554</v>
      </c>
      <c r="O286" s="67">
        <f>assumptions!M290</f>
        <v>55</v>
      </c>
      <c r="P286" s="68">
        <f>assumptions!N290</f>
        <v>3</v>
      </c>
      <c r="Q286" s="68">
        <f>assumptions!O290</f>
        <v>22</v>
      </c>
      <c r="R286" s="67">
        <f t="shared" si="108"/>
        <v>52.5</v>
      </c>
      <c r="S286" s="68">
        <f t="shared" si="109"/>
        <v>2.3275000000000001</v>
      </c>
      <c r="T286" s="68">
        <f t="shared" si="110"/>
        <v>22</v>
      </c>
      <c r="U286" s="73">
        <f t="shared" ca="1" si="111"/>
        <v>2942.438088145705</v>
      </c>
      <c r="V286" s="72">
        <f t="shared" ca="1" si="112"/>
        <v>715.46637774555995</v>
      </c>
      <c r="W286" s="72">
        <f t="shared" ca="1" si="113"/>
        <v>1352.5465358025622</v>
      </c>
      <c r="X286" s="72">
        <f t="shared" ca="1" si="120"/>
        <v>5010.4510016938275</v>
      </c>
      <c r="Y286" s="73">
        <f>mult_opex * fixed_month</f>
        <v>1000</v>
      </c>
      <c r="Z286" s="72">
        <f ca="1">mult_opex * fixed_well *D286</f>
        <v>5000</v>
      </c>
      <c r="AA286" s="72">
        <f ca="1">(Z286+Y286)*WI_current_1</f>
        <v>6000</v>
      </c>
      <c r="AB286" s="72">
        <f ca="1">mult_opex * var_bo*E286</f>
        <v>0</v>
      </c>
      <c r="AC286" s="72">
        <f ca="1">mult_opex * var_mcf*F286</f>
        <v>0</v>
      </c>
      <c r="AD286" s="72">
        <f ca="1">mult_opex * var_bw * G286</f>
        <v>7.4822109878070669E-2</v>
      </c>
      <c r="AE286" s="72">
        <f ca="1">SUM(AB286:AD286)*WI_current_1</f>
        <v>7.4822109878070669E-2</v>
      </c>
      <c r="AF286" s="73">
        <f ca="1">mult_capex * IFERROR(OFFSET(assumptions!$F$39,MATCH(B286,assumptions!$E$39:$E$45,0)-1,0),0)</f>
        <v>0</v>
      </c>
      <c r="AG286" s="75">
        <f ca="1">mult_capex * capex_new*WI_current_1 *'forecast production'!I287</f>
        <v>0</v>
      </c>
      <c r="AH286" s="146">
        <f t="shared" ca="1" si="121"/>
        <v>0</v>
      </c>
      <c r="AI286" s="73">
        <f t="shared" ca="1" si="114"/>
        <v>290.45312057081162</v>
      </c>
      <c r="AJ286" s="72">
        <f t="shared" ca="1" si="115"/>
        <v>125.26127504234569</v>
      </c>
      <c r="AK286" s="72">
        <f t="shared" ca="1" si="122"/>
        <v>415.71439561315731</v>
      </c>
      <c r="AL286" s="73">
        <f t="shared" ca="1" si="116"/>
        <v>-1405.3382160292085</v>
      </c>
      <c r="AM286" s="132">
        <f ca="1">IF(X286*(lease_NRI/J286)  - (Z286+Y286+AB286+AC286+AD286)  - (AK286)*(lease_NRI/J286)&gt;0,1,0)</f>
        <v>0</v>
      </c>
      <c r="AN286" s="73">
        <f t="shared" ca="1" si="123"/>
        <v>0</v>
      </c>
      <c r="AO286" s="75">
        <f t="shared" ca="1" si="128"/>
        <v>2329073.2544940379</v>
      </c>
      <c r="AP286" s="72">
        <f ca="1">AL286  /  ( 1 + disc_1/12)^(COUNT($AL$6:AL286)-1)</f>
        <v>-137.60241659883022</v>
      </c>
      <c r="AQ286" s="72">
        <f t="shared" ca="1" si="129"/>
        <v>1563458.398389671</v>
      </c>
      <c r="AS286" s="303">
        <f t="shared" ca="1" si="124"/>
        <v>1</v>
      </c>
      <c r="AT286" s="300">
        <f ca="1">IFERROR(IRR($AN$6:AN286)*12,0)</f>
        <v>0</v>
      </c>
      <c r="AU286" s="297">
        <f t="shared" ca="1" si="125"/>
        <v>0</v>
      </c>
      <c r="AV286" s="303">
        <f t="shared" ca="1" si="126"/>
        <v>0</v>
      </c>
    </row>
    <row r="287" spans="2:48" x14ac:dyDescent="0.25">
      <c r="B287" s="43">
        <f t="shared" si="127"/>
        <v>52749</v>
      </c>
      <c r="C287" s="79">
        <f t="shared" si="117"/>
        <v>2044</v>
      </c>
      <c r="D287" s="64">
        <f ca="1">wellcount_base  +  SUM('forecast production'!I$7:I288)</f>
        <v>1</v>
      </c>
      <c r="E287" s="110">
        <f ca="1">'forecast production'!AE288</f>
        <v>71.807659791103234</v>
      </c>
      <c r="F287" s="98">
        <f ca="1">'forecast production'!AF288</f>
        <v>526.08301698820901</v>
      </c>
      <c r="G287" s="98">
        <f ca="1">'forecast production'!AG288</f>
        <v>3.4969859387561843E-2</v>
      </c>
      <c r="H287" s="98">
        <f ca="1">'forecast production'!AH288</f>
        <v>78.912452548231357</v>
      </c>
      <c r="I287" s="307">
        <f t="shared" ca="1" si="118"/>
        <v>1</v>
      </c>
      <c r="J287" s="306">
        <f t="shared" ca="1" si="119"/>
        <v>0.75</v>
      </c>
      <c r="K287" s="112">
        <f t="shared" ca="1" si="104"/>
        <v>53.855744843327429</v>
      </c>
      <c r="L287" s="98">
        <f t="shared" ca="1" si="105"/>
        <v>295.92169705586758</v>
      </c>
      <c r="M287" s="98">
        <f t="shared" ca="1" si="106"/>
        <v>2.6227394540671384E-2</v>
      </c>
      <c r="N287" s="98">
        <f t="shared" ca="1" si="107"/>
        <v>59.184339411173518</v>
      </c>
      <c r="O287" s="67">
        <f>assumptions!M291</f>
        <v>55</v>
      </c>
      <c r="P287" s="68">
        <f>assumptions!N291</f>
        <v>3</v>
      </c>
      <c r="Q287" s="68">
        <f>assumptions!O291</f>
        <v>22</v>
      </c>
      <c r="R287" s="67">
        <f t="shared" si="108"/>
        <v>52.5</v>
      </c>
      <c r="S287" s="68">
        <f t="shared" si="109"/>
        <v>2.3275000000000001</v>
      </c>
      <c r="T287" s="68">
        <f t="shared" si="110"/>
        <v>22</v>
      </c>
      <c r="U287" s="73">
        <f t="shared" ca="1" si="111"/>
        <v>2827.4266042746899</v>
      </c>
      <c r="V287" s="72">
        <f t="shared" ca="1" si="112"/>
        <v>688.75774989753188</v>
      </c>
      <c r="W287" s="72">
        <f t="shared" ca="1" si="113"/>
        <v>1302.0554670458173</v>
      </c>
      <c r="X287" s="72">
        <f t="shared" ca="1" si="120"/>
        <v>4818.2398212180397</v>
      </c>
      <c r="Y287" s="73">
        <f>mult_opex * fixed_month</f>
        <v>1000</v>
      </c>
      <c r="Z287" s="72">
        <f ca="1">mult_opex * fixed_well *D287</f>
        <v>5000</v>
      </c>
      <c r="AA287" s="72">
        <f ca="1">(Z287+Y287)*WI_current_1</f>
        <v>6000</v>
      </c>
      <c r="AB287" s="72">
        <f ca="1">mult_opex * var_bo*E287</f>
        <v>0</v>
      </c>
      <c r="AC287" s="72">
        <f ca="1">mult_opex * var_mcf*F287</f>
        <v>0</v>
      </c>
      <c r="AD287" s="72">
        <f ca="1">mult_opex * var_bw * G287</f>
        <v>6.9939718775123685E-2</v>
      </c>
      <c r="AE287" s="72">
        <f ca="1">SUM(AB287:AD287)*WI_current_1</f>
        <v>6.9939718775123685E-2</v>
      </c>
      <c r="AF287" s="73">
        <f ca="1">mult_capex * IFERROR(OFFSET(assumptions!$F$39,MATCH(B287,assumptions!$E$39:$E$45,0)-1,0),0)</f>
        <v>0</v>
      </c>
      <c r="AG287" s="75">
        <f ca="1">mult_capex * capex_new*WI_current_1 *'forecast production'!I288</f>
        <v>0</v>
      </c>
      <c r="AH287" s="146">
        <f t="shared" ca="1" si="121"/>
        <v>0</v>
      </c>
      <c r="AI287" s="73">
        <f t="shared" ca="1" si="114"/>
        <v>279.3726150673869</v>
      </c>
      <c r="AJ287" s="72">
        <f t="shared" ca="1" si="115"/>
        <v>120.45599553045099</v>
      </c>
      <c r="AK287" s="72">
        <f t="shared" ca="1" si="122"/>
        <v>399.82861059783789</v>
      </c>
      <c r="AL287" s="73">
        <f t="shared" ca="1" si="116"/>
        <v>-1581.6587290985735</v>
      </c>
      <c r="AM287" s="132">
        <f ca="1">IF(X287*(lease_NRI/J287)  - (Z287+Y287+AB287+AC287+AD287)  - (AK287)*(lease_NRI/J287)&gt;0,1,0)</f>
        <v>0</v>
      </c>
      <c r="AN287" s="73">
        <f t="shared" ca="1" si="123"/>
        <v>0</v>
      </c>
      <c r="AO287" s="75">
        <f t="shared" ca="1" si="128"/>
        <v>2329073.2544940379</v>
      </c>
      <c r="AP287" s="72">
        <f ca="1">AL287  /  ( 1 + disc_1/12)^(COUNT($AL$6:AL287)-1)</f>
        <v>-153.58678977569127</v>
      </c>
      <c r="AQ287" s="72">
        <f t="shared" ca="1" si="129"/>
        <v>1563458.398389671</v>
      </c>
      <c r="AS287" s="303">
        <f t="shared" ca="1" si="124"/>
        <v>1</v>
      </c>
      <c r="AT287" s="300">
        <f ca="1">IFERROR(IRR($AN$6:AN287)*12,0)</f>
        <v>0</v>
      </c>
      <c r="AU287" s="297">
        <f t="shared" ca="1" si="125"/>
        <v>0</v>
      </c>
      <c r="AV287" s="303">
        <f t="shared" ca="1" si="126"/>
        <v>0</v>
      </c>
    </row>
    <row r="288" spans="2:48" x14ac:dyDescent="0.25">
      <c r="B288" s="43">
        <f t="shared" si="127"/>
        <v>52779</v>
      </c>
      <c r="C288" s="79">
        <f t="shared" si="117"/>
        <v>2044</v>
      </c>
      <c r="D288" s="64">
        <f ca="1">wellcount_base  +  SUM('forecast production'!I$7:I289)</f>
        <v>1</v>
      </c>
      <c r="E288" s="110">
        <f ca="1">'forecast production'!AE289</f>
        <v>73.694464850898086</v>
      </c>
      <c r="F288" s="98">
        <f ca="1">'forecast production'!AF289</f>
        <v>540.86147932998927</v>
      </c>
      <c r="G288" s="98">
        <f ca="1">'forecast production'!AG289</f>
        <v>3.494275724682664E-2</v>
      </c>
      <c r="H288" s="98">
        <f ca="1">'forecast production'!AH289</f>
        <v>81.12922189949839</v>
      </c>
      <c r="I288" s="307">
        <f t="shared" ca="1" si="118"/>
        <v>1</v>
      </c>
      <c r="J288" s="306">
        <f t="shared" ca="1" si="119"/>
        <v>0.75</v>
      </c>
      <c r="K288" s="112">
        <f t="shared" ca="1" si="104"/>
        <v>55.270848638173561</v>
      </c>
      <c r="L288" s="98">
        <f t="shared" ca="1" si="105"/>
        <v>304.23458212311891</v>
      </c>
      <c r="M288" s="98">
        <f t="shared" ca="1" si="106"/>
        <v>2.6207067935119982E-2</v>
      </c>
      <c r="N288" s="98">
        <f t="shared" ca="1" si="107"/>
        <v>60.846916424623792</v>
      </c>
      <c r="O288" s="67">
        <f>assumptions!M292</f>
        <v>55</v>
      </c>
      <c r="P288" s="68">
        <f>assumptions!N292</f>
        <v>3</v>
      </c>
      <c r="Q288" s="68">
        <f>assumptions!O292</f>
        <v>22</v>
      </c>
      <c r="R288" s="67">
        <f t="shared" si="108"/>
        <v>52.5</v>
      </c>
      <c r="S288" s="68">
        <f t="shared" si="109"/>
        <v>2.3275000000000001</v>
      </c>
      <c r="T288" s="68">
        <f t="shared" si="110"/>
        <v>22</v>
      </c>
      <c r="U288" s="73">
        <f t="shared" ca="1" si="111"/>
        <v>2901.7195535041119</v>
      </c>
      <c r="V288" s="72">
        <f t="shared" ca="1" si="112"/>
        <v>708.10598989155926</v>
      </c>
      <c r="W288" s="72">
        <f t="shared" ca="1" si="113"/>
        <v>1338.6321613417235</v>
      </c>
      <c r="X288" s="72">
        <f t="shared" ca="1" si="120"/>
        <v>4948.457704737395</v>
      </c>
      <c r="Y288" s="73">
        <f>mult_opex * fixed_month</f>
        <v>1000</v>
      </c>
      <c r="Z288" s="72">
        <f ca="1">mult_opex * fixed_well *D288</f>
        <v>5000</v>
      </c>
      <c r="AA288" s="72">
        <f ca="1">(Z288+Y288)*WI_current_1</f>
        <v>6000</v>
      </c>
      <c r="AB288" s="72">
        <f ca="1">mult_opex * var_bo*E288</f>
        <v>0</v>
      </c>
      <c r="AC288" s="72">
        <f ca="1">mult_opex * var_mcf*F288</f>
        <v>0</v>
      </c>
      <c r="AD288" s="72">
        <f ca="1">mult_opex * var_bw * G288</f>
        <v>6.9885514493653281E-2</v>
      </c>
      <c r="AE288" s="72">
        <f ca="1">SUM(AB288:AD288)*WI_current_1</f>
        <v>6.9885514493653281E-2</v>
      </c>
      <c r="AF288" s="73">
        <f ca="1">mult_capex * IFERROR(OFFSET(assumptions!$F$39,MATCH(B288,assumptions!$E$39:$E$45,0)-1,0),0)</f>
        <v>0</v>
      </c>
      <c r="AG288" s="75">
        <f ca="1">mult_capex * capex_new*WI_current_1 *'forecast production'!I289</f>
        <v>0</v>
      </c>
      <c r="AH288" s="146">
        <f t="shared" ca="1" si="121"/>
        <v>0</v>
      </c>
      <c r="AI288" s="73">
        <f t="shared" ca="1" si="114"/>
        <v>286.98446080368535</v>
      </c>
      <c r="AJ288" s="72">
        <f t="shared" ca="1" si="115"/>
        <v>123.71144261843489</v>
      </c>
      <c r="AK288" s="72">
        <f t="shared" ca="1" si="122"/>
        <v>410.69590342212024</v>
      </c>
      <c r="AL288" s="73">
        <f t="shared" ca="1" si="116"/>
        <v>-1462.3080841992187</v>
      </c>
      <c r="AM288" s="132">
        <f ca="1">IF(X288*(lease_NRI/J288)  - (Z288+Y288+AB288+AC288+AD288)  - (AK288)*(lease_NRI/J288)&gt;0,1,0)</f>
        <v>0</v>
      </c>
      <c r="AN288" s="73">
        <f t="shared" ca="1" si="123"/>
        <v>0</v>
      </c>
      <c r="AO288" s="75">
        <f t="shared" ca="1" si="128"/>
        <v>2329073.2544940379</v>
      </c>
      <c r="AP288" s="72">
        <f ca="1">AL288  /  ( 1 + disc_1/12)^(COUNT($AL$6:AL288)-1)</f>
        <v>-140.82372800271776</v>
      </c>
      <c r="AQ288" s="72">
        <f t="shared" ca="1" si="129"/>
        <v>1563458.398389671</v>
      </c>
      <c r="AS288" s="303">
        <f t="shared" ca="1" si="124"/>
        <v>1</v>
      </c>
      <c r="AT288" s="300">
        <f ca="1">IFERROR(IRR($AN$6:AN288)*12,0)</f>
        <v>0</v>
      </c>
      <c r="AU288" s="297">
        <f t="shared" ca="1" si="125"/>
        <v>0</v>
      </c>
      <c r="AV288" s="303">
        <f t="shared" ca="1" si="126"/>
        <v>0</v>
      </c>
    </row>
    <row r="289" spans="2:48" x14ac:dyDescent="0.25">
      <c r="B289" s="43">
        <f t="shared" si="127"/>
        <v>52810</v>
      </c>
      <c r="C289" s="79">
        <f t="shared" si="117"/>
        <v>2044</v>
      </c>
      <c r="D289" s="64">
        <f ca="1">wellcount_base  +  SUM('forecast production'!I$7:I290)</f>
        <v>1</v>
      </c>
      <c r="E289" s="110">
        <f ca="1">'forecast production'!AE290</f>
        <v>73.174424431070847</v>
      </c>
      <c r="F289" s="98">
        <f ca="1">'forecast production'!AF290</f>
        <v>538.02661499320448</v>
      </c>
      <c r="G289" s="98">
        <f ca="1">'forecast production'!AG290</f>
        <v>3.3751780001194637E-2</v>
      </c>
      <c r="H289" s="98">
        <f ca="1">'forecast production'!AH290</f>
        <v>80.703992248980683</v>
      </c>
      <c r="I289" s="307">
        <f t="shared" ca="1" si="118"/>
        <v>1</v>
      </c>
      <c r="J289" s="306">
        <f t="shared" ca="1" si="119"/>
        <v>0.75</v>
      </c>
      <c r="K289" s="112">
        <f t="shared" ca="1" si="104"/>
        <v>54.880818323303131</v>
      </c>
      <c r="L289" s="98">
        <f t="shared" ca="1" si="105"/>
        <v>302.63997093367755</v>
      </c>
      <c r="M289" s="98">
        <f t="shared" ca="1" si="106"/>
        <v>2.5313835000895978E-2</v>
      </c>
      <c r="N289" s="98">
        <f t="shared" ca="1" si="107"/>
        <v>60.527994186735512</v>
      </c>
      <c r="O289" s="67">
        <f>assumptions!M293</f>
        <v>55</v>
      </c>
      <c r="P289" s="68">
        <f>assumptions!N293</f>
        <v>3</v>
      </c>
      <c r="Q289" s="68">
        <f>assumptions!O293</f>
        <v>22</v>
      </c>
      <c r="R289" s="67">
        <f t="shared" si="108"/>
        <v>52.5</v>
      </c>
      <c r="S289" s="68">
        <f t="shared" si="109"/>
        <v>2.3275000000000001</v>
      </c>
      <c r="T289" s="68">
        <f t="shared" si="110"/>
        <v>22</v>
      </c>
      <c r="U289" s="73">
        <f t="shared" ca="1" si="111"/>
        <v>2881.2429619734144</v>
      </c>
      <c r="V289" s="72">
        <f t="shared" ca="1" si="112"/>
        <v>704.39453234813448</v>
      </c>
      <c r="W289" s="72">
        <f t="shared" ca="1" si="113"/>
        <v>1331.6158721081813</v>
      </c>
      <c r="X289" s="72">
        <f t="shared" ca="1" si="120"/>
        <v>4917.2533664297298</v>
      </c>
      <c r="Y289" s="73">
        <f>mult_opex * fixed_month</f>
        <v>1000</v>
      </c>
      <c r="Z289" s="72">
        <f ca="1">mult_opex * fixed_well *D289</f>
        <v>5000</v>
      </c>
      <c r="AA289" s="72">
        <f ca="1">(Z289+Y289)*WI_current_1</f>
        <v>6000</v>
      </c>
      <c r="AB289" s="72">
        <f ca="1">mult_opex * var_bo*E289</f>
        <v>0</v>
      </c>
      <c r="AC289" s="72">
        <f ca="1">mult_opex * var_mcf*F289</f>
        <v>0</v>
      </c>
      <c r="AD289" s="72">
        <f ca="1">mult_opex * var_bw * G289</f>
        <v>6.7503560002389273E-2</v>
      </c>
      <c r="AE289" s="72">
        <f ca="1">SUM(AB289:AD289)*WI_current_1</f>
        <v>6.7503560002389273E-2</v>
      </c>
      <c r="AF289" s="73">
        <f ca="1">mult_capex * IFERROR(OFFSET(assumptions!$F$39,MATCH(B289,assumptions!$E$39:$E$45,0)-1,0),0)</f>
        <v>0</v>
      </c>
      <c r="AG289" s="75">
        <f ca="1">mult_capex * capex_new*WI_current_1 *'forecast production'!I290</f>
        <v>0</v>
      </c>
      <c r="AH289" s="146">
        <f t="shared" ca="1" si="121"/>
        <v>0</v>
      </c>
      <c r="AI289" s="73">
        <f t="shared" ca="1" si="114"/>
        <v>285.23795658500075</v>
      </c>
      <c r="AJ289" s="72">
        <f t="shared" ca="1" si="115"/>
        <v>122.93133416074325</v>
      </c>
      <c r="AK289" s="72">
        <f t="shared" ca="1" si="122"/>
        <v>408.16929074574398</v>
      </c>
      <c r="AL289" s="73">
        <f t="shared" ca="1" si="116"/>
        <v>-1490.9834278760163</v>
      </c>
      <c r="AM289" s="132">
        <f ca="1">IF(X289*(lease_NRI/J289)  - (Z289+Y289+AB289+AC289+AD289)  - (AK289)*(lease_NRI/J289)&gt;0,1,0)</f>
        <v>0</v>
      </c>
      <c r="AN289" s="73">
        <f t="shared" ca="1" si="123"/>
        <v>0</v>
      </c>
      <c r="AO289" s="75">
        <f t="shared" ca="1" si="128"/>
        <v>2329073.2544940379</v>
      </c>
      <c r="AP289" s="72">
        <f ca="1">AL289  /  ( 1 + disc_1/12)^(COUNT($AL$6:AL289)-1)</f>
        <v>-142.3985766329773</v>
      </c>
      <c r="AQ289" s="72">
        <f t="shared" ca="1" si="129"/>
        <v>1563458.398389671</v>
      </c>
      <c r="AS289" s="303">
        <f t="shared" ca="1" si="124"/>
        <v>1</v>
      </c>
      <c r="AT289" s="300">
        <f ca="1">IFERROR(IRR($AN$6:AN289)*12,0)</f>
        <v>0</v>
      </c>
      <c r="AU289" s="297">
        <f t="shared" ca="1" si="125"/>
        <v>0</v>
      </c>
      <c r="AV289" s="303">
        <f t="shared" ca="1" si="126"/>
        <v>0</v>
      </c>
    </row>
    <row r="290" spans="2:48" x14ac:dyDescent="0.25">
      <c r="B290" s="43">
        <f t="shared" si="127"/>
        <v>52841</v>
      </c>
      <c r="C290" s="79">
        <f t="shared" si="117"/>
        <v>2044</v>
      </c>
      <c r="D290" s="64">
        <f ca="1">wellcount_base  +  SUM('forecast production'!I$7:I291)</f>
        <v>1</v>
      </c>
      <c r="E290" s="110">
        <f ca="1">'forecast production'!AE291</f>
        <v>70.314245598717406</v>
      </c>
      <c r="F290" s="98">
        <f ca="1">'forecast production'!AF291</f>
        <v>517.94187994602089</v>
      </c>
      <c r="G290" s="98">
        <f ca="1">'forecast production'!AG291</f>
        <v>3.1549927373251664E-2</v>
      </c>
      <c r="H290" s="98">
        <f ca="1">'forecast production'!AH291</f>
        <v>77.691281991903153</v>
      </c>
      <c r="I290" s="307">
        <f t="shared" ca="1" si="118"/>
        <v>1</v>
      </c>
      <c r="J290" s="306">
        <f t="shared" ca="1" si="119"/>
        <v>0.75</v>
      </c>
      <c r="K290" s="112">
        <f t="shared" ca="1" si="104"/>
        <v>52.735684199038054</v>
      </c>
      <c r="L290" s="98">
        <f t="shared" ca="1" si="105"/>
        <v>291.34230746963675</v>
      </c>
      <c r="M290" s="98">
        <f t="shared" ca="1" si="106"/>
        <v>2.366244552993875E-2</v>
      </c>
      <c r="N290" s="98">
        <f t="shared" ca="1" si="107"/>
        <v>58.268461493927362</v>
      </c>
      <c r="O290" s="67">
        <f>assumptions!M294</f>
        <v>55</v>
      </c>
      <c r="P290" s="68">
        <f>assumptions!N294</f>
        <v>3</v>
      </c>
      <c r="Q290" s="68">
        <f>assumptions!O294</f>
        <v>22</v>
      </c>
      <c r="R290" s="67">
        <f t="shared" si="108"/>
        <v>52.5</v>
      </c>
      <c r="S290" s="68">
        <f t="shared" si="109"/>
        <v>2.3275000000000001</v>
      </c>
      <c r="T290" s="68">
        <f t="shared" si="110"/>
        <v>22</v>
      </c>
      <c r="U290" s="73">
        <f t="shared" ca="1" si="111"/>
        <v>2768.6234204494976</v>
      </c>
      <c r="V290" s="72">
        <f t="shared" ca="1" si="112"/>
        <v>678.09922063557963</v>
      </c>
      <c r="W290" s="72">
        <f t="shared" ca="1" si="113"/>
        <v>1281.906152866402</v>
      </c>
      <c r="X290" s="72">
        <f t="shared" ca="1" si="120"/>
        <v>4728.6287939514787</v>
      </c>
      <c r="Y290" s="73">
        <f>mult_opex * fixed_month</f>
        <v>1000</v>
      </c>
      <c r="Z290" s="72">
        <f ca="1">mult_opex * fixed_well *D290</f>
        <v>5000</v>
      </c>
      <c r="AA290" s="72">
        <f ca="1">(Z290+Y290)*WI_current_1</f>
        <v>6000</v>
      </c>
      <c r="AB290" s="72">
        <f ca="1">mult_opex * var_bo*E290</f>
        <v>0</v>
      </c>
      <c r="AC290" s="72">
        <f ca="1">mult_opex * var_mcf*F290</f>
        <v>0</v>
      </c>
      <c r="AD290" s="72">
        <f ca="1">mult_opex * var_bw * G290</f>
        <v>6.3099854746503328E-2</v>
      </c>
      <c r="AE290" s="72">
        <f ca="1">SUM(AB290:AD290)*WI_current_1</f>
        <v>6.3099854746503328E-2</v>
      </c>
      <c r="AF290" s="73">
        <f ca="1">mult_capex * IFERROR(OFFSET(assumptions!$F$39,MATCH(B290,assumptions!$E$39:$E$45,0)-1,0),0)</f>
        <v>0</v>
      </c>
      <c r="AG290" s="75">
        <f ca="1">mult_capex * capex_new*WI_current_1 *'forecast production'!I291</f>
        <v>0</v>
      </c>
      <c r="AH290" s="146">
        <f t="shared" ca="1" si="121"/>
        <v>0</v>
      </c>
      <c r="AI290" s="73">
        <f t="shared" ca="1" si="114"/>
        <v>274.3570803533255</v>
      </c>
      <c r="AJ290" s="72">
        <f t="shared" ca="1" si="115"/>
        <v>118.21571984878697</v>
      </c>
      <c r="AK290" s="72">
        <f t="shared" ca="1" si="122"/>
        <v>392.57280020211249</v>
      </c>
      <c r="AL290" s="73">
        <f t="shared" ca="1" si="116"/>
        <v>-1664.0071061053804</v>
      </c>
      <c r="AM290" s="132">
        <f ca="1">IF(X290*(lease_NRI/J290)  - (Z290+Y290+AB290+AC290+AD290)  - (AK290)*(lease_NRI/J290)&gt;0,1,0)</f>
        <v>0</v>
      </c>
      <c r="AN290" s="73">
        <f t="shared" ca="1" si="123"/>
        <v>0</v>
      </c>
      <c r="AO290" s="75">
        <f t="shared" ca="1" si="128"/>
        <v>2329073.2544940379</v>
      </c>
      <c r="AP290" s="72">
        <f ca="1">AL290  /  ( 1 + disc_1/12)^(COUNT($AL$6:AL290)-1)</f>
        <v>-157.61004181507519</v>
      </c>
      <c r="AQ290" s="72">
        <f t="shared" ca="1" si="129"/>
        <v>1563458.398389671</v>
      </c>
      <c r="AS290" s="303">
        <f t="shared" ca="1" si="124"/>
        <v>1</v>
      </c>
      <c r="AT290" s="300">
        <f ca="1">IFERROR(IRR($AN$6:AN290)*12,0)</f>
        <v>0</v>
      </c>
      <c r="AU290" s="297">
        <f t="shared" ca="1" si="125"/>
        <v>0</v>
      </c>
      <c r="AV290" s="303">
        <f t="shared" ca="1" si="126"/>
        <v>0</v>
      </c>
    </row>
    <row r="291" spans="2:48" x14ac:dyDescent="0.25">
      <c r="B291" s="43">
        <f t="shared" si="127"/>
        <v>52871</v>
      </c>
      <c r="C291" s="79">
        <f t="shared" si="117"/>
        <v>2044</v>
      </c>
      <c r="D291" s="64">
        <f ca="1">wellcount_base  +  SUM('forecast production'!I$7:I292)</f>
        <v>1</v>
      </c>
      <c r="E291" s="110">
        <f ca="1">'forecast production'!AE292</f>
        <v>72.161809977744227</v>
      </c>
      <c r="F291" s="98">
        <f ca="1">'forecast production'!AF292</f>
        <v>532.49164551692627</v>
      </c>
      <c r="G291" s="98">
        <f ca="1">'forecast production'!AG292</f>
        <v>3.1526020050060895E-2</v>
      </c>
      <c r="H291" s="98">
        <f ca="1">'forecast production'!AH292</f>
        <v>79.873746827538952</v>
      </c>
      <c r="I291" s="307">
        <f t="shared" ca="1" si="118"/>
        <v>1</v>
      </c>
      <c r="J291" s="306">
        <f t="shared" ca="1" si="119"/>
        <v>0.75</v>
      </c>
      <c r="K291" s="112">
        <f t="shared" ca="1" si="104"/>
        <v>54.121357483308174</v>
      </c>
      <c r="L291" s="98">
        <f t="shared" ca="1" si="105"/>
        <v>299.52655060327101</v>
      </c>
      <c r="M291" s="98">
        <f t="shared" ca="1" si="106"/>
        <v>2.3644515037545673E-2</v>
      </c>
      <c r="N291" s="98">
        <f t="shared" ca="1" si="107"/>
        <v>59.905310120654214</v>
      </c>
      <c r="O291" s="67">
        <f>assumptions!M295</f>
        <v>55</v>
      </c>
      <c r="P291" s="68">
        <f>assumptions!N295</f>
        <v>3</v>
      </c>
      <c r="Q291" s="68">
        <f>assumptions!O295</f>
        <v>22</v>
      </c>
      <c r="R291" s="67">
        <f t="shared" si="108"/>
        <v>52.5</v>
      </c>
      <c r="S291" s="68">
        <f t="shared" si="109"/>
        <v>2.3275000000000001</v>
      </c>
      <c r="T291" s="68">
        <f t="shared" si="110"/>
        <v>22</v>
      </c>
      <c r="U291" s="73">
        <f t="shared" ca="1" si="111"/>
        <v>2841.3712678736792</v>
      </c>
      <c r="V291" s="72">
        <f t="shared" ca="1" si="112"/>
        <v>697.14804652911334</v>
      </c>
      <c r="W291" s="72">
        <f t="shared" ca="1" si="113"/>
        <v>1317.9168226543927</v>
      </c>
      <c r="X291" s="72">
        <f t="shared" ca="1" si="120"/>
        <v>4856.4361370571851</v>
      </c>
      <c r="Y291" s="73">
        <f>mult_opex * fixed_month</f>
        <v>1000</v>
      </c>
      <c r="Z291" s="72">
        <f ca="1">mult_opex * fixed_well *D291</f>
        <v>5000</v>
      </c>
      <c r="AA291" s="72">
        <f ca="1">(Z291+Y291)*WI_current_1</f>
        <v>6000</v>
      </c>
      <c r="AB291" s="72">
        <f ca="1">mult_opex * var_bo*E291</f>
        <v>0</v>
      </c>
      <c r="AC291" s="72">
        <f ca="1">mult_opex * var_mcf*F291</f>
        <v>0</v>
      </c>
      <c r="AD291" s="72">
        <f ca="1">mult_opex * var_bw * G291</f>
        <v>6.305204010012179E-2</v>
      </c>
      <c r="AE291" s="72">
        <f ca="1">SUM(AB291:AD291)*WI_current_1</f>
        <v>6.305204010012179E-2</v>
      </c>
      <c r="AF291" s="73">
        <f ca="1">mult_capex * IFERROR(OFFSET(assumptions!$F$39,MATCH(B291,assumptions!$E$39:$E$45,0)-1,0),0)</f>
        <v>0</v>
      </c>
      <c r="AG291" s="75">
        <f ca="1">mult_capex * capex_new*WI_current_1 *'forecast production'!I292</f>
        <v>0</v>
      </c>
      <c r="AH291" s="146">
        <f t="shared" ca="1" si="121"/>
        <v>0</v>
      </c>
      <c r="AI291" s="73">
        <f t="shared" ca="1" si="114"/>
        <v>281.83294351095219</v>
      </c>
      <c r="AJ291" s="72">
        <f t="shared" ca="1" si="115"/>
        <v>121.41090342642963</v>
      </c>
      <c r="AK291" s="72">
        <f t="shared" ca="1" si="122"/>
        <v>403.24384693738182</v>
      </c>
      <c r="AL291" s="73">
        <f t="shared" ca="1" si="116"/>
        <v>-1546.8707619202969</v>
      </c>
      <c r="AM291" s="132">
        <f ca="1">IF(X291*(lease_NRI/J291)  - (Z291+Y291+AB291+AC291+AD291)  - (AK291)*(lease_NRI/J291)&gt;0,1,0)</f>
        <v>0</v>
      </c>
      <c r="AN291" s="73">
        <f t="shared" ca="1" si="123"/>
        <v>0</v>
      </c>
      <c r="AO291" s="75">
        <f t="shared" ca="1" si="128"/>
        <v>2329073.2544940379</v>
      </c>
      <c r="AP291" s="72">
        <f ca="1">AL291  /  ( 1 + disc_1/12)^(COUNT($AL$6:AL291)-1)</f>
        <v>-145.30434936200115</v>
      </c>
      <c r="AQ291" s="72">
        <f t="shared" ca="1" si="129"/>
        <v>1563458.398389671</v>
      </c>
      <c r="AS291" s="303">
        <f t="shared" ca="1" si="124"/>
        <v>1</v>
      </c>
      <c r="AT291" s="300">
        <f ca="1">IFERROR(IRR($AN$6:AN291)*12,0)</f>
        <v>0</v>
      </c>
      <c r="AU291" s="297">
        <f t="shared" ca="1" si="125"/>
        <v>0</v>
      </c>
      <c r="AV291" s="303">
        <f t="shared" ca="1" si="126"/>
        <v>0</v>
      </c>
    </row>
    <row r="292" spans="2:48" x14ac:dyDescent="0.25">
      <c r="B292" s="43">
        <f t="shared" si="127"/>
        <v>52902</v>
      </c>
      <c r="C292" s="79">
        <f t="shared" si="117"/>
        <v>2044</v>
      </c>
      <c r="D292" s="64">
        <f ca="1">wellcount_base  +  SUM('forecast production'!I$7:I293)</f>
        <v>1</v>
      </c>
      <c r="E292" s="110">
        <f ca="1">'forecast production'!AE293</f>
        <v>69.34121134635933</v>
      </c>
      <c r="F292" s="98">
        <f ca="1">'forecast production'!AF293</f>
        <v>512.61353295332879</v>
      </c>
      <c r="G292" s="98">
        <f ca="1">'forecast production'!AG293</f>
        <v>2.9469716952107615E-2</v>
      </c>
      <c r="H292" s="98">
        <f ca="1">'forecast production'!AH293</f>
        <v>76.892029942999315</v>
      </c>
      <c r="I292" s="307">
        <f t="shared" ca="1" si="118"/>
        <v>1</v>
      </c>
      <c r="J292" s="306">
        <f t="shared" ca="1" si="119"/>
        <v>0.75</v>
      </c>
      <c r="K292" s="112">
        <f t="shared" ca="1" si="104"/>
        <v>52.005908509769498</v>
      </c>
      <c r="L292" s="98">
        <f t="shared" ca="1" si="105"/>
        <v>288.34511228624746</v>
      </c>
      <c r="M292" s="98">
        <f t="shared" ca="1" si="106"/>
        <v>2.2102287714080709E-2</v>
      </c>
      <c r="N292" s="98">
        <f t="shared" ca="1" si="107"/>
        <v>57.669022457249483</v>
      </c>
      <c r="O292" s="67">
        <f>assumptions!M296</f>
        <v>55</v>
      </c>
      <c r="P292" s="68">
        <f>assumptions!N296</f>
        <v>3</v>
      </c>
      <c r="Q292" s="68">
        <f>assumptions!O296</f>
        <v>22</v>
      </c>
      <c r="R292" s="67">
        <f t="shared" si="108"/>
        <v>52.5</v>
      </c>
      <c r="S292" s="68">
        <f t="shared" si="109"/>
        <v>2.3275000000000001</v>
      </c>
      <c r="T292" s="68">
        <f t="shared" si="110"/>
        <v>22</v>
      </c>
      <c r="U292" s="73">
        <f t="shared" ca="1" si="111"/>
        <v>2730.3101967628986</v>
      </c>
      <c r="V292" s="72">
        <f t="shared" ca="1" si="112"/>
        <v>671.12324884624104</v>
      </c>
      <c r="W292" s="72">
        <f t="shared" ca="1" si="113"/>
        <v>1268.7184940594886</v>
      </c>
      <c r="X292" s="72">
        <f t="shared" ca="1" si="120"/>
        <v>4670.1519396686281</v>
      </c>
      <c r="Y292" s="73">
        <f>mult_opex * fixed_month</f>
        <v>1000</v>
      </c>
      <c r="Z292" s="72">
        <f ca="1">mult_opex * fixed_well *D292</f>
        <v>5000</v>
      </c>
      <c r="AA292" s="72">
        <f ca="1">(Z292+Y292)*WI_current_1</f>
        <v>6000</v>
      </c>
      <c r="AB292" s="72">
        <f ca="1">mult_opex * var_bo*E292</f>
        <v>0</v>
      </c>
      <c r="AC292" s="72">
        <f ca="1">mult_opex * var_mcf*F292</f>
        <v>0</v>
      </c>
      <c r="AD292" s="72">
        <f ca="1">mult_opex * var_bw * G292</f>
        <v>5.893943390421523E-2</v>
      </c>
      <c r="AE292" s="72">
        <f ca="1">SUM(AB292:AD292)*WI_current_1</f>
        <v>5.893943390421523E-2</v>
      </c>
      <c r="AF292" s="73">
        <f ca="1">mult_capex * IFERROR(OFFSET(assumptions!$F$39,MATCH(B292,assumptions!$E$39:$E$45,0)-1,0),0)</f>
        <v>0</v>
      </c>
      <c r="AG292" s="75">
        <f ca="1">mult_capex * capex_new*WI_current_1 *'forecast production'!I293</f>
        <v>0</v>
      </c>
      <c r="AH292" s="146">
        <f t="shared" ca="1" si="121"/>
        <v>0</v>
      </c>
      <c r="AI292" s="73">
        <f t="shared" ca="1" si="114"/>
        <v>271.08239976902303</v>
      </c>
      <c r="AJ292" s="72">
        <f t="shared" ca="1" si="115"/>
        <v>116.75379849171571</v>
      </c>
      <c r="AK292" s="72">
        <f t="shared" ca="1" si="122"/>
        <v>387.83619826073874</v>
      </c>
      <c r="AL292" s="73">
        <f t="shared" ca="1" si="116"/>
        <v>-1717.7431980260144</v>
      </c>
      <c r="AM292" s="132">
        <f ca="1">IF(X292*(lease_NRI/J292)  - (Z292+Y292+AB292+AC292+AD292)  - (AK292)*(lease_NRI/J292)&gt;0,1,0)</f>
        <v>0</v>
      </c>
      <c r="AN292" s="73">
        <f t="shared" ca="1" si="123"/>
        <v>0</v>
      </c>
      <c r="AO292" s="75">
        <f t="shared" ca="1" si="128"/>
        <v>2329073.2544940379</v>
      </c>
      <c r="AP292" s="72">
        <f ca="1">AL292  /  ( 1 + disc_1/12)^(COUNT($AL$6:AL292)-1)</f>
        <v>-160.02163247836847</v>
      </c>
      <c r="AQ292" s="72">
        <f t="shared" ca="1" si="129"/>
        <v>1563458.398389671</v>
      </c>
      <c r="AS292" s="303">
        <f t="shared" ca="1" si="124"/>
        <v>1</v>
      </c>
      <c r="AT292" s="300">
        <f ca="1">IFERROR(IRR($AN$6:AN292)*12,0)</f>
        <v>0</v>
      </c>
      <c r="AU292" s="297">
        <f t="shared" ca="1" si="125"/>
        <v>0</v>
      </c>
      <c r="AV292" s="303">
        <f t="shared" ca="1" si="126"/>
        <v>0</v>
      </c>
    </row>
    <row r="293" spans="2:48" x14ac:dyDescent="0.25">
      <c r="B293" s="44">
        <f t="shared" si="127"/>
        <v>52932</v>
      </c>
      <c r="C293" s="100">
        <f t="shared" si="117"/>
        <v>2044</v>
      </c>
      <c r="D293" s="65">
        <f ca="1">wellcount_base  +  SUM('forecast production'!I$7:I294)</f>
        <v>1</v>
      </c>
      <c r="E293" s="109">
        <f ca="1">'forecast production'!AE294</f>
        <v>71.163208453648778</v>
      </c>
      <c r="F293" s="101">
        <f ca="1">'forecast production'!AF294</f>
        <v>527.01361725182551</v>
      </c>
      <c r="G293" s="101">
        <f ca="1">'forecast production'!AG294</f>
        <v>2.9447722761623156E-2</v>
      </c>
      <c r="H293" s="102">
        <f ca="1">'forecast production'!AH294</f>
        <v>79.052042587773812</v>
      </c>
      <c r="I293" s="308">
        <f t="shared" ca="1" si="118"/>
        <v>1</v>
      </c>
      <c r="J293" s="309">
        <f t="shared" ca="1" si="119"/>
        <v>0.75</v>
      </c>
      <c r="K293" s="113">
        <f t="shared" ca="1" si="104"/>
        <v>53.37240634023658</v>
      </c>
      <c r="L293" s="102">
        <f t="shared" ca="1" si="105"/>
        <v>296.44515970415182</v>
      </c>
      <c r="M293" s="102">
        <f t="shared" ca="1" si="106"/>
        <v>2.2085792071217365E-2</v>
      </c>
      <c r="N293" s="102">
        <f t="shared" ca="1" si="107"/>
        <v>59.289031940830355</v>
      </c>
      <c r="O293" s="103">
        <f>assumptions!M297</f>
        <v>55</v>
      </c>
      <c r="P293" s="104">
        <f>assumptions!N297</f>
        <v>3</v>
      </c>
      <c r="Q293" s="104">
        <f>assumptions!O297</f>
        <v>22</v>
      </c>
      <c r="R293" s="103">
        <f t="shared" si="108"/>
        <v>52.5</v>
      </c>
      <c r="S293" s="104">
        <f t="shared" si="109"/>
        <v>2.3275000000000001</v>
      </c>
      <c r="T293" s="104">
        <f t="shared" si="110"/>
        <v>22</v>
      </c>
      <c r="U293" s="105">
        <f t="shared" ca="1" si="111"/>
        <v>2802.0513328624206</v>
      </c>
      <c r="V293" s="106">
        <f t="shared" ca="1" si="112"/>
        <v>689.97610921141336</v>
      </c>
      <c r="W293" s="106">
        <f t="shared" ca="1" si="113"/>
        <v>1304.3587026982677</v>
      </c>
      <c r="X293" s="106">
        <f t="shared" ca="1" si="120"/>
        <v>4796.3861447721019</v>
      </c>
      <c r="Y293" s="105">
        <f>mult_opex * fixed_month</f>
        <v>1000</v>
      </c>
      <c r="Z293" s="106">
        <f ca="1">mult_opex * fixed_well *D293</f>
        <v>5000</v>
      </c>
      <c r="AA293" s="106">
        <f ca="1">(Z293+Y293)*WI_current_1</f>
        <v>6000</v>
      </c>
      <c r="AB293" s="106">
        <f ca="1">mult_opex * var_bo*E293</f>
        <v>0</v>
      </c>
      <c r="AC293" s="106">
        <f ca="1">mult_opex * var_mcf*F293</f>
        <v>0</v>
      </c>
      <c r="AD293" s="106">
        <f ca="1">mult_opex * var_bw * G293</f>
        <v>5.8895445523246312E-2</v>
      </c>
      <c r="AE293" s="106">
        <f ca="1">SUM(AB293:AD293)*WI_current_1</f>
        <v>5.8895445523246312E-2</v>
      </c>
      <c r="AF293" s="105">
        <f ca="1">mult_capex * IFERROR(OFFSET(assumptions!$F$39,MATCH(B293,assumptions!$E$39:$E$45,0)-1,0),0)</f>
        <v>0</v>
      </c>
      <c r="AG293" s="106">
        <f ca="1">mult_capex * capex_new*WI_current_1 *'forecast production'!I294</f>
        <v>0</v>
      </c>
      <c r="AH293" s="147">
        <f t="shared" ca="1" si="121"/>
        <v>0</v>
      </c>
      <c r="AI293" s="105">
        <f t="shared" ca="1" si="114"/>
        <v>278.46947220489739</v>
      </c>
      <c r="AJ293" s="106">
        <f t="shared" ca="1" si="115"/>
        <v>119.90965361930256</v>
      </c>
      <c r="AK293" s="106">
        <f t="shared" ca="1" si="122"/>
        <v>398.37912582419995</v>
      </c>
      <c r="AL293" s="105">
        <f t="shared" ca="1" si="116"/>
        <v>-1602.0518764976214</v>
      </c>
      <c r="AM293" s="133">
        <f ca="1">IF(X293*(lease_NRI/J293)  - (Z293+Y293+AB293+AC293+AD293)  - (AK293)*(lease_NRI/J293)&gt;0,1,0)</f>
        <v>0</v>
      </c>
      <c r="AN293" s="105">
        <f t="shared" ca="1" si="123"/>
        <v>0</v>
      </c>
      <c r="AO293" s="106">
        <f t="shared" ca="1" si="128"/>
        <v>2329073.2544940379</v>
      </c>
      <c r="AP293" s="106">
        <f ca="1">AL293  /  ( 1 + disc_1/12)^(COUNT($AL$6:AL293)-1)</f>
        <v>-148.01063090440832</v>
      </c>
      <c r="AQ293" s="106">
        <f t="shared" ca="1" si="129"/>
        <v>1563458.398389671</v>
      </c>
      <c r="AS293" s="304">
        <f t="shared" ca="1" si="124"/>
        <v>1</v>
      </c>
      <c r="AT293" s="301">
        <f ca="1">IFERROR(IRR($AN$6:AN293)*12,0)</f>
        <v>0</v>
      </c>
      <c r="AU293" s="298">
        <f t="shared" ca="1" si="125"/>
        <v>0</v>
      </c>
      <c r="AV293" s="304">
        <f t="shared" ca="1" si="126"/>
        <v>0</v>
      </c>
    </row>
    <row r="294" spans="2:48" x14ac:dyDescent="0.25">
      <c r="B294" s="43">
        <f t="shared" si="127"/>
        <v>52963</v>
      </c>
      <c r="C294" s="79">
        <f t="shared" si="117"/>
        <v>2045</v>
      </c>
      <c r="D294" s="64">
        <f ca="1">wellcount_base  +  SUM('forecast production'!I$7:I295)</f>
        <v>1</v>
      </c>
      <c r="E294" s="110">
        <f ca="1">'forecast production'!AE295</f>
        <v>70.66103037453027</v>
      </c>
      <c r="F294" s="98">
        <f ca="1">'forecast production'!AF295</f>
        <v>524.25133491957672</v>
      </c>
      <c r="G294" s="98">
        <f ca="1">'forecast production'!AG295</f>
        <v>2.8444879836294908E-2</v>
      </c>
      <c r="H294" s="98">
        <f ca="1">'forecast production'!AH295</f>
        <v>78.6377002379365</v>
      </c>
      <c r="I294" s="307">
        <f t="shared" ca="1" si="118"/>
        <v>1</v>
      </c>
      <c r="J294" s="306">
        <f t="shared" ca="1" si="119"/>
        <v>0.75</v>
      </c>
      <c r="K294" s="112">
        <f t="shared" ca="1" si="104"/>
        <v>52.995772780897703</v>
      </c>
      <c r="L294" s="98">
        <f t="shared" ca="1" si="105"/>
        <v>294.89137589226192</v>
      </c>
      <c r="M294" s="98">
        <f t="shared" ca="1" si="106"/>
        <v>2.1333659877221182E-2</v>
      </c>
      <c r="N294" s="98">
        <f t="shared" ca="1" si="107"/>
        <v>58.978275178452378</v>
      </c>
      <c r="O294" s="67">
        <f>assumptions!M298</f>
        <v>55</v>
      </c>
      <c r="P294" s="68">
        <f>assumptions!N298</f>
        <v>3</v>
      </c>
      <c r="Q294" s="68">
        <f>assumptions!O298</f>
        <v>22</v>
      </c>
      <c r="R294" s="67">
        <f t="shared" si="108"/>
        <v>52.5</v>
      </c>
      <c r="S294" s="68">
        <f t="shared" si="109"/>
        <v>2.3275000000000001</v>
      </c>
      <c r="T294" s="68">
        <f t="shared" si="110"/>
        <v>22</v>
      </c>
      <c r="U294" s="73">
        <f t="shared" ca="1" si="111"/>
        <v>2782.2780709971294</v>
      </c>
      <c r="V294" s="72">
        <f t="shared" ca="1" si="112"/>
        <v>686.35967738923966</v>
      </c>
      <c r="W294" s="72">
        <f t="shared" ca="1" si="113"/>
        <v>1297.5220539259524</v>
      </c>
      <c r="X294" s="72">
        <f t="shared" ca="1" si="120"/>
        <v>4766.1598023123215</v>
      </c>
      <c r="Y294" s="73">
        <f>mult_opex * fixed_month</f>
        <v>1000</v>
      </c>
      <c r="Z294" s="72">
        <f ca="1">mult_opex * fixed_well *D294</f>
        <v>5000</v>
      </c>
      <c r="AA294" s="72">
        <f ca="1">(Z294+Y294)*WI_current_1</f>
        <v>6000</v>
      </c>
      <c r="AB294" s="72">
        <f ca="1">mult_opex * var_bo*E294</f>
        <v>0</v>
      </c>
      <c r="AC294" s="72">
        <f ca="1">mult_opex * var_mcf*F294</f>
        <v>0</v>
      </c>
      <c r="AD294" s="72">
        <f ca="1">mult_opex * var_bw * G294</f>
        <v>5.6889759672589815E-2</v>
      </c>
      <c r="AE294" s="72">
        <f ca="1">SUM(AB294:AD294)*WI_current_1</f>
        <v>5.6889759672589815E-2</v>
      </c>
      <c r="AF294" s="73">
        <f ca="1">mult_capex * IFERROR(OFFSET(assumptions!$F$39,MATCH(B294,assumptions!$E$39:$E$45,0)-1,0),0)</f>
        <v>0</v>
      </c>
      <c r="AG294" s="75">
        <f ca="1">mult_capex * capex_new*WI_current_1 *'forecast production'!I295</f>
        <v>0</v>
      </c>
      <c r="AH294" s="146">
        <f t="shared" ca="1" si="121"/>
        <v>0</v>
      </c>
      <c r="AI294" s="73">
        <f t="shared" ca="1" si="114"/>
        <v>276.77592111450736</v>
      </c>
      <c r="AJ294" s="72">
        <f t="shared" ca="1" si="115"/>
        <v>119.15399505780805</v>
      </c>
      <c r="AK294" s="72">
        <f t="shared" ca="1" si="122"/>
        <v>395.92991617231542</v>
      </c>
      <c r="AL294" s="73">
        <f t="shared" ca="1" si="116"/>
        <v>-1629.8270036196664</v>
      </c>
      <c r="AM294" s="132">
        <f ca="1">IF(X294*(lease_NRI/J294)  - (Z294+Y294+AB294+AC294+AD294)  - (AK294)*(lease_NRI/J294)&gt;0,1,0)</f>
        <v>0</v>
      </c>
      <c r="AN294" s="73">
        <f t="shared" ca="1" si="123"/>
        <v>0</v>
      </c>
      <c r="AO294" s="75">
        <f t="shared" ca="1" si="128"/>
        <v>2329073.2544940379</v>
      </c>
      <c r="AP294" s="72">
        <f ca="1">AL294  /  ( 1 + disc_1/12)^(COUNT($AL$6:AL294)-1)</f>
        <v>-149.33228815905488</v>
      </c>
      <c r="AQ294" s="72">
        <f t="shared" ca="1" si="129"/>
        <v>1563458.398389671</v>
      </c>
      <c r="AS294" s="303">
        <f t="shared" ca="1" si="124"/>
        <v>1</v>
      </c>
      <c r="AT294" s="300">
        <f ca="1">IFERROR(IRR($AN$6:AN294)*12,0)</f>
        <v>0</v>
      </c>
      <c r="AU294" s="297">
        <f t="shared" ca="1" si="125"/>
        <v>0</v>
      </c>
      <c r="AV294" s="303">
        <f t="shared" ca="1" si="126"/>
        <v>0</v>
      </c>
    </row>
    <row r="295" spans="2:48" x14ac:dyDescent="0.25">
      <c r="B295" s="43">
        <f t="shared" si="127"/>
        <v>52994</v>
      </c>
      <c r="C295" s="79">
        <f t="shared" si="117"/>
        <v>2045</v>
      </c>
      <c r="D295" s="64">
        <f ca="1">wellcount_base  +  SUM('forecast production'!I$7:I296)</f>
        <v>1</v>
      </c>
      <c r="E295" s="110">
        <f ca="1">'forecast production'!AE296</f>
        <v>63.372486727888841</v>
      </c>
      <c r="F295" s="98">
        <f ca="1">'forecast production'!AF296</f>
        <v>471.03544715440103</v>
      </c>
      <c r="G295" s="98">
        <f ca="1">'forecast production'!AG296</f>
        <v>2.4817351684734233E-2</v>
      </c>
      <c r="H295" s="98">
        <f ca="1">'forecast production'!AH296</f>
        <v>70.655317073160148</v>
      </c>
      <c r="I295" s="307">
        <f t="shared" ca="1" si="118"/>
        <v>1</v>
      </c>
      <c r="J295" s="306">
        <f t="shared" ca="1" si="119"/>
        <v>0.75</v>
      </c>
      <c r="K295" s="112">
        <f t="shared" ca="1" si="104"/>
        <v>47.529365045916634</v>
      </c>
      <c r="L295" s="98">
        <f t="shared" ca="1" si="105"/>
        <v>264.95743902435061</v>
      </c>
      <c r="M295" s="98">
        <f t="shared" ca="1" si="106"/>
        <v>1.8613013763550675E-2</v>
      </c>
      <c r="N295" s="98">
        <f t="shared" ca="1" si="107"/>
        <v>52.991487804870111</v>
      </c>
      <c r="O295" s="67">
        <f>assumptions!M299</f>
        <v>55</v>
      </c>
      <c r="P295" s="68">
        <f>assumptions!N299</f>
        <v>3</v>
      </c>
      <c r="Q295" s="68">
        <f>assumptions!O299</f>
        <v>22</v>
      </c>
      <c r="R295" s="67">
        <f t="shared" si="108"/>
        <v>52.5</v>
      </c>
      <c r="S295" s="68">
        <f t="shared" si="109"/>
        <v>2.3275000000000001</v>
      </c>
      <c r="T295" s="68">
        <f t="shared" si="110"/>
        <v>22</v>
      </c>
      <c r="U295" s="73">
        <f t="shared" ca="1" si="111"/>
        <v>2495.2916649106232</v>
      </c>
      <c r="V295" s="72">
        <f t="shared" ca="1" si="112"/>
        <v>616.68843932917605</v>
      </c>
      <c r="W295" s="72">
        <f t="shared" ca="1" si="113"/>
        <v>1165.8127317071423</v>
      </c>
      <c r="X295" s="72">
        <f t="shared" ca="1" si="120"/>
        <v>4277.7928359469415</v>
      </c>
      <c r="Y295" s="73">
        <f>mult_opex * fixed_month</f>
        <v>1000</v>
      </c>
      <c r="Z295" s="72">
        <f ca="1">mult_opex * fixed_well *D295</f>
        <v>5000</v>
      </c>
      <c r="AA295" s="72">
        <f ca="1">(Z295+Y295)*WI_current_1</f>
        <v>6000</v>
      </c>
      <c r="AB295" s="72">
        <f ca="1">mult_opex * var_bo*E295</f>
        <v>0</v>
      </c>
      <c r="AC295" s="72">
        <f ca="1">mult_opex * var_mcf*F295</f>
        <v>0</v>
      </c>
      <c r="AD295" s="72">
        <f ca="1">mult_opex * var_bw * G295</f>
        <v>4.9634703369468465E-2</v>
      </c>
      <c r="AE295" s="72">
        <f ca="1">SUM(AB295:AD295)*WI_current_1</f>
        <v>4.9634703369468465E-2</v>
      </c>
      <c r="AF295" s="73">
        <f ca="1">mult_capex * IFERROR(OFFSET(assumptions!$F$39,MATCH(B295,assumptions!$E$39:$E$45,0)-1,0),0)</f>
        <v>0</v>
      </c>
      <c r="AG295" s="75">
        <f ca="1">mult_capex * capex_new*WI_current_1 *'forecast production'!I296</f>
        <v>0</v>
      </c>
      <c r="AH295" s="146">
        <f t="shared" ca="1" si="121"/>
        <v>0</v>
      </c>
      <c r="AI295" s="73">
        <f t="shared" ca="1" si="114"/>
        <v>248.47100441361255</v>
      </c>
      <c r="AJ295" s="72">
        <f t="shared" ca="1" si="115"/>
        <v>106.94482089867354</v>
      </c>
      <c r="AK295" s="72">
        <f t="shared" ca="1" si="122"/>
        <v>355.41582531228607</v>
      </c>
      <c r="AL295" s="73">
        <f t="shared" ca="1" si="116"/>
        <v>-2077.672624068714</v>
      </c>
      <c r="AM295" s="132">
        <f ca="1">IF(X295*(lease_NRI/J295)  - (Z295+Y295+AB295+AC295+AD295)  - (AK295)*(lease_NRI/J295)&gt;0,1,0)</f>
        <v>0</v>
      </c>
      <c r="AN295" s="73">
        <f t="shared" ca="1" si="123"/>
        <v>0</v>
      </c>
      <c r="AO295" s="75">
        <f t="shared" ca="1" si="128"/>
        <v>2329073.2544940379</v>
      </c>
      <c r="AP295" s="72">
        <f ca="1">AL295  /  ( 1 + disc_1/12)^(COUNT($AL$6:AL295)-1)</f>
        <v>-188.79270270583305</v>
      </c>
      <c r="AQ295" s="72">
        <f t="shared" ca="1" si="129"/>
        <v>1563458.398389671</v>
      </c>
      <c r="AS295" s="303">
        <f t="shared" ca="1" si="124"/>
        <v>1</v>
      </c>
      <c r="AT295" s="300">
        <f ca="1">IFERROR(IRR($AN$6:AN295)*12,0)</f>
        <v>0</v>
      </c>
      <c r="AU295" s="297">
        <f t="shared" ca="1" si="125"/>
        <v>0</v>
      </c>
      <c r="AV295" s="303">
        <f t="shared" ca="1" si="126"/>
        <v>0</v>
      </c>
    </row>
    <row r="296" spans="2:48" x14ac:dyDescent="0.25">
      <c r="B296" s="43">
        <f t="shared" si="127"/>
        <v>53022</v>
      </c>
      <c r="C296" s="79">
        <f t="shared" si="117"/>
        <v>2045</v>
      </c>
      <c r="D296" s="64">
        <f ca="1">wellcount_base  +  SUM('forecast production'!I$7:I297)</f>
        <v>1</v>
      </c>
      <c r="E296" s="110">
        <f ca="1">'forecast production'!AE297</f>
        <v>69.71504170605246</v>
      </c>
      <c r="F296" s="98">
        <f ca="1">'forecast production'!AF297</f>
        <v>519.03402435079261</v>
      </c>
      <c r="G296" s="98">
        <f ca="1">'forecast production'!AG297</f>
        <v>2.6630069480658505E-2</v>
      </c>
      <c r="H296" s="98">
        <f ca="1">'forecast production'!AH297</f>
        <v>77.85510365261888</v>
      </c>
      <c r="I296" s="307">
        <f t="shared" ca="1" si="118"/>
        <v>1</v>
      </c>
      <c r="J296" s="306">
        <f t="shared" ca="1" si="119"/>
        <v>0.75</v>
      </c>
      <c r="K296" s="112">
        <f t="shared" ca="1" si="104"/>
        <v>52.286281279539345</v>
      </c>
      <c r="L296" s="98">
        <f t="shared" ca="1" si="105"/>
        <v>291.95663869732084</v>
      </c>
      <c r="M296" s="98">
        <f t="shared" ca="1" si="106"/>
        <v>1.9972552110493879E-2</v>
      </c>
      <c r="N296" s="98">
        <f t="shared" ca="1" si="107"/>
        <v>58.39132773946416</v>
      </c>
      <c r="O296" s="67">
        <f>assumptions!M300</f>
        <v>55</v>
      </c>
      <c r="P296" s="68">
        <f>assumptions!N300</f>
        <v>3</v>
      </c>
      <c r="Q296" s="68">
        <f>assumptions!O300</f>
        <v>22</v>
      </c>
      <c r="R296" s="67">
        <f t="shared" si="108"/>
        <v>52.5</v>
      </c>
      <c r="S296" s="68">
        <f t="shared" si="109"/>
        <v>2.3275000000000001</v>
      </c>
      <c r="T296" s="68">
        <f t="shared" si="110"/>
        <v>22</v>
      </c>
      <c r="U296" s="73">
        <f t="shared" ca="1" si="111"/>
        <v>2745.0297671758158</v>
      </c>
      <c r="V296" s="72">
        <f t="shared" ca="1" si="112"/>
        <v>679.52907656801426</v>
      </c>
      <c r="W296" s="72">
        <f t="shared" ca="1" si="113"/>
        <v>1284.6092102682114</v>
      </c>
      <c r="X296" s="72">
        <f t="shared" ca="1" si="120"/>
        <v>4709.1680540120415</v>
      </c>
      <c r="Y296" s="73">
        <f>mult_opex * fixed_month</f>
        <v>1000</v>
      </c>
      <c r="Z296" s="72">
        <f ca="1">mult_opex * fixed_well *D296</f>
        <v>5000</v>
      </c>
      <c r="AA296" s="72">
        <f ca="1">(Z296+Y296)*WI_current_1</f>
        <v>6000</v>
      </c>
      <c r="AB296" s="72">
        <f ca="1">mult_opex * var_bo*E296</f>
        <v>0</v>
      </c>
      <c r="AC296" s="72">
        <f ca="1">mult_opex * var_mcf*F296</f>
        <v>0</v>
      </c>
      <c r="AD296" s="72">
        <f ca="1">mult_opex * var_bw * G296</f>
        <v>5.3260138961317011E-2</v>
      </c>
      <c r="AE296" s="72">
        <f ca="1">SUM(AB296:AD296)*WI_current_1</f>
        <v>5.3260138961317011E-2</v>
      </c>
      <c r="AF296" s="73">
        <f ca="1">mult_capex * IFERROR(OFFSET(assumptions!$F$39,MATCH(B296,assumptions!$E$39:$E$45,0)-1,0),0)</f>
        <v>0</v>
      </c>
      <c r="AG296" s="75">
        <f ca="1">mult_capex * capex_new*WI_current_1 *'forecast production'!I297</f>
        <v>0</v>
      </c>
      <c r="AH296" s="146">
        <f t="shared" ca="1" si="121"/>
        <v>0</v>
      </c>
      <c r="AI296" s="73">
        <f t="shared" ca="1" si="114"/>
        <v>273.58174080280446</v>
      </c>
      <c r="AJ296" s="72">
        <f t="shared" ca="1" si="115"/>
        <v>117.72920135030104</v>
      </c>
      <c r="AK296" s="72">
        <f t="shared" ca="1" si="122"/>
        <v>391.31094215310549</v>
      </c>
      <c r="AL296" s="73">
        <f t="shared" ca="1" si="116"/>
        <v>-1682.1961482800252</v>
      </c>
      <c r="AM296" s="132">
        <f ca="1">IF(X296*(lease_NRI/J296)  - (Z296+Y296+AB296+AC296+AD296)  - (AK296)*(lease_NRI/J296)&gt;0,1,0)</f>
        <v>0</v>
      </c>
      <c r="AN296" s="73">
        <f t="shared" ca="1" si="123"/>
        <v>0</v>
      </c>
      <c r="AO296" s="75">
        <f t="shared" ca="1" si="128"/>
        <v>2329073.2544940379</v>
      </c>
      <c r="AP296" s="72">
        <f ca="1">AL296  /  ( 1 + disc_1/12)^(COUNT($AL$6:AL296)-1)</f>
        <v>-151.5935056502644</v>
      </c>
      <c r="AQ296" s="72">
        <f t="shared" ca="1" si="129"/>
        <v>1563458.398389671</v>
      </c>
      <c r="AS296" s="303">
        <f t="shared" ca="1" si="124"/>
        <v>1</v>
      </c>
      <c r="AT296" s="300">
        <f ca="1">IFERROR(IRR($AN$6:AN296)*12,0)</f>
        <v>0</v>
      </c>
      <c r="AU296" s="297">
        <f t="shared" ca="1" si="125"/>
        <v>0</v>
      </c>
      <c r="AV296" s="303">
        <f t="shared" ca="1" si="126"/>
        <v>0</v>
      </c>
    </row>
    <row r="297" spans="2:48" x14ac:dyDescent="0.25">
      <c r="B297" s="43">
        <f t="shared" si="127"/>
        <v>53053</v>
      </c>
      <c r="C297" s="79">
        <f t="shared" si="117"/>
        <v>2045</v>
      </c>
      <c r="D297" s="64">
        <f ca="1">wellcount_base  +  SUM('forecast production'!I$7:I298)</f>
        <v>1</v>
      </c>
      <c r="E297" s="110">
        <f ca="1">'forecast production'!AE298</f>
        <v>66.990080243976067</v>
      </c>
      <c r="F297" s="98">
        <f ca="1">'forecast production'!AF298</f>
        <v>499.65828982566916</v>
      </c>
      <c r="G297" s="98">
        <f ca="1">'forecast production'!AG298</f>
        <v>2.4893835346809237E-2</v>
      </c>
      <c r="H297" s="98">
        <f ca="1">'forecast production'!AH298</f>
        <v>74.948743473850371</v>
      </c>
      <c r="I297" s="307">
        <f t="shared" ca="1" si="118"/>
        <v>1</v>
      </c>
      <c r="J297" s="306">
        <f t="shared" ca="1" si="119"/>
        <v>0.75</v>
      </c>
      <c r="K297" s="112">
        <f t="shared" ca="1" si="104"/>
        <v>50.242560182982047</v>
      </c>
      <c r="L297" s="98">
        <f t="shared" ca="1" si="105"/>
        <v>281.05778802693885</v>
      </c>
      <c r="M297" s="98">
        <f t="shared" ca="1" si="106"/>
        <v>1.8670376510106928E-2</v>
      </c>
      <c r="N297" s="98">
        <f t="shared" ca="1" si="107"/>
        <v>56.211557605387782</v>
      </c>
      <c r="O297" s="67">
        <f>assumptions!M301</f>
        <v>55</v>
      </c>
      <c r="P297" s="68">
        <f>assumptions!N301</f>
        <v>3</v>
      </c>
      <c r="Q297" s="68">
        <f>assumptions!O301</f>
        <v>22</v>
      </c>
      <c r="R297" s="67">
        <f t="shared" si="108"/>
        <v>52.5</v>
      </c>
      <c r="S297" s="68">
        <f t="shared" si="109"/>
        <v>2.3275000000000001</v>
      </c>
      <c r="T297" s="68">
        <f t="shared" si="110"/>
        <v>22</v>
      </c>
      <c r="U297" s="73">
        <f t="shared" ca="1" si="111"/>
        <v>2637.7344096065576</v>
      </c>
      <c r="V297" s="72">
        <f t="shared" ca="1" si="112"/>
        <v>654.16200163270025</v>
      </c>
      <c r="W297" s="72">
        <f t="shared" ca="1" si="113"/>
        <v>1236.6542673185313</v>
      </c>
      <c r="X297" s="72">
        <f t="shared" ca="1" si="120"/>
        <v>4528.5506785577891</v>
      </c>
      <c r="Y297" s="73">
        <f>mult_opex * fixed_month</f>
        <v>1000</v>
      </c>
      <c r="Z297" s="72">
        <f ca="1">mult_opex * fixed_well *D297</f>
        <v>5000</v>
      </c>
      <c r="AA297" s="72">
        <f ca="1">(Z297+Y297)*WI_current_1</f>
        <v>6000</v>
      </c>
      <c r="AB297" s="72">
        <f ca="1">mult_opex * var_bo*E297</f>
        <v>0</v>
      </c>
      <c r="AC297" s="72">
        <f ca="1">mult_opex * var_mcf*F297</f>
        <v>0</v>
      </c>
      <c r="AD297" s="72">
        <f ca="1">mult_opex * var_bw * G297</f>
        <v>4.9787670693618474E-2</v>
      </c>
      <c r="AE297" s="72">
        <f ca="1">SUM(AB297:AD297)*WI_current_1</f>
        <v>4.9787670693618474E-2</v>
      </c>
      <c r="AF297" s="73">
        <f ca="1">mult_capex * IFERROR(OFFSET(assumptions!$F$39,MATCH(B297,assumptions!$E$39:$E$45,0)-1,0),0)</f>
        <v>0</v>
      </c>
      <c r="AG297" s="75">
        <f ca="1">mult_capex * capex_new*WI_current_1 *'forecast production'!I298</f>
        <v>0</v>
      </c>
      <c r="AH297" s="146">
        <f t="shared" ca="1" si="121"/>
        <v>0</v>
      </c>
      <c r="AI297" s="73">
        <f t="shared" ca="1" si="114"/>
        <v>263.14700301324399</v>
      </c>
      <c r="AJ297" s="72">
        <f t="shared" ca="1" si="115"/>
        <v>113.21376696394474</v>
      </c>
      <c r="AK297" s="72">
        <f t="shared" ca="1" si="122"/>
        <v>376.36076997718874</v>
      </c>
      <c r="AL297" s="73">
        <f t="shared" ca="1" si="116"/>
        <v>-1847.8598790900942</v>
      </c>
      <c r="AM297" s="132">
        <f ca="1">IF(X297*(lease_NRI/J297)  - (Z297+Y297+AB297+AC297+AD297)  - (AK297)*(lease_NRI/J297)&gt;0,1,0)</f>
        <v>0</v>
      </c>
      <c r="AN297" s="73">
        <f t="shared" ca="1" si="123"/>
        <v>0</v>
      </c>
      <c r="AO297" s="75">
        <f t="shared" ca="1" si="128"/>
        <v>2329073.2544940379</v>
      </c>
      <c r="AP297" s="72">
        <f ca="1">AL297  /  ( 1 + disc_1/12)^(COUNT($AL$6:AL297)-1)</f>
        <v>-165.1463098322991</v>
      </c>
      <c r="AQ297" s="72">
        <f t="shared" ca="1" si="129"/>
        <v>1563458.398389671</v>
      </c>
      <c r="AS297" s="303">
        <f t="shared" ca="1" si="124"/>
        <v>1</v>
      </c>
      <c r="AT297" s="300">
        <f ca="1">IFERROR(IRR($AN$6:AN297)*12,0)</f>
        <v>0</v>
      </c>
      <c r="AU297" s="297">
        <f t="shared" ca="1" si="125"/>
        <v>0</v>
      </c>
      <c r="AV297" s="303">
        <f t="shared" ca="1" si="126"/>
        <v>0</v>
      </c>
    </row>
    <row r="298" spans="2:48" x14ac:dyDescent="0.25">
      <c r="B298" s="43">
        <f t="shared" si="127"/>
        <v>53083</v>
      </c>
      <c r="C298" s="79">
        <f t="shared" si="117"/>
        <v>2045</v>
      </c>
      <c r="D298" s="64">
        <f ca="1">wellcount_base  +  SUM('forecast production'!I$7:I299)</f>
        <v>1</v>
      </c>
      <c r="E298" s="110">
        <f ca="1">'forecast production'!AE299</f>
        <v>68.750299456356771</v>
      </c>
      <c r="F298" s="98">
        <f ca="1">'forecast production'!AF299</f>
        <v>513.694441880569</v>
      </c>
      <c r="G298" s="98">
        <f ca="1">'forecast production'!AG299</f>
        <v>2.4875959787142771E-2</v>
      </c>
      <c r="H298" s="98">
        <f ca="1">'forecast production'!AH299</f>
        <v>77.054166282085347</v>
      </c>
      <c r="I298" s="307">
        <f t="shared" ca="1" si="118"/>
        <v>1</v>
      </c>
      <c r="J298" s="306">
        <f t="shared" ca="1" si="119"/>
        <v>0.75</v>
      </c>
      <c r="K298" s="112">
        <f t="shared" ca="1" si="104"/>
        <v>51.562724592267578</v>
      </c>
      <c r="L298" s="98">
        <f t="shared" ca="1" si="105"/>
        <v>288.95312355782005</v>
      </c>
      <c r="M298" s="98">
        <f t="shared" ca="1" si="106"/>
        <v>1.8656969840357078E-2</v>
      </c>
      <c r="N298" s="98">
        <f t="shared" ca="1" si="107"/>
        <v>57.790624711564007</v>
      </c>
      <c r="O298" s="67">
        <f>assumptions!M302</f>
        <v>55</v>
      </c>
      <c r="P298" s="68">
        <f>assumptions!N302</f>
        <v>3</v>
      </c>
      <c r="Q298" s="68">
        <f>assumptions!O302</f>
        <v>22</v>
      </c>
      <c r="R298" s="67">
        <f t="shared" si="108"/>
        <v>52.5</v>
      </c>
      <c r="S298" s="68">
        <f t="shared" si="109"/>
        <v>2.3275000000000001</v>
      </c>
      <c r="T298" s="68">
        <f t="shared" si="110"/>
        <v>22</v>
      </c>
      <c r="U298" s="73">
        <f t="shared" ca="1" si="111"/>
        <v>2707.043041094048</v>
      </c>
      <c r="V298" s="72">
        <f t="shared" ca="1" si="112"/>
        <v>672.53839508082615</v>
      </c>
      <c r="W298" s="72">
        <f t="shared" ca="1" si="113"/>
        <v>1271.3937436544081</v>
      </c>
      <c r="X298" s="72">
        <f t="shared" ca="1" si="120"/>
        <v>4650.9751798292828</v>
      </c>
      <c r="Y298" s="73">
        <f>mult_opex * fixed_month</f>
        <v>1000</v>
      </c>
      <c r="Z298" s="72">
        <f ca="1">mult_opex * fixed_well *D298</f>
        <v>5000</v>
      </c>
      <c r="AA298" s="72">
        <f ca="1">(Z298+Y298)*WI_current_1</f>
        <v>6000</v>
      </c>
      <c r="AB298" s="72">
        <f ca="1">mult_opex * var_bo*E298</f>
        <v>0</v>
      </c>
      <c r="AC298" s="72">
        <f ca="1">mult_opex * var_mcf*F298</f>
        <v>0</v>
      </c>
      <c r="AD298" s="72">
        <f ca="1">mult_opex * var_bw * G298</f>
        <v>4.9751919574285541E-2</v>
      </c>
      <c r="AE298" s="72">
        <f ca="1">SUM(AB298:AD298)*WI_current_1</f>
        <v>4.9751919574285541E-2</v>
      </c>
      <c r="AF298" s="73">
        <f ca="1">mult_capex * IFERROR(OFFSET(assumptions!$F$39,MATCH(B298,assumptions!$E$39:$E$45,0)-1,0),0)</f>
        <v>0</v>
      </c>
      <c r="AG298" s="75">
        <f ca="1">mult_capex * capex_new*WI_current_1 *'forecast production'!I299</f>
        <v>0</v>
      </c>
      <c r="AH298" s="146">
        <f t="shared" ca="1" si="121"/>
        <v>0</v>
      </c>
      <c r="AI298" s="73">
        <f t="shared" ca="1" si="114"/>
        <v>270.31889029546875</v>
      </c>
      <c r="AJ298" s="72">
        <f t="shared" ca="1" si="115"/>
        <v>116.27437949573208</v>
      </c>
      <c r="AK298" s="72">
        <f t="shared" ca="1" si="122"/>
        <v>386.59326979120084</v>
      </c>
      <c r="AL298" s="73">
        <f t="shared" ca="1" si="116"/>
        <v>-1735.6678418814927</v>
      </c>
      <c r="AM298" s="132">
        <f ca="1">IF(X298*(lease_NRI/J298)  - (Z298+Y298+AB298+AC298+AD298)  - (AK298)*(lease_NRI/J298)&gt;0,1,0)</f>
        <v>0</v>
      </c>
      <c r="AN298" s="73">
        <f t="shared" ca="1" si="123"/>
        <v>0</v>
      </c>
      <c r="AO298" s="75">
        <f t="shared" ca="1" si="128"/>
        <v>2329073.2544940379</v>
      </c>
      <c r="AP298" s="72">
        <f ca="1">AL298  /  ( 1 + disc_1/12)^(COUNT($AL$6:AL298)-1)</f>
        <v>-153.83754141340296</v>
      </c>
      <c r="AQ298" s="72">
        <f t="shared" ca="1" si="129"/>
        <v>1563458.398389671</v>
      </c>
      <c r="AS298" s="303">
        <f t="shared" ca="1" si="124"/>
        <v>1</v>
      </c>
      <c r="AT298" s="300">
        <f ca="1">IFERROR(IRR($AN$6:AN298)*12,0)</f>
        <v>0</v>
      </c>
      <c r="AU298" s="297">
        <f t="shared" ca="1" si="125"/>
        <v>0</v>
      </c>
      <c r="AV298" s="303">
        <f t="shared" ca="1" si="126"/>
        <v>0</v>
      </c>
    </row>
    <row r="299" spans="2:48" x14ac:dyDescent="0.25">
      <c r="B299" s="43">
        <f t="shared" si="127"/>
        <v>53114</v>
      </c>
      <c r="C299" s="79">
        <f t="shared" si="117"/>
        <v>2045</v>
      </c>
      <c r="D299" s="64">
        <f ca="1">wellcount_base  +  SUM('forecast production'!I$7:I300)</f>
        <v>1</v>
      </c>
      <c r="E299" s="110">
        <f ca="1">'forecast production'!AE300</f>
        <v>66.063047007814973</v>
      </c>
      <c r="F299" s="98">
        <f ca="1">'forecast production'!AF300</f>
        <v>494.51803596891648</v>
      </c>
      <c r="G299" s="98">
        <f ca="1">'forecast production'!AG300</f>
        <v>2.3254364846756977E-2</v>
      </c>
      <c r="H299" s="98">
        <f ca="1">'forecast production'!AH300</f>
        <v>74.177705395337469</v>
      </c>
      <c r="I299" s="307">
        <f t="shared" ca="1" si="118"/>
        <v>1</v>
      </c>
      <c r="J299" s="306">
        <f t="shared" ca="1" si="119"/>
        <v>0.75</v>
      </c>
      <c r="K299" s="112">
        <f t="shared" ca="1" si="104"/>
        <v>49.547285255861226</v>
      </c>
      <c r="L299" s="98">
        <f t="shared" ca="1" si="105"/>
        <v>278.16639523251547</v>
      </c>
      <c r="M299" s="98">
        <f t="shared" ca="1" si="106"/>
        <v>1.7440773635067734E-2</v>
      </c>
      <c r="N299" s="98">
        <f t="shared" ca="1" si="107"/>
        <v>55.633279046503105</v>
      </c>
      <c r="O299" s="67">
        <f>assumptions!M303</f>
        <v>55</v>
      </c>
      <c r="P299" s="68">
        <f>assumptions!N303</f>
        <v>3</v>
      </c>
      <c r="Q299" s="68">
        <f>assumptions!O303</f>
        <v>22</v>
      </c>
      <c r="R299" s="67">
        <f t="shared" si="108"/>
        <v>52.5</v>
      </c>
      <c r="S299" s="68">
        <f t="shared" si="109"/>
        <v>2.3275000000000001</v>
      </c>
      <c r="T299" s="68">
        <f t="shared" si="110"/>
        <v>22</v>
      </c>
      <c r="U299" s="73">
        <f t="shared" ca="1" si="111"/>
        <v>2601.2324759327144</v>
      </c>
      <c r="V299" s="72">
        <f t="shared" ca="1" si="112"/>
        <v>647.43228490367983</v>
      </c>
      <c r="W299" s="72">
        <f t="shared" ca="1" si="113"/>
        <v>1223.9321390230684</v>
      </c>
      <c r="X299" s="72">
        <f t="shared" ca="1" si="120"/>
        <v>4472.5968998594626</v>
      </c>
      <c r="Y299" s="73">
        <f>mult_opex * fixed_month</f>
        <v>1000</v>
      </c>
      <c r="Z299" s="72">
        <f ca="1">mult_opex * fixed_well *D299</f>
        <v>5000</v>
      </c>
      <c r="AA299" s="72">
        <f ca="1">(Z299+Y299)*WI_current_1</f>
        <v>6000</v>
      </c>
      <c r="AB299" s="72">
        <f ca="1">mult_opex * var_bo*E299</f>
        <v>0</v>
      </c>
      <c r="AC299" s="72">
        <f ca="1">mult_opex * var_mcf*F299</f>
        <v>0</v>
      </c>
      <c r="AD299" s="72">
        <f ca="1">mult_opex * var_bw * G299</f>
        <v>4.6508729693513953E-2</v>
      </c>
      <c r="AE299" s="72">
        <f ca="1">SUM(AB299:AD299)*WI_current_1</f>
        <v>4.6508729693513953E-2</v>
      </c>
      <c r="AF299" s="73">
        <f ca="1">mult_capex * IFERROR(OFFSET(assumptions!$F$39,MATCH(B299,assumptions!$E$39:$E$45,0)-1,0),0)</f>
        <v>0</v>
      </c>
      <c r="AG299" s="75">
        <f ca="1">mult_capex * capex_new*WI_current_1 *'forecast production'!I300</f>
        <v>0</v>
      </c>
      <c r="AH299" s="146">
        <f t="shared" ca="1" si="121"/>
        <v>0</v>
      </c>
      <c r="AI299" s="73">
        <f t="shared" ca="1" si="114"/>
        <v>260.00902568741094</v>
      </c>
      <c r="AJ299" s="72">
        <f t="shared" ca="1" si="115"/>
        <v>111.81492249648657</v>
      </c>
      <c r="AK299" s="72">
        <f t="shared" ca="1" si="122"/>
        <v>371.82394818389753</v>
      </c>
      <c r="AL299" s="73">
        <f t="shared" ca="1" si="116"/>
        <v>-1899.2735570541281</v>
      </c>
      <c r="AM299" s="132">
        <f ca="1">IF(X299*(lease_NRI/J299)  - (Z299+Y299+AB299+AC299+AD299)  - (AK299)*(lease_NRI/J299)&gt;0,1,0)</f>
        <v>0</v>
      </c>
      <c r="AN299" s="73">
        <f t="shared" ca="1" si="123"/>
        <v>0</v>
      </c>
      <c r="AO299" s="75">
        <f t="shared" ca="1" si="128"/>
        <v>2329073.2544940379</v>
      </c>
      <c r="AP299" s="72">
        <f ca="1">AL299  /  ( 1 + disc_1/12)^(COUNT($AL$6:AL299)-1)</f>
        <v>-166.94718901250508</v>
      </c>
      <c r="AQ299" s="72">
        <f t="shared" ca="1" si="129"/>
        <v>1563458.398389671</v>
      </c>
      <c r="AS299" s="303">
        <f t="shared" ca="1" si="124"/>
        <v>1</v>
      </c>
      <c r="AT299" s="300">
        <f ca="1">IFERROR(IRR($AN$6:AN299)*12,0)</f>
        <v>0</v>
      </c>
      <c r="AU299" s="297">
        <f t="shared" ca="1" si="125"/>
        <v>0</v>
      </c>
      <c r="AV299" s="303">
        <f t="shared" ca="1" si="126"/>
        <v>0</v>
      </c>
    </row>
    <row r="300" spans="2:48" x14ac:dyDescent="0.25">
      <c r="B300" s="43">
        <f t="shared" si="127"/>
        <v>53144</v>
      </c>
      <c r="C300" s="79">
        <f t="shared" si="117"/>
        <v>2045</v>
      </c>
      <c r="D300" s="64">
        <f ca="1">wellcount_base  +  SUM('forecast production'!I$7:I301)</f>
        <v>1</v>
      </c>
      <c r="E300" s="110">
        <f ca="1">'forecast production'!AE301</f>
        <v>67.798907662826252</v>
      </c>
      <c r="F300" s="98">
        <f ca="1">'forecast production'!AF301</f>
        <v>508.40979057018978</v>
      </c>
      <c r="G300" s="98">
        <f ca="1">'forecast production'!AG301</f>
        <v>2.3237931715889122E-2</v>
      </c>
      <c r="H300" s="98">
        <f ca="1">'forecast production'!AH301</f>
        <v>76.261468585528462</v>
      </c>
      <c r="I300" s="307">
        <f t="shared" ca="1" si="118"/>
        <v>1</v>
      </c>
      <c r="J300" s="306">
        <f t="shared" ca="1" si="119"/>
        <v>0.75</v>
      </c>
      <c r="K300" s="112">
        <f t="shared" ca="1" si="104"/>
        <v>50.849180747119689</v>
      </c>
      <c r="L300" s="98">
        <f t="shared" ca="1" si="105"/>
        <v>285.98050719573178</v>
      </c>
      <c r="M300" s="98">
        <f t="shared" ca="1" si="106"/>
        <v>1.7428448786916843E-2</v>
      </c>
      <c r="N300" s="98">
        <f t="shared" ca="1" si="107"/>
        <v>57.196101439146346</v>
      </c>
      <c r="O300" s="67">
        <f>assumptions!M304</f>
        <v>55</v>
      </c>
      <c r="P300" s="68">
        <f>assumptions!N304</f>
        <v>3</v>
      </c>
      <c r="Q300" s="68">
        <f>assumptions!O304</f>
        <v>22</v>
      </c>
      <c r="R300" s="67">
        <f t="shared" si="108"/>
        <v>52.5</v>
      </c>
      <c r="S300" s="68">
        <f t="shared" si="109"/>
        <v>2.3275000000000001</v>
      </c>
      <c r="T300" s="68">
        <f t="shared" si="110"/>
        <v>22</v>
      </c>
      <c r="U300" s="73">
        <f t="shared" ca="1" si="111"/>
        <v>2669.5819892237837</v>
      </c>
      <c r="V300" s="72">
        <f t="shared" ca="1" si="112"/>
        <v>665.6196304980657</v>
      </c>
      <c r="W300" s="72">
        <f t="shared" ca="1" si="113"/>
        <v>1258.3142316612195</v>
      </c>
      <c r="X300" s="72">
        <f t="shared" ca="1" si="120"/>
        <v>4593.5158513830693</v>
      </c>
      <c r="Y300" s="73">
        <f>mult_opex * fixed_month</f>
        <v>1000</v>
      </c>
      <c r="Z300" s="72">
        <f ca="1">mult_opex * fixed_well *D300</f>
        <v>5000</v>
      </c>
      <c r="AA300" s="72">
        <f ca="1">(Z300+Y300)*WI_current_1</f>
        <v>6000</v>
      </c>
      <c r="AB300" s="72">
        <f ca="1">mult_opex * var_bo*E300</f>
        <v>0</v>
      </c>
      <c r="AC300" s="72">
        <f ca="1">mult_opex * var_mcf*F300</f>
        <v>0</v>
      </c>
      <c r="AD300" s="72">
        <f ca="1">mult_opex * var_bw * G300</f>
        <v>4.6475863431778244E-2</v>
      </c>
      <c r="AE300" s="72">
        <f ca="1">SUM(AB300:AD300)*WI_current_1</f>
        <v>4.6475863431778244E-2</v>
      </c>
      <c r="AF300" s="73">
        <f ca="1">mult_capex * IFERROR(OFFSET(assumptions!$F$39,MATCH(B300,assumptions!$E$39:$E$45,0)-1,0),0)</f>
        <v>0</v>
      </c>
      <c r="AG300" s="75">
        <f ca="1">mult_capex * capex_new*WI_current_1 *'forecast production'!I301</f>
        <v>0</v>
      </c>
      <c r="AH300" s="146">
        <f t="shared" ca="1" si="121"/>
        <v>0</v>
      </c>
      <c r="AI300" s="73">
        <f t="shared" ca="1" si="114"/>
        <v>267.09581116624042</v>
      </c>
      <c r="AJ300" s="72">
        <f t="shared" ca="1" si="115"/>
        <v>114.83789628457674</v>
      </c>
      <c r="AK300" s="72">
        <f t="shared" ca="1" si="122"/>
        <v>381.93370745081717</v>
      </c>
      <c r="AL300" s="73">
        <f t="shared" ca="1" si="116"/>
        <v>-1788.4643319311799</v>
      </c>
      <c r="AM300" s="132">
        <f ca="1">IF(X300*(lease_NRI/J300)  - (Z300+Y300+AB300+AC300+AD300)  - (AK300)*(lease_NRI/J300)&gt;0,1,0)</f>
        <v>0</v>
      </c>
      <c r="AN300" s="73">
        <f t="shared" ca="1" si="123"/>
        <v>0</v>
      </c>
      <c r="AO300" s="75">
        <f t="shared" ca="1" si="128"/>
        <v>2329073.2544940379</v>
      </c>
      <c r="AP300" s="72">
        <f ca="1">AL300  /  ( 1 + disc_1/12)^(COUNT($AL$6:AL300)-1)</f>
        <v>-155.9077658699785</v>
      </c>
      <c r="AQ300" s="72">
        <f t="shared" ca="1" si="129"/>
        <v>1563458.398389671</v>
      </c>
      <c r="AS300" s="303">
        <f t="shared" ca="1" si="124"/>
        <v>1</v>
      </c>
      <c r="AT300" s="300">
        <f ca="1">IFERROR(IRR($AN$6:AN300)*12,0)</f>
        <v>0</v>
      </c>
      <c r="AU300" s="297">
        <f t="shared" ca="1" si="125"/>
        <v>0</v>
      </c>
      <c r="AV300" s="303">
        <f t="shared" ca="1" si="126"/>
        <v>0</v>
      </c>
    </row>
    <row r="301" spans="2:48" x14ac:dyDescent="0.25">
      <c r="B301" s="43">
        <f t="shared" si="127"/>
        <v>53175</v>
      </c>
      <c r="C301" s="79">
        <f t="shared" si="117"/>
        <v>2045</v>
      </c>
      <c r="D301" s="64">
        <f ca="1">wellcount_base  +  SUM('forecast production'!I$7:I302)</f>
        <v>1</v>
      </c>
      <c r="E301" s="110">
        <f ca="1">'forecast production'!AE302</f>
        <v>67.3204704765852</v>
      </c>
      <c r="F301" s="98">
        <f ca="1">'forecast production'!AF302</f>
        <v>505.74501809361215</v>
      </c>
      <c r="G301" s="98">
        <f ca="1">'forecast production'!AG302</f>
        <v>2.2447483732640439E-2</v>
      </c>
      <c r="H301" s="98">
        <f ca="1">'forecast production'!AH302</f>
        <v>75.861752714041828</v>
      </c>
      <c r="I301" s="307">
        <f t="shared" ca="1" si="118"/>
        <v>1</v>
      </c>
      <c r="J301" s="306">
        <f t="shared" ca="1" si="119"/>
        <v>0.75</v>
      </c>
      <c r="K301" s="112">
        <f t="shared" ca="1" si="104"/>
        <v>50.4903528574389</v>
      </c>
      <c r="L301" s="98">
        <f t="shared" ca="1" si="105"/>
        <v>284.48157267765686</v>
      </c>
      <c r="M301" s="98">
        <f t="shared" ca="1" si="106"/>
        <v>1.6835612799480329E-2</v>
      </c>
      <c r="N301" s="98">
        <f t="shared" ca="1" si="107"/>
        <v>56.896314535531374</v>
      </c>
      <c r="O301" s="67">
        <f>assumptions!M305</f>
        <v>55</v>
      </c>
      <c r="P301" s="68">
        <f>assumptions!N305</f>
        <v>3</v>
      </c>
      <c r="Q301" s="68">
        <f>assumptions!O305</f>
        <v>22</v>
      </c>
      <c r="R301" s="67">
        <f t="shared" si="108"/>
        <v>52.5</v>
      </c>
      <c r="S301" s="68">
        <f t="shared" si="109"/>
        <v>2.3275000000000001</v>
      </c>
      <c r="T301" s="68">
        <f t="shared" si="110"/>
        <v>22</v>
      </c>
      <c r="U301" s="73">
        <f t="shared" ca="1" si="111"/>
        <v>2650.7435250155422</v>
      </c>
      <c r="V301" s="72">
        <f t="shared" ca="1" si="112"/>
        <v>662.13086040724636</v>
      </c>
      <c r="W301" s="72">
        <f t="shared" ca="1" si="113"/>
        <v>1251.7189197816901</v>
      </c>
      <c r="X301" s="72">
        <f t="shared" ca="1" si="120"/>
        <v>4564.5933052044784</v>
      </c>
      <c r="Y301" s="73">
        <f>mult_opex * fixed_month</f>
        <v>1000</v>
      </c>
      <c r="Z301" s="72">
        <f ca="1">mult_opex * fixed_well *D301</f>
        <v>5000</v>
      </c>
      <c r="AA301" s="72">
        <f ca="1">(Z301+Y301)*WI_current_1</f>
        <v>6000</v>
      </c>
      <c r="AB301" s="72">
        <f ca="1">mult_opex * var_bo*E301</f>
        <v>0</v>
      </c>
      <c r="AC301" s="72">
        <f ca="1">mult_opex * var_mcf*F301</f>
        <v>0</v>
      </c>
      <c r="AD301" s="72">
        <f ca="1">mult_opex * var_bw * G301</f>
        <v>4.4894967465280877E-2</v>
      </c>
      <c r="AE301" s="72">
        <f ca="1">SUM(AB301:AD301)*WI_current_1</f>
        <v>4.4894967465280877E-2</v>
      </c>
      <c r="AF301" s="73">
        <f ca="1">mult_capex * IFERROR(OFFSET(assumptions!$F$39,MATCH(B301,assumptions!$E$39:$E$45,0)-1,0),0)</f>
        <v>0</v>
      </c>
      <c r="AG301" s="75">
        <f ca="1">mult_capex * capex_new*WI_current_1 *'forecast production'!I302</f>
        <v>0</v>
      </c>
      <c r="AH301" s="146">
        <f t="shared" ca="1" si="121"/>
        <v>0</v>
      </c>
      <c r="AI301" s="73">
        <f t="shared" ca="1" si="114"/>
        <v>265.4729356648852</v>
      </c>
      <c r="AJ301" s="72">
        <f t="shared" ca="1" si="115"/>
        <v>114.11483263011196</v>
      </c>
      <c r="AK301" s="72">
        <f t="shared" ca="1" si="122"/>
        <v>379.58776829499715</v>
      </c>
      <c r="AL301" s="73">
        <f t="shared" ca="1" si="116"/>
        <v>-1815.0393580579839</v>
      </c>
      <c r="AM301" s="132">
        <f ca="1">IF(X301*(lease_NRI/J301)  - (Z301+Y301+AB301+AC301+AD301)  - (AK301)*(lease_NRI/J301)&gt;0,1,0)</f>
        <v>0</v>
      </c>
      <c r="AN301" s="73">
        <f t="shared" ca="1" si="123"/>
        <v>0</v>
      </c>
      <c r="AO301" s="75">
        <f t="shared" ca="1" si="128"/>
        <v>2329073.2544940379</v>
      </c>
      <c r="AP301" s="72">
        <f ca="1">AL301  /  ( 1 + disc_1/12)^(COUNT($AL$6:AL301)-1)</f>
        <v>-156.91677998252121</v>
      </c>
      <c r="AQ301" s="72">
        <f t="shared" ca="1" si="129"/>
        <v>1563458.398389671</v>
      </c>
      <c r="AS301" s="303">
        <f t="shared" ca="1" si="124"/>
        <v>1</v>
      </c>
      <c r="AT301" s="300">
        <f ca="1">IFERROR(IRR($AN$6:AN301)*12,0)</f>
        <v>0</v>
      </c>
      <c r="AU301" s="297">
        <f t="shared" ca="1" si="125"/>
        <v>0</v>
      </c>
      <c r="AV301" s="303">
        <f t="shared" ca="1" si="126"/>
        <v>0</v>
      </c>
    </row>
    <row r="302" spans="2:48" x14ac:dyDescent="0.25">
      <c r="B302" s="43">
        <f t="shared" si="127"/>
        <v>53206</v>
      </c>
      <c r="C302" s="79">
        <f t="shared" si="117"/>
        <v>2045</v>
      </c>
      <c r="D302" s="64">
        <f ca="1">wellcount_base  +  SUM('forecast production'!I$7:I303)</f>
        <v>1</v>
      </c>
      <c r="E302" s="110">
        <f ca="1">'forecast production'!AE303</f>
        <v>64.689105950819993</v>
      </c>
      <c r="F302" s="98">
        <f ca="1">'forecast production'!AF303</f>
        <v>486.86536714925961</v>
      </c>
      <c r="G302" s="98">
        <f ca="1">'forecast production'!AG303</f>
        <v>2.0984567417263688E-2</v>
      </c>
      <c r="H302" s="98">
        <f ca="1">'forecast production'!AH303</f>
        <v>73.029805072388939</v>
      </c>
      <c r="I302" s="307">
        <f t="shared" ca="1" si="118"/>
        <v>1</v>
      </c>
      <c r="J302" s="306">
        <f t="shared" ca="1" si="119"/>
        <v>0.75</v>
      </c>
      <c r="K302" s="112">
        <f t="shared" ca="1" si="104"/>
        <v>48.516829463114995</v>
      </c>
      <c r="L302" s="98">
        <f t="shared" ca="1" si="105"/>
        <v>273.86176902145854</v>
      </c>
      <c r="M302" s="98">
        <f t="shared" ca="1" si="106"/>
        <v>1.5738425562947765E-2</v>
      </c>
      <c r="N302" s="98">
        <f t="shared" ca="1" si="107"/>
        <v>54.772353804291704</v>
      </c>
      <c r="O302" s="67">
        <f>assumptions!M306</f>
        <v>55</v>
      </c>
      <c r="P302" s="68">
        <f>assumptions!N306</f>
        <v>3</v>
      </c>
      <c r="Q302" s="68">
        <f>assumptions!O306</f>
        <v>22</v>
      </c>
      <c r="R302" s="67">
        <f t="shared" si="108"/>
        <v>52.5</v>
      </c>
      <c r="S302" s="68">
        <f t="shared" si="109"/>
        <v>2.3275000000000001</v>
      </c>
      <c r="T302" s="68">
        <f t="shared" si="110"/>
        <v>22</v>
      </c>
      <c r="U302" s="73">
        <f t="shared" ca="1" si="111"/>
        <v>2547.1335468135371</v>
      </c>
      <c r="V302" s="72">
        <f t="shared" ca="1" si="112"/>
        <v>637.41326739744477</v>
      </c>
      <c r="W302" s="72">
        <f t="shared" ca="1" si="113"/>
        <v>1204.9917836944176</v>
      </c>
      <c r="X302" s="72">
        <f t="shared" ca="1" si="120"/>
        <v>4389.5385979053999</v>
      </c>
      <c r="Y302" s="73">
        <f>mult_opex * fixed_month</f>
        <v>1000</v>
      </c>
      <c r="Z302" s="72">
        <f ca="1">mult_opex * fixed_well *D302</f>
        <v>5000</v>
      </c>
      <c r="AA302" s="72">
        <f ca="1">(Z302+Y302)*WI_current_1</f>
        <v>6000</v>
      </c>
      <c r="AB302" s="72">
        <f ca="1">mult_opex * var_bo*E302</f>
        <v>0</v>
      </c>
      <c r="AC302" s="72">
        <f ca="1">mult_opex * var_mcf*F302</f>
        <v>0</v>
      </c>
      <c r="AD302" s="72">
        <f ca="1">mult_opex * var_bw * G302</f>
        <v>4.1969134834527376E-2</v>
      </c>
      <c r="AE302" s="72">
        <f ca="1">SUM(AB302:AD302)*WI_current_1</f>
        <v>4.1969134834527376E-2</v>
      </c>
      <c r="AF302" s="73">
        <f ca="1">mult_capex * IFERROR(OFFSET(assumptions!$F$39,MATCH(B302,assumptions!$E$39:$E$45,0)-1,0),0)</f>
        <v>0</v>
      </c>
      <c r="AG302" s="75">
        <f ca="1">mult_capex * capex_new*WI_current_1 *'forecast production'!I303</f>
        <v>0</v>
      </c>
      <c r="AH302" s="146">
        <f t="shared" ca="1" si="121"/>
        <v>0</v>
      </c>
      <c r="AI302" s="73">
        <f t="shared" ca="1" si="114"/>
        <v>255.3485219853124</v>
      </c>
      <c r="AJ302" s="72">
        <f t="shared" ca="1" si="115"/>
        <v>109.73846494763501</v>
      </c>
      <c r="AK302" s="72">
        <f t="shared" ca="1" si="122"/>
        <v>365.08698693294741</v>
      </c>
      <c r="AL302" s="73">
        <f t="shared" ca="1" si="116"/>
        <v>-1975.5903581623816</v>
      </c>
      <c r="AM302" s="132">
        <f ca="1">IF(X302*(lease_NRI/J302)  - (Z302+Y302+AB302+AC302+AD302)  - (AK302)*(lease_NRI/J302)&gt;0,1,0)</f>
        <v>0</v>
      </c>
      <c r="AN302" s="73">
        <f t="shared" ca="1" si="123"/>
        <v>0</v>
      </c>
      <c r="AO302" s="75">
        <f t="shared" ca="1" si="128"/>
        <v>2329073.2544940379</v>
      </c>
      <c r="AP302" s="72">
        <f ca="1">AL302  /  ( 1 + disc_1/12)^(COUNT($AL$6:AL302)-1)</f>
        <v>-169.38545472528926</v>
      </c>
      <c r="AQ302" s="72">
        <f t="shared" ca="1" si="129"/>
        <v>1563458.398389671</v>
      </c>
      <c r="AS302" s="303">
        <f t="shared" ca="1" si="124"/>
        <v>1</v>
      </c>
      <c r="AT302" s="300">
        <f ca="1">IFERROR(IRR($AN$6:AN302)*12,0)</f>
        <v>0</v>
      </c>
      <c r="AU302" s="297">
        <f t="shared" ca="1" si="125"/>
        <v>0</v>
      </c>
      <c r="AV302" s="303">
        <f t="shared" ca="1" si="126"/>
        <v>0</v>
      </c>
    </row>
    <row r="303" spans="2:48" x14ac:dyDescent="0.25">
      <c r="B303" s="43">
        <f t="shared" si="127"/>
        <v>53236</v>
      </c>
      <c r="C303" s="79">
        <f t="shared" si="117"/>
        <v>2045</v>
      </c>
      <c r="D303" s="64">
        <f ca="1">wellcount_base  +  SUM('forecast production'!I$7:I304)</f>
        <v>1</v>
      </c>
      <c r="E303" s="110">
        <f ca="1">'forecast production'!AE304</f>
        <v>66.388865179524672</v>
      </c>
      <c r="F303" s="98">
        <f ca="1">'forecast production'!AF304</f>
        <v>500.54214678591069</v>
      </c>
      <c r="G303" s="98">
        <f ca="1">'forecast production'!AG304</f>
        <v>2.0970098872565061E-2</v>
      </c>
      <c r="H303" s="98">
        <f ca="1">'forecast production'!AH304</f>
        <v>75.081322017886606</v>
      </c>
      <c r="I303" s="307">
        <f t="shared" ca="1" si="118"/>
        <v>1</v>
      </c>
      <c r="J303" s="306">
        <f t="shared" ca="1" si="119"/>
        <v>0.75</v>
      </c>
      <c r="K303" s="112">
        <f t="shared" ca="1" si="104"/>
        <v>49.791648884643507</v>
      </c>
      <c r="L303" s="98">
        <f t="shared" ca="1" si="105"/>
        <v>281.55495756707478</v>
      </c>
      <c r="M303" s="98">
        <f t="shared" ca="1" si="106"/>
        <v>1.5727574154423794E-2</v>
      </c>
      <c r="N303" s="98">
        <f t="shared" ca="1" si="107"/>
        <v>56.310991513414955</v>
      </c>
      <c r="O303" s="67">
        <f>assumptions!M307</f>
        <v>55</v>
      </c>
      <c r="P303" s="68">
        <f>assumptions!N307</f>
        <v>3</v>
      </c>
      <c r="Q303" s="68">
        <f>assumptions!O307</f>
        <v>22</v>
      </c>
      <c r="R303" s="67">
        <f t="shared" si="108"/>
        <v>52.5</v>
      </c>
      <c r="S303" s="68">
        <f t="shared" si="109"/>
        <v>2.3275000000000001</v>
      </c>
      <c r="T303" s="68">
        <f t="shared" si="110"/>
        <v>22</v>
      </c>
      <c r="U303" s="73">
        <f t="shared" ca="1" si="111"/>
        <v>2614.0615664437842</v>
      </c>
      <c r="V303" s="72">
        <f t="shared" ca="1" si="112"/>
        <v>655.31916373736658</v>
      </c>
      <c r="W303" s="72">
        <f t="shared" ca="1" si="113"/>
        <v>1238.841813295129</v>
      </c>
      <c r="X303" s="72">
        <f t="shared" ca="1" si="120"/>
        <v>4508.2225434762795</v>
      </c>
      <c r="Y303" s="73">
        <f>mult_opex * fixed_month</f>
        <v>1000</v>
      </c>
      <c r="Z303" s="72">
        <f ca="1">mult_opex * fixed_well *D303</f>
        <v>5000</v>
      </c>
      <c r="AA303" s="72">
        <f ca="1">(Z303+Y303)*WI_current_1</f>
        <v>6000</v>
      </c>
      <c r="AB303" s="72">
        <f ca="1">mult_opex * var_bo*E303</f>
        <v>0</v>
      </c>
      <c r="AC303" s="72">
        <f ca="1">mult_opex * var_mcf*F303</f>
        <v>0</v>
      </c>
      <c r="AD303" s="72">
        <f ca="1">mult_opex * var_bw * G303</f>
        <v>4.1940197745130123E-2</v>
      </c>
      <c r="AE303" s="72">
        <f ca="1">SUM(AB303:AD303)*WI_current_1</f>
        <v>4.1940197745130123E-2</v>
      </c>
      <c r="AF303" s="73">
        <f ca="1">mult_capex * IFERROR(OFFSET(assumptions!$F$39,MATCH(B303,assumptions!$E$39:$E$45,0)-1,0),0)</f>
        <v>0</v>
      </c>
      <c r="AG303" s="75">
        <f ca="1">mult_capex * capex_new*WI_current_1 *'forecast production'!I304</f>
        <v>0</v>
      </c>
      <c r="AH303" s="146">
        <f t="shared" ca="1" si="121"/>
        <v>0</v>
      </c>
      <c r="AI303" s="73">
        <f t="shared" ca="1" si="114"/>
        <v>262.30890533385127</v>
      </c>
      <c r="AJ303" s="72">
        <f t="shared" ca="1" si="115"/>
        <v>112.70556358690699</v>
      </c>
      <c r="AK303" s="72">
        <f t="shared" ca="1" si="122"/>
        <v>375.01446892075825</v>
      </c>
      <c r="AL303" s="73">
        <f t="shared" ca="1" si="116"/>
        <v>-1866.8338656422238</v>
      </c>
      <c r="AM303" s="132">
        <f ca="1">IF(X303*(lease_NRI/J303)  - (Z303+Y303+AB303+AC303+AD303)  - (AK303)*(lease_NRI/J303)&gt;0,1,0)</f>
        <v>0</v>
      </c>
      <c r="AN303" s="73">
        <f t="shared" ca="1" si="123"/>
        <v>0</v>
      </c>
      <c r="AO303" s="75">
        <f t="shared" ca="1" si="128"/>
        <v>2329073.2544940379</v>
      </c>
      <c r="AP303" s="72">
        <f ca="1">AL303  /  ( 1 + disc_1/12)^(COUNT($AL$6:AL303)-1)</f>
        <v>-158.73794834582512</v>
      </c>
      <c r="AQ303" s="72">
        <f t="shared" ca="1" si="129"/>
        <v>1563458.398389671</v>
      </c>
      <c r="AS303" s="303">
        <f t="shared" ca="1" si="124"/>
        <v>1</v>
      </c>
      <c r="AT303" s="300">
        <f ca="1">IFERROR(IRR($AN$6:AN303)*12,0)</f>
        <v>0</v>
      </c>
      <c r="AU303" s="297">
        <f t="shared" ca="1" si="125"/>
        <v>0</v>
      </c>
      <c r="AV303" s="303">
        <f t="shared" ca="1" si="126"/>
        <v>0</v>
      </c>
    </row>
    <row r="304" spans="2:48" x14ac:dyDescent="0.25">
      <c r="B304" s="43">
        <f t="shared" si="127"/>
        <v>53267</v>
      </c>
      <c r="C304" s="79">
        <f t="shared" si="117"/>
        <v>2045</v>
      </c>
      <c r="D304" s="64">
        <f ca="1">wellcount_base  +  SUM('forecast production'!I$7:I305)</f>
        <v>1</v>
      </c>
      <c r="E304" s="110">
        <f ca="1">'forecast production'!AE305</f>
        <v>63.79391443865056</v>
      </c>
      <c r="F304" s="98">
        <f ca="1">'forecast production'!AF305</f>
        <v>481.85672097612905</v>
      </c>
      <c r="G304" s="98">
        <f ca="1">'forecast production'!AG305</f>
        <v>1.9603695478117536E-2</v>
      </c>
      <c r="H304" s="98">
        <f ca="1">'forecast production'!AH305</f>
        <v>72.278508146419355</v>
      </c>
      <c r="I304" s="307">
        <f t="shared" ca="1" si="118"/>
        <v>1</v>
      </c>
      <c r="J304" s="306">
        <f t="shared" ca="1" si="119"/>
        <v>0.75</v>
      </c>
      <c r="K304" s="112">
        <f t="shared" ca="1" si="104"/>
        <v>47.845435828987917</v>
      </c>
      <c r="L304" s="98">
        <f t="shared" ca="1" si="105"/>
        <v>271.04440554907262</v>
      </c>
      <c r="M304" s="98">
        <f t="shared" ca="1" si="106"/>
        <v>1.4702771608588152E-2</v>
      </c>
      <c r="N304" s="98">
        <f t="shared" ca="1" si="107"/>
        <v>54.208881109814513</v>
      </c>
      <c r="O304" s="67">
        <f>assumptions!M308</f>
        <v>55</v>
      </c>
      <c r="P304" s="68">
        <f>assumptions!N308</f>
        <v>3</v>
      </c>
      <c r="Q304" s="68">
        <f>assumptions!O308</f>
        <v>22</v>
      </c>
      <c r="R304" s="67">
        <f t="shared" si="108"/>
        <v>52.5</v>
      </c>
      <c r="S304" s="68">
        <f t="shared" si="109"/>
        <v>2.3275000000000001</v>
      </c>
      <c r="T304" s="68">
        <f t="shared" si="110"/>
        <v>22</v>
      </c>
      <c r="U304" s="73">
        <f t="shared" ca="1" si="111"/>
        <v>2511.8853810218657</v>
      </c>
      <c r="V304" s="72">
        <f t="shared" ca="1" si="112"/>
        <v>630.85585391546658</v>
      </c>
      <c r="W304" s="72">
        <f t="shared" ca="1" si="113"/>
        <v>1192.5953844159194</v>
      </c>
      <c r="X304" s="72">
        <f t="shared" ca="1" si="120"/>
        <v>4335.3366193532511</v>
      </c>
      <c r="Y304" s="73">
        <f>mult_opex * fixed_month</f>
        <v>1000</v>
      </c>
      <c r="Z304" s="72">
        <f ca="1">mult_opex * fixed_well *D304</f>
        <v>5000</v>
      </c>
      <c r="AA304" s="72">
        <f ca="1">(Z304+Y304)*WI_current_1</f>
        <v>6000</v>
      </c>
      <c r="AB304" s="72">
        <f ca="1">mult_opex * var_bo*E304</f>
        <v>0</v>
      </c>
      <c r="AC304" s="72">
        <f ca="1">mult_opex * var_mcf*F304</f>
        <v>0</v>
      </c>
      <c r="AD304" s="72">
        <f ca="1">mult_opex * var_bw * G304</f>
        <v>3.9207390956235072E-2</v>
      </c>
      <c r="AE304" s="72">
        <f ca="1">SUM(AB304:AD304)*WI_current_1</f>
        <v>3.9207390956235072E-2</v>
      </c>
      <c r="AF304" s="73">
        <f ca="1">mult_capex * IFERROR(OFFSET(assumptions!$F$39,MATCH(B304,assumptions!$E$39:$E$45,0)-1,0),0)</f>
        <v>0</v>
      </c>
      <c r="AG304" s="75">
        <f ca="1">mult_capex * capex_new*WI_current_1 *'forecast production'!I305</f>
        <v>0</v>
      </c>
      <c r="AH304" s="146">
        <f t="shared" ca="1" si="121"/>
        <v>0</v>
      </c>
      <c r="AI304" s="73">
        <f t="shared" ca="1" si="114"/>
        <v>252.30557040185977</v>
      </c>
      <c r="AJ304" s="72">
        <f t="shared" ca="1" si="115"/>
        <v>108.38341548383129</v>
      </c>
      <c r="AK304" s="72">
        <f t="shared" ca="1" si="122"/>
        <v>360.68898588569107</v>
      </c>
      <c r="AL304" s="73">
        <f t="shared" ca="1" si="116"/>
        <v>-2025.3915739233962</v>
      </c>
      <c r="AM304" s="132">
        <f ca="1">IF(X304*(lease_NRI/J304)  - (Z304+Y304+AB304+AC304+AD304)  - (AK304)*(lease_NRI/J304)&gt;0,1,0)</f>
        <v>0</v>
      </c>
      <c r="AN304" s="73">
        <f t="shared" ca="1" si="123"/>
        <v>0</v>
      </c>
      <c r="AO304" s="75">
        <f t="shared" ca="1" si="128"/>
        <v>2329073.2544940379</v>
      </c>
      <c r="AP304" s="72">
        <f ca="1">AL304  /  ( 1 + disc_1/12)^(COUNT($AL$6:AL304)-1)</f>
        <v>-170.79689327057415</v>
      </c>
      <c r="AQ304" s="72">
        <f t="shared" ca="1" si="129"/>
        <v>1563458.398389671</v>
      </c>
      <c r="AS304" s="303">
        <f t="shared" ca="1" si="124"/>
        <v>1</v>
      </c>
      <c r="AT304" s="300">
        <f ca="1">IFERROR(IRR($AN$6:AN304)*12,0)</f>
        <v>0</v>
      </c>
      <c r="AU304" s="297">
        <f t="shared" ca="1" si="125"/>
        <v>0</v>
      </c>
      <c r="AV304" s="303">
        <f t="shared" ca="1" si="126"/>
        <v>0</v>
      </c>
    </row>
    <row r="305" spans="2:48" x14ac:dyDescent="0.25">
      <c r="B305" s="44">
        <f t="shared" si="127"/>
        <v>53297</v>
      </c>
      <c r="C305" s="100">
        <f t="shared" si="117"/>
        <v>2045</v>
      </c>
      <c r="D305" s="65">
        <f ca="1">wellcount_base  +  SUM('forecast production'!I$7:I306)</f>
        <v>1</v>
      </c>
      <c r="E305" s="109">
        <f ca="1">'forecast production'!AE306</f>
        <v>65.470151777356875</v>
      </c>
      <c r="F305" s="101">
        <f ca="1">'forecast production'!AF306</f>
        <v>495.3928002167159</v>
      </c>
      <c r="G305" s="101">
        <f ca="1">'forecast production'!AG306</f>
        <v>1.9590402191335086E-2</v>
      </c>
      <c r="H305" s="102">
        <f ca="1">'forecast production'!AH306</f>
        <v>74.308920032507388</v>
      </c>
      <c r="I305" s="308">
        <f t="shared" ca="1" si="118"/>
        <v>1</v>
      </c>
      <c r="J305" s="309">
        <f t="shared" ca="1" si="119"/>
        <v>0.75</v>
      </c>
      <c r="K305" s="113">
        <f t="shared" ca="1" si="104"/>
        <v>49.102613833017656</v>
      </c>
      <c r="L305" s="102">
        <f t="shared" ca="1" si="105"/>
        <v>278.65845012190272</v>
      </c>
      <c r="M305" s="102">
        <f t="shared" ca="1" si="106"/>
        <v>1.4692801643501315E-2</v>
      </c>
      <c r="N305" s="102">
        <f t="shared" ca="1" si="107"/>
        <v>55.731690024380541</v>
      </c>
      <c r="O305" s="103">
        <f>assumptions!M309</f>
        <v>55</v>
      </c>
      <c r="P305" s="104">
        <f>assumptions!N309</f>
        <v>3</v>
      </c>
      <c r="Q305" s="104">
        <f>assumptions!O309</f>
        <v>22</v>
      </c>
      <c r="R305" s="103">
        <f t="shared" si="108"/>
        <v>52.5</v>
      </c>
      <c r="S305" s="104">
        <f t="shared" si="109"/>
        <v>2.3275000000000001</v>
      </c>
      <c r="T305" s="104">
        <f t="shared" si="110"/>
        <v>22</v>
      </c>
      <c r="U305" s="105">
        <f t="shared" ca="1" si="111"/>
        <v>2577.8872262334271</v>
      </c>
      <c r="V305" s="106">
        <f t="shared" ca="1" si="112"/>
        <v>648.57754265872859</v>
      </c>
      <c r="W305" s="106">
        <f t="shared" ca="1" si="113"/>
        <v>1226.097180536372</v>
      </c>
      <c r="X305" s="106">
        <f t="shared" ca="1" si="120"/>
        <v>4452.5619494285274</v>
      </c>
      <c r="Y305" s="105">
        <f>mult_opex * fixed_month</f>
        <v>1000</v>
      </c>
      <c r="Z305" s="106">
        <f ca="1">mult_opex * fixed_well *D305</f>
        <v>5000</v>
      </c>
      <c r="AA305" s="106">
        <f ca="1">(Z305+Y305)*WI_current_1</f>
        <v>6000</v>
      </c>
      <c r="AB305" s="106">
        <f ca="1">mult_opex * var_bo*E305</f>
        <v>0</v>
      </c>
      <c r="AC305" s="106">
        <f ca="1">mult_opex * var_mcf*F305</f>
        <v>0</v>
      </c>
      <c r="AD305" s="106">
        <f ca="1">mult_opex * var_bw * G305</f>
        <v>3.9180804382670173E-2</v>
      </c>
      <c r="AE305" s="106">
        <f ca="1">SUM(AB305:AD305)*WI_current_1</f>
        <v>3.9180804382670173E-2</v>
      </c>
      <c r="AF305" s="105">
        <f ca="1">mult_capex * IFERROR(OFFSET(assumptions!$F$39,MATCH(B305,assumptions!$E$39:$E$45,0)-1,0),0)</f>
        <v>0</v>
      </c>
      <c r="AG305" s="106">
        <f ca="1">mult_capex * capex_new*WI_current_1 *'forecast production'!I306</f>
        <v>0</v>
      </c>
      <c r="AH305" s="147">
        <f t="shared" ca="1" si="121"/>
        <v>0</v>
      </c>
      <c r="AI305" s="105">
        <f t="shared" ca="1" si="114"/>
        <v>259.18341664637018</v>
      </c>
      <c r="AJ305" s="106">
        <f t="shared" ca="1" si="115"/>
        <v>111.31404873571319</v>
      </c>
      <c r="AK305" s="106">
        <f t="shared" ca="1" si="122"/>
        <v>370.49746538208336</v>
      </c>
      <c r="AL305" s="105">
        <f t="shared" ca="1" si="116"/>
        <v>-1917.9746967579381</v>
      </c>
      <c r="AM305" s="133">
        <f ca="1">IF(X305*(lease_NRI/J305)  - (Z305+Y305+AB305+AC305+AD305)  - (AK305)*(lease_NRI/J305)&gt;0,1,0)</f>
        <v>0</v>
      </c>
      <c r="AN305" s="105">
        <f t="shared" ca="1" si="123"/>
        <v>0</v>
      </c>
      <c r="AO305" s="106">
        <f t="shared" ca="1" si="128"/>
        <v>2329073.2544940379</v>
      </c>
      <c r="AP305" s="106">
        <f ca="1">AL305  /  ( 1 + disc_1/12)^(COUNT($AL$6:AL305)-1)</f>
        <v>-160.40197707307354</v>
      </c>
      <c r="AQ305" s="106">
        <f t="shared" ca="1" si="129"/>
        <v>1563458.398389671</v>
      </c>
      <c r="AS305" s="304">
        <f t="shared" ca="1" si="124"/>
        <v>1</v>
      </c>
      <c r="AT305" s="301">
        <f ca="1">IFERROR(IRR($AN$6:AN305)*12,0)</f>
        <v>0</v>
      </c>
      <c r="AU305" s="298">
        <f t="shared" ca="1" si="125"/>
        <v>0</v>
      </c>
      <c r="AV305" s="304">
        <f t="shared" ca="1" si="126"/>
        <v>0</v>
      </c>
    </row>
    <row r="306" spans="2:48" x14ac:dyDescent="0.25">
      <c r="B306" s="43">
        <f t="shared" si="127"/>
        <v>53328</v>
      </c>
      <c r="C306" s="79">
        <f t="shared" si="117"/>
        <v>2046</v>
      </c>
      <c r="D306" s="64">
        <f ca="1">wellcount_base  +  SUM('forecast production'!I$7:I307)</f>
        <v>1</v>
      </c>
      <c r="E306" s="110">
        <f ca="1">'forecast production'!AE307</f>
        <v>65.008147944567867</v>
      </c>
      <c r="F306" s="98">
        <f ca="1">'forecast production'!AF307</f>
        <v>492.79625482440213</v>
      </c>
      <c r="G306" s="98">
        <f ca="1">'forecast production'!AG307</f>
        <v>1.8924585292529661E-2</v>
      </c>
      <c r="H306" s="98">
        <f ca="1">'forecast production'!AH307</f>
        <v>73.919438223660322</v>
      </c>
      <c r="I306" s="307">
        <f t="shared" ca="1" si="118"/>
        <v>1</v>
      </c>
      <c r="J306" s="306">
        <f t="shared" ca="1" si="119"/>
        <v>0.75</v>
      </c>
      <c r="K306" s="112">
        <f t="shared" ca="1" si="104"/>
        <v>48.7561109584259</v>
      </c>
      <c r="L306" s="98">
        <f t="shared" ca="1" si="105"/>
        <v>277.1978933387262</v>
      </c>
      <c r="M306" s="98">
        <f t="shared" ca="1" si="106"/>
        <v>1.4193438969397246E-2</v>
      </c>
      <c r="N306" s="98">
        <f t="shared" ca="1" si="107"/>
        <v>55.439578667745238</v>
      </c>
      <c r="O306" s="67">
        <f>assumptions!M310</f>
        <v>55</v>
      </c>
      <c r="P306" s="68">
        <f>assumptions!N310</f>
        <v>3</v>
      </c>
      <c r="Q306" s="68">
        <f>assumptions!O310</f>
        <v>22</v>
      </c>
      <c r="R306" s="67">
        <f t="shared" si="108"/>
        <v>52.5</v>
      </c>
      <c r="S306" s="68">
        <f t="shared" si="109"/>
        <v>2.3275000000000001</v>
      </c>
      <c r="T306" s="68">
        <f t="shared" si="110"/>
        <v>22</v>
      </c>
      <c r="U306" s="73">
        <f t="shared" ca="1" si="111"/>
        <v>2559.6958253173598</v>
      </c>
      <c r="V306" s="72">
        <f t="shared" ca="1" si="112"/>
        <v>645.17809674588523</v>
      </c>
      <c r="W306" s="72">
        <f t="shared" ca="1" si="113"/>
        <v>1219.6707306903952</v>
      </c>
      <c r="X306" s="72">
        <f t="shared" ca="1" si="120"/>
        <v>4424.5446527536405</v>
      </c>
      <c r="Y306" s="73">
        <f>mult_opex * fixed_month</f>
        <v>1000</v>
      </c>
      <c r="Z306" s="72">
        <f ca="1">mult_opex * fixed_well *D306</f>
        <v>5000</v>
      </c>
      <c r="AA306" s="72">
        <f ca="1">(Z306+Y306)*WI_current_1</f>
        <v>6000</v>
      </c>
      <c r="AB306" s="72">
        <f ca="1">mult_opex * var_bo*E306</f>
        <v>0</v>
      </c>
      <c r="AC306" s="72">
        <f ca="1">mult_opex * var_mcf*F306</f>
        <v>0</v>
      </c>
      <c r="AD306" s="72">
        <f ca="1">mult_opex * var_bw * G306</f>
        <v>3.7849170585059322E-2</v>
      </c>
      <c r="AE306" s="72">
        <f ca="1">SUM(AB306:AD306)*WI_current_1</f>
        <v>3.7849170585059322E-2</v>
      </c>
      <c r="AF306" s="73">
        <f ca="1">mult_capex * IFERROR(OFFSET(assumptions!$F$39,MATCH(B306,assumptions!$E$39:$E$45,0)-1,0),0)</f>
        <v>0</v>
      </c>
      <c r="AG306" s="75">
        <f ca="1">mult_capex * capex_new*WI_current_1 *'forecast production'!I307</f>
        <v>0</v>
      </c>
      <c r="AH306" s="146">
        <f t="shared" ca="1" si="121"/>
        <v>0</v>
      </c>
      <c r="AI306" s="73">
        <f t="shared" ca="1" si="114"/>
        <v>257.60967002231956</v>
      </c>
      <c r="AJ306" s="72">
        <f t="shared" ca="1" si="115"/>
        <v>110.61361631884103</v>
      </c>
      <c r="AK306" s="72">
        <f t="shared" ca="1" si="122"/>
        <v>368.22328634116059</v>
      </c>
      <c r="AL306" s="73">
        <f t="shared" ca="1" si="116"/>
        <v>-1943.716482758105</v>
      </c>
      <c r="AM306" s="132">
        <f ca="1">IF(X306*(lease_NRI/J306)  - (Z306+Y306+AB306+AC306+AD306)  - (AK306)*(lease_NRI/J306)&gt;0,1,0)</f>
        <v>0</v>
      </c>
      <c r="AN306" s="73">
        <f t="shared" ca="1" si="123"/>
        <v>0</v>
      </c>
      <c r="AO306" s="75">
        <f t="shared" ca="1" si="128"/>
        <v>2329073.2544940379</v>
      </c>
      <c r="AP306" s="72">
        <f ca="1">AL306  /  ( 1 + disc_1/12)^(COUNT($AL$6:AL306)-1)</f>
        <v>-161.21135818148556</v>
      </c>
      <c r="AQ306" s="72">
        <f t="shared" ca="1" si="129"/>
        <v>1563458.398389671</v>
      </c>
      <c r="AS306" s="303">
        <f t="shared" ca="1" si="124"/>
        <v>1</v>
      </c>
      <c r="AT306" s="300">
        <f ca="1">IFERROR(IRR($AN$6:AN306)*12,0)</f>
        <v>0</v>
      </c>
      <c r="AU306" s="297">
        <f t="shared" ca="1" si="125"/>
        <v>0</v>
      </c>
      <c r="AV306" s="303">
        <f t="shared" ca="1" si="126"/>
        <v>0</v>
      </c>
    </row>
    <row r="307" spans="2:48" x14ac:dyDescent="0.25">
      <c r="B307" s="43">
        <f t="shared" si="127"/>
        <v>53359</v>
      </c>
      <c r="C307" s="79">
        <f t="shared" si="117"/>
        <v>2046</v>
      </c>
      <c r="D307" s="64">
        <f ca="1">wellcount_base  +  SUM('forecast production'!I$7:I308)</f>
        <v>1</v>
      </c>
      <c r="E307" s="110">
        <f ca="1">'forecast production'!AE308</f>
        <v>58.302687789657718</v>
      </c>
      <c r="F307" s="98">
        <f ca="1">'forecast production'!AF308</f>
        <v>442.77332032513698</v>
      </c>
      <c r="G307" s="98">
        <f ca="1">'forecast production'!AG308</f>
        <v>1.6512328642739865E-2</v>
      </c>
      <c r="H307" s="98">
        <f ca="1">'forecast production'!AH308</f>
        <v>66.415998048770547</v>
      </c>
      <c r="I307" s="307">
        <f t="shared" ca="1" si="118"/>
        <v>1</v>
      </c>
      <c r="J307" s="306">
        <f t="shared" ca="1" si="119"/>
        <v>0.75</v>
      </c>
      <c r="K307" s="112">
        <f t="shared" ca="1" si="104"/>
        <v>43.72701584224329</v>
      </c>
      <c r="L307" s="98">
        <f t="shared" ca="1" si="105"/>
        <v>249.05999268288957</v>
      </c>
      <c r="M307" s="98">
        <f t="shared" ca="1" si="106"/>
        <v>1.2384246482054898E-2</v>
      </c>
      <c r="N307" s="98">
        <f t="shared" ca="1" si="107"/>
        <v>49.81199853657791</v>
      </c>
      <c r="O307" s="67">
        <f>assumptions!M311</f>
        <v>55</v>
      </c>
      <c r="P307" s="68">
        <f>assumptions!N311</f>
        <v>3</v>
      </c>
      <c r="Q307" s="68">
        <f>assumptions!O311</f>
        <v>22</v>
      </c>
      <c r="R307" s="67">
        <f t="shared" si="108"/>
        <v>52.5</v>
      </c>
      <c r="S307" s="68">
        <f t="shared" si="109"/>
        <v>2.3275000000000001</v>
      </c>
      <c r="T307" s="68">
        <f t="shared" si="110"/>
        <v>22</v>
      </c>
      <c r="U307" s="73">
        <f t="shared" ca="1" si="111"/>
        <v>2295.6683317177726</v>
      </c>
      <c r="V307" s="72">
        <f t="shared" ca="1" si="112"/>
        <v>579.68713296942553</v>
      </c>
      <c r="W307" s="72">
        <f t="shared" ca="1" si="113"/>
        <v>1095.8639678047141</v>
      </c>
      <c r="X307" s="72">
        <f t="shared" ca="1" si="120"/>
        <v>3971.2194324919119</v>
      </c>
      <c r="Y307" s="73">
        <f>mult_opex * fixed_month</f>
        <v>1000</v>
      </c>
      <c r="Z307" s="72">
        <f ca="1">mult_opex * fixed_well *D307</f>
        <v>5000</v>
      </c>
      <c r="AA307" s="72">
        <f ca="1">(Z307+Y307)*WI_current_1</f>
        <v>6000</v>
      </c>
      <c r="AB307" s="72">
        <f ca="1">mult_opex * var_bo*E307</f>
        <v>0</v>
      </c>
      <c r="AC307" s="72">
        <f ca="1">mult_opex * var_mcf*F307</f>
        <v>0</v>
      </c>
      <c r="AD307" s="72">
        <f ca="1">mult_opex * var_bw * G307</f>
        <v>3.3024657285479729E-2</v>
      </c>
      <c r="AE307" s="72">
        <f ca="1">SUM(AB307:AD307)*WI_current_1</f>
        <v>3.3024657285479729E-2</v>
      </c>
      <c r="AF307" s="73">
        <f ca="1">mult_capex * IFERROR(OFFSET(assumptions!$F$39,MATCH(B307,assumptions!$E$39:$E$45,0)-1,0),0)</f>
        <v>0</v>
      </c>
      <c r="AG307" s="75">
        <f ca="1">mult_capex * capex_new*WI_current_1 *'forecast production'!I308</f>
        <v>0</v>
      </c>
      <c r="AH307" s="146">
        <f t="shared" ca="1" si="121"/>
        <v>0</v>
      </c>
      <c r="AI307" s="73">
        <f t="shared" ca="1" si="114"/>
        <v>231.26707581707802</v>
      </c>
      <c r="AJ307" s="72">
        <f t="shared" ca="1" si="115"/>
        <v>99.280485812297798</v>
      </c>
      <c r="AK307" s="72">
        <f t="shared" ca="1" si="122"/>
        <v>330.54756162937582</v>
      </c>
      <c r="AL307" s="73">
        <f t="shared" ca="1" si="116"/>
        <v>-2359.361153794749</v>
      </c>
      <c r="AM307" s="132">
        <f ca="1">IF(X307*(lease_NRI/J307)  - (Z307+Y307+AB307+AC307+AD307)  - (AK307)*(lease_NRI/J307)&gt;0,1,0)</f>
        <v>0</v>
      </c>
      <c r="AN307" s="73">
        <f t="shared" ca="1" si="123"/>
        <v>0</v>
      </c>
      <c r="AO307" s="75">
        <f t="shared" ca="1" si="128"/>
        <v>2329073.2544940379</v>
      </c>
      <c r="AP307" s="72">
        <f ca="1">AL307  /  ( 1 + disc_1/12)^(COUNT($AL$6:AL307)-1)</f>
        <v>-194.06759313601083</v>
      </c>
      <c r="AQ307" s="72">
        <f t="shared" ca="1" si="129"/>
        <v>1563458.398389671</v>
      </c>
      <c r="AS307" s="303">
        <f t="shared" ca="1" si="124"/>
        <v>1</v>
      </c>
      <c r="AT307" s="300">
        <f ca="1">IFERROR(IRR($AN$6:AN307)*12,0)</f>
        <v>0</v>
      </c>
      <c r="AU307" s="297">
        <f t="shared" ca="1" si="125"/>
        <v>0</v>
      </c>
      <c r="AV307" s="303">
        <f t="shared" ca="1" si="126"/>
        <v>0</v>
      </c>
    </row>
    <row r="308" spans="2:48" x14ac:dyDescent="0.25">
      <c r="B308" s="43">
        <f t="shared" si="127"/>
        <v>53387</v>
      </c>
      <c r="C308" s="79">
        <f t="shared" si="117"/>
        <v>2046</v>
      </c>
      <c r="D308" s="64">
        <f ca="1">wellcount_base  +  SUM('forecast production'!I$7:I309)</f>
        <v>1</v>
      </c>
      <c r="E308" s="110">
        <f ca="1">'forecast production'!AE309</f>
        <v>64.137838369568271</v>
      </c>
      <c r="F308" s="98">
        <f ca="1">'forecast production'!AF309</f>
        <v>487.89198288974507</v>
      </c>
      <c r="G308" s="98">
        <f ca="1">'forecast production'!AG309</f>
        <v>1.7719556043480144E-2</v>
      </c>
      <c r="H308" s="98">
        <f ca="1">'forecast production'!AH309</f>
        <v>73.183797433461763</v>
      </c>
      <c r="I308" s="307">
        <f t="shared" ca="1" si="118"/>
        <v>1</v>
      </c>
      <c r="J308" s="306">
        <f t="shared" ca="1" si="119"/>
        <v>0.75</v>
      </c>
      <c r="K308" s="112">
        <f t="shared" ca="1" si="104"/>
        <v>48.103378777176204</v>
      </c>
      <c r="L308" s="98">
        <f t="shared" ca="1" si="105"/>
        <v>274.43924037548157</v>
      </c>
      <c r="M308" s="98">
        <f t="shared" ca="1" si="106"/>
        <v>1.3289667032610107E-2</v>
      </c>
      <c r="N308" s="98">
        <f t="shared" ca="1" si="107"/>
        <v>54.887848075096322</v>
      </c>
      <c r="O308" s="67">
        <f>assumptions!M312</f>
        <v>55</v>
      </c>
      <c r="P308" s="68">
        <f>assumptions!N312</f>
        <v>3</v>
      </c>
      <c r="Q308" s="68">
        <f>assumptions!O312</f>
        <v>22</v>
      </c>
      <c r="R308" s="67">
        <f t="shared" si="108"/>
        <v>52.5</v>
      </c>
      <c r="S308" s="68">
        <f t="shared" si="109"/>
        <v>2.3275000000000001</v>
      </c>
      <c r="T308" s="68">
        <f t="shared" si="110"/>
        <v>22</v>
      </c>
      <c r="U308" s="73">
        <f t="shared" ca="1" si="111"/>
        <v>2525.4273858017505</v>
      </c>
      <c r="V308" s="72">
        <f t="shared" ca="1" si="112"/>
        <v>638.75733197393345</v>
      </c>
      <c r="W308" s="72">
        <f t="shared" ca="1" si="113"/>
        <v>1207.532657652119</v>
      </c>
      <c r="X308" s="72">
        <f t="shared" ca="1" si="120"/>
        <v>4371.7173754278028</v>
      </c>
      <c r="Y308" s="73">
        <f>mult_opex * fixed_month</f>
        <v>1000</v>
      </c>
      <c r="Z308" s="72">
        <f ca="1">mult_opex * fixed_well *D308</f>
        <v>5000</v>
      </c>
      <c r="AA308" s="72">
        <f ca="1">(Z308+Y308)*WI_current_1</f>
        <v>6000</v>
      </c>
      <c r="AB308" s="72">
        <f ca="1">mult_opex * var_bo*E308</f>
        <v>0</v>
      </c>
      <c r="AC308" s="72">
        <f ca="1">mult_opex * var_mcf*F308</f>
        <v>0</v>
      </c>
      <c r="AD308" s="72">
        <f ca="1">mult_opex * var_bw * G308</f>
        <v>3.5439112086960288E-2</v>
      </c>
      <c r="AE308" s="72">
        <f ca="1">SUM(AB308:AD308)*WI_current_1</f>
        <v>3.5439112086960288E-2</v>
      </c>
      <c r="AF308" s="73">
        <f ca="1">mult_capex * IFERROR(OFFSET(assumptions!$F$39,MATCH(B308,assumptions!$E$39:$E$45,0)-1,0),0)</f>
        <v>0</v>
      </c>
      <c r="AG308" s="75">
        <f ca="1">mult_capex * capex_new*WI_current_1 *'forecast production'!I309</f>
        <v>0</v>
      </c>
      <c r="AH308" s="146">
        <f t="shared" ca="1" si="121"/>
        <v>0</v>
      </c>
      <c r="AI308" s="73">
        <f t="shared" ca="1" si="114"/>
        <v>254.64140896883447</v>
      </c>
      <c r="AJ308" s="72">
        <f t="shared" ca="1" si="115"/>
        <v>109.29293438569508</v>
      </c>
      <c r="AK308" s="72">
        <f t="shared" ca="1" si="122"/>
        <v>363.93434335452957</v>
      </c>
      <c r="AL308" s="73">
        <f t="shared" ca="1" si="116"/>
        <v>-1992.252407038814</v>
      </c>
      <c r="AM308" s="132">
        <f ca="1">IF(X308*(lease_NRI/J308)  - (Z308+Y308+AB308+AC308+AD308)  - (AK308)*(lease_NRI/J308)&gt;0,1,0)</f>
        <v>0</v>
      </c>
      <c r="AN308" s="73">
        <f t="shared" ca="1" si="123"/>
        <v>0</v>
      </c>
      <c r="AO308" s="75">
        <f t="shared" ca="1" si="128"/>
        <v>2329073.2544940379</v>
      </c>
      <c r="AP308" s="72">
        <f ca="1">AL308  /  ( 1 + disc_1/12)^(COUNT($AL$6:AL308)-1)</f>
        <v>-162.51701279948315</v>
      </c>
      <c r="AQ308" s="72">
        <f t="shared" ca="1" si="129"/>
        <v>1563458.398389671</v>
      </c>
      <c r="AS308" s="303">
        <f t="shared" ca="1" si="124"/>
        <v>1</v>
      </c>
      <c r="AT308" s="300">
        <f ca="1">IFERROR(IRR($AN$6:AN308)*12,0)</f>
        <v>0</v>
      </c>
      <c r="AU308" s="297">
        <f t="shared" ca="1" si="125"/>
        <v>0</v>
      </c>
      <c r="AV308" s="303">
        <f t="shared" ca="1" si="126"/>
        <v>0</v>
      </c>
    </row>
    <row r="309" spans="2:48" x14ac:dyDescent="0.25">
      <c r="B309" s="43">
        <f t="shared" si="127"/>
        <v>53418</v>
      </c>
      <c r="C309" s="79">
        <f t="shared" si="117"/>
        <v>2046</v>
      </c>
      <c r="D309" s="64">
        <f ca="1">wellcount_base  +  SUM('forecast production'!I$7:I310)</f>
        <v>1</v>
      </c>
      <c r="E309" s="108">
        <f ca="1">'forecast production'!AE310</f>
        <v>61.630873824457986</v>
      </c>
      <c r="F309" s="97">
        <f ca="1">'forecast production'!AF310</f>
        <v>469.67879243612902</v>
      </c>
      <c r="G309" s="97">
        <f ca="1">'forecast production'!AG310</f>
        <v>1.6565439031366192E-2</v>
      </c>
      <c r="H309" s="98">
        <f ca="1">'forecast production'!AH310</f>
        <v>70.451818865419355</v>
      </c>
      <c r="I309" s="307">
        <f t="shared" ca="1" si="118"/>
        <v>1</v>
      </c>
      <c r="J309" s="306">
        <f t="shared" ca="1" si="119"/>
        <v>0.75</v>
      </c>
      <c r="K309" s="112">
        <f t="shared" ca="1" si="104"/>
        <v>46.223155368343491</v>
      </c>
      <c r="L309" s="98">
        <f t="shared" ca="1" si="105"/>
        <v>264.19432074532256</v>
      </c>
      <c r="M309" s="98">
        <f t="shared" ca="1" si="106"/>
        <v>1.2424079273524645E-2</v>
      </c>
      <c r="N309" s="98">
        <f t="shared" ca="1" si="107"/>
        <v>52.83886414906452</v>
      </c>
      <c r="O309" s="67">
        <f>assumptions!M313</f>
        <v>55</v>
      </c>
      <c r="P309" s="68">
        <f>assumptions!N313</f>
        <v>3</v>
      </c>
      <c r="Q309" s="68">
        <f>assumptions!O313</f>
        <v>22</v>
      </c>
      <c r="R309" s="67">
        <f t="shared" si="108"/>
        <v>52.5</v>
      </c>
      <c r="S309" s="68">
        <f t="shared" si="109"/>
        <v>2.3275000000000001</v>
      </c>
      <c r="T309" s="68">
        <f t="shared" si="110"/>
        <v>22</v>
      </c>
      <c r="U309" s="73">
        <f t="shared" ca="1" si="111"/>
        <v>2426.7156568380333</v>
      </c>
      <c r="V309" s="72">
        <f t="shared" ca="1" si="112"/>
        <v>614.91228153473833</v>
      </c>
      <c r="W309" s="72">
        <f t="shared" ca="1" si="113"/>
        <v>1162.4550112794195</v>
      </c>
      <c r="X309" s="72">
        <f t="shared" ca="1" si="120"/>
        <v>4204.082949652191</v>
      </c>
      <c r="Y309" s="73">
        <f>mult_opex * fixed_month</f>
        <v>1000</v>
      </c>
      <c r="Z309" s="72">
        <f ca="1">mult_opex * fixed_well *D309</f>
        <v>5000</v>
      </c>
      <c r="AA309" s="72">
        <f ca="1">(Z309+Y309)*WI_current_1</f>
        <v>6000</v>
      </c>
      <c r="AB309" s="72">
        <f ca="1">mult_opex * var_bo*E309</f>
        <v>0</v>
      </c>
      <c r="AC309" s="72">
        <f ca="1">mult_opex * var_mcf*F309</f>
        <v>0</v>
      </c>
      <c r="AD309" s="72">
        <f ca="1">mult_opex * var_bw * G309</f>
        <v>3.3130878062732384E-2</v>
      </c>
      <c r="AE309" s="72">
        <f ca="1">SUM(AB309:AD309)*WI_current_1</f>
        <v>3.3130878062732384E-2</v>
      </c>
      <c r="AF309" s="73">
        <f ca="1">mult_capex * IFERROR(OFFSET(assumptions!$F$39,MATCH(B309,assumptions!$E$39:$E$45,0)-1,0),0)</f>
        <v>0</v>
      </c>
      <c r="AG309" s="75">
        <f ca="1">mult_capex * capex_new*WI_current_1 *'forecast production'!I310</f>
        <v>0</v>
      </c>
      <c r="AH309" s="146">
        <f t="shared" ca="1" si="121"/>
        <v>0</v>
      </c>
      <c r="AI309" s="73">
        <f t="shared" ca="1" si="114"/>
        <v>244.93146717561135</v>
      </c>
      <c r="AJ309" s="72">
        <f t="shared" ca="1" si="115"/>
        <v>105.10207374130478</v>
      </c>
      <c r="AK309" s="72">
        <f t="shared" ca="1" si="122"/>
        <v>350.03354091691614</v>
      </c>
      <c r="AL309" s="73">
        <f t="shared" ca="1" si="116"/>
        <v>-2145.9837221427874</v>
      </c>
      <c r="AM309" s="132">
        <f ca="1">IF(X309*(lease_NRI/J309)  - (Z309+Y309+AB309+AC309+AD309)  - (AK309)*(lease_NRI/J309)&gt;0,1,0)</f>
        <v>0</v>
      </c>
      <c r="AN309" s="73">
        <f t="shared" ca="1" si="123"/>
        <v>0</v>
      </c>
      <c r="AO309" s="75">
        <f t="shared" ca="1" si="128"/>
        <v>2329073.2544940379</v>
      </c>
      <c r="AP309" s="72">
        <f ca="1">AL309  /  ( 1 + disc_1/12)^(COUNT($AL$6:AL309)-1)</f>
        <v>-173.61081264375369</v>
      </c>
      <c r="AQ309" s="72">
        <f t="shared" ca="1" si="129"/>
        <v>1563458.398389671</v>
      </c>
      <c r="AS309" s="303">
        <f t="shared" ca="1" si="124"/>
        <v>1</v>
      </c>
      <c r="AT309" s="300">
        <f ca="1">IFERROR(IRR($AN$6:AN309)*12,0)</f>
        <v>0</v>
      </c>
      <c r="AU309" s="297">
        <f t="shared" ca="1" si="125"/>
        <v>0</v>
      </c>
      <c r="AV309" s="303">
        <f t="shared" ca="1" si="126"/>
        <v>0</v>
      </c>
    </row>
    <row r="310" spans="2:48" x14ac:dyDescent="0.25">
      <c r="B310" s="43">
        <f t="shared" si="127"/>
        <v>53448</v>
      </c>
      <c r="C310" s="79">
        <f t="shared" si="117"/>
        <v>2046</v>
      </c>
      <c r="D310" s="64">
        <f ca="1">wellcount_base  +  SUM('forecast production'!I$7:I311)</f>
        <v>1</v>
      </c>
      <c r="E310" s="110">
        <f ca="1">'forecast production'!AE311</f>
        <v>63.25027549984825</v>
      </c>
      <c r="F310" s="98">
        <f ca="1">'forecast production'!AF311</f>
        <v>482.87277536773485</v>
      </c>
      <c r="G310" s="98">
        <f ca="1">'forecast production'!AG311</f>
        <v>1.6554672260123159E-2</v>
      </c>
      <c r="H310" s="98">
        <f ca="1">'forecast production'!AH311</f>
        <v>72.430916305160224</v>
      </c>
      <c r="I310" s="307">
        <f t="shared" ca="1" si="118"/>
        <v>1</v>
      </c>
      <c r="J310" s="306">
        <f t="shared" ca="1" si="119"/>
        <v>0.75</v>
      </c>
      <c r="K310" s="112">
        <f t="shared" ca="1" si="104"/>
        <v>47.437706624886189</v>
      </c>
      <c r="L310" s="98">
        <f t="shared" ca="1" si="105"/>
        <v>271.61593614435083</v>
      </c>
      <c r="M310" s="98">
        <f t="shared" ca="1" si="106"/>
        <v>1.2416004195092369E-2</v>
      </c>
      <c r="N310" s="98">
        <f t="shared" ca="1" si="107"/>
        <v>54.323187228870168</v>
      </c>
      <c r="O310" s="67">
        <f>assumptions!M314</f>
        <v>55</v>
      </c>
      <c r="P310" s="68">
        <f>assumptions!N314</f>
        <v>3</v>
      </c>
      <c r="Q310" s="68">
        <f>assumptions!O314</f>
        <v>22</v>
      </c>
      <c r="R310" s="67">
        <f t="shared" si="108"/>
        <v>52.5</v>
      </c>
      <c r="S310" s="68">
        <f t="shared" si="109"/>
        <v>2.3275000000000001</v>
      </c>
      <c r="T310" s="68">
        <f t="shared" si="110"/>
        <v>22</v>
      </c>
      <c r="U310" s="73">
        <f t="shared" ca="1" si="111"/>
        <v>2490.4795978065249</v>
      </c>
      <c r="V310" s="72">
        <f t="shared" ca="1" si="112"/>
        <v>632.18609137597662</v>
      </c>
      <c r="W310" s="72">
        <f t="shared" ca="1" si="113"/>
        <v>1195.1101190351437</v>
      </c>
      <c r="X310" s="72">
        <f t="shared" ca="1" si="120"/>
        <v>4317.7758082176451</v>
      </c>
      <c r="Y310" s="73">
        <f>mult_opex * fixed_month</f>
        <v>1000</v>
      </c>
      <c r="Z310" s="72">
        <f ca="1">mult_opex * fixed_well *D310</f>
        <v>5000</v>
      </c>
      <c r="AA310" s="72">
        <f ca="1">(Z310+Y310)*WI_current_1</f>
        <v>6000</v>
      </c>
      <c r="AB310" s="72">
        <f ca="1">mult_opex * var_bo*E310</f>
        <v>0</v>
      </c>
      <c r="AC310" s="72">
        <f ca="1">mult_opex * var_mcf*F310</f>
        <v>0</v>
      </c>
      <c r="AD310" s="72">
        <f ca="1">mult_opex * var_bw * G310</f>
        <v>3.3109344520246317E-2</v>
      </c>
      <c r="AE310" s="72">
        <f ca="1">SUM(AB310:AD310)*WI_current_1</f>
        <v>3.3109344520246317E-2</v>
      </c>
      <c r="AF310" s="73">
        <f ca="1">mult_capex * IFERROR(OFFSET(assumptions!$F$39,MATCH(B310,assumptions!$E$39:$E$45,0)-1,0),0)</f>
        <v>0</v>
      </c>
      <c r="AG310" s="75">
        <f ca="1">mult_capex * capex_new*WI_current_1 *'forecast production'!I311</f>
        <v>0</v>
      </c>
      <c r="AH310" s="146">
        <f t="shared" ca="1" si="121"/>
        <v>0</v>
      </c>
      <c r="AI310" s="73">
        <f t="shared" ca="1" si="114"/>
        <v>251.60927727993416</v>
      </c>
      <c r="AJ310" s="72">
        <f t="shared" ca="1" si="115"/>
        <v>107.94439520544114</v>
      </c>
      <c r="AK310" s="72">
        <f t="shared" ca="1" si="122"/>
        <v>359.55367248537527</v>
      </c>
      <c r="AL310" s="73">
        <f t="shared" ca="1" si="116"/>
        <v>-2041.8109736122506</v>
      </c>
      <c r="AM310" s="132">
        <f ca="1">IF(X310*(lease_NRI/J310)  - (Z310+Y310+AB310+AC310+AD310)  - (AK310)*(lease_NRI/J310)&gt;0,1,0)</f>
        <v>0</v>
      </c>
      <c r="AN310" s="73">
        <f t="shared" ca="1" si="123"/>
        <v>0</v>
      </c>
      <c r="AO310" s="75">
        <f t="shared" ca="1" si="128"/>
        <v>2329073.2544940379</v>
      </c>
      <c r="AP310" s="72">
        <f ca="1">AL310  /  ( 1 + disc_1/12)^(COUNT($AL$6:AL310)-1)</f>
        <v>-163.81805144562512</v>
      </c>
      <c r="AQ310" s="72">
        <f t="shared" ca="1" si="129"/>
        <v>1563458.398389671</v>
      </c>
      <c r="AS310" s="303">
        <f t="shared" ca="1" si="124"/>
        <v>1</v>
      </c>
      <c r="AT310" s="300">
        <f ca="1">IFERROR(IRR($AN$6:AN310)*12,0)</f>
        <v>0</v>
      </c>
      <c r="AU310" s="297">
        <f t="shared" ca="1" si="125"/>
        <v>0</v>
      </c>
      <c r="AV310" s="303">
        <f t="shared" ca="1" si="126"/>
        <v>0</v>
      </c>
    </row>
    <row r="311" spans="2:48" x14ac:dyDescent="0.25">
      <c r="B311" s="43">
        <f t="shared" si="127"/>
        <v>53479</v>
      </c>
      <c r="C311" s="79">
        <f t="shared" si="117"/>
        <v>2046</v>
      </c>
      <c r="D311" s="64">
        <f ca="1">wellcount_base  +  SUM('forecast production'!I$7:I312)</f>
        <v>1</v>
      </c>
      <c r="E311" s="110">
        <f ca="1">'forecast production'!AE312</f>
        <v>60.77800324718978</v>
      </c>
      <c r="F311" s="98">
        <f ca="1">'forecast production'!AF312</f>
        <v>464.84695381078149</v>
      </c>
      <c r="G311" s="98">
        <f ca="1">'forecast production'!AG312</f>
        <v>1.5476608724221658E-2</v>
      </c>
      <c r="H311" s="98">
        <f ca="1">'forecast production'!AH312</f>
        <v>69.727043071617231</v>
      </c>
      <c r="I311" s="307">
        <f t="shared" ca="1" si="118"/>
        <v>1</v>
      </c>
      <c r="J311" s="306">
        <f t="shared" ca="1" si="119"/>
        <v>0.75</v>
      </c>
      <c r="K311" s="112">
        <f t="shared" ca="1" si="104"/>
        <v>45.583502435392333</v>
      </c>
      <c r="L311" s="98">
        <f t="shared" ca="1" si="105"/>
        <v>261.47641151856459</v>
      </c>
      <c r="M311" s="98">
        <f t="shared" ca="1" si="106"/>
        <v>1.1607456543166243E-2</v>
      </c>
      <c r="N311" s="98">
        <f t="shared" ca="1" si="107"/>
        <v>52.295282303712924</v>
      </c>
      <c r="O311" s="67">
        <f>assumptions!M315</f>
        <v>55</v>
      </c>
      <c r="P311" s="68">
        <f>assumptions!N315</f>
        <v>3</v>
      </c>
      <c r="Q311" s="68">
        <f>assumptions!O315</f>
        <v>22</v>
      </c>
      <c r="R311" s="67">
        <f t="shared" si="108"/>
        <v>52.5</v>
      </c>
      <c r="S311" s="68">
        <f t="shared" si="109"/>
        <v>2.3275000000000001</v>
      </c>
      <c r="T311" s="68">
        <f t="shared" si="110"/>
        <v>22</v>
      </c>
      <c r="U311" s="73">
        <f t="shared" ca="1" si="111"/>
        <v>2393.1338778580975</v>
      </c>
      <c r="V311" s="72">
        <f t="shared" ca="1" si="112"/>
        <v>608.58634780945908</v>
      </c>
      <c r="W311" s="72">
        <f t="shared" ca="1" si="113"/>
        <v>1150.4962106816843</v>
      </c>
      <c r="X311" s="72">
        <f t="shared" ca="1" si="120"/>
        <v>4152.2164363492411</v>
      </c>
      <c r="Y311" s="73">
        <f>mult_opex * fixed_month</f>
        <v>1000</v>
      </c>
      <c r="Z311" s="72">
        <f ca="1">mult_opex * fixed_well *D311</f>
        <v>5000</v>
      </c>
      <c r="AA311" s="72">
        <f ca="1">(Z311+Y311)*WI_current_1</f>
        <v>6000</v>
      </c>
      <c r="AB311" s="72">
        <f ca="1">mult_opex * var_bo*E311</f>
        <v>0</v>
      </c>
      <c r="AC311" s="72">
        <f ca="1">mult_opex * var_mcf*F311</f>
        <v>0</v>
      </c>
      <c r="AD311" s="72">
        <f ca="1">mult_opex * var_bw * G311</f>
        <v>3.0953217448443315E-2</v>
      </c>
      <c r="AE311" s="72">
        <f ca="1">SUM(AB311:AD311)*WI_current_1</f>
        <v>3.0953217448443315E-2</v>
      </c>
      <c r="AF311" s="73">
        <f ca="1">mult_capex * IFERROR(OFFSET(assumptions!$F$39,MATCH(B311,assumptions!$E$39:$E$45,0)-1,0),0)</f>
        <v>0</v>
      </c>
      <c r="AG311" s="75">
        <f ca="1">mult_capex * capex_new*WI_current_1 *'forecast production'!I312</f>
        <v>0</v>
      </c>
      <c r="AH311" s="146">
        <f t="shared" ca="1" si="121"/>
        <v>0</v>
      </c>
      <c r="AI311" s="73">
        <f t="shared" ca="1" si="114"/>
        <v>242.01535026830823</v>
      </c>
      <c r="AJ311" s="72">
        <f t="shared" ca="1" si="115"/>
        <v>103.80541090873103</v>
      </c>
      <c r="AK311" s="72">
        <f t="shared" ca="1" si="122"/>
        <v>345.82076117703923</v>
      </c>
      <c r="AL311" s="73">
        <f t="shared" ca="1" si="116"/>
        <v>-2193.6352780452471</v>
      </c>
      <c r="AM311" s="132">
        <f ca="1">IF(X311*(lease_NRI/J311)  - (Z311+Y311+AB311+AC311+AD311)  - (AK311)*(lease_NRI/J311)&gt;0,1,0)</f>
        <v>0</v>
      </c>
      <c r="AN311" s="73">
        <f t="shared" ca="1" si="123"/>
        <v>0</v>
      </c>
      <c r="AO311" s="75">
        <f t="shared" ca="1" si="128"/>
        <v>2329073.2544940379</v>
      </c>
      <c r="AP311" s="72">
        <f ca="1">AL311  /  ( 1 + disc_1/12)^(COUNT($AL$6:AL311)-1)</f>
        <v>-174.54464120622691</v>
      </c>
      <c r="AQ311" s="72">
        <f t="shared" ca="1" si="129"/>
        <v>1563458.398389671</v>
      </c>
      <c r="AS311" s="303">
        <f t="shared" ca="1" si="124"/>
        <v>1</v>
      </c>
      <c r="AT311" s="300">
        <f ca="1">IFERROR(IRR($AN$6:AN311)*12,0)</f>
        <v>0</v>
      </c>
      <c r="AU311" s="297">
        <f t="shared" ca="1" si="125"/>
        <v>0</v>
      </c>
      <c r="AV311" s="303">
        <f t="shared" ca="1" si="126"/>
        <v>0</v>
      </c>
    </row>
    <row r="312" spans="2:48" x14ac:dyDescent="0.25">
      <c r="B312" s="43">
        <f t="shared" si="127"/>
        <v>53509</v>
      </c>
      <c r="C312" s="79">
        <f t="shared" si="117"/>
        <v>2046</v>
      </c>
      <c r="D312" s="64">
        <f ca="1">wellcount_base  +  SUM('forecast production'!I$7:I313)</f>
        <v>1</v>
      </c>
      <c r="E312" s="110">
        <f ca="1">'forecast production'!AE313</f>
        <v>62.374995049800155</v>
      </c>
      <c r="F312" s="98">
        <f ca="1">'forecast production'!AF313</f>
        <v>477.90520313597841</v>
      </c>
      <c r="G312" s="98">
        <f ca="1">'forecast production'!AG313</f>
        <v>1.5466725418258108E-2</v>
      </c>
      <c r="H312" s="98">
        <f ca="1">'forecast production'!AH313</f>
        <v>71.685780470396764</v>
      </c>
      <c r="I312" s="307">
        <f t="shared" ca="1" si="118"/>
        <v>1</v>
      </c>
      <c r="J312" s="306">
        <f t="shared" ca="1" si="119"/>
        <v>0.75</v>
      </c>
      <c r="K312" s="112">
        <f t="shared" ca="1" si="104"/>
        <v>46.781246287350115</v>
      </c>
      <c r="L312" s="98">
        <f t="shared" ca="1" si="105"/>
        <v>268.82167676398785</v>
      </c>
      <c r="M312" s="98">
        <f t="shared" ca="1" si="106"/>
        <v>1.160004406369358E-2</v>
      </c>
      <c r="N312" s="98">
        <f t="shared" ca="1" si="107"/>
        <v>53.764335352797573</v>
      </c>
      <c r="O312" s="67">
        <f>assumptions!M316</f>
        <v>55</v>
      </c>
      <c r="P312" s="68">
        <f>assumptions!N316</f>
        <v>3</v>
      </c>
      <c r="Q312" s="68">
        <f>assumptions!O316</f>
        <v>22</v>
      </c>
      <c r="R312" s="67">
        <f t="shared" si="108"/>
        <v>52.5</v>
      </c>
      <c r="S312" s="68">
        <f t="shared" si="109"/>
        <v>2.3275000000000001</v>
      </c>
      <c r="T312" s="68">
        <f t="shared" si="110"/>
        <v>22</v>
      </c>
      <c r="U312" s="73">
        <f t="shared" ca="1" si="111"/>
        <v>2456.0154300858812</v>
      </c>
      <c r="V312" s="72">
        <f t="shared" ca="1" si="112"/>
        <v>625.68245266818178</v>
      </c>
      <c r="W312" s="72">
        <f t="shared" ca="1" si="113"/>
        <v>1182.8153777615466</v>
      </c>
      <c r="X312" s="72">
        <f t="shared" ca="1" si="120"/>
        <v>4264.5132605156095</v>
      </c>
      <c r="Y312" s="73">
        <f>mult_opex * fixed_month</f>
        <v>1000</v>
      </c>
      <c r="Z312" s="72">
        <f ca="1">mult_opex * fixed_well *D312</f>
        <v>5000</v>
      </c>
      <c r="AA312" s="72">
        <f ca="1">(Z312+Y312)*WI_current_1</f>
        <v>6000</v>
      </c>
      <c r="AB312" s="72">
        <f ca="1">mult_opex * var_bo*E312</f>
        <v>0</v>
      </c>
      <c r="AC312" s="72">
        <f ca="1">mult_opex * var_mcf*F312</f>
        <v>0</v>
      </c>
      <c r="AD312" s="72">
        <f ca="1">mult_opex * var_bw * G312</f>
        <v>3.0933450836516215E-2</v>
      </c>
      <c r="AE312" s="72">
        <f ca="1">SUM(AB312:AD312)*WI_current_1</f>
        <v>3.0933450836516215E-2</v>
      </c>
      <c r="AF312" s="73">
        <f ca="1">mult_capex * IFERROR(OFFSET(assumptions!$F$39,MATCH(B312,assumptions!$E$39:$E$45,0)-1,0),0)</f>
        <v>0</v>
      </c>
      <c r="AG312" s="75">
        <f ca="1">mult_capex * capex_new*WI_current_1 *'forecast production'!I313</f>
        <v>0</v>
      </c>
      <c r="AH312" s="146">
        <f t="shared" ca="1" si="121"/>
        <v>0</v>
      </c>
      <c r="AI312" s="73">
        <f t="shared" ca="1" si="114"/>
        <v>248.61404706618018</v>
      </c>
      <c r="AJ312" s="72">
        <f t="shared" ca="1" si="115"/>
        <v>106.61283151289024</v>
      </c>
      <c r="AK312" s="72">
        <f t="shared" ca="1" si="122"/>
        <v>355.22687857907044</v>
      </c>
      <c r="AL312" s="73">
        <f t="shared" ca="1" si="116"/>
        <v>-2090.7445515142972</v>
      </c>
      <c r="AM312" s="132">
        <f ca="1">IF(X312*(lease_NRI/J312)  - (Z312+Y312+AB312+AC312+AD312)  - (AK312)*(lease_NRI/J312)&gt;0,1,0)</f>
        <v>0</v>
      </c>
      <c r="AN312" s="73">
        <f t="shared" ca="1" si="123"/>
        <v>0</v>
      </c>
      <c r="AO312" s="75">
        <f t="shared" ca="1" si="128"/>
        <v>2329073.2544940379</v>
      </c>
      <c r="AP312" s="72">
        <f ca="1">AL312  /  ( 1 + disc_1/12)^(COUNT($AL$6:AL312)-1)</f>
        <v>-164.98290541134597</v>
      </c>
      <c r="AQ312" s="72">
        <f t="shared" ca="1" si="129"/>
        <v>1563458.398389671</v>
      </c>
      <c r="AS312" s="303">
        <f t="shared" ca="1" si="124"/>
        <v>1</v>
      </c>
      <c r="AT312" s="300">
        <f ca="1">IFERROR(IRR($AN$6:AN312)*12,0)</f>
        <v>0</v>
      </c>
      <c r="AU312" s="297">
        <f t="shared" ca="1" si="125"/>
        <v>0</v>
      </c>
      <c r="AV312" s="303">
        <f t="shared" ca="1" si="126"/>
        <v>0</v>
      </c>
    </row>
    <row r="313" spans="2:48" x14ac:dyDescent="0.25">
      <c r="B313" s="43">
        <f t="shared" si="127"/>
        <v>53540</v>
      </c>
      <c r="C313" s="79">
        <f t="shared" si="117"/>
        <v>2046</v>
      </c>
      <c r="D313" s="64">
        <f ca="1">wellcount_base  +  SUM('forecast production'!I$7:I314)</f>
        <v>1</v>
      </c>
      <c r="E313" s="108">
        <f ca="1">'forecast production'!AE314</f>
        <v>61.934832838458377</v>
      </c>
      <c r="F313" s="97">
        <f ca="1">'forecast production'!AF314</f>
        <v>475.4003170079954</v>
      </c>
      <c r="G313" s="97">
        <f ca="1">'forecast production'!AG314</f>
        <v>1.4941669603489648E-2</v>
      </c>
      <c r="H313" s="98">
        <f ca="1">'forecast production'!AH314</f>
        <v>71.310047551199318</v>
      </c>
      <c r="I313" s="307">
        <f t="shared" ca="1" si="118"/>
        <v>1</v>
      </c>
      <c r="J313" s="306">
        <f t="shared" ca="1" si="119"/>
        <v>0.75</v>
      </c>
      <c r="K313" s="112">
        <f t="shared" ca="1" si="104"/>
        <v>46.451124628843786</v>
      </c>
      <c r="L313" s="98">
        <f t="shared" ca="1" si="105"/>
        <v>267.41267831699741</v>
      </c>
      <c r="M313" s="98">
        <f t="shared" ca="1" si="106"/>
        <v>1.1206252202617235E-2</v>
      </c>
      <c r="N313" s="98">
        <f t="shared" ca="1" si="107"/>
        <v>53.482535663399489</v>
      </c>
      <c r="O313" s="67">
        <f>assumptions!M317</f>
        <v>55</v>
      </c>
      <c r="P313" s="68">
        <f>assumptions!N317</f>
        <v>3</v>
      </c>
      <c r="Q313" s="68">
        <f>assumptions!O317</f>
        <v>22</v>
      </c>
      <c r="R313" s="67">
        <f t="shared" si="108"/>
        <v>52.5</v>
      </c>
      <c r="S313" s="68">
        <f t="shared" si="109"/>
        <v>2.3275000000000001</v>
      </c>
      <c r="T313" s="68">
        <f t="shared" si="110"/>
        <v>22</v>
      </c>
      <c r="U313" s="73">
        <f t="shared" ca="1" si="111"/>
        <v>2438.6840430142988</v>
      </c>
      <c r="V313" s="72">
        <f t="shared" ca="1" si="112"/>
        <v>622.40300878281153</v>
      </c>
      <c r="W313" s="72">
        <f t="shared" ca="1" si="113"/>
        <v>1176.6157845947887</v>
      </c>
      <c r="X313" s="72">
        <f t="shared" ca="1" si="120"/>
        <v>4237.7028363918989</v>
      </c>
      <c r="Y313" s="73">
        <f>mult_opex * fixed_month</f>
        <v>1000</v>
      </c>
      <c r="Z313" s="72">
        <f ca="1">mult_opex * fixed_well *D313</f>
        <v>5000</v>
      </c>
      <c r="AA313" s="72">
        <f ca="1">(Z313+Y313)*WI_current_1</f>
        <v>6000</v>
      </c>
      <c r="AB313" s="72">
        <f ca="1">mult_opex * var_bo*E313</f>
        <v>0</v>
      </c>
      <c r="AC313" s="72">
        <f ca="1">mult_opex * var_mcf*F313</f>
        <v>0</v>
      </c>
      <c r="AD313" s="72">
        <f ca="1">mult_opex * var_bw * G313</f>
        <v>2.9883339206979297E-2</v>
      </c>
      <c r="AE313" s="72">
        <f ca="1">SUM(AB313:AD313)*WI_current_1</f>
        <v>2.9883339206979297E-2</v>
      </c>
      <c r="AF313" s="73">
        <f ca="1">mult_capex * IFERROR(OFFSET(assumptions!$F$39,MATCH(B313,assumptions!$E$39:$E$45,0)-1,0),0)</f>
        <v>0</v>
      </c>
      <c r="AG313" s="75">
        <f ca="1">mult_capex * capex_new*WI_current_1 *'forecast production'!I314</f>
        <v>0</v>
      </c>
      <c r="AH313" s="146">
        <f t="shared" ca="1" si="121"/>
        <v>0</v>
      </c>
      <c r="AI313" s="73">
        <f t="shared" ca="1" si="114"/>
        <v>247.10587548197776</v>
      </c>
      <c r="AJ313" s="72">
        <f t="shared" ca="1" si="115"/>
        <v>105.94257090979748</v>
      </c>
      <c r="AK313" s="72">
        <f t="shared" ca="1" si="122"/>
        <v>353.04844639177526</v>
      </c>
      <c r="AL313" s="73">
        <f t="shared" ca="1" si="116"/>
        <v>-2115.3754933390833</v>
      </c>
      <c r="AM313" s="132">
        <f ca="1">IF(X313*(lease_NRI/J313)  - (Z313+Y313+AB313+AC313+AD313)  - (AK313)*(lease_NRI/J313)&gt;0,1,0)</f>
        <v>0</v>
      </c>
      <c r="AN313" s="73">
        <f t="shared" ca="1" si="123"/>
        <v>0</v>
      </c>
      <c r="AO313" s="75">
        <f t="shared" ca="1" si="128"/>
        <v>2329073.2544940379</v>
      </c>
      <c r="AP313" s="72">
        <f ca="1">AL313  /  ( 1 + disc_1/12)^(COUNT($AL$6:AL313)-1)</f>
        <v>-165.54700122788688</v>
      </c>
      <c r="AQ313" s="72">
        <f t="shared" ca="1" si="129"/>
        <v>1563458.398389671</v>
      </c>
      <c r="AS313" s="303">
        <f t="shared" ca="1" si="124"/>
        <v>1</v>
      </c>
      <c r="AT313" s="300">
        <f ca="1">IFERROR(IRR($AN$6:AN313)*12,0)</f>
        <v>0</v>
      </c>
      <c r="AU313" s="297">
        <f t="shared" ca="1" si="125"/>
        <v>0</v>
      </c>
      <c r="AV313" s="303">
        <f t="shared" ca="1" si="126"/>
        <v>0</v>
      </c>
    </row>
    <row r="314" spans="2:48" x14ac:dyDescent="0.25">
      <c r="B314" s="43">
        <f t="shared" si="127"/>
        <v>53571</v>
      </c>
      <c r="C314" s="79">
        <f t="shared" si="117"/>
        <v>2046</v>
      </c>
      <c r="D314" s="64">
        <f ca="1">wellcount_base  +  SUM('forecast production'!I$7:I315)</f>
        <v>1</v>
      </c>
      <c r="E314" s="110">
        <f ca="1">'forecast production'!AE315</f>
        <v>59.513977474754412</v>
      </c>
      <c r="F314" s="98">
        <f ca="1">'forecast production'!AF315</f>
        <v>457.65344512030396</v>
      </c>
      <c r="G314" s="98">
        <f ca="1">'forecast production'!AG315</f>
        <v>1.3968894353386331E-2</v>
      </c>
      <c r="H314" s="98">
        <f ca="1">'forecast production'!AH315</f>
        <v>68.648016768045579</v>
      </c>
      <c r="I314" s="307">
        <f t="shared" ca="1" si="118"/>
        <v>1</v>
      </c>
      <c r="J314" s="306">
        <f t="shared" ca="1" si="119"/>
        <v>0.75</v>
      </c>
      <c r="K314" s="112">
        <f t="shared" ca="1" si="104"/>
        <v>44.635483106065806</v>
      </c>
      <c r="L314" s="98">
        <f t="shared" ca="1" si="105"/>
        <v>257.43006288017096</v>
      </c>
      <c r="M314" s="98">
        <f t="shared" ca="1" si="106"/>
        <v>1.0476670765039749E-2</v>
      </c>
      <c r="N314" s="98">
        <f t="shared" ca="1" si="107"/>
        <v>51.486012576034184</v>
      </c>
      <c r="O314" s="67">
        <f>assumptions!M318</f>
        <v>55</v>
      </c>
      <c r="P314" s="68">
        <f>assumptions!N318</f>
        <v>3</v>
      </c>
      <c r="Q314" s="68">
        <f>assumptions!O318</f>
        <v>22</v>
      </c>
      <c r="R314" s="67">
        <f t="shared" si="108"/>
        <v>52.5</v>
      </c>
      <c r="S314" s="68">
        <f t="shared" si="109"/>
        <v>2.3275000000000001</v>
      </c>
      <c r="T314" s="68">
        <f t="shared" si="110"/>
        <v>22</v>
      </c>
      <c r="U314" s="73">
        <f t="shared" ca="1" si="111"/>
        <v>2343.3628630684548</v>
      </c>
      <c r="V314" s="72">
        <f t="shared" ca="1" si="112"/>
        <v>599.16847135359797</v>
      </c>
      <c r="W314" s="72">
        <f t="shared" ca="1" si="113"/>
        <v>1132.6922766727521</v>
      </c>
      <c r="X314" s="72">
        <f t="shared" ca="1" si="120"/>
        <v>4075.2236110948047</v>
      </c>
      <c r="Y314" s="73">
        <f>mult_opex * fixed_month</f>
        <v>1000</v>
      </c>
      <c r="Z314" s="72">
        <f ca="1">mult_opex * fixed_well *D314</f>
        <v>5000</v>
      </c>
      <c r="AA314" s="72">
        <f ca="1">(Z314+Y314)*WI_current_1</f>
        <v>6000</v>
      </c>
      <c r="AB314" s="72">
        <f ca="1">mult_opex * var_bo*E314</f>
        <v>0</v>
      </c>
      <c r="AC314" s="72">
        <f ca="1">mult_opex * var_mcf*F314</f>
        <v>0</v>
      </c>
      <c r="AD314" s="72">
        <f ca="1">mult_opex * var_bw * G314</f>
        <v>2.7937788706772663E-2</v>
      </c>
      <c r="AE314" s="72">
        <f ca="1">SUM(AB314:AD314)*WI_current_1</f>
        <v>2.7937788706772663E-2</v>
      </c>
      <c r="AF314" s="73">
        <f ca="1">mult_capex * IFERROR(OFFSET(assumptions!$F$39,MATCH(B314,assumptions!$E$39:$E$45,0)-1,0),0)</f>
        <v>0</v>
      </c>
      <c r="AG314" s="75">
        <f ca="1">mult_capex * capex_new*WI_current_1 *'forecast production'!I315</f>
        <v>0</v>
      </c>
      <c r="AH314" s="146">
        <f t="shared" ca="1" si="121"/>
        <v>0</v>
      </c>
      <c r="AI314" s="73">
        <f t="shared" ca="1" si="114"/>
        <v>237.68424780312517</v>
      </c>
      <c r="AJ314" s="72">
        <f t="shared" ca="1" si="115"/>
        <v>101.88059027737012</v>
      </c>
      <c r="AK314" s="72">
        <f t="shared" ca="1" si="122"/>
        <v>339.56483808049529</v>
      </c>
      <c r="AL314" s="73">
        <f t="shared" ca="1" si="116"/>
        <v>-2264.3691647743972</v>
      </c>
      <c r="AM314" s="132">
        <f ca="1">IF(X314*(lease_NRI/J314)  - (Z314+Y314+AB314+AC314+AD314)  - (AK314)*(lease_NRI/J314)&gt;0,1,0)</f>
        <v>0</v>
      </c>
      <c r="AN314" s="73">
        <f t="shared" ca="1" si="123"/>
        <v>0</v>
      </c>
      <c r="AO314" s="75">
        <f t="shared" ca="1" si="128"/>
        <v>2329073.2544940379</v>
      </c>
      <c r="AP314" s="72">
        <f ca="1">AL314  /  ( 1 + disc_1/12)^(COUNT($AL$6:AL314)-1)</f>
        <v>-175.74256365804226</v>
      </c>
      <c r="AQ314" s="72">
        <f t="shared" ca="1" si="129"/>
        <v>1563458.398389671</v>
      </c>
      <c r="AS314" s="303">
        <f t="shared" ca="1" si="124"/>
        <v>1</v>
      </c>
      <c r="AT314" s="300">
        <f ca="1">IFERROR(IRR($AN$6:AN314)*12,0)</f>
        <v>0</v>
      </c>
      <c r="AU314" s="297">
        <f t="shared" ca="1" si="125"/>
        <v>0</v>
      </c>
      <c r="AV314" s="303">
        <f t="shared" ca="1" si="126"/>
        <v>0</v>
      </c>
    </row>
    <row r="315" spans="2:48" x14ac:dyDescent="0.25">
      <c r="B315" s="43">
        <f t="shared" si="127"/>
        <v>53601</v>
      </c>
      <c r="C315" s="79">
        <f t="shared" si="117"/>
        <v>2046</v>
      </c>
      <c r="D315" s="64">
        <f ca="1">wellcount_base  +  SUM('forecast production'!I$7:I316)</f>
        <v>1</v>
      </c>
      <c r="E315" s="110">
        <f ca="1">'forecast production'!AE316</f>
        <v>61.077755965162716</v>
      </c>
      <c r="F315" s="98">
        <f ca="1">'forecast production'!AF316</f>
        <v>470.50961797875607</v>
      </c>
      <c r="G315" s="98">
        <f ca="1">'forecast production'!AG316</f>
        <v>1.3960212946173712E-2</v>
      </c>
      <c r="H315" s="98">
        <f ca="1">'forecast production'!AH316</f>
        <v>70.576442696813416</v>
      </c>
      <c r="I315" s="307">
        <f t="shared" ca="1" si="118"/>
        <v>1</v>
      </c>
      <c r="J315" s="306">
        <f t="shared" ca="1" si="119"/>
        <v>0.75</v>
      </c>
      <c r="K315" s="112">
        <f t="shared" ca="1" si="104"/>
        <v>45.808316973872039</v>
      </c>
      <c r="L315" s="98">
        <f t="shared" ca="1" si="105"/>
        <v>264.66166011305029</v>
      </c>
      <c r="M315" s="98">
        <f t="shared" ca="1" si="106"/>
        <v>1.0470159709630285E-2</v>
      </c>
      <c r="N315" s="98">
        <f t="shared" ca="1" si="107"/>
        <v>52.932332022610062</v>
      </c>
      <c r="O315" s="67">
        <f>assumptions!M319</f>
        <v>55</v>
      </c>
      <c r="P315" s="68">
        <f>assumptions!N319</f>
        <v>3</v>
      </c>
      <c r="Q315" s="68">
        <f>assumptions!O319</f>
        <v>22</v>
      </c>
      <c r="R315" s="67">
        <f t="shared" si="108"/>
        <v>52.5</v>
      </c>
      <c r="S315" s="68">
        <f t="shared" si="109"/>
        <v>2.3275000000000001</v>
      </c>
      <c r="T315" s="68">
        <f t="shared" si="110"/>
        <v>22</v>
      </c>
      <c r="U315" s="73">
        <f t="shared" ca="1" si="111"/>
        <v>2404.9366411282822</v>
      </c>
      <c r="V315" s="72">
        <f t="shared" ca="1" si="112"/>
        <v>616.00001391312458</v>
      </c>
      <c r="W315" s="72">
        <f t="shared" ca="1" si="113"/>
        <v>1164.5113044974214</v>
      </c>
      <c r="X315" s="72">
        <f t="shared" ca="1" si="120"/>
        <v>4185.4479595388284</v>
      </c>
      <c r="Y315" s="73">
        <f>mult_opex * fixed_month</f>
        <v>1000</v>
      </c>
      <c r="Z315" s="72">
        <f ca="1">mult_opex * fixed_well *D315</f>
        <v>5000</v>
      </c>
      <c r="AA315" s="72">
        <f ca="1">(Z315+Y315)*WI_current_1</f>
        <v>6000</v>
      </c>
      <c r="AB315" s="72">
        <f ca="1">mult_opex * var_bo*E315</f>
        <v>0</v>
      </c>
      <c r="AC315" s="72">
        <f ca="1">mult_opex * var_mcf*F315</f>
        <v>0</v>
      </c>
      <c r="AD315" s="72">
        <f ca="1">mult_opex * var_bw * G315</f>
        <v>2.7920425892347424E-2</v>
      </c>
      <c r="AE315" s="72">
        <f ca="1">SUM(AB315:AD315)*WI_current_1</f>
        <v>2.7920425892347424E-2</v>
      </c>
      <c r="AF315" s="73">
        <f ca="1">mult_capex * IFERROR(OFFSET(assumptions!$F$39,MATCH(B315,assumptions!$E$39:$E$45,0)-1,0),0)</f>
        <v>0</v>
      </c>
      <c r="AG315" s="75">
        <f ca="1">mult_capex * capex_new*WI_current_1 *'forecast production'!I316</f>
        <v>0</v>
      </c>
      <c r="AH315" s="146">
        <f t="shared" ca="1" si="121"/>
        <v>0</v>
      </c>
      <c r="AI315" s="73">
        <f t="shared" ca="1" si="114"/>
        <v>244.16543437269192</v>
      </c>
      <c r="AJ315" s="72">
        <f t="shared" ca="1" si="115"/>
        <v>104.63619898847071</v>
      </c>
      <c r="AK315" s="72">
        <f t="shared" ca="1" si="122"/>
        <v>348.80163336116266</v>
      </c>
      <c r="AL315" s="73">
        <f t="shared" ca="1" si="116"/>
        <v>-2163.3815942482265</v>
      </c>
      <c r="AM315" s="132">
        <f ca="1">IF(X315*(lease_NRI/J315)  - (Z315+Y315+AB315+AC315+AD315)  - (AK315)*(lease_NRI/J315)&gt;0,1,0)</f>
        <v>0</v>
      </c>
      <c r="AN315" s="73">
        <f t="shared" ca="1" si="123"/>
        <v>0</v>
      </c>
      <c r="AO315" s="75">
        <f t="shared" ca="1" si="128"/>
        <v>2329073.2544940379</v>
      </c>
      <c r="AP315" s="72">
        <f ca="1">AL315  /  ( 1 + disc_1/12)^(COUNT($AL$6:AL315)-1)</f>
        <v>-166.51705883366432</v>
      </c>
      <c r="AQ315" s="72">
        <f t="shared" ca="1" si="129"/>
        <v>1563458.398389671</v>
      </c>
      <c r="AS315" s="303">
        <f t="shared" ca="1" si="124"/>
        <v>1</v>
      </c>
      <c r="AT315" s="300">
        <f ca="1">IFERROR(IRR($AN$6:AN315)*12,0)</f>
        <v>0</v>
      </c>
      <c r="AU315" s="297">
        <f t="shared" ca="1" si="125"/>
        <v>0</v>
      </c>
      <c r="AV315" s="303">
        <f t="shared" ca="1" si="126"/>
        <v>0</v>
      </c>
    </row>
    <row r="316" spans="2:48" x14ac:dyDescent="0.25">
      <c r="B316" s="43">
        <f t="shared" si="127"/>
        <v>53632</v>
      </c>
      <c r="C316" s="79">
        <f t="shared" si="117"/>
        <v>2046</v>
      </c>
      <c r="D316" s="64">
        <f ca="1">wellcount_base  +  SUM('forecast production'!I$7:I317)</f>
        <v>1</v>
      </c>
      <c r="E316" s="110">
        <f ca="1">'forecast production'!AE317</f>
        <v>58.690401283558522</v>
      </c>
      <c r="F316" s="98">
        <f ca="1">'forecast production'!AF317</f>
        <v>452.94531771756124</v>
      </c>
      <c r="G316" s="98">
        <f ca="1">'forecast production'!AG317</f>
        <v>1.3051488352919515E-2</v>
      </c>
      <c r="H316" s="98">
        <f ca="1">'forecast production'!AH317</f>
        <v>67.941797657634183</v>
      </c>
      <c r="I316" s="307">
        <f t="shared" ca="1" si="118"/>
        <v>1</v>
      </c>
      <c r="J316" s="306">
        <f t="shared" ca="1" si="119"/>
        <v>0.75</v>
      </c>
      <c r="K316" s="112">
        <f t="shared" ca="1" si="104"/>
        <v>44.017800962668893</v>
      </c>
      <c r="L316" s="98">
        <f t="shared" ca="1" si="105"/>
        <v>254.78174121612818</v>
      </c>
      <c r="M316" s="98">
        <f t="shared" ca="1" si="106"/>
        <v>9.7886162646896365E-3</v>
      </c>
      <c r="N316" s="98">
        <f t="shared" ca="1" si="107"/>
        <v>50.956348243225634</v>
      </c>
      <c r="O316" s="67">
        <f>assumptions!M320</f>
        <v>55</v>
      </c>
      <c r="P316" s="68">
        <f>assumptions!N320</f>
        <v>3</v>
      </c>
      <c r="Q316" s="68">
        <f>assumptions!O320</f>
        <v>22</v>
      </c>
      <c r="R316" s="67">
        <f t="shared" si="108"/>
        <v>52.5</v>
      </c>
      <c r="S316" s="68">
        <f t="shared" si="109"/>
        <v>2.3275000000000001</v>
      </c>
      <c r="T316" s="68">
        <f t="shared" si="110"/>
        <v>22</v>
      </c>
      <c r="U316" s="73">
        <f t="shared" ca="1" si="111"/>
        <v>2310.934550540117</v>
      </c>
      <c r="V316" s="72">
        <f t="shared" ca="1" si="112"/>
        <v>593.00450268053839</v>
      </c>
      <c r="W316" s="72">
        <f t="shared" ca="1" si="113"/>
        <v>1121.039661350964</v>
      </c>
      <c r="X316" s="72">
        <f t="shared" ca="1" si="120"/>
        <v>4024.9787145716191</v>
      </c>
      <c r="Y316" s="73">
        <f>mult_opex * fixed_month</f>
        <v>1000</v>
      </c>
      <c r="Z316" s="72">
        <f ca="1">mult_opex * fixed_well *D316</f>
        <v>5000</v>
      </c>
      <c r="AA316" s="72">
        <f ca="1">(Z316+Y316)*WI_current_1</f>
        <v>6000</v>
      </c>
      <c r="AB316" s="72">
        <f ca="1">mult_opex * var_bo*E316</f>
        <v>0</v>
      </c>
      <c r="AC316" s="72">
        <f ca="1">mult_opex * var_mcf*F316</f>
        <v>0</v>
      </c>
      <c r="AD316" s="72">
        <f ca="1">mult_opex * var_bw * G316</f>
        <v>2.610297670583903E-2</v>
      </c>
      <c r="AE316" s="72">
        <f ca="1">SUM(AB316:AD316)*WI_current_1</f>
        <v>2.610297670583903E-2</v>
      </c>
      <c r="AF316" s="73">
        <f ca="1">mult_capex * IFERROR(OFFSET(assumptions!$F$39,MATCH(B316,assumptions!$E$39:$E$45,0)-1,0),0)</f>
        <v>0</v>
      </c>
      <c r="AG316" s="75">
        <f ca="1">mult_capex * capex_new*WI_current_1 *'forecast production'!I317</f>
        <v>0</v>
      </c>
      <c r="AH316" s="146">
        <f t="shared" ca="1" si="121"/>
        <v>0</v>
      </c>
      <c r="AI316" s="73">
        <f t="shared" ca="1" si="114"/>
        <v>234.85630162720807</v>
      </c>
      <c r="AJ316" s="72">
        <f t="shared" ca="1" si="115"/>
        <v>100.62446786429048</v>
      </c>
      <c r="AK316" s="72">
        <f t="shared" ca="1" si="122"/>
        <v>335.48076949149856</v>
      </c>
      <c r="AL316" s="73">
        <f t="shared" ca="1" si="116"/>
        <v>-2310.5281578965851</v>
      </c>
      <c r="AM316" s="132">
        <f ca="1">IF(X316*(lease_NRI/J316)  - (Z316+Y316+AB316+AC316+AD316)  - (AK316)*(lease_NRI/J316)&gt;0,1,0)</f>
        <v>0</v>
      </c>
      <c r="AN316" s="73">
        <f t="shared" ca="1" si="123"/>
        <v>0</v>
      </c>
      <c r="AO316" s="75">
        <f t="shared" ca="1" si="128"/>
        <v>2329073.2544940379</v>
      </c>
      <c r="AP316" s="72">
        <f ca="1">AL316  /  ( 1 + disc_1/12)^(COUNT($AL$6:AL316)-1)</f>
        <v>-176.37325996962224</v>
      </c>
      <c r="AQ316" s="72">
        <f t="shared" ca="1" si="129"/>
        <v>1563458.398389671</v>
      </c>
      <c r="AS316" s="303">
        <f t="shared" ca="1" si="124"/>
        <v>1</v>
      </c>
      <c r="AT316" s="300">
        <f ca="1">IFERROR(IRR($AN$6:AN316)*12,0)</f>
        <v>0</v>
      </c>
      <c r="AU316" s="297">
        <f t="shared" ca="1" si="125"/>
        <v>0</v>
      </c>
      <c r="AV316" s="303">
        <f t="shared" ca="1" si="126"/>
        <v>0</v>
      </c>
    </row>
    <row r="317" spans="2:48" x14ac:dyDescent="0.25">
      <c r="B317" s="44">
        <f t="shared" si="127"/>
        <v>53662</v>
      </c>
      <c r="C317" s="100">
        <f t="shared" si="117"/>
        <v>2046</v>
      </c>
      <c r="D317" s="65">
        <f ca="1">wellcount_base  +  SUM('forecast production'!I$7:I318)</f>
        <v>1</v>
      </c>
      <c r="E317" s="109">
        <f ca="1">'forecast production'!AE318</f>
        <v>60.232539635168322</v>
      </c>
      <c r="F317" s="101">
        <f ca="1">'forecast production'!AF318</f>
        <v>465.66923220371291</v>
      </c>
      <c r="G317" s="101">
        <f ca="1">'forecast production'!AG318</f>
        <v>1.3043525080663834E-2</v>
      </c>
      <c r="H317" s="102">
        <f ca="1">'forecast production'!AH318</f>
        <v>69.850384830556933</v>
      </c>
      <c r="I317" s="308">
        <f t="shared" ca="1" si="118"/>
        <v>1</v>
      </c>
      <c r="J317" s="309">
        <f t="shared" ca="1" si="119"/>
        <v>0.75</v>
      </c>
      <c r="K317" s="113">
        <f t="shared" ca="1" si="104"/>
        <v>45.174404726376238</v>
      </c>
      <c r="L317" s="102">
        <f t="shared" ca="1" si="105"/>
        <v>261.93894311458848</v>
      </c>
      <c r="M317" s="102">
        <f t="shared" ca="1" si="106"/>
        <v>9.7826438104978743E-3</v>
      </c>
      <c r="N317" s="102">
        <f t="shared" ca="1" si="107"/>
        <v>52.387788622917697</v>
      </c>
      <c r="O317" s="103">
        <f>assumptions!M321</f>
        <v>55</v>
      </c>
      <c r="P317" s="104">
        <f>assumptions!N321</f>
        <v>3</v>
      </c>
      <c r="Q317" s="104">
        <f>assumptions!O321</f>
        <v>22</v>
      </c>
      <c r="R317" s="103">
        <f t="shared" si="108"/>
        <v>52.5</v>
      </c>
      <c r="S317" s="104">
        <f t="shared" si="109"/>
        <v>2.3275000000000001</v>
      </c>
      <c r="T317" s="104">
        <f t="shared" si="110"/>
        <v>22</v>
      </c>
      <c r="U317" s="105">
        <f t="shared" ca="1" si="111"/>
        <v>2371.6562481347523</v>
      </c>
      <c r="V317" s="106">
        <f t="shared" ca="1" si="112"/>
        <v>609.66289009920467</v>
      </c>
      <c r="W317" s="106">
        <f t="shared" ca="1" si="113"/>
        <v>1152.5313497041893</v>
      </c>
      <c r="X317" s="106">
        <f t="shared" ca="1" si="120"/>
        <v>4133.8504879381462</v>
      </c>
      <c r="Y317" s="105">
        <f>mult_opex * fixed_month</f>
        <v>1000</v>
      </c>
      <c r="Z317" s="106">
        <f ca="1">mult_opex * fixed_well *D317</f>
        <v>5000</v>
      </c>
      <c r="AA317" s="106">
        <f ca="1">(Z317+Y317)*WI_current_1</f>
        <v>6000</v>
      </c>
      <c r="AB317" s="106">
        <f ca="1">mult_opex * var_bo*E317</f>
        <v>0</v>
      </c>
      <c r="AC317" s="106">
        <f ca="1">mult_opex * var_mcf*F317</f>
        <v>0</v>
      </c>
      <c r="AD317" s="106">
        <f ca="1">mult_opex * var_bw * G317</f>
        <v>2.6087050161327667E-2</v>
      </c>
      <c r="AE317" s="106">
        <f ca="1">SUM(AB317:AD317)*WI_current_1</f>
        <v>2.6087050161327667E-2</v>
      </c>
      <c r="AF317" s="105">
        <f ca="1">mult_capex * IFERROR(OFFSET(assumptions!$F$39,MATCH(B317,assumptions!$E$39:$E$45,0)-1,0),0)</f>
        <v>0</v>
      </c>
      <c r="AG317" s="106">
        <f ca="1">mult_capex * capex_new*WI_current_1 *'forecast production'!I318</f>
        <v>0</v>
      </c>
      <c r="AH317" s="147">
        <f t="shared" ca="1" si="121"/>
        <v>0</v>
      </c>
      <c r="AI317" s="105">
        <f t="shared" ca="1" si="114"/>
        <v>241.26075539945316</v>
      </c>
      <c r="AJ317" s="106">
        <f t="shared" ca="1" si="115"/>
        <v>103.34626219845366</v>
      </c>
      <c r="AK317" s="106">
        <f t="shared" ca="1" si="122"/>
        <v>344.6070175979068</v>
      </c>
      <c r="AL317" s="105">
        <f t="shared" ca="1" si="116"/>
        <v>-2210.782616709922</v>
      </c>
      <c r="AM317" s="133">
        <f ca="1">IF(X317*(lease_NRI/J317)  - (Z317+Y317+AB317+AC317+AD317)  - (AK317)*(lease_NRI/J317)&gt;0,1,0)</f>
        <v>0</v>
      </c>
      <c r="AN317" s="105">
        <f t="shared" ca="1" si="123"/>
        <v>0</v>
      </c>
      <c r="AO317" s="106">
        <f t="shared" ca="1" si="128"/>
        <v>2329073.2544940379</v>
      </c>
      <c r="AP317" s="106">
        <f ca="1">AL317  /  ( 1 + disc_1/12)^(COUNT($AL$6:AL317)-1)</f>
        <v>-167.36451891249408</v>
      </c>
      <c r="AQ317" s="106">
        <f t="shared" ca="1" si="129"/>
        <v>1563458.398389671</v>
      </c>
      <c r="AS317" s="304">
        <f t="shared" ca="1" si="124"/>
        <v>1</v>
      </c>
      <c r="AT317" s="301">
        <f ca="1">IFERROR(IRR($AN$6:AN317)*12,0)</f>
        <v>0</v>
      </c>
      <c r="AU317" s="298">
        <f t="shared" ca="1" si="125"/>
        <v>0</v>
      </c>
      <c r="AV317" s="304">
        <f t="shared" ca="1" si="126"/>
        <v>0</v>
      </c>
    </row>
    <row r="318" spans="2:48" x14ac:dyDescent="0.25">
      <c r="B318" s="43">
        <f t="shared" si="127"/>
        <v>53693</v>
      </c>
      <c r="C318" s="79">
        <f t="shared" si="117"/>
        <v>2047</v>
      </c>
      <c r="D318" s="64">
        <f ca="1">wellcount_base  +  SUM('forecast production'!I$7:I319)</f>
        <v>1</v>
      </c>
      <c r="E318" s="110">
        <f ca="1">'forecast production'!AE319</f>
        <v>59.807496109002436</v>
      </c>
      <c r="F318" s="98">
        <f ca="1">'forecast production'!AF319</f>
        <v>463.22847953493795</v>
      </c>
      <c r="G318" s="98">
        <f ca="1">'forecast production'!AG319</f>
        <v>1.2601101323964258E-2</v>
      </c>
      <c r="H318" s="98">
        <f ca="1">'forecast production'!AH319</f>
        <v>69.484271930240695</v>
      </c>
      <c r="I318" s="307">
        <f t="shared" ca="1" si="118"/>
        <v>1</v>
      </c>
      <c r="J318" s="306">
        <f t="shared" ca="1" si="119"/>
        <v>0.75</v>
      </c>
      <c r="K318" s="112">
        <f t="shared" ca="1" si="104"/>
        <v>44.855622081751825</v>
      </c>
      <c r="L318" s="98">
        <f t="shared" ca="1" si="105"/>
        <v>260.56601973840259</v>
      </c>
      <c r="M318" s="98">
        <f t="shared" ca="1" si="106"/>
        <v>9.4508259929731928E-3</v>
      </c>
      <c r="N318" s="98">
        <f t="shared" ca="1" si="107"/>
        <v>52.113203947680518</v>
      </c>
      <c r="O318" s="67">
        <f>assumptions!M322</f>
        <v>55</v>
      </c>
      <c r="P318" s="68">
        <f>assumptions!N322</f>
        <v>3</v>
      </c>
      <c r="Q318" s="68">
        <f>assumptions!O322</f>
        <v>22</v>
      </c>
      <c r="R318" s="67">
        <f t="shared" si="108"/>
        <v>52.5</v>
      </c>
      <c r="S318" s="68">
        <f t="shared" si="109"/>
        <v>2.3275000000000001</v>
      </c>
      <c r="T318" s="68">
        <f t="shared" si="110"/>
        <v>22</v>
      </c>
      <c r="U318" s="73">
        <f t="shared" ca="1" si="111"/>
        <v>2354.9201592919708</v>
      </c>
      <c r="V318" s="72">
        <f t="shared" ca="1" si="112"/>
        <v>606.46741094113202</v>
      </c>
      <c r="W318" s="72">
        <f t="shared" ca="1" si="113"/>
        <v>1146.4904868489714</v>
      </c>
      <c r="X318" s="72">
        <f t="shared" ca="1" si="120"/>
        <v>4107.8780570820745</v>
      </c>
      <c r="Y318" s="73">
        <f>mult_opex * fixed_month</f>
        <v>1000</v>
      </c>
      <c r="Z318" s="72">
        <f ca="1">mult_opex * fixed_well *D318</f>
        <v>5000</v>
      </c>
      <c r="AA318" s="72">
        <f ca="1">(Z318+Y318)*WI_current_1</f>
        <v>6000</v>
      </c>
      <c r="AB318" s="72">
        <f ca="1">mult_opex * var_bo*E318</f>
        <v>0</v>
      </c>
      <c r="AC318" s="72">
        <f ca="1">mult_opex * var_mcf*F318</f>
        <v>0</v>
      </c>
      <c r="AD318" s="72">
        <f ca="1">mult_opex * var_bw * G318</f>
        <v>2.5202202647928516E-2</v>
      </c>
      <c r="AE318" s="72">
        <f ca="1">SUM(AB318:AD318)*WI_current_1</f>
        <v>2.5202202647928516E-2</v>
      </c>
      <c r="AF318" s="73">
        <f ca="1">mult_capex * IFERROR(OFFSET(assumptions!$F$39,MATCH(B318,assumptions!$E$39:$E$45,0)-1,0),0)</f>
        <v>0</v>
      </c>
      <c r="AG318" s="75">
        <f ca="1">mult_capex * capex_new*WI_current_1 *'forecast production'!I319</f>
        <v>0</v>
      </c>
      <c r="AH318" s="146">
        <f t="shared" ca="1" si="121"/>
        <v>0</v>
      </c>
      <c r="AI318" s="73">
        <f t="shared" ca="1" si="114"/>
        <v>239.79816966168841</v>
      </c>
      <c r="AJ318" s="72">
        <f t="shared" ca="1" si="115"/>
        <v>102.69695142705187</v>
      </c>
      <c r="AK318" s="72">
        <f t="shared" ca="1" si="122"/>
        <v>342.49512108874029</v>
      </c>
      <c r="AL318" s="73">
        <f t="shared" ca="1" si="116"/>
        <v>-2234.6422662093137</v>
      </c>
      <c r="AM318" s="132">
        <f ca="1">IF(X318*(lease_NRI/J318)  - (Z318+Y318+AB318+AC318+AD318)  - (AK318)*(lease_NRI/J318)&gt;0,1,0)</f>
        <v>0</v>
      </c>
      <c r="AN318" s="73">
        <f t="shared" ca="1" si="123"/>
        <v>0</v>
      </c>
      <c r="AO318" s="75">
        <f t="shared" ca="1" si="128"/>
        <v>2329073.2544940379</v>
      </c>
      <c r="AP318" s="72">
        <f ca="1">AL318  /  ( 1 + disc_1/12)^(COUNT($AL$6:AL318)-1)</f>
        <v>-167.77267803455592</v>
      </c>
      <c r="AQ318" s="72">
        <f t="shared" ca="1" si="129"/>
        <v>1563458.398389671</v>
      </c>
      <c r="AS318" s="303">
        <f t="shared" ca="1" si="124"/>
        <v>1</v>
      </c>
      <c r="AT318" s="300">
        <f ca="1">IFERROR(IRR($AN$6:AN318)*12,0)</f>
        <v>0</v>
      </c>
      <c r="AU318" s="297">
        <f t="shared" ca="1" si="125"/>
        <v>0</v>
      </c>
      <c r="AV318" s="303">
        <f t="shared" ca="1" si="126"/>
        <v>0</v>
      </c>
    </row>
    <row r="319" spans="2:48" x14ac:dyDescent="0.25">
      <c r="B319" s="43">
        <f t="shared" si="127"/>
        <v>53724</v>
      </c>
      <c r="C319" s="79">
        <f t="shared" si="117"/>
        <v>2047</v>
      </c>
      <c r="D319" s="64">
        <f ca="1">wellcount_base  +  SUM('forecast production'!I$7:I320)</f>
        <v>1</v>
      </c>
      <c r="E319" s="110">
        <f ca="1">'forecast production'!AE320</f>
        <v>53.638472766485123</v>
      </c>
      <c r="F319" s="98">
        <f ca="1">'forecast production'!AF320</f>
        <v>416.20692110562868</v>
      </c>
      <c r="G319" s="98">
        <f ca="1">'forecast production'!AG320</f>
        <v>1.0995651142127787E-2</v>
      </c>
      <c r="H319" s="98">
        <f ca="1">'forecast production'!AH320</f>
        <v>62.431038165844306</v>
      </c>
      <c r="I319" s="307">
        <f t="shared" ca="1" si="118"/>
        <v>1</v>
      </c>
      <c r="J319" s="306">
        <f t="shared" ca="1" si="119"/>
        <v>0.75</v>
      </c>
      <c r="K319" s="112">
        <f t="shared" ca="1" si="104"/>
        <v>40.228854574863846</v>
      </c>
      <c r="L319" s="98">
        <f t="shared" ca="1" si="105"/>
        <v>234.11639312191613</v>
      </c>
      <c r="M319" s="98">
        <f t="shared" ca="1" si="106"/>
        <v>8.2467383565958396E-3</v>
      </c>
      <c r="N319" s="98">
        <f t="shared" ca="1" si="107"/>
        <v>46.823278624383228</v>
      </c>
      <c r="O319" s="67">
        <f>assumptions!M323</f>
        <v>55</v>
      </c>
      <c r="P319" s="68">
        <f>assumptions!N323</f>
        <v>3</v>
      </c>
      <c r="Q319" s="68">
        <f>assumptions!O323</f>
        <v>22</v>
      </c>
      <c r="R319" s="67">
        <f t="shared" si="108"/>
        <v>52.5</v>
      </c>
      <c r="S319" s="68">
        <f t="shared" si="109"/>
        <v>2.3275000000000001</v>
      </c>
      <c r="T319" s="68">
        <f t="shared" si="110"/>
        <v>22</v>
      </c>
      <c r="U319" s="73">
        <f t="shared" ca="1" si="111"/>
        <v>2112.014865180352</v>
      </c>
      <c r="V319" s="72">
        <f t="shared" ca="1" si="112"/>
        <v>544.90590499125983</v>
      </c>
      <c r="W319" s="72">
        <f t="shared" ca="1" si="113"/>
        <v>1030.1121297364309</v>
      </c>
      <c r="X319" s="72">
        <f t="shared" ca="1" si="120"/>
        <v>3687.032899908043</v>
      </c>
      <c r="Y319" s="73">
        <f>mult_opex * fixed_month</f>
        <v>1000</v>
      </c>
      <c r="Z319" s="72">
        <f ca="1">mult_opex * fixed_well *D319</f>
        <v>5000</v>
      </c>
      <c r="AA319" s="72">
        <f ca="1">(Z319+Y319)*WI_current_1</f>
        <v>6000</v>
      </c>
      <c r="AB319" s="72">
        <f ca="1">mult_opex * var_bo*E319</f>
        <v>0</v>
      </c>
      <c r="AC319" s="72">
        <f ca="1">mult_opex * var_mcf*F319</f>
        <v>0</v>
      </c>
      <c r="AD319" s="72">
        <f ca="1">mult_opex * var_bw * G319</f>
        <v>2.1991302284255575E-2</v>
      </c>
      <c r="AE319" s="72">
        <f ca="1">SUM(AB319:AD319)*WI_current_1</f>
        <v>2.1991302284255575E-2</v>
      </c>
      <c r="AF319" s="73">
        <f ca="1">mult_capex * IFERROR(OFFSET(assumptions!$F$39,MATCH(B319,assumptions!$E$39:$E$45,0)-1,0),0)</f>
        <v>0</v>
      </c>
      <c r="AG319" s="75">
        <f ca="1">mult_capex * capex_new*WI_current_1 *'forecast production'!I320</f>
        <v>0</v>
      </c>
      <c r="AH319" s="146">
        <f t="shared" ca="1" si="121"/>
        <v>0</v>
      </c>
      <c r="AI319" s="73">
        <f t="shared" ca="1" si="114"/>
        <v>215.27903640287298</v>
      </c>
      <c r="AJ319" s="72">
        <f t="shared" ca="1" si="115"/>
        <v>92.175822497701077</v>
      </c>
      <c r="AK319" s="72">
        <f t="shared" ca="1" si="122"/>
        <v>307.45485890057404</v>
      </c>
      <c r="AL319" s="73">
        <f t="shared" ca="1" si="116"/>
        <v>-2620.4439502948153</v>
      </c>
      <c r="AM319" s="132">
        <f ca="1">IF(X319*(lease_NRI/J319)  - (Z319+Y319+AB319+AC319+AD319)  - (AK319)*(lease_NRI/J319)&gt;0,1,0)</f>
        <v>0</v>
      </c>
      <c r="AN319" s="73">
        <f t="shared" ca="1" si="123"/>
        <v>0</v>
      </c>
      <c r="AO319" s="75">
        <f t="shared" ca="1" si="128"/>
        <v>2329073.2544940379</v>
      </c>
      <c r="AP319" s="72">
        <f ca="1">AL319  /  ( 1 + disc_1/12)^(COUNT($AL$6:AL319)-1)</f>
        <v>-195.11199910666275</v>
      </c>
      <c r="AQ319" s="72">
        <f t="shared" ca="1" si="129"/>
        <v>1563458.398389671</v>
      </c>
      <c r="AS319" s="303">
        <f t="shared" ca="1" si="124"/>
        <v>1</v>
      </c>
      <c r="AT319" s="300">
        <f ca="1">IFERROR(IRR($AN$6:AN319)*12,0)</f>
        <v>0</v>
      </c>
      <c r="AU319" s="297">
        <f t="shared" ca="1" si="125"/>
        <v>0</v>
      </c>
      <c r="AV319" s="303">
        <f t="shared" ca="1" si="126"/>
        <v>0</v>
      </c>
    </row>
    <row r="320" spans="2:48" x14ac:dyDescent="0.25">
      <c r="B320" s="43">
        <f t="shared" si="127"/>
        <v>53752</v>
      </c>
      <c r="C320" s="79">
        <f t="shared" si="117"/>
        <v>2047</v>
      </c>
      <c r="D320" s="64">
        <f ca="1">wellcount_base  +  SUM('forecast production'!I$7:I321)</f>
        <v>1</v>
      </c>
      <c r="E320" s="110">
        <f ca="1">'forecast production'!AE321</f>
        <v>59.006811300002809</v>
      </c>
      <c r="F320" s="98">
        <f ca="1">'forecast production'!AF321</f>
        <v>458.61846391636027</v>
      </c>
      <c r="G320" s="98">
        <f ca="1">'forecast production'!AG321</f>
        <v>1.180029872300095E-2</v>
      </c>
      <c r="H320" s="98">
        <f ca="1">'forecast production'!AH321</f>
        <v>68.792769587454032</v>
      </c>
      <c r="I320" s="307">
        <f t="shared" ca="1" si="118"/>
        <v>1</v>
      </c>
      <c r="J320" s="306">
        <f t="shared" ca="1" si="119"/>
        <v>0.75</v>
      </c>
      <c r="K320" s="112">
        <f t="shared" ca="1" si="104"/>
        <v>44.255108475002103</v>
      </c>
      <c r="L320" s="98">
        <f t="shared" ca="1" si="105"/>
        <v>257.97288595295265</v>
      </c>
      <c r="M320" s="98">
        <f t="shared" ca="1" si="106"/>
        <v>8.8502240422507119E-3</v>
      </c>
      <c r="N320" s="98">
        <f t="shared" ca="1" si="107"/>
        <v>51.594577190590527</v>
      </c>
      <c r="O320" s="67">
        <f>assumptions!M324</f>
        <v>55</v>
      </c>
      <c r="P320" s="68">
        <f>assumptions!N324</f>
        <v>3</v>
      </c>
      <c r="Q320" s="68">
        <f>assumptions!O324</f>
        <v>22</v>
      </c>
      <c r="R320" s="67">
        <f t="shared" si="108"/>
        <v>52.5</v>
      </c>
      <c r="S320" s="68">
        <f t="shared" si="109"/>
        <v>2.3275000000000001</v>
      </c>
      <c r="T320" s="68">
        <f t="shared" si="110"/>
        <v>22</v>
      </c>
      <c r="U320" s="73">
        <f t="shared" ca="1" si="111"/>
        <v>2323.3931949376106</v>
      </c>
      <c r="V320" s="72">
        <f t="shared" ca="1" si="112"/>
        <v>600.43189205549731</v>
      </c>
      <c r="W320" s="72">
        <f t="shared" ca="1" si="113"/>
        <v>1135.0806981929916</v>
      </c>
      <c r="X320" s="72">
        <f t="shared" ca="1" si="120"/>
        <v>4058.9057851860998</v>
      </c>
      <c r="Y320" s="73">
        <f>mult_opex * fixed_month</f>
        <v>1000</v>
      </c>
      <c r="Z320" s="72">
        <f ca="1">mult_opex * fixed_well *D320</f>
        <v>5000</v>
      </c>
      <c r="AA320" s="72">
        <f ca="1">(Z320+Y320)*WI_current_1</f>
        <v>6000</v>
      </c>
      <c r="AB320" s="72">
        <f ca="1">mult_opex * var_bo*E320</f>
        <v>0</v>
      </c>
      <c r="AC320" s="72">
        <f ca="1">mult_opex * var_mcf*F320</f>
        <v>0</v>
      </c>
      <c r="AD320" s="72">
        <f ca="1">mult_opex * var_bw * G320</f>
        <v>2.36005974460019E-2</v>
      </c>
      <c r="AE320" s="72">
        <f ca="1">SUM(AB320:AD320)*WI_current_1</f>
        <v>2.36005974460019E-2</v>
      </c>
      <c r="AF320" s="73">
        <f ca="1">mult_capex * IFERROR(OFFSET(assumptions!$F$39,MATCH(B320,assumptions!$E$39:$E$45,0)-1,0),0)</f>
        <v>0</v>
      </c>
      <c r="AG320" s="75">
        <f ca="1">mult_capex * capex_new*WI_current_1 *'forecast production'!I321</f>
        <v>0</v>
      </c>
      <c r="AH320" s="146">
        <f t="shared" ca="1" si="121"/>
        <v>0</v>
      </c>
      <c r="AI320" s="73">
        <f t="shared" ca="1" si="114"/>
        <v>237.03953123576673</v>
      </c>
      <c r="AJ320" s="72">
        <f t="shared" ca="1" si="115"/>
        <v>101.47264462965251</v>
      </c>
      <c r="AK320" s="72">
        <f t="shared" ca="1" si="122"/>
        <v>338.51217586541924</v>
      </c>
      <c r="AL320" s="73">
        <f t="shared" ca="1" si="116"/>
        <v>-2279.6299912767654</v>
      </c>
      <c r="AM320" s="132">
        <f ca="1">IF(X320*(lease_NRI/J320)  - (Z320+Y320+AB320+AC320+AD320)  - (AK320)*(lease_NRI/J320)&gt;0,1,0)</f>
        <v>0</v>
      </c>
      <c r="AN320" s="73">
        <f t="shared" ca="1" si="123"/>
        <v>0</v>
      </c>
      <c r="AO320" s="75">
        <f t="shared" ca="1" si="128"/>
        <v>2329073.2544940379</v>
      </c>
      <c r="AP320" s="72">
        <f ca="1">AL320  /  ( 1 + disc_1/12)^(COUNT($AL$6:AL320)-1)</f>
        <v>-168.33303030493818</v>
      </c>
      <c r="AQ320" s="72">
        <f t="shared" ca="1" si="129"/>
        <v>1563458.398389671</v>
      </c>
      <c r="AS320" s="303">
        <f t="shared" ca="1" si="124"/>
        <v>1</v>
      </c>
      <c r="AT320" s="300">
        <f ca="1">IFERROR(IRR($AN$6:AN320)*12,0)</f>
        <v>0</v>
      </c>
      <c r="AU320" s="297">
        <f t="shared" ca="1" si="125"/>
        <v>0</v>
      </c>
      <c r="AV320" s="303">
        <f t="shared" ca="1" si="126"/>
        <v>0</v>
      </c>
    </row>
    <row r="321" spans="2:48" x14ac:dyDescent="0.25">
      <c r="B321" s="43">
        <f t="shared" si="127"/>
        <v>53783</v>
      </c>
      <c r="C321" s="79">
        <f t="shared" si="117"/>
        <v>2047</v>
      </c>
      <c r="D321" s="64">
        <f ca="1">wellcount_base  +  SUM('forecast production'!I$7:I322)</f>
        <v>1</v>
      </c>
      <c r="E321" s="110">
        <f ca="1">'forecast production'!AE322</f>
        <v>56.700403918501351</v>
      </c>
      <c r="F321" s="98">
        <f ca="1">'forecast production'!AF322</f>
        <v>441.49806488996131</v>
      </c>
      <c r="G321" s="98">
        <f ca="1">'forecast production'!AG322</f>
        <v>1.1032491251799508E-2</v>
      </c>
      <c r="H321" s="98">
        <f ca="1">'forecast production'!AH322</f>
        <v>66.224709733494194</v>
      </c>
      <c r="I321" s="307">
        <f t="shared" ca="1" si="118"/>
        <v>1</v>
      </c>
      <c r="J321" s="306">
        <f t="shared" ca="1" si="119"/>
        <v>0.75</v>
      </c>
      <c r="K321" s="112">
        <f t="shared" ca="1" si="104"/>
        <v>42.52530293887601</v>
      </c>
      <c r="L321" s="98">
        <f t="shared" ca="1" si="105"/>
        <v>248.34266150060324</v>
      </c>
      <c r="M321" s="98">
        <f t="shared" ca="1" si="106"/>
        <v>8.2743684388496309E-3</v>
      </c>
      <c r="N321" s="98">
        <f t="shared" ca="1" si="107"/>
        <v>49.668532300120646</v>
      </c>
      <c r="O321" s="67">
        <f>assumptions!M325</f>
        <v>55</v>
      </c>
      <c r="P321" s="68">
        <f>assumptions!N325</f>
        <v>3</v>
      </c>
      <c r="Q321" s="68">
        <f>assumptions!O325</f>
        <v>22</v>
      </c>
      <c r="R321" s="67">
        <f t="shared" si="108"/>
        <v>52.5</v>
      </c>
      <c r="S321" s="68">
        <f t="shared" si="109"/>
        <v>2.3275000000000001</v>
      </c>
      <c r="T321" s="68">
        <f t="shared" si="110"/>
        <v>22</v>
      </c>
      <c r="U321" s="73">
        <f t="shared" ca="1" si="111"/>
        <v>2232.5784042909904</v>
      </c>
      <c r="V321" s="72">
        <f t="shared" ca="1" si="112"/>
        <v>578.01754464265412</v>
      </c>
      <c r="W321" s="72">
        <f t="shared" ca="1" si="113"/>
        <v>1092.7077106026543</v>
      </c>
      <c r="X321" s="72">
        <f t="shared" ca="1" si="120"/>
        <v>3903.3036595362992</v>
      </c>
      <c r="Y321" s="73">
        <f>mult_opex * fixed_month</f>
        <v>1000</v>
      </c>
      <c r="Z321" s="72">
        <f ca="1">mult_opex * fixed_well *D321</f>
        <v>5000</v>
      </c>
      <c r="AA321" s="72">
        <f ca="1">(Z321+Y321)*WI_current_1</f>
        <v>6000</v>
      </c>
      <c r="AB321" s="72">
        <f ca="1">mult_opex * var_bo*E321</f>
        <v>0</v>
      </c>
      <c r="AC321" s="72">
        <f ca="1">mult_opex * var_mcf*F321</f>
        <v>0</v>
      </c>
      <c r="AD321" s="72">
        <f ca="1">mult_opex * var_bw * G321</f>
        <v>2.2064982503599017E-2</v>
      </c>
      <c r="AE321" s="72">
        <f ca="1">SUM(AB321:AD321)*WI_current_1</f>
        <v>2.2064982503599017E-2</v>
      </c>
      <c r="AF321" s="73">
        <f ca="1">mult_capex * IFERROR(OFFSET(assumptions!$F$39,MATCH(B321,assumptions!$E$39:$E$45,0)-1,0),0)</f>
        <v>0</v>
      </c>
      <c r="AG321" s="75">
        <f ca="1">mult_capex * capex_new*WI_current_1 *'forecast production'!I322</f>
        <v>0</v>
      </c>
      <c r="AH321" s="146">
        <f t="shared" ca="1" si="121"/>
        <v>0</v>
      </c>
      <c r="AI321" s="73">
        <f t="shared" ca="1" si="114"/>
        <v>228.0030007407837</v>
      </c>
      <c r="AJ321" s="72">
        <f t="shared" ca="1" si="115"/>
        <v>97.582591488407488</v>
      </c>
      <c r="AK321" s="72">
        <f t="shared" ca="1" si="122"/>
        <v>325.58559222919121</v>
      </c>
      <c r="AL321" s="73">
        <f t="shared" ca="1" si="116"/>
        <v>-2422.3039976753957</v>
      </c>
      <c r="AM321" s="132">
        <f ca="1">IF(X321*(lease_NRI/J321)  - (Z321+Y321+AB321+AC321+AD321)  - (AK321)*(lease_NRI/J321)&gt;0,1,0)</f>
        <v>0</v>
      </c>
      <c r="AN321" s="73">
        <f t="shared" ca="1" si="123"/>
        <v>0</v>
      </c>
      <c r="AO321" s="75">
        <f t="shared" ca="1" si="128"/>
        <v>2329073.2544940379</v>
      </c>
      <c r="AP321" s="72">
        <f ca="1">AL321  /  ( 1 + disc_1/12)^(COUNT($AL$6:AL321)-1)</f>
        <v>-177.39015011626023</v>
      </c>
      <c r="AQ321" s="72">
        <f t="shared" ca="1" si="129"/>
        <v>1563458.398389671</v>
      </c>
      <c r="AS321" s="303">
        <f t="shared" ca="1" si="124"/>
        <v>1</v>
      </c>
      <c r="AT321" s="300">
        <f ca="1">IFERROR(IRR($AN$6:AN321)*12,0)</f>
        <v>0</v>
      </c>
      <c r="AU321" s="297">
        <f t="shared" ca="1" si="125"/>
        <v>0</v>
      </c>
      <c r="AV321" s="303">
        <f t="shared" ca="1" si="126"/>
        <v>0</v>
      </c>
    </row>
    <row r="322" spans="2:48" x14ac:dyDescent="0.25">
      <c r="B322" s="43">
        <f t="shared" si="127"/>
        <v>53813</v>
      </c>
      <c r="C322" s="79">
        <f t="shared" si="117"/>
        <v>2047</v>
      </c>
      <c r="D322" s="64">
        <f ca="1">wellcount_base  +  SUM('forecast production'!I$7:I323)</f>
        <v>1</v>
      </c>
      <c r="E322" s="110">
        <f ca="1">'forecast production'!AE323</f>
        <v>58.190253459860386</v>
      </c>
      <c r="F322" s="98">
        <f ca="1">'forecast production'!AF323</f>
        <v>453.90040884567071</v>
      </c>
      <c r="G322" s="98">
        <f ca="1">'forecast production'!AG323</f>
        <v>1.1026069150755134E-2</v>
      </c>
      <c r="H322" s="98">
        <f ca="1">'forecast production'!AH323</f>
        <v>68.085061326850607</v>
      </c>
      <c r="I322" s="307">
        <f t="shared" ca="1" si="118"/>
        <v>1</v>
      </c>
      <c r="J322" s="306">
        <f t="shared" ca="1" si="119"/>
        <v>0.75</v>
      </c>
      <c r="K322" s="112">
        <f t="shared" ca="1" si="104"/>
        <v>43.642690094895286</v>
      </c>
      <c r="L322" s="98">
        <f t="shared" ca="1" si="105"/>
        <v>255.31897997568979</v>
      </c>
      <c r="M322" s="98">
        <f t="shared" ca="1" si="106"/>
        <v>8.269551863066351E-3</v>
      </c>
      <c r="N322" s="98">
        <f t="shared" ca="1" si="107"/>
        <v>51.063795995137951</v>
      </c>
      <c r="O322" s="67">
        <f>assumptions!M326</f>
        <v>55</v>
      </c>
      <c r="P322" s="68">
        <f>assumptions!N326</f>
        <v>3</v>
      </c>
      <c r="Q322" s="68">
        <f>assumptions!O326</f>
        <v>22</v>
      </c>
      <c r="R322" s="67">
        <f t="shared" si="108"/>
        <v>52.5</v>
      </c>
      <c r="S322" s="68">
        <f t="shared" si="109"/>
        <v>2.3275000000000001</v>
      </c>
      <c r="T322" s="68">
        <f t="shared" si="110"/>
        <v>22</v>
      </c>
      <c r="U322" s="73">
        <f t="shared" ca="1" si="111"/>
        <v>2291.2412299820026</v>
      </c>
      <c r="V322" s="72">
        <f t="shared" ca="1" si="112"/>
        <v>594.25492589341798</v>
      </c>
      <c r="W322" s="72">
        <f t="shared" ca="1" si="113"/>
        <v>1123.4035118930349</v>
      </c>
      <c r="X322" s="72">
        <f t="shared" ca="1" si="120"/>
        <v>4008.8996677684554</v>
      </c>
      <c r="Y322" s="73">
        <f>mult_opex * fixed_month</f>
        <v>1000</v>
      </c>
      <c r="Z322" s="72">
        <f ca="1">mult_opex * fixed_well *D322</f>
        <v>5000</v>
      </c>
      <c r="AA322" s="72">
        <f ca="1">(Z322+Y322)*WI_current_1</f>
        <v>6000</v>
      </c>
      <c r="AB322" s="72">
        <f ca="1">mult_opex * var_bo*E322</f>
        <v>0</v>
      </c>
      <c r="AC322" s="72">
        <f ca="1">mult_opex * var_mcf*F322</f>
        <v>0</v>
      </c>
      <c r="AD322" s="72">
        <f ca="1">mult_opex * var_bw * G322</f>
        <v>2.2052138301510267E-2</v>
      </c>
      <c r="AE322" s="72">
        <f ca="1">SUM(AB322:AD322)*WI_current_1</f>
        <v>2.2052138301510267E-2</v>
      </c>
      <c r="AF322" s="73">
        <f ca="1">mult_capex * IFERROR(OFFSET(assumptions!$F$39,MATCH(B322,assumptions!$E$39:$E$45,0)-1,0),0)</f>
        <v>0</v>
      </c>
      <c r="AG322" s="75">
        <f ca="1">mult_capex * capex_new*WI_current_1 *'forecast production'!I323</f>
        <v>0</v>
      </c>
      <c r="AH322" s="146">
        <f t="shared" ca="1" si="121"/>
        <v>0</v>
      </c>
      <c r="AI322" s="73">
        <f t="shared" ca="1" si="114"/>
        <v>234.22147941315609</v>
      </c>
      <c r="AJ322" s="72">
        <f t="shared" ca="1" si="115"/>
        <v>100.22249169421139</v>
      </c>
      <c r="AK322" s="72">
        <f t="shared" ca="1" si="122"/>
        <v>334.44397110736747</v>
      </c>
      <c r="AL322" s="73">
        <f t="shared" ca="1" si="116"/>
        <v>-2325.5663554772136</v>
      </c>
      <c r="AM322" s="132">
        <f ca="1">IF(X322*(lease_NRI/J322)  - (Z322+Y322+AB322+AC322+AD322)  - (AK322)*(lease_NRI/J322)&gt;0,1,0)</f>
        <v>0</v>
      </c>
      <c r="AN322" s="73">
        <f t="shared" ca="1" si="123"/>
        <v>0</v>
      </c>
      <c r="AO322" s="75">
        <f t="shared" ca="1" si="128"/>
        <v>2329073.2544940379</v>
      </c>
      <c r="AP322" s="72">
        <f ca="1">AL322  /  ( 1 + disc_1/12)^(COUNT($AL$6:AL322)-1)</f>
        <v>-168.89837330720039</v>
      </c>
      <c r="AQ322" s="72">
        <f t="shared" ca="1" si="129"/>
        <v>1563458.398389671</v>
      </c>
      <c r="AS322" s="303">
        <f t="shared" ca="1" si="124"/>
        <v>1</v>
      </c>
      <c r="AT322" s="300">
        <f ca="1">IFERROR(IRR($AN$6:AN322)*12,0)</f>
        <v>0</v>
      </c>
      <c r="AU322" s="297">
        <f t="shared" ca="1" si="125"/>
        <v>0</v>
      </c>
      <c r="AV322" s="303">
        <f t="shared" ca="1" si="126"/>
        <v>0</v>
      </c>
    </row>
    <row r="323" spans="2:48" x14ac:dyDescent="0.25">
      <c r="B323" s="43">
        <f t="shared" si="127"/>
        <v>53844</v>
      </c>
      <c r="C323" s="79">
        <f t="shared" si="117"/>
        <v>2047</v>
      </c>
      <c r="D323" s="64">
        <f ca="1">wellcount_base  +  SUM('forecast production'!I$7:I324)</f>
        <v>1</v>
      </c>
      <c r="E323" s="110">
        <f ca="1">'forecast production'!AE324</f>
        <v>55.915762987414602</v>
      </c>
      <c r="F323" s="98">
        <f ca="1">'forecast production'!AF324</f>
        <v>436.95613658213455</v>
      </c>
      <c r="G323" s="98">
        <f ca="1">'forecast production'!AG324</f>
        <v>1.0308758918630489E-2</v>
      </c>
      <c r="H323" s="98">
        <f ca="1">'forecast production'!AH324</f>
        <v>65.543420487320176</v>
      </c>
      <c r="I323" s="307">
        <f t="shared" ca="1" si="118"/>
        <v>1</v>
      </c>
      <c r="J323" s="306">
        <f t="shared" ca="1" si="119"/>
        <v>0.75</v>
      </c>
      <c r="K323" s="112">
        <f t="shared" ca="1" si="104"/>
        <v>41.93682224056095</v>
      </c>
      <c r="L323" s="98">
        <f t="shared" ca="1" si="105"/>
        <v>245.78782682745066</v>
      </c>
      <c r="M323" s="98">
        <f t="shared" ca="1" si="106"/>
        <v>7.7315691889728666E-3</v>
      </c>
      <c r="N323" s="98">
        <f t="shared" ca="1" si="107"/>
        <v>49.157565365490129</v>
      </c>
      <c r="O323" s="67">
        <f>assumptions!M327</f>
        <v>55</v>
      </c>
      <c r="P323" s="68">
        <f>assumptions!N327</f>
        <v>3</v>
      </c>
      <c r="Q323" s="68">
        <f>assumptions!O327</f>
        <v>22</v>
      </c>
      <c r="R323" s="67">
        <f t="shared" si="108"/>
        <v>52.5</v>
      </c>
      <c r="S323" s="68">
        <f t="shared" si="109"/>
        <v>2.3275000000000001</v>
      </c>
      <c r="T323" s="68">
        <f t="shared" si="110"/>
        <v>22</v>
      </c>
      <c r="U323" s="73">
        <f t="shared" ca="1" si="111"/>
        <v>2201.6831676294501</v>
      </c>
      <c r="V323" s="72">
        <f t="shared" ca="1" si="112"/>
        <v>572.07116694089143</v>
      </c>
      <c r="W323" s="72">
        <f t="shared" ca="1" si="113"/>
        <v>1081.4664380407828</v>
      </c>
      <c r="X323" s="72">
        <f t="shared" ca="1" si="120"/>
        <v>3855.2207726111246</v>
      </c>
      <c r="Y323" s="73">
        <f>mult_opex * fixed_month</f>
        <v>1000</v>
      </c>
      <c r="Z323" s="72">
        <f ca="1">mult_opex * fixed_well *D323</f>
        <v>5000</v>
      </c>
      <c r="AA323" s="72">
        <f ca="1">(Z323+Y323)*WI_current_1</f>
        <v>6000</v>
      </c>
      <c r="AB323" s="72">
        <f ca="1">mult_opex * var_bo*E323</f>
        <v>0</v>
      </c>
      <c r="AC323" s="72">
        <f ca="1">mult_opex * var_mcf*F323</f>
        <v>0</v>
      </c>
      <c r="AD323" s="72">
        <f ca="1">mult_opex * var_bw * G323</f>
        <v>2.0617517837260978E-2</v>
      </c>
      <c r="AE323" s="72">
        <f ca="1">SUM(AB323:AD323)*WI_current_1</f>
        <v>2.0617517837260978E-2</v>
      </c>
      <c r="AF323" s="73">
        <f ca="1">mult_capex * IFERROR(OFFSET(assumptions!$F$39,MATCH(B323,assumptions!$E$39:$E$45,0)-1,0),0)</f>
        <v>0</v>
      </c>
      <c r="AG323" s="75">
        <f ca="1">mult_capex * capex_new*WI_current_1 *'forecast production'!I324</f>
        <v>0</v>
      </c>
      <c r="AH323" s="146">
        <f t="shared" ca="1" si="121"/>
        <v>0</v>
      </c>
      <c r="AI323" s="73">
        <f t="shared" ca="1" si="114"/>
        <v>225.29274608458027</v>
      </c>
      <c r="AJ323" s="72">
        <f t="shared" ca="1" si="115"/>
        <v>96.380519315278121</v>
      </c>
      <c r="AK323" s="72">
        <f t="shared" ca="1" si="122"/>
        <v>321.67326539985839</v>
      </c>
      <c r="AL323" s="73">
        <f t="shared" ca="1" si="116"/>
        <v>-2466.473110306571</v>
      </c>
      <c r="AM323" s="132">
        <f ca="1">IF(X323*(lease_NRI/J323)  - (Z323+Y323+AB323+AC323+AD323)  - (AK323)*(lease_NRI/J323)&gt;0,1,0)</f>
        <v>0</v>
      </c>
      <c r="AN323" s="73">
        <f t="shared" ca="1" si="123"/>
        <v>0</v>
      </c>
      <c r="AO323" s="75">
        <f t="shared" ca="1" si="128"/>
        <v>2329073.2544940379</v>
      </c>
      <c r="AP323" s="72">
        <f ca="1">AL323  /  ( 1 + disc_1/12)^(COUNT($AL$6:AL323)-1)</f>
        <v>-177.65154625906104</v>
      </c>
      <c r="AQ323" s="72">
        <f t="shared" ca="1" si="129"/>
        <v>1563458.398389671</v>
      </c>
      <c r="AS323" s="303">
        <f t="shared" ca="1" si="124"/>
        <v>1</v>
      </c>
      <c r="AT323" s="300">
        <f ca="1">IFERROR(IRR($AN$6:AN323)*12,0)</f>
        <v>0</v>
      </c>
      <c r="AU323" s="297">
        <f t="shared" ca="1" si="125"/>
        <v>0</v>
      </c>
      <c r="AV323" s="303">
        <f t="shared" ca="1" si="126"/>
        <v>0</v>
      </c>
    </row>
    <row r="324" spans="2:48" x14ac:dyDescent="0.25">
      <c r="B324" s="43">
        <f t="shared" si="127"/>
        <v>53874</v>
      </c>
      <c r="C324" s="79">
        <f t="shared" si="117"/>
        <v>2047</v>
      </c>
      <c r="D324" s="64">
        <f ca="1">wellcount_base  +  SUM('forecast production'!I$7:I325)</f>
        <v>1</v>
      </c>
      <c r="E324" s="110">
        <f ca="1">'forecast production'!AE325</f>
        <v>57.384995445816145</v>
      </c>
      <c r="F324" s="98">
        <f ca="1">'forecast production'!AF325</f>
        <v>449.23089094781972</v>
      </c>
      <c r="G324" s="98">
        <f ca="1">'forecast production'!AG325</f>
        <v>1.0302874722912806E-2</v>
      </c>
      <c r="H324" s="98">
        <f ca="1">'forecast production'!AH325</f>
        <v>67.384633642172957</v>
      </c>
      <c r="I324" s="307">
        <f t="shared" ca="1" si="118"/>
        <v>1</v>
      </c>
      <c r="J324" s="306">
        <f t="shared" ca="1" si="119"/>
        <v>0.75</v>
      </c>
      <c r="K324" s="112">
        <f t="shared" ca="1" si="104"/>
        <v>43.038746584362109</v>
      </c>
      <c r="L324" s="98">
        <f t="shared" ca="1" si="105"/>
        <v>252.69237615814859</v>
      </c>
      <c r="M324" s="98">
        <f t="shared" ca="1" si="106"/>
        <v>7.7271560421846045E-3</v>
      </c>
      <c r="N324" s="98">
        <f t="shared" ca="1" si="107"/>
        <v>50.538475231629718</v>
      </c>
      <c r="O324" s="67">
        <f>assumptions!M328</f>
        <v>55</v>
      </c>
      <c r="P324" s="68">
        <f>assumptions!N328</f>
        <v>3</v>
      </c>
      <c r="Q324" s="68">
        <f>assumptions!O328</f>
        <v>22</v>
      </c>
      <c r="R324" s="67">
        <f t="shared" si="108"/>
        <v>52.5</v>
      </c>
      <c r="S324" s="68">
        <f t="shared" si="109"/>
        <v>2.3275000000000001</v>
      </c>
      <c r="T324" s="68">
        <f t="shared" si="110"/>
        <v>22</v>
      </c>
      <c r="U324" s="73">
        <f t="shared" ca="1" si="111"/>
        <v>2259.5341956790107</v>
      </c>
      <c r="V324" s="72">
        <f t="shared" ca="1" si="112"/>
        <v>588.14150550809086</v>
      </c>
      <c r="W324" s="72">
        <f t="shared" ca="1" si="113"/>
        <v>1111.8464550958538</v>
      </c>
      <c r="X324" s="72">
        <f t="shared" ca="1" si="120"/>
        <v>3959.5221562829552</v>
      </c>
      <c r="Y324" s="73">
        <f>mult_opex * fixed_month</f>
        <v>1000</v>
      </c>
      <c r="Z324" s="72">
        <f ca="1">mult_opex * fixed_well *D324</f>
        <v>5000</v>
      </c>
      <c r="AA324" s="72">
        <f ca="1">(Z324+Y324)*WI_current_1</f>
        <v>6000</v>
      </c>
      <c r="AB324" s="72">
        <f ca="1">mult_opex * var_bo*E324</f>
        <v>0</v>
      </c>
      <c r="AC324" s="72">
        <f ca="1">mult_opex * var_mcf*F324</f>
        <v>0</v>
      </c>
      <c r="AD324" s="72">
        <f ca="1">mult_opex * var_bw * G324</f>
        <v>2.0605749445825612E-2</v>
      </c>
      <c r="AE324" s="72">
        <f ca="1">SUM(AB324:AD324)*WI_current_1</f>
        <v>2.0605749445825612E-2</v>
      </c>
      <c r="AF324" s="73">
        <f ca="1">mult_capex * IFERROR(OFFSET(assumptions!$F$39,MATCH(B324,assumptions!$E$39:$E$45,0)-1,0),0)</f>
        <v>0</v>
      </c>
      <c r="AG324" s="75">
        <f ca="1">mult_capex * capex_new*WI_current_1 *'forecast production'!I325</f>
        <v>0</v>
      </c>
      <c r="AH324" s="146">
        <f t="shared" ca="1" si="121"/>
        <v>0</v>
      </c>
      <c r="AI324" s="73">
        <f t="shared" ca="1" si="114"/>
        <v>231.43767004653034</v>
      </c>
      <c r="AJ324" s="72">
        <f t="shared" ca="1" si="115"/>
        <v>98.988053907073891</v>
      </c>
      <c r="AK324" s="72">
        <f t="shared" ca="1" si="122"/>
        <v>330.42572395360423</v>
      </c>
      <c r="AL324" s="73">
        <f t="shared" ca="1" si="116"/>
        <v>-2370.9241734200946</v>
      </c>
      <c r="AM324" s="132">
        <f ca="1">IF(X324*(lease_NRI/J324)  - (Z324+Y324+AB324+AC324+AD324)  - (AK324)*(lease_NRI/J324)&gt;0,1,0)</f>
        <v>0</v>
      </c>
      <c r="AN324" s="73">
        <f t="shared" ca="1" si="123"/>
        <v>0</v>
      </c>
      <c r="AO324" s="75">
        <f t="shared" ca="1" si="128"/>
        <v>2329073.2544940379</v>
      </c>
      <c r="AP324" s="72">
        <f ca="1">AL324  /  ( 1 + disc_1/12)^(COUNT($AL$6:AL324)-1)</f>
        <v>-169.35816801075978</v>
      </c>
      <c r="AQ324" s="72">
        <f t="shared" ca="1" si="129"/>
        <v>1563458.398389671</v>
      </c>
      <c r="AS324" s="303">
        <f t="shared" ca="1" si="124"/>
        <v>1</v>
      </c>
      <c r="AT324" s="300">
        <f ca="1">IFERROR(IRR($AN$6:AN324)*12,0)</f>
        <v>0</v>
      </c>
      <c r="AU324" s="297">
        <f t="shared" ca="1" si="125"/>
        <v>0</v>
      </c>
      <c r="AV324" s="303">
        <f t="shared" ca="1" si="126"/>
        <v>0</v>
      </c>
    </row>
    <row r="325" spans="2:48" x14ac:dyDescent="0.25">
      <c r="B325" s="43">
        <f t="shared" si="127"/>
        <v>53905</v>
      </c>
      <c r="C325" s="79">
        <f t="shared" si="117"/>
        <v>2047</v>
      </c>
      <c r="D325" s="64">
        <f ca="1">wellcount_base  +  SUM('forecast production'!I$7:I326)</f>
        <v>1</v>
      </c>
      <c r="E325" s="110">
        <f ca="1">'forecast production'!AE326</f>
        <v>56.980046211381698</v>
      </c>
      <c r="F325" s="98">
        <f ca="1">'forecast production'!AF326</f>
        <v>446.87629798751567</v>
      </c>
      <c r="G325" s="98">
        <f ca="1">'forecast production'!AG326</f>
        <v>9.9538159783710261E-3</v>
      </c>
      <c r="H325" s="98">
        <f ca="1">'forecast production'!AH326</f>
        <v>67.031444698127345</v>
      </c>
      <c r="I325" s="307">
        <f t="shared" ca="1" si="118"/>
        <v>1</v>
      </c>
      <c r="J325" s="306">
        <f t="shared" ca="1" si="119"/>
        <v>0.75</v>
      </c>
      <c r="K325" s="112">
        <f t="shared" ca="1" si="104"/>
        <v>42.735034658536271</v>
      </c>
      <c r="L325" s="98">
        <f t="shared" ca="1" si="105"/>
        <v>251.36791761797755</v>
      </c>
      <c r="M325" s="98">
        <f t="shared" ca="1" si="106"/>
        <v>7.4653619837782691E-3</v>
      </c>
      <c r="N325" s="98">
        <f t="shared" ca="1" si="107"/>
        <v>50.273583523595505</v>
      </c>
      <c r="O325" s="67">
        <f>assumptions!M329</f>
        <v>55</v>
      </c>
      <c r="P325" s="68">
        <f>assumptions!N329</f>
        <v>3</v>
      </c>
      <c r="Q325" s="68">
        <f>assumptions!O329</f>
        <v>22</v>
      </c>
      <c r="R325" s="67">
        <f t="shared" si="108"/>
        <v>52.5</v>
      </c>
      <c r="S325" s="68">
        <f t="shared" si="109"/>
        <v>2.3275000000000001</v>
      </c>
      <c r="T325" s="68">
        <f t="shared" si="110"/>
        <v>22</v>
      </c>
      <c r="U325" s="73">
        <f t="shared" ca="1" si="111"/>
        <v>2243.5893195731542</v>
      </c>
      <c r="V325" s="72">
        <f t="shared" ca="1" si="112"/>
        <v>585.05882825584274</v>
      </c>
      <c r="W325" s="72">
        <f t="shared" ca="1" si="113"/>
        <v>1106.018837519101</v>
      </c>
      <c r="X325" s="72">
        <f t="shared" ca="1" si="120"/>
        <v>3934.666985348098</v>
      </c>
      <c r="Y325" s="73">
        <f>mult_opex * fixed_month</f>
        <v>1000</v>
      </c>
      <c r="Z325" s="72">
        <f ca="1">mult_opex * fixed_well *D325</f>
        <v>5000</v>
      </c>
      <c r="AA325" s="72">
        <f ca="1">(Z325+Y325)*WI_current_1</f>
        <v>6000</v>
      </c>
      <c r="AB325" s="72">
        <f ca="1">mult_opex * var_bo*E325</f>
        <v>0</v>
      </c>
      <c r="AC325" s="72">
        <f ca="1">mult_opex * var_mcf*F325</f>
        <v>0</v>
      </c>
      <c r="AD325" s="72">
        <f ca="1">mult_opex * var_bw * G325</f>
        <v>1.9907631956742052E-2</v>
      </c>
      <c r="AE325" s="72">
        <f ca="1">SUM(AB325:AD325)*WI_current_1</f>
        <v>1.9907631956742052E-2</v>
      </c>
      <c r="AF325" s="73">
        <f ca="1">mult_capex * IFERROR(OFFSET(assumptions!$F$39,MATCH(B325,assumptions!$E$39:$E$45,0)-1,0),0)</f>
        <v>0</v>
      </c>
      <c r="AG325" s="75">
        <f ca="1">mult_capex * capex_new*WI_current_1 *'forecast production'!I326</f>
        <v>0</v>
      </c>
      <c r="AH325" s="146">
        <f t="shared" ca="1" si="121"/>
        <v>0</v>
      </c>
      <c r="AI325" s="73">
        <f t="shared" ca="1" si="114"/>
        <v>230.03593363348585</v>
      </c>
      <c r="AJ325" s="72">
        <f t="shared" ca="1" si="115"/>
        <v>98.366674633702459</v>
      </c>
      <c r="AK325" s="72">
        <f t="shared" ca="1" si="122"/>
        <v>328.40260826718833</v>
      </c>
      <c r="AL325" s="73">
        <f t="shared" ca="1" si="116"/>
        <v>-2393.7555305510473</v>
      </c>
      <c r="AM325" s="132">
        <f ca="1">IF(X325*(lease_NRI/J325)  - (Z325+Y325+AB325+AC325+AD325)  - (AK325)*(lease_NRI/J325)&gt;0,1,0)</f>
        <v>0</v>
      </c>
      <c r="AN325" s="73">
        <f t="shared" ca="1" si="123"/>
        <v>0</v>
      </c>
      <c r="AO325" s="75">
        <f t="shared" ca="1" si="128"/>
        <v>2329073.2544940379</v>
      </c>
      <c r="AP325" s="72">
        <f ca="1">AL325  /  ( 1 + disc_1/12)^(COUNT($AL$6:AL325)-1)</f>
        <v>-169.57590869031796</v>
      </c>
      <c r="AQ325" s="72">
        <f t="shared" ca="1" si="129"/>
        <v>1563458.398389671</v>
      </c>
      <c r="AS325" s="303">
        <f t="shared" ca="1" si="124"/>
        <v>1</v>
      </c>
      <c r="AT325" s="300">
        <f ca="1">IFERROR(IRR($AN$6:AN325)*12,0)</f>
        <v>0</v>
      </c>
      <c r="AU325" s="297">
        <f t="shared" ca="1" si="125"/>
        <v>0</v>
      </c>
      <c r="AV325" s="303">
        <f t="shared" ca="1" si="126"/>
        <v>0</v>
      </c>
    </row>
    <row r="326" spans="2:48" x14ac:dyDescent="0.25">
      <c r="B326" s="43">
        <f t="shared" si="127"/>
        <v>53936</v>
      </c>
      <c r="C326" s="79">
        <f t="shared" si="117"/>
        <v>2047</v>
      </c>
      <c r="D326" s="64">
        <f ca="1">wellcount_base  +  SUM('forecast production'!I$7:I327)</f>
        <v>1</v>
      </c>
      <c r="E326" s="110">
        <f ca="1">'forecast production'!AE327</f>
        <v>54.752859276774053</v>
      </c>
      <c r="F326" s="98">
        <f ca="1">'forecast production'!AF327</f>
        <v>430.19423841308571</v>
      </c>
      <c r="G326" s="98">
        <f ca="1">'forecast production'!AG327</f>
        <v>9.3064261603922338E-3</v>
      </c>
      <c r="H326" s="98">
        <f ca="1">'forecast production'!AH327</f>
        <v>64.529135761962863</v>
      </c>
      <c r="I326" s="307">
        <f t="shared" ca="1" si="118"/>
        <v>1</v>
      </c>
      <c r="J326" s="306">
        <f t="shared" ca="1" si="119"/>
        <v>0.75</v>
      </c>
      <c r="K326" s="112">
        <f t="shared" ref="K326:K365" ca="1" si="130">E326*NRI_current</f>
        <v>41.064644457580542</v>
      </c>
      <c r="L326" s="98">
        <f t="shared" ref="L326:L365" ca="1" si="131">F326 * NRI_current * ( 1-shrink_ngl-shrink_leaseuse) - vol_leaseuse</f>
        <v>241.98425910736071</v>
      </c>
      <c r="M326" s="98">
        <f t="shared" ref="M326:M365" ca="1" si="132">G326*NRI_current</f>
        <v>6.9798196202941754E-3</v>
      </c>
      <c r="N326" s="98">
        <f t="shared" ref="N326:N365" ca="1" si="133">H326 * NRI_current</f>
        <v>48.396851821472147</v>
      </c>
      <c r="O326" s="67">
        <f>assumptions!M330</f>
        <v>55</v>
      </c>
      <c r="P326" s="68">
        <f>assumptions!N330</f>
        <v>3</v>
      </c>
      <c r="Q326" s="68">
        <f>assumptions!O330</f>
        <v>22</v>
      </c>
      <c r="R326" s="67">
        <f t="shared" ref="R326:R365" si="134" xml:space="preserve"> (O326*mult_oilprice )  *  (1+  pdiff_oil)   + diff_oil</f>
        <v>52.5</v>
      </c>
      <c r="S326" s="68">
        <f t="shared" ref="S326:S365" si="135" xml:space="preserve"> (  (P326*mult_gasprice )  * (1+   pdiff_gas)  +  diff_gas ) *  energy_residue/1000</f>
        <v>2.3275000000000001</v>
      </c>
      <c r="T326" s="68">
        <f t="shared" ref="T326:T365" si="136">mult_oilprice * (1+pdiff_ngl)*O326</f>
        <v>22</v>
      </c>
      <c r="U326" s="73">
        <f t="shared" ref="U326:U365" ca="1" si="137">K326*R326</f>
        <v>2155.8938340229784</v>
      </c>
      <c r="V326" s="72">
        <f t="shared" ref="V326:V365" ca="1" si="138">L326*S326</f>
        <v>563.21836307238209</v>
      </c>
      <c r="W326" s="72">
        <f t="shared" ref="W326:W365" ca="1" si="139">N326*T326</f>
        <v>1064.7307400723873</v>
      </c>
      <c r="X326" s="72">
        <f t="shared" ca="1" si="120"/>
        <v>3783.8429371677476</v>
      </c>
      <c r="Y326" s="73">
        <f>mult_opex * fixed_month</f>
        <v>1000</v>
      </c>
      <c r="Z326" s="72">
        <f ca="1">mult_opex * fixed_well *D326</f>
        <v>5000</v>
      </c>
      <c r="AA326" s="72">
        <f ca="1">(Z326+Y326)*WI_current_1</f>
        <v>6000</v>
      </c>
      <c r="AB326" s="72">
        <f ca="1">mult_opex * var_bo*E326</f>
        <v>0</v>
      </c>
      <c r="AC326" s="72">
        <f ca="1">mult_opex * var_mcf*F326</f>
        <v>0</v>
      </c>
      <c r="AD326" s="72">
        <f ca="1">mult_opex * var_bw * G326</f>
        <v>1.8612852320784468E-2</v>
      </c>
      <c r="AE326" s="72">
        <f ca="1">SUM(AB326:AD326)*WI_current_1</f>
        <v>1.8612852320784468E-2</v>
      </c>
      <c r="AF326" s="73">
        <f ca="1">mult_capex * IFERROR(OFFSET(assumptions!$F$39,MATCH(B326,assumptions!$E$39:$E$45,0)-1,0),0)</f>
        <v>0</v>
      </c>
      <c r="AG326" s="75">
        <f ca="1">mult_capex * capex_new*WI_current_1 *'forecast production'!I327</f>
        <v>0</v>
      </c>
      <c r="AH326" s="146">
        <f t="shared" ca="1" si="121"/>
        <v>0</v>
      </c>
      <c r="AI326" s="73">
        <f t="shared" ref="AI326:AI365" ca="1" si="140">U326*sev_oil   +  V326*sev_gas  +  W326*sev_ngl</f>
        <v>221.26729910091473</v>
      </c>
      <c r="AJ326" s="72">
        <f t="shared" ref="AJ326:AJ365" ca="1" si="141">adval * X326</f>
        <v>94.596073429193694</v>
      </c>
      <c r="AK326" s="72">
        <f t="shared" ca="1" si="122"/>
        <v>315.86337253010845</v>
      </c>
      <c r="AL326" s="73">
        <f t="shared" ref="AL326:AL365" ca="1" si="142">X326-AE326-AH326-AK326-AA326</f>
        <v>-2532.0390482146818</v>
      </c>
      <c r="AM326" s="132">
        <f ca="1">IF(X326*(lease_NRI/J326)  - (Z326+Y326+AB326+AC326+AD326)  - (AK326)*(lease_NRI/J326)&gt;0,1,0)</f>
        <v>0</v>
      </c>
      <c r="AN326" s="73">
        <f t="shared" ca="1" si="123"/>
        <v>0</v>
      </c>
      <c r="AO326" s="75">
        <f t="shared" ca="1" si="128"/>
        <v>2329073.2544940379</v>
      </c>
      <c r="AP326" s="72">
        <f ca="1">AL326  /  ( 1 + disc_1/12)^(COUNT($AL$6:AL326)-1)</f>
        <v>-177.88963045014842</v>
      </c>
      <c r="AQ326" s="72">
        <f t="shared" ca="1" si="129"/>
        <v>1563458.398389671</v>
      </c>
      <c r="AS326" s="303">
        <f t="shared" ca="1" si="124"/>
        <v>1</v>
      </c>
      <c r="AT326" s="300">
        <f ca="1">IFERROR(IRR($AN$6:AN326)*12,0)</f>
        <v>0</v>
      </c>
      <c r="AU326" s="297">
        <f t="shared" ca="1" si="125"/>
        <v>0</v>
      </c>
      <c r="AV326" s="303">
        <f t="shared" ca="1" si="126"/>
        <v>0</v>
      </c>
    </row>
    <row r="327" spans="2:48" x14ac:dyDescent="0.25">
      <c r="B327" s="43">
        <f t="shared" si="127"/>
        <v>53966</v>
      </c>
      <c r="C327" s="79">
        <f t="shared" ref="C327:C365" si="143">YEAR(B327)</f>
        <v>2047</v>
      </c>
      <c r="D327" s="64">
        <f ca="1">wellcount_base  +  SUM('forecast production'!I$7:I328)</f>
        <v>1</v>
      </c>
      <c r="E327" s="110">
        <f ca="1">'forecast production'!AE328</f>
        <v>56.191535487949693</v>
      </c>
      <c r="F327" s="98">
        <f ca="1">'forecast production'!AF328</f>
        <v>442.27904090003062</v>
      </c>
      <c r="G327" s="98">
        <f ca="1">'forecast production'!AG328</f>
        <v>9.3012727366541485E-3</v>
      </c>
      <c r="H327" s="98">
        <f ca="1">'forecast production'!AH328</f>
        <v>66.341856135004591</v>
      </c>
      <c r="I327" s="307">
        <f t="shared" ref="I327:I365" ca="1" si="144">IF(AV326,WI_APO, WI)</f>
        <v>1</v>
      </c>
      <c r="J327" s="306">
        <f t="shared" ref="J327:J365" ca="1" si="145">IF(AV326,NRI_APO, NRI)</f>
        <v>0.75</v>
      </c>
      <c r="K327" s="112">
        <f t="shared" ca="1" si="130"/>
        <v>42.14365161596227</v>
      </c>
      <c r="L327" s="98">
        <f t="shared" ca="1" si="131"/>
        <v>248.78196050626724</v>
      </c>
      <c r="M327" s="98">
        <f t="shared" ca="1" si="132"/>
        <v>6.9759545524906118E-3</v>
      </c>
      <c r="N327" s="98">
        <f t="shared" ca="1" si="133"/>
        <v>49.756392101253439</v>
      </c>
      <c r="O327" s="67">
        <f>assumptions!M331</f>
        <v>55</v>
      </c>
      <c r="P327" s="68">
        <f>assumptions!N331</f>
        <v>3</v>
      </c>
      <c r="Q327" s="68">
        <f>assumptions!O331</f>
        <v>22</v>
      </c>
      <c r="R327" s="67">
        <f t="shared" si="134"/>
        <v>52.5</v>
      </c>
      <c r="S327" s="68">
        <f t="shared" si="135"/>
        <v>2.3275000000000001</v>
      </c>
      <c r="T327" s="68">
        <f t="shared" si="136"/>
        <v>22</v>
      </c>
      <c r="U327" s="73">
        <f t="shared" ca="1" si="137"/>
        <v>2212.541709838019</v>
      </c>
      <c r="V327" s="72">
        <f t="shared" ca="1" si="138"/>
        <v>579.04001307833698</v>
      </c>
      <c r="W327" s="72">
        <f t="shared" ca="1" si="139"/>
        <v>1094.6406262275757</v>
      </c>
      <c r="X327" s="72">
        <f t="shared" ref="X327:X365" ca="1" si="146">SUM(U327:W327)</f>
        <v>3886.2223491439318</v>
      </c>
      <c r="Y327" s="73">
        <f>mult_opex * fixed_month</f>
        <v>1000</v>
      </c>
      <c r="Z327" s="72">
        <f ca="1">mult_opex * fixed_well *D327</f>
        <v>5000</v>
      </c>
      <c r="AA327" s="72">
        <f ca="1">(Z327+Y327)*WI_current_1</f>
        <v>6000</v>
      </c>
      <c r="AB327" s="72">
        <f ca="1">mult_opex * var_bo*E327</f>
        <v>0</v>
      </c>
      <c r="AC327" s="72">
        <f ca="1">mult_opex * var_mcf*F327</f>
        <v>0</v>
      </c>
      <c r="AD327" s="72">
        <f ca="1">mult_opex * var_bw * G327</f>
        <v>1.8602545473308297E-2</v>
      </c>
      <c r="AE327" s="72">
        <f ca="1">SUM(AB327:AD327)*WI_current_1</f>
        <v>1.8602545473308297E-2</v>
      </c>
      <c r="AF327" s="73">
        <f ca="1">mult_capex * IFERROR(OFFSET(assumptions!$F$39,MATCH(B327,assumptions!$E$39:$E$45,0)-1,0),0)</f>
        <v>0</v>
      </c>
      <c r="AG327" s="75">
        <f ca="1">mult_capex * capex_new*WI_current_1 *'forecast production'!I328</f>
        <v>0</v>
      </c>
      <c r="AH327" s="146">
        <f t="shared" ref="AH327:AH365" ca="1" si="147">AG327+AF327</f>
        <v>0</v>
      </c>
      <c r="AI327" s="73">
        <f t="shared" ca="1" si="140"/>
        <v>227.30296660049231</v>
      </c>
      <c r="AJ327" s="72">
        <f t="shared" ca="1" si="141"/>
        <v>97.155558728598294</v>
      </c>
      <c r="AK327" s="72">
        <f t="shared" ref="AK327:AK365" ca="1" si="148">SUM(AI327:AJ327)</f>
        <v>324.45852532909061</v>
      </c>
      <c r="AL327" s="73">
        <f t="shared" ca="1" si="142"/>
        <v>-2438.2547787306321</v>
      </c>
      <c r="AM327" s="132">
        <f ca="1">IF(X327*(lease_NRI/J327)  - (Z327+Y327+AB327+AC327+AD327)  - (AK327)*(lease_NRI/J327)&gt;0,1,0)</f>
        <v>0</v>
      </c>
      <c r="AN327" s="73">
        <f t="shared" ref="AN327:AN365" ca="1" si="149">AL327*AM327</f>
        <v>0</v>
      </c>
      <c r="AO327" s="75">
        <f t="shared" ca="1" si="128"/>
        <v>2329073.2544940379</v>
      </c>
      <c r="AP327" s="72">
        <f ca="1">AL327  /  ( 1 + disc_1/12)^(COUNT($AL$6:AL327)-1)</f>
        <v>-169.88506229384421</v>
      </c>
      <c r="AQ327" s="72">
        <f t="shared" ca="1" si="129"/>
        <v>1563458.398389671</v>
      </c>
      <c r="AS327" s="303">
        <f t="shared" ref="AS327:AS365" ca="1" si="150">IF(AO327&gt; (ROI_threshold-1)*initial_investment,1,0)</f>
        <v>1</v>
      </c>
      <c r="AT327" s="300">
        <f ca="1">IFERROR(IRR($AN$6:AN327)*12,0)</f>
        <v>0</v>
      </c>
      <c r="AU327" s="297">
        <f t="shared" ref="AU327:AU365" ca="1" si="151">IF(AT327&gt;ROR_threshold,1,0)</f>
        <v>0</v>
      </c>
      <c r="AV327" s="303">
        <f t="shared" ref="AV327:AV365" ca="1" si="152">IF(AND(AS327,AU327),1,0)</f>
        <v>0</v>
      </c>
    </row>
    <row r="328" spans="2:48" x14ac:dyDescent="0.25">
      <c r="B328" s="43">
        <f t="shared" ref="B328:B365" si="153">EOMONTH(B327,0)+1</f>
        <v>53997</v>
      </c>
      <c r="C328" s="79">
        <f t="shared" si="143"/>
        <v>2047</v>
      </c>
      <c r="D328" s="64">
        <f ca="1">wellcount_base  +  SUM('forecast production'!I$7:I329)</f>
        <v>1</v>
      </c>
      <c r="E328" s="110">
        <f ca="1">'forecast production'!AE329</f>
        <v>53.995169180873852</v>
      </c>
      <c r="F328" s="98">
        <f ca="1">'forecast production'!AF329</f>
        <v>425.76859865450757</v>
      </c>
      <c r="G328" s="98">
        <f ca="1">'forecast production'!AG329</f>
        <v>8.6964254879974313E-3</v>
      </c>
      <c r="H328" s="98">
        <f ca="1">'forecast production'!AH329</f>
        <v>63.865289798176128</v>
      </c>
      <c r="I328" s="307">
        <f t="shared" ca="1" si="144"/>
        <v>1</v>
      </c>
      <c r="J328" s="306">
        <f t="shared" ca="1" si="145"/>
        <v>0.75</v>
      </c>
      <c r="K328" s="112">
        <f t="shared" ca="1" si="130"/>
        <v>40.496376885655387</v>
      </c>
      <c r="L328" s="98">
        <f t="shared" ca="1" si="131"/>
        <v>239.49483674316053</v>
      </c>
      <c r="M328" s="98">
        <f t="shared" ca="1" si="132"/>
        <v>6.5223191159980735E-3</v>
      </c>
      <c r="N328" s="98">
        <f t="shared" ca="1" si="133"/>
        <v>47.898967348632098</v>
      </c>
      <c r="O328" s="67">
        <f>assumptions!M332</f>
        <v>55</v>
      </c>
      <c r="P328" s="68">
        <f>assumptions!N332</f>
        <v>3</v>
      </c>
      <c r="Q328" s="68">
        <f>assumptions!O332</f>
        <v>22</v>
      </c>
      <c r="R328" s="67">
        <f t="shared" si="134"/>
        <v>52.5</v>
      </c>
      <c r="S328" s="68">
        <f t="shared" si="135"/>
        <v>2.3275000000000001</v>
      </c>
      <c r="T328" s="68">
        <f t="shared" si="136"/>
        <v>22</v>
      </c>
      <c r="U328" s="73">
        <f t="shared" ca="1" si="137"/>
        <v>2126.0597864969077</v>
      </c>
      <c r="V328" s="72">
        <f t="shared" ca="1" si="138"/>
        <v>557.42423251970615</v>
      </c>
      <c r="W328" s="72">
        <f t="shared" ca="1" si="139"/>
        <v>1053.7772816699062</v>
      </c>
      <c r="X328" s="72">
        <f t="shared" ca="1" si="146"/>
        <v>3737.2613006865199</v>
      </c>
      <c r="Y328" s="73">
        <f>mult_opex * fixed_month</f>
        <v>1000</v>
      </c>
      <c r="Z328" s="72">
        <f ca="1">mult_opex * fixed_well *D328</f>
        <v>5000</v>
      </c>
      <c r="AA328" s="72">
        <f ca="1">(Z328+Y328)*WI_current_1</f>
        <v>6000</v>
      </c>
      <c r="AB328" s="72">
        <f ca="1">mult_opex * var_bo*E328</f>
        <v>0</v>
      </c>
      <c r="AC328" s="72">
        <f ca="1">mult_opex * var_mcf*F328</f>
        <v>0</v>
      </c>
      <c r="AD328" s="72">
        <f ca="1">mult_opex * var_bw * G328</f>
        <v>1.7392850975994863E-2</v>
      </c>
      <c r="AE328" s="72">
        <f ca="1">SUM(AB328:AD328)*WI_current_1</f>
        <v>1.7392850975994863E-2</v>
      </c>
      <c r="AF328" s="73">
        <f ca="1">mult_capex * IFERROR(OFFSET(assumptions!$F$39,MATCH(B328,assumptions!$E$39:$E$45,0)-1,0),0)</f>
        <v>0</v>
      </c>
      <c r="AG328" s="75">
        <f ca="1">mult_capex * capex_new*WI_current_1 *'forecast production'!I329</f>
        <v>0</v>
      </c>
      <c r="AH328" s="146">
        <f t="shared" ca="1" si="147"/>
        <v>0</v>
      </c>
      <c r="AI328" s="73">
        <f t="shared" ca="1" si="140"/>
        <v>218.63886374307867</v>
      </c>
      <c r="AJ328" s="72">
        <f t="shared" ca="1" si="141"/>
        <v>93.431532517163006</v>
      </c>
      <c r="AK328" s="72">
        <f t="shared" ca="1" si="148"/>
        <v>312.07039626024169</v>
      </c>
      <c r="AL328" s="73">
        <f t="shared" ca="1" si="142"/>
        <v>-2574.8264884246978</v>
      </c>
      <c r="AM328" s="132">
        <f ca="1">IF(X328*(lease_NRI/J328)  - (Z328+Y328+AB328+AC328+AD328)  - (AK328)*(lease_NRI/J328)&gt;0,1,0)</f>
        <v>0</v>
      </c>
      <c r="AN328" s="73">
        <f t="shared" ca="1" si="149"/>
        <v>0</v>
      </c>
      <c r="AO328" s="75">
        <f t="shared" ref="AO328:AO365" ca="1" si="154">AO327+AN328</f>
        <v>2329073.2544940379</v>
      </c>
      <c r="AP328" s="72">
        <f ca="1">AL328  /  ( 1 + disc_1/12)^(COUNT($AL$6:AL328)-1)</f>
        <v>-177.91802693105842</v>
      </c>
      <c r="AQ328" s="72">
        <f t="shared" ref="AQ328:AQ365" ca="1" si="155">AQ327+AP328*AM328</f>
        <v>1563458.398389671</v>
      </c>
      <c r="AS328" s="303">
        <f t="shared" ca="1" si="150"/>
        <v>1</v>
      </c>
      <c r="AT328" s="300">
        <f ca="1">IFERROR(IRR($AN$6:AN328)*12,0)</f>
        <v>0</v>
      </c>
      <c r="AU328" s="297">
        <f t="shared" ca="1" si="151"/>
        <v>0</v>
      </c>
      <c r="AV328" s="303">
        <f t="shared" ca="1" si="152"/>
        <v>0</v>
      </c>
    </row>
    <row r="329" spans="2:48" x14ac:dyDescent="0.25">
      <c r="B329" s="44">
        <f t="shared" si="153"/>
        <v>54027</v>
      </c>
      <c r="C329" s="100">
        <f t="shared" si="143"/>
        <v>2047</v>
      </c>
      <c r="D329" s="65">
        <f ca="1">wellcount_base  +  SUM('forecast production'!I$7:I330)</f>
        <v>1</v>
      </c>
      <c r="E329" s="109">
        <f ca="1">'forecast production'!AE330</f>
        <v>55.413936464354869</v>
      </c>
      <c r="F329" s="101">
        <f ca="1">'forecast production'!AF330</f>
        <v>437.72907827149015</v>
      </c>
      <c r="G329" s="101">
        <f ca="1">'forecast production'!AG330</f>
        <v>8.691708062981994E-3</v>
      </c>
      <c r="H329" s="102">
        <f ca="1">'forecast production'!AH330</f>
        <v>65.659361740723526</v>
      </c>
      <c r="I329" s="308">
        <f t="shared" ca="1" si="144"/>
        <v>1</v>
      </c>
      <c r="J329" s="309">
        <f t="shared" ca="1" si="145"/>
        <v>0.75</v>
      </c>
      <c r="K329" s="113">
        <f t="shared" ca="1" si="130"/>
        <v>41.560452348266153</v>
      </c>
      <c r="L329" s="102">
        <f t="shared" ca="1" si="131"/>
        <v>246.2226065277132</v>
      </c>
      <c r="M329" s="102">
        <f t="shared" ca="1" si="132"/>
        <v>6.5187810472364955E-3</v>
      </c>
      <c r="N329" s="102">
        <f t="shared" ca="1" si="133"/>
        <v>49.244521305542648</v>
      </c>
      <c r="O329" s="103">
        <f>assumptions!M333</f>
        <v>55</v>
      </c>
      <c r="P329" s="104">
        <f>assumptions!N333</f>
        <v>3</v>
      </c>
      <c r="Q329" s="104">
        <f>assumptions!O333</f>
        <v>22</v>
      </c>
      <c r="R329" s="103">
        <f t="shared" si="134"/>
        <v>52.5</v>
      </c>
      <c r="S329" s="104">
        <f t="shared" si="135"/>
        <v>2.3275000000000001</v>
      </c>
      <c r="T329" s="104">
        <f t="shared" si="136"/>
        <v>22</v>
      </c>
      <c r="U329" s="105">
        <f t="shared" ca="1" si="137"/>
        <v>2181.9237482839731</v>
      </c>
      <c r="V329" s="106">
        <f t="shared" ca="1" si="138"/>
        <v>573.08311669325246</v>
      </c>
      <c r="W329" s="106">
        <f t="shared" ca="1" si="139"/>
        <v>1083.3794687219383</v>
      </c>
      <c r="X329" s="106">
        <f t="shared" ca="1" si="146"/>
        <v>3838.386333699164</v>
      </c>
      <c r="Y329" s="105">
        <f>mult_opex * fixed_month</f>
        <v>1000</v>
      </c>
      <c r="Z329" s="106">
        <f ca="1">mult_opex * fixed_well *D329</f>
        <v>5000</v>
      </c>
      <c r="AA329" s="106">
        <f ca="1">(Z329+Y329)*WI_current_1</f>
        <v>6000</v>
      </c>
      <c r="AB329" s="106">
        <f ca="1">mult_opex * var_bo*E329</f>
        <v>0</v>
      </c>
      <c r="AC329" s="106">
        <f ca="1">mult_opex * var_mcf*F329</f>
        <v>0</v>
      </c>
      <c r="AD329" s="106">
        <f ca="1">mult_opex * var_bw * G329</f>
        <v>1.7383416125963988E-2</v>
      </c>
      <c r="AE329" s="106">
        <f ca="1">SUM(AB329:AD329)*WI_current_1</f>
        <v>1.7383416125963988E-2</v>
      </c>
      <c r="AF329" s="105">
        <f ca="1">mult_capex * IFERROR(OFFSET(assumptions!$F$39,MATCH(B329,assumptions!$E$39:$E$45,0)-1,0),0)</f>
        <v>0</v>
      </c>
      <c r="AG329" s="106">
        <f ca="1">mult_capex * capex_new*WI_current_1 *'forecast production'!I330</f>
        <v>0</v>
      </c>
      <c r="AH329" s="147">
        <f t="shared" ca="1" si="147"/>
        <v>0</v>
      </c>
      <c r="AI329" s="105">
        <f t="shared" ca="1" si="140"/>
        <v>224.60318632720208</v>
      </c>
      <c r="AJ329" s="106">
        <f t="shared" ca="1" si="141"/>
        <v>95.959658342479102</v>
      </c>
      <c r="AK329" s="106">
        <f t="shared" ca="1" si="148"/>
        <v>320.56284466968117</v>
      </c>
      <c r="AL329" s="105">
        <f t="shared" ca="1" si="142"/>
        <v>-2482.193894386643</v>
      </c>
      <c r="AM329" s="133">
        <f ca="1">IF(X329*(lease_NRI/J329)  - (Z329+Y329+AB329+AC329+AD329)  - (AK329)*(lease_NRI/J329)&gt;0,1,0)</f>
        <v>0</v>
      </c>
      <c r="AN329" s="105">
        <f t="shared" ca="1" si="149"/>
        <v>0</v>
      </c>
      <c r="AO329" s="106">
        <f t="shared" ca="1" si="154"/>
        <v>2329073.2544940379</v>
      </c>
      <c r="AP329" s="106">
        <f ca="1">AL329  /  ( 1 + disc_1/12)^(COUNT($AL$6:AL329)-1)</f>
        <v>-170.09970647318445</v>
      </c>
      <c r="AQ329" s="106">
        <f t="shared" ca="1" si="155"/>
        <v>1563458.398389671</v>
      </c>
      <c r="AS329" s="304">
        <f t="shared" ca="1" si="150"/>
        <v>1</v>
      </c>
      <c r="AT329" s="301">
        <f ca="1">IFERROR(IRR($AN$6:AN329)*12,0)</f>
        <v>0</v>
      </c>
      <c r="AU329" s="298">
        <f t="shared" ca="1" si="151"/>
        <v>0</v>
      </c>
      <c r="AV329" s="304">
        <f t="shared" ca="1" si="152"/>
        <v>0</v>
      </c>
    </row>
    <row r="330" spans="2:48" x14ac:dyDescent="0.25">
      <c r="B330" s="43">
        <f t="shared" si="153"/>
        <v>54058</v>
      </c>
      <c r="C330" s="79">
        <f t="shared" si="143"/>
        <v>2048</v>
      </c>
      <c r="D330" s="64">
        <f ca="1">wellcount_base  +  SUM('forecast production'!I$7:I331)</f>
        <v>1</v>
      </c>
      <c r="E330" s="110">
        <f ca="1">'forecast production'!AE331</f>
        <v>55.022896420282251</v>
      </c>
      <c r="F330" s="98">
        <f ca="1">'forecast production'!AF331</f>
        <v>435.43477076284165</v>
      </c>
      <c r="G330" s="98">
        <f ca="1">'forecast production'!AG331</f>
        <v>8.3974811986447379E-3</v>
      </c>
      <c r="H330" s="98">
        <f ca="1">'forecast production'!AH331</f>
        <v>65.315215614426251</v>
      </c>
      <c r="I330" s="307">
        <f t="shared" ca="1" si="144"/>
        <v>1</v>
      </c>
      <c r="J330" s="306">
        <f t="shared" ca="1" si="145"/>
        <v>0.75</v>
      </c>
      <c r="K330" s="112">
        <f t="shared" ca="1" si="130"/>
        <v>41.267172315211688</v>
      </c>
      <c r="L330" s="98">
        <f t="shared" ca="1" si="131"/>
        <v>244.93205855409843</v>
      </c>
      <c r="M330" s="98">
        <f t="shared" ca="1" si="132"/>
        <v>6.2981108989835534E-3</v>
      </c>
      <c r="N330" s="98">
        <f t="shared" ca="1" si="133"/>
        <v>48.986411710819688</v>
      </c>
      <c r="O330" s="67">
        <f>assumptions!M334</f>
        <v>55</v>
      </c>
      <c r="P330" s="68">
        <f>assumptions!N334</f>
        <v>3</v>
      </c>
      <c r="Q330" s="68">
        <f>assumptions!O334</f>
        <v>22</v>
      </c>
      <c r="R330" s="67">
        <f t="shared" si="134"/>
        <v>52.5</v>
      </c>
      <c r="S330" s="68">
        <f t="shared" si="135"/>
        <v>2.3275000000000001</v>
      </c>
      <c r="T330" s="68">
        <f t="shared" si="136"/>
        <v>22</v>
      </c>
      <c r="U330" s="73">
        <f t="shared" ca="1" si="137"/>
        <v>2166.5265465486136</v>
      </c>
      <c r="V330" s="72">
        <f t="shared" ca="1" si="138"/>
        <v>570.07936628466416</v>
      </c>
      <c r="W330" s="72">
        <f t="shared" ca="1" si="139"/>
        <v>1077.701057638033</v>
      </c>
      <c r="X330" s="72">
        <f t="shared" ca="1" si="146"/>
        <v>3814.3069704713107</v>
      </c>
      <c r="Y330" s="73">
        <f>mult_opex * fixed_month</f>
        <v>1000</v>
      </c>
      <c r="Z330" s="72">
        <f ca="1">mult_opex * fixed_well *D330</f>
        <v>5000</v>
      </c>
      <c r="AA330" s="72">
        <f ca="1">(Z330+Y330)*WI_current_1</f>
        <v>6000</v>
      </c>
      <c r="AB330" s="72">
        <f ca="1">mult_opex * var_bo*E330</f>
        <v>0</v>
      </c>
      <c r="AC330" s="72">
        <f ca="1">mult_opex * var_mcf*F330</f>
        <v>0</v>
      </c>
      <c r="AD330" s="72">
        <f ca="1">mult_opex * var_bw * G330</f>
        <v>1.6794962397289476E-2</v>
      </c>
      <c r="AE330" s="72">
        <f ca="1">SUM(AB330:AD330)*WI_current_1</f>
        <v>1.6794962397289476E-2</v>
      </c>
      <c r="AF330" s="73">
        <f ca="1">mult_capex * IFERROR(OFFSET(assumptions!$F$39,MATCH(B330,assumptions!$E$39:$E$45,0)-1,0),0)</f>
        <v>0</v>
      </c>
      <c r="AG330" s="75">
        <f ca="1">mult_capex * capex_new*WI_current_1 *'forecast production'!I331</f>
        <v>0</v>
      </c>
      <c r="AH330" s="146">
        <f t="shared" ca="1" si="147"/>
        <v>0</v>
      </c>
      <c r="AI330" s="73">
        <f t="shared" ca="1" si="140"/>
        <v>223.24375293543849</v>
      </c>
      <c r="AJ330" s="72">
        <f t="shared" ca="1" si="141"/>
        <v>95.357674261782776</v>
      </c>
      <c r="AK330" s="72">
        <f t="shared" ca="1" si="148"/>
        <v>318.60142719722126</v>
      </c>
      <c r="AL330" s="73">
        <f t="shared" ca="1" si="142"/>
        <v>-2504.3112516883079</v>
      </c>
      <c r="AM330" s="132">
        <f ca="1">IF(X330*(lease_NRI/J330)  - (Z330+Y330+AB330+AC330+AD330)  - (AK330)*(lease_NRI/J330)&gt;0,1,0)</f>
        <v>0</v>
      </c>
      <c r="AN330" s="73">
        <f t="shared" ca="1" si="149"/>
        <v>0</v>
      </c>
      <c r="AO330" s="75">
        <f t="shared" ca="1" si="154"/>
        <v>2329073.2544940379</v>
      </c>
      <c r="AP330" s="72">
        <f ca="1">AL330  /  ( 1 + disc_1/12)^(COUNT($AL$6:AL330)-1)</f>
        <v>-170.19705525692686</v>
      </c>
      <c r="AQ330" s="72">
        <f t="shared" ca="1" si="155"/>
        <v>1563458.398389671</v>
      </c>
      <c r="AS330" s="303">
        <f t="shared" ca="1" si="150"/>
        <v>1</v>
      </c>
      <c r="AT330" s="300">
        <f ca="1">IFERROR(IRR($AN$6:AN330)*12,0)</f>
        <v>0</v>
      </c>
      <c r="AU330" s="297">
        <f t="shared" ca="1" si="151"/>
        <v>0</v>
      </c>
      <c r="AV330" s="303">
        <f t="shared" ca="1" si="152"/>
        <v>0</v>
      </c>
    </row>
    <row r="331" spans="2:48" x14ac:dyDescent="0.25">
      <c r="B331" s="43">
        <f t="shared" si="153"/>
        <v>54089</v>
      </c>
      <c r="C331" s="79">
        <f t="shared" si="143"/>
        <v>2048</v>
      </c>
      <c r="D331" s="64">
        <f ca="1">wellcount_base  +  SUM('forecast production'!I$7:I332)</f>
        <v>1</v>
      </c>
      <c r="E331" s="110">
        <f ca="1">'forecast production'!AE332</f>
        <v>51.109801907493669</v>
      </c>
      <c r="F331" s="98">
        <f ca="1">'forecast production'!AF332</f>
        <v>405.20716676212277</v>
      </c>
      <c r="G331" s="98">
        <f ca="1">'forecast production'!AG332</f>
        <v>7.5898261532698361E-3</v>
      </c>
      <c r="H331" s="98">
        <f ca="1">'forecast production'!AH332</f>
        <v>60.781075014318411</v>
      </c>
      <c r="I331" s="307">
        <f t="shared" ca="1" si="144"/>
        <v>1</v>
      </c>
      <c r="J331" s="306">
        <f t="shared" ca="1" si="145"/>
        <v>0.75</v>
      </c>
      <c r="K331" s="112">
        <f t="shared" ca="1" si="130"/>
        <v>38.33235143062025</v>
      </c>
      <c r="L331" s="98">
        <f t="shared" ca="1" si="131"/>
        <v>227.92903130369405</v>
      </c>
      <c r="M331" s="98">
        <f t="shared" ca="1" si="132"/>
        <v>5.6923696149523773E-3</v>
      </c>
      <c r="N331" s="98">
        <f t="shared" ca="1" si="133"/>
        <v>45.585806260738806</v>
      </c>
      <c r="O331" s="67">
        <f>assumptions!M335</f>
        <v>55</v>
      </c>
      <c r="P331" s="68">
        <f>assumptions!N335</f>
        <v>3</v>
      </c>
      <c r="Q331" s="68">
        <f>assumptions!O335</f>
        <v>22</v>
      </c>
      <c r="R331" s="67">
        <f t="shared" si="134"/>
        <v>52.5</v>
      </c>
      <c r="S331" s="68">
        <f t="shared" si="135"/>
        <v>2.3275000000000001</v>
      </c>
      <c r="T331" s="68">
        <f t="shared" si="136"/>
        <v>22</v>
      </c>
      <c r="U331" s="73">
        <f t="shared" ca="1" si="137"/>
        <v>2012.4484501075631</v>
      </c>
      <c r="V331" s="72">
        <f t="shared" ca="1" si="138"/>
        <v>530.50482035934795</v>
      </c>
      <c r="W331" s="72">
        <f t="shared" ca="1" si="139"/>
        <v>1002.8877377362537</v>
      </c>
      <c r="X331" s="72">
        <f t="shared" ca="1" si="146"/>
        <v>3545.8410082031646</v>
      </c>
      <c r="Y331" s="73">
        <f>mult_opex * fixed_month</f>
        <v>1000</v>
      </c>
      <c r="Z331" s="72">
        <f ca="1">mult_opex * fixed_well *D331</f>
        <v>5000</v>
      </c>
      <c r="AA331" s="72">
        <f ca="1">(Z331+Y331)*WI_current_1</f>
        <v>6000</v>
      </c>
      <c r="AB331" s="72">
        <f ca="1">mult_opex * var_bo*E331</f>
        <v>0</v>
      </c>
      <c r="AC331" s="72">
        <f ca="1">mult_opex * var_mcf*F331</f>
        <v>0</v>
      </c>
      <c r="AD331" s="72">
        <f ca="1">mult_opex * var_bw * G331</f>
        <v>1.5179652306539672E-2</v>
      </c>
      <c r="AE331" s="72">
        <f ca="1">SUM(AB331:AD331)*WI_current_1</f>
        <v>1.5179652306539672E-2</v>
      </c>
      <c r="AF331" s="73">
        <f ca="1">mult_capex * IFERROR(OFFSET(assumptions!$F$39,MATCH(B331,assumptions!$E$39:$E$45,0)-1,0),0)</f>
        <v>0</v>
      </c>
      <c r="AG331" s="75">
        <f ca="1">mult_capex * capex_new*WI_current_1 *'forecast production'!I332</f>
        <v>0</v>
      </c>
      <c r="AH331" s="146">
        <f t="shared" ca="1" si="147"/>
        <v>0</v>
      </c>
      <c r="AI331" s="73">
        <f t="shared" ca="1" si="140"/>
        <v>207.57707056211802</v>
      </c>
      <c r="AJ331" s="72">
        <f t="shared" ca="1" si="141"/>
        <v>88.646025205079127</v>
      </c>
      <c r="AK331" s="72">
        <f t="shared" ca="1" si="148"/>
        <v>296.22309576719715</v>
      </c>
      <c r="AL331" s="73">
        <f t="shared" ca="1" si="142"/>
        <v>-2750.3972672163391</v>
      </c>
      <c r="AM331" s="132">
        <f ca="1">IF(X331*(lease_NRI/J331)  - (Z331+Y331+AB331+AC331+AD331)  - (AK331)*(lease_NRI/J331)&gt;0,1,0)</f>
        <v>0</v>
      </c>
      <c r="AN331" s="73">
        <f t="shared" ca="1" si="149"/>
        <v>0</v>
      </c>
      <c r="AO331" s="75">
        <f t="shared" ca="1" si="154"/>
        <v>2329073.2544940379</v>
      </c>
      <c r="AP331" s="72">
        <f ca="1">AL331  /  ( 1 + disc_1/12)^(COUNT($AL$6:AL331)-1)</f>
        <v>-185.3766546273948</v>
      </c>
      <c r="AQ331" s="72">
        <f t="shared" ca="1" si="155"/>
        <v>1563458.398389671</v>
      </c>
      <c r="AS331" s="303">
        <f t="shared" ca="1" si="150"/>
        <v>1</v>
      </c>
      <c r="AT331" s="300">
        <f ca="1">IFERROR(IRR($AN$6:AN331)*12,0)</f>
        <v>0</v>
      </c>
      <c r="AU331" s="297">
        <f t="shared" ca="1" si="151"/>
        <v>0</v>
      </c>
      <c r="AV331" s="303">
        <f t="shared" ca="1" si="152"/>
        <v>0</v>
      </c>
    </row>
    <row r="332" spans="2:48" x14ac:dyDescent="0.25">
      <c r="B332" s="43">
        <f t="shared" si="153"/>
        <v>54118</v>
      </c>
      <c r="C332" s="79">
        <f t="shared" si="143"/>
        <v>2048</v>
      </c>
      <c r="D332" s="64">
        <f ca="1">wellcount_base  +  SUM('forecast production'!I$7:I333)</f>
        <v>1</v>
      </c>
      <c r="E332" s="110">
        <f ca="1">'forecast production'!AE333</f>
        <v>54.273866507634395</v>
      </c>
      <c r="F332" s="98">
        <f ca="1">'forecast production'!AF333</f>
        <v>431.02828126050179</v>
      </c>
      <c r="G332" s="98">
        <f ca="1">'forecast production'!AG333</f>
        <v>7.8561376031237948E-3</v>
      </c>
      <c r="H332" s="98">
        <f ca="1">'forecast production'!AH333</f>
        <v>64.654242189075262</v>
      </c>
      <c r="I332" s="307">
        <f t="shared" ca="1" si="144"/>
        <v>1</v>
      </c>
      <c r="J332" s="306">
        <f t="shared" ca="1" si="145"/>
        <v>0.75</v>
      </c>
      <c r="K332" s="112">
        <f t="shared" ca="1" si="130"/>
        <v>40.705399880725793</v>
      </c>
      <c r="L332" s="98">
        <f t="shared" ca="1" si="131"/>
        <v>242.45340820903223</v>
      </c>
      <c r="M332" s="98">
        <f t="shared" ca="1" si="132"/>
        <v>5.8921032023428466E-3</v>
      </c>
      <c r="N332" s="98">
        <f t="shared" ca="1" si="133"/>
        <v>48.490681641806447</v>
      </c>
      <c r="O332" s="67">
        <f>assumptions!M336</f>
        <v>55</v>
      </c>
      <c r="P332" s="68">
        <f>assumptions!N336</f>
        <v>3</v>
      </c>
      <c r="Q332" s="68">
        <f>assumptions!O336</f>
        <v>22</v>
      </c>
      <c r="R332" s="67">
        <f t="shared" si="134"/>
        <v>52.5</v>
      </c>
      <c r="S332" s="68">
        <f t="shared" si="135"/>
        <v>2.3275000000000001</v>
      </c>
      <c r="T332" s="68">
        <f t="shared" si="136"/>
        <v>22</v>
      </c>
      <c r="U332" s="73">
        <f t="shared" ca="1" si="137"/>
        <v>2137.033493738104</v>
      </c>
      <c r="V332" s="72">
        <f t="shared" ca="1" si="138"/>
        <v>564.31030760652254</v>
      </c>
      <c r="W332" s="72">
        <f t="shared" ca="1" si="139"/>
        <v>1066.7949961197419</v>
      </c>
      <c r="X332" s="72">
        <f t="shared" ca="1" si="146"/>
        <v>3768.1387974643685</v>
      </c>
      <c r="Y332" s="73">
        <f>mult_opex * fixed_month</f>
        <v>1000</v>
      </c>
      <c r="Z332" s="72">
        <f ca="1">mult_opex * fixed_well *D332</f>
        <v>5000</v>
      </c>
      <c r="AA332" s="72">
        <f ca="1">(Z332+Y332)*WI_current_1</f>
        <v>6000</v>
      </c>
      <c r="AB332" s="72">
        <f ca="1">mult_opex * var_bo*E332</f>
        <v>0</v>
      </c>
      <c r="AC332" s="72">
        <f ca="1">mult_opex * var_mcf*F332</f>
        <v>0</v>
      </c>
      <c r="AD332" s="72">
        <f ca="1">mult_opex * var_bw * G332</f>
        <v>1.571227520624759E-2</v>
      </c>
      <c r="AE332" s="72">
        <f ca="1">SUM(AB332:AD332)*WI_current_1</f>
        <v>1.571227520624759E-2</v>
      </c>
      <c r="AF332" s="73">
        <f ca="1">mult_capex * IFERROR(OFFSET(assumptions!$F$39,MATCH(B332,assumptions!$E$39:$E$45,0)-1,0),0)</f>
        <v>0</v>
      </c>
      <c r="AG332" s="75">
        <f ca="1">mult_capex * capex_new*WI_current_1 *'forecast production'!I333</f>
        <v>0</v>
      </c>
      <c r="AH332" s="146">
        <f t="shared" ca="1" si="147"/>
        <v>0</v>
      </c>
      <c r="AI332" s="73">
        <f t="shared" ca="1" si="140"/>
        <v>220.63643849142261</v>
      </c>
      <c r="AJ332" s="72">
        <f t="shared" ca="1" si="141"/>
        <v>94.203469936609224</v>
      </c>
      <c r="AK332" s="72">
        <f t="shared" ca="1" si="148"/>
        <v>314.83990842803183</v>
      </c>
      <c r="AL332" s="73">
        <f t="shared" ca="1" si="142"/>
        <v>-2546.7168232388694</v>
      </c>
      <c r="AM332" s="132">
        <f ca="1">IF(X332*(lease_NRI/J332)  - (Z332+Y332+AB332+AC332+AD332)  - (AK332)*(lease_NRI/J332)&gt;0,1,0)</f>
        <v>0</v>
      </c>
      <c r="AN332" s="73">
        <f t="shared" ca="1" si="149"/>
        <v>0</v>
      </c>
      <c r="AO332" s="75">
        <f t="shared" ca="1" si="154"/>
        <v>2329073.2544940379</v>
      </c>
      <c r="AP332" s="72">
        <f ca="1">AL332  /  ( 1 + disc_1/12)^(COUNT($AL$6:AL332)-1)</f>
        <v>-170.23001819257135</v>
      </c>
      <c r="AQ332" s="72">
        <f t="shared" ca="1" si="155"/>
        <v>1563458.398389671</v>
      </c>
      <c r="AS332" s="303">
        <f t="shared" ca="1" si="150"/>
        <v>1</v>
      </c>
      <c r="AT332" s="300">
        <f ca="1">IFERROR(IRR($AN$6:AN332)*12,0)</f>
        <v>0</v>
      </c>
      <c r="AU332" s="297">
        <f t="shared" ca="1" si="151"/>
        <v>0</v>
      </c>
      <c r="AV332" s="303">
        <f t="shared" ca="1" si="152"/>
        <v>0</v>
      </c>
    </row>
    <row r="333" spans="2:48" x14ac:dyDescent="0.25">
      <c r="B333" s="43">
        <f t="shared" si="153"/>
        <v>54149</v>
      </c>
      <c r="C333" s="79">
        <f t="shared" si="143"/>
        <v>2048</v>
      </c>
      <c r="D333" s="64">
        <f ca="1">wellcount_base  +  SUM('forecast production'!I$7:I334)</f>
        <v>1</v>
      </c>
      <c r="E333" s="110">
        <f ca="1">'forecast production'!AE334</f>
        <v>52.152456392801994</v>
      </c>
      <c r="F333" s="98">
        <f ca="1">'forecast production'!AF334</f>
        <v>414.93783408611904</v>
      </c>
      <c r="G333" s="98">
        <f ca="1">'forecast production'!AG334</f>
        <v>7.3454787676499392E-3</v>
      </c>
      <c r="H333" s="98">
        <f ca="1">'forecast production'!AH334</f>
        <v>62.240675112917856</v>
      </c>
      <c r="I333" s="307">
        <f t="shared" ca="1" si="144"/>
        <v>1</v>
      </c>
      <c r="J333" s="306">
        <f t="shared" ca="1" si="145"/>
        <v>0.75</v>
      </c>
      <c r="K333" s="112">
        <f t="shared" ca="1" si="130"/>
        <v>39.114342294601499</v>
      </c>
      <c r="L333" s="98">
        <f t="shared" ca="1" si="131"/>
        <v>233.40253167344196</v>
      </c>
      <c r="M333" s="98">
        <f t="shared" ca="1" si="132"/>
        <v>5.5091090757374544E-3</v>
      </c>
      <c r="N333" s="98">
        <f t="shared" ca="1" si="133"/>
        <v>46.680506334688388</v>
      </c>
      <c r="O333" s="67">
        <f>assumptions!M337</f>
        <v>55</v>
      </c>
      <c r="P333" s="68">
        <f>assumptions!N337</f>
        <v>3</v>
      </c>
      <c r="Q333" s="68">
        <f>assumptions!O337</f>
        <v>22</v>
      </c>
      <c r="R333" s="67">
        <f t="shared" si="134"/>
        <v>52.5</v>
      </c>
      <c r="S333" s="68">
        <f t="shared" si="135"/>
        <v>2.3275000000000001</v>
      </c>
      <c r="T333" s="68">
        <f t="shared" si="136"/>
        <v>22</v>
      </c>
      <c r="U333" s="73">
        <f t="shared" ca="1" si="137"/>
        <v>2053.5029704665785</v>
      </c>
      <c r="V333" s="72">
        <f t="shared" ca="1" si="138"/>
        <v>543.2443924699362</v>
      </c>
      <c r="W333" s="72">
        <f t="shared" ca="1" si="139"/>
        <v>1026.9711393631446</v>
      </c>
      <c r="X333" s="72">
        <f t="shared" ca="1" si="146"/>
        <v>3623.7185022996596</v>
      </c>
      <c r="Y333" s="73">
        <f>mult_opex * fixed_month</f>
        <v>1000</v>
      </c>
      <c r="Z333" s="72">
        <f ca="1">mult_opex * fixed_well *D333</f>
        <v>5000</v>
      </c>
      <c r="AA333" s="72">
        <f ca="1">(Z333+Y333)*WI_current_1</f>
        <v>6000</v>
      </c>
      <c r="AB333" s="72">
        <f ca="1">mult_opex * var_bo*E333</f>
        <v>0</v>
      </c>
      <c r="AC333" s="72">
        <f ca="1">mult_opex * var_mcf*F333</f>
        <v>0</v>
      </c>
      <c r="AD333" s="72">
        <f ca="1">mult_opex * var_bw * G333</f>
        <v>1.4690957535299878E-2</v>
      </c>
      <c r="AE333" s="72">
        <f ca="1">SUM(AB333:AD333)*WI_current_1</f>
        <v>1.4690957535299878E-2</v>
      </c>
      <c r="AF333" s="73">
        <f ca="1">mult_capex * IFERROR(OFFSET(assumptions!$F$39,MATCH(B333,assumptions!$E$39:$E$45,0)-1,0),0)</f>
        <v>0</v>
      </c>
      <c r="AG333" s="75">
        <f ca="1">mult_capex * capex_new*WI_current_1 *'forecast production'!I334</f>
        <v>0</v>
      </c>
      <c r="AH333" s="146">
        <f t="shared" ca="1" si="147"/>
        <v>0</v>
      </c>
      <c r="AI333" s="73">
        <f t="shared" ca="1" si="140"/>
        <v>212.22730152894366</v>
      </c>
      <c r="AJ333" s="72">
        <f t="shared" ca="1" si="141"/>
        <v>90.592962557491489</v>
      </c>
      <c r="AK333" s="72">
        <f t="shared" ca="1" si="148"/>
        <v>302.82026408643515</v>
      </c>
      <c r="AL333" s="73">
        <f t="shared" ca="1" si="142"/>
        <v>-2679.1164527443107</v>
      </c>
      <c r="AM333" s="132">
        <f ca="1">IF(X333*(lease_NRI/J333)  - (Z333+Y333+AB333+AC333+AD333)  - (AK333)*(lease_NRI/J333)&gt;0,1,0)</f>
        <v>0</v>
      </c>
      <c r="AN333" s="73">
        <f t="shared" ca="1" si="149"/>
        <v>0</v>
      </c>
      <c r="AO333" s="75">
        <f t="shared" ca="1" si="154"/>
        <v>2329073.2544940379</v>
      </c>
      <c r="AP333" s="72">
        <f ca="1">AL333  /  ( 1 + disc_1/12)^(COUNT($AL$6:AL333)-1)</f>
        <v>-177.59999757979679</v>
      </c>
      <c r="AQ333" s="72">
        <f t="shared" ca="1" si="155"/>
        <v>1563458.398389671</v>
      </c>
      <c r="AS333" s="303">
        <f t="shared" ca="1" si="150"/>
        <v>1</v>
      </c>
      <c r="AT333" s="300">
        <f ca="1">IFERROR(IRR($AN$6:AN333)*12,0)</f>
        <v>0</v>
      </c>
      <c r="AU333" s="297">
        <f t="shared" ca="1" si="151"/>
        <v>0</v>
      </c>
      <c r="AV333" s="303">
        <f t="shared" ca="1" si="152"/>
        <v>0</v>
      </c>
    </row>
    <row r="334" spans="2:48" x14ac:dyDescent="0.25">
      <c r="B334" s="43">
        <f t="shared" si="153"/>
        <v>54179</v>
      </c>
      <c r="C334" s="79">
        <f t="shared" si="143"/>
        <v>2048</v>
      </c>
      <c r="D334" s="64">
        <f ca="1">wellcount_base  +  SUM('forecast production'!I$7:I335)</f>
        <v>1</v>
      </c>
      <c r="E334" s="110">
        <f ca="1">'forecast production'!AE335</f>
        <v>53.522804888894633</v>
      </c>
      <c r="F334" s="98">
        <f ca="1">'forecast production'!AF335</f>
        <v>426.5940612540814</v>
      </c>
      <c r="G334" s="98">
        <f ca="1">'forecast production'!AG335</f>
        <v>7.3417006380692169E-3</v>
      </c>
      <c r="H334" s="98">
        <f ca="1">'forecast production'!AH335</f>
        <v>63.989109188112209</v>
      </c>
      <c r="I334" s="307">
        <f t="shared" ca="1" si="144"/>
        <v>1</v>
      </c>
      <c r="J334" s="306">
        <f t="shared" ca="1" si="145"/>
        <v>0.75</v>
      </c>
      <c r="K334" s="112">
        <f t="shared" ca="1" si="130"/>
        <v>40.142103666670977</v>
      </c>
      <c r="L334" s="98">
        <f t="shared" ca="1" si="131"/>
        <v>239.95915945542077</v>
      </c>
      <c r="M334" s="98">
        <f t="shared" ca="1" si="132"/>
        <v>5.5062754785519131E-3</v>
      </c>
      <c r="N334" s="98">
        <f t="shared" ca="1" si="133"/>
        <v>47.991831891084161</v>
      </c>
      <c r="O334" s="67">
        <f>assumptions!M338</f>
        <v>55</v>
      </c>
      <c r="P334" s="68">
        <f>assumptions!N338</f>
        <v>3</v>
      </c>
      <c r="Q334" s="68">
        <f>assumptions!O338</f>
        <v>22</v>
      </c>
      <c r="R334" s="67">
        <f t="shared" si="134"/>
        <v>52.5</v>
      </c>
      <c r="S334" s="68">
        <f t="shared" si="135"/>
        <v>2.3275000000000001</v>
      </c>
      <c r="T334" s="68">
        <f t="shared" si="136"/>
        <v>22</v>
      </c>
      <c r="U334" s="73">
        <f t="shared" ca="1" si="137"/>
        <v>2107.4604425002262</v>
      </c>
      <c r="V334" s="72">
        <f t="shared" ca="1" si="138"/>
        <v>558.50494363249186</v>
      </c>
      <c r="W334" s="72">
        <f t="shared" ca="1" si="139"/>
        <v>1055.8203016038515</v>
      </c>
      <c r="X334" s="72">
        <f t="shared" ca="1" si="146"/>
        <v>3721.7856877365693</v>
      </c>
      <c r="Y334" s="73">
        <f>mult_opex * fixed_month</f>
        <v>1000</v>
      </c>
      <c r="Z334" s="72">
        <f ca="1">mult_opex * fixed_well *D334</f>
        <v>5000</v>
      </c>
      <c r="AA334" s="72">
        <f ca="1">(Z334+Y334)*WI_current_1</f>
        <v>6000</v>
      </c>
      <c r="AB334" s="72">
        <f ca="1">mult_opex * var_bo*E334</f>
        <v>0</v>
      </c>
      <c r="AC334" s="72">
        <f ca="1">mult_opex * var_mcf*F334</f>
        <v>0</v>
      </c>
      <c r="AD334" s="72">
        <f ca="1">mult_opex * var_bw * G334</f>
        <v>1.4683401276138434E-2</v>
      </c>
      <c r="AE334" s="72">
        <f ca="1">SUM(AB334:AD334)*WI_current_1</f>
        <v>1.4683401276138434E-2</v>
      </c>
      <c r="AF334" s="73">
        <f ca="1">mult_capex * IFERROR(OFFSET(assumptions!$F$39,MATCH(B334,assumptions!$E$39:$E$45,0)-1,0),0)</f>
        <v>0</v>
      </c>
      <c r="AG334" s="75">
        <f ca="1">mult_capex * capex_new*WI_current_1 *'forecast production'!I335</f>
        <v>0</v>
      </c>
      <c r="AH334" s="146">
        <f t="shared" ca="1" si="147"/>
        <v>0</v>
      </c>
      <c r="AI334" s="73">
        <f t="shared" ca="1" si="140"/>
        <v>218.01757374773615</v>
      </c>
      <c r="AJ334" s="72">
        <f t="shared" ca="1" si="141"/>
        <v>93.044642193414234</v>
      </c>
      <c r="AK334" s="72">
        <f t="shared" ca="1" si="148"/>
        <v>311.06221594115038</v>
      </c>
      <c r="AL334" s="73">
        <f t="shared" ca="1" si="142"/>
        <v>-2589.2912116058574</v>
      </c>
      <c r="AM334" s="132">
        <f ca="1">IF(X334*(lease_NRI/J334)  - (Z334+Y334+AB334+AC334+AD334)  - (AK334)*(lease_NRI/J334)&gt;0,1,0)</f>
        <v>0</v>
      </c>
      <c r="AN334" s="73">
        <f t="shared" ca="1" si="149"/>
        <v>0</v>
      </c>
      <c r="AO334" s="75">
        <f t="shared" ca="1" si="154"/>
        <v>2329073.2544940379</v>
      </c>
      <c r="AP334" s="72">
        <f ca="1">AL334  /  ( 1 + disc_1/12)^(COUNT($AL$6:AL334)-1)</f>
        <v>-170.22687915466028</v>
      </c>
      <c r="AQ334" s="72">
        <f t="shared" ca="1" si="155"/>
        <v>1563458.398389671</v>
      </c>
      <c r="AS334" s="303">
        <f t="shared" ca="1" si="150"/>
        <v>1</v>
      </c>
      <c r="AT334" s="300">
        <f ca="1">IFERROR(IRR($AN$6:AN334)*12,0)</f>
        <v>0</v>
      </c>
      <c r="AU334" s="297">
        <f t="shared" ca="1" si="151"/>
        <v>0</v>
      </c>
      <c r="AV334" s="303">
        <f t="shared" ca="1" si="152"/>
        <v>0</v>
      </c>
    </row>
    <row r="335" spans="2:48" x14ac:dyDescent="0.25">
      <c r="B335" s="43">
        <f t="shared" si="153"/>
        <v>54210</v>
      </c>
      <c r="C335" s="79">
        <f t="shared" si="143"/>
        <v>2048</v>
      </c>
      <c r="D335" s="64">
        <f ca="1">wellcount_base  +  SUM('forecast production'!I$7:I336)</f>
        <v>1</v>
      </c>
      <c r="E335" s="110">
        <f ca="1">'forecast production'!AE336</f>
        <v>51.430751623267604</v>
      </c>
      <c r="F335" s="98">
        <f ca="1">'forecast production'!AF336</f>
        <v>410.66914517330639</v>
      </c>
      <c r="G335" s="98">
        <f ca="1">'forecast production'!AG336</f>
        <v>6.8645608419690409E-3</v>
      </c>
      <c r="H335" s="98">
        <f ca="1">'forecast production'!AH336</f>
        <v>61.60037177599596</v>
      </c>
      <c r="I335" s="307">
        <f t="shared" ca="1" si="144"/>
        <v>1</v>
      </c>
      <c r="J335" s="306">
        <f t="shared" ca="1" si="145"/>
        <v>0.75</v>
      </c>
      <c r="K335" s="112">
        <f t="shared" ca="1" si="130"/>
        <v>38.573063717450701</v>
      </c>
      <c r="L335" s="98">
        <f t="shared" ca="1" si="131"/>
        <v>231.00139415998484</v>
      </c>
      <c r="M335" s="98">
        <f t="shared" ca="1" si="132"/>
        <v>5.1484206314767805E-3</v>
      </c>
      <c r="N335" s="98">
        <f t="shared" ca="1" si="133"/>
        <v>46.200278831996968</v>
      </c>
      <c r="O335" s="67">
        <f>assumptions!M339</f>
        <v>55</v>
      </c>
      <c r="P335" s="68">
        <f>assumptions!N339</f>
        <v>3</v>
      </c>
      <c r="Q335" s="68">
        <f>assumptions!O339</f>
        <v>22</v>
      </c>
      <c r="R335" s="67">
        <f t="shared" si="134"/>
        <v>52.5</v>
      </c>
      <c r="S335" s="68">
        <f t="shared" si="135"/>
        <v>2.3275000000000001</v>
      </c>
      <c r="T335" s="68">
        <f t="shared" si="136"/>
        <v>22</v>
      </c>
      <c r="U335" s="73">
        <f t="shared" ca="1" si="137"/>
        <v>2025.0858451661618</v>
      </c>
      <c r="V335" s="72">
        <f t="shared" ca="1" si="138"/>
        <v>537.65574490736469</v>
      </c>
      <c r="W335" s="72">
        <f t="shared" ca="1" si="139"/>
        <v>1016.4061343039333</v>
      </c>
      <c r="X335" s="72">
        <f t="shared" ca="1" si="146"/>
        <v>3579.1477243774598</v>
      </c>
      <c r="Y335" s="73">
        <f>mult_opex * fixed_month</f>
        <v>1000</v>
      </c>
      <c r="Z335" s="72">
        <f ca="1">mult_opex * fixed_well *D335</f>
        <v>5000</v>
      </c>
      <c r="AA335" s="72">
        <f ca="1">(Z335+Y335)*WI_current_1</f>
        <v>6000</v>
      </c>
      <c r="AB335" s="72">
        <f ca="1">mult_opex * var_bo*E335</f>
        <v>0</v>
      </c>
      <c r="AC335" s="72">
        <f ca="1">mult_opex * var_mcf*F335</f>
        <v>0</v>
      </c>
      <c r="AD335" s="72">
        <f ca="1">mult_opex * var_bw * G335</f>
        <v>1.3729121683938082E-2</v>
      </c>
      <c r="AE335" s="72">
        <f ca="1">SUM(AB335:AD335)*WI_current_1</f>
        <v>1.3729121683938082E-2</v>
      </c>
      <c r="AF335" s="73">
        <f ca="1">mult_capex * IFERROR(OFFSET(assumptions!$F$39,MATCH(B335,assumptions!$E$39:$E$45,0)-1,0),0)</f>
        <v>0</v>
      </c>
      <c r="AG335" s="75">
        <f ca="1">mult_capex * capex_new*WI_current_1 *'forecast production'!I336</f>
        <v>0</v>
      </c>
      <c r="AH335" s="146">
        <f t="shared" ca="1" si="147"/>
        <v>0</v>
      </c>
      <c r="AI335" s="73">
        <f t="shared" ca="1" si="140"/>
        <v>209.70858981849079</v>
      </c>
      <c r="AJ335" s="72">
        <f t="shared" ca="1" si="141"/>
        <v>89.478693109436506</v>
      </c>
      <c r="AK335" s="72">
        <f t="shared" ca="1" si="148"/>
        <v>299.1872829279273</v>
      </c>
      <c r="AL335" s="73">
        <f t="shared" ca="1" si="142"/>
        <v>-2720.0532876721513</v>
      </c>
      <c r="AM335" s="132">
        <f ca="1">IF(X335*(lease_NRI/J335)  - (Z335+Y335+AB335+AC335+AD335)  - (AK335)*(lease_NRI/J335)&gt;0,1,0)</f>
        <v>0</v>
      </c>
      <c r="AN335" s="73">
        <f t="shared" ca="1" si="149"/>
        <v>0</v>
      </c>
      <c r="AO335" s="75">
        <f t="shared" ca="1" si="154"/>
        <v>2329073.2544940379</v>
      </c>
      <c r="AP335" s="72">
        <f ca="1">AL335  /  ( 1 + disc_1/12)^(COUNT($AL$6:AL335)-1)</f>
        <v>-177.34564485175017</v>
      </c>
      <c r="AQ335" s="72">
        <f t="shared" ca="1" si="155"/>
        <v>1563458.398389671</v>
      </c>
      <c r="AS335" s="303">
        <f t="shared" ca="1" si="150"/>
        <v>1</v>
      </c>
      <c r="AT335" s="300">
        <f ca="1">IFERROR(IRR($AN$6:AN335)*12,0)</f>
        <v>0</v>
      </c>
      <c r="AU335" s="297">
        <f t="shared" ca="1" si="151"/>
        <v>0</v>
      </c>
      <c r="AV335" s="303">
        <f t="shared" ca="1" si="152"/>
        <v>0</v>
      </c>
    </row>
    <row r="336" spans="2:48" x14ac:dyDescent="0.25">
      <c r="B336" s="43">
        <f t="shared" si="153"/>
        <v>54240</v>
      </c>
      <c r="C336" s="79">
        <f t="shared" si="143"/>
        <v>2048</v>
      </c>
      <c r="D336" s="64">
        <f ca="1">wellcount_base  +  SUM('forecast production'!I$7:I337)</f>
        <v>1</v>
      </c>
      <c r="E336" s="110">
        <f ca="1">'forecast production'!AE337</f>
        <v>52.782136735582</v>
      </c>
      <c r="F336" s="98">
        <f ca="1">'forecast production'!AF337</f>
        <v>422.20545845636906</v>
      </c>
      <c r="G336" s="98">
        <f ca="1">'forecast production'!AG337</f>
        <v>6.8611074149187599E-3</v>
      </c>
      <c r="H336" s="98">
        <f ca="1">'forecast production'!AH337</f>
        <v>63.330818768455345</v>
      </c>
      <c r="I336" s="307">
        <f t="shared" ca="1" si="144"/>
        <v>1</v>
      </c>
      <c r="J336" s="306">
        <f t="shared" ca="1" si="145"/>
        <v>0.75</v>
      </c>
      <c r="K336" s="112">
        <f t="shared" ca="1" si="130"/>
        <v>39.586602551686497</v>
      </c>
      <c r="L336" s="98">
        <f t="shared" ca="1" si="131"/>
        <v>237.49057038170758</v>
      </c>
      <c r="M336" s="98">
        <f t="shared" ca="1" si="132"/>
        <v>5.1458305611890697E-3</v>
      </c>
      <c r="N336" s="98">
        <f t="shared" ca="1" si="133"/>
        <v>47.498114076341508</v>
      </c>
      <c r="O336" s="67">
        <f>assumptions!M340</f>
        <v>55</v>
      </c>
      <c r="P336" s="68">
        <f>assumptions!N340</f>
        <v>3</v>
      </c>
      <c r="Q336" s="68">
        <f>assumptions!O340</f>
        <v>22</v>
      </c>
      <c r="R336" s="67">
        <f t="shared" si="134"/>
        <v>52.5</v>
      </c>
      <c r="S336" s="68">
        <f t="shared" si="135"/>
        <v>2.3275000000000001</v>
      </c>
      <c r="T336" s="68">
        <f t="shared" si="136"/>
        <v>22</v>
      </c>
      <c r="U336" s="73">
        <f t="shared" ca="1" si="137"/>
        <v>2078.2966339635409</v>
      </c>
      <c r="V336" s="72">
        <f t="shared" ca="1" si="138"/>
        <v>552.7593025634244</v>
      </c>
      <c r="W336" s="72">
        <f t="shared" ca="1" si="139"/>
        <v>1044.9585096795131</v>
      </c>
      <c r="X336" s="72">
        <f t="shared" ca="1" si="146"/>
        <v>3676.0144462064786</v>
      </c>
      <c r="Y336" s="73">
        <f>mult_opex * fixed_month</f>
        <v>1000</v>
      </c>
      <c r="Z336" s="72">
        <f ca="1">mult_opex * fixed_well *D336</f>
        <v>5000</v>
      </c>
      <c r="AA336" s="72">
        <f ca="1">(Z336+Y336)*WI_current_1</f>
        <v>6000</v>
      </c>
      <c r="AB336" s="72">
        <f ca="1">mult_opex * var_bo*E336</f>
        <v>0</v>
      </c>
      <c r="AC336" s="72">
        <f ca="1">mult_opex * var_mcf*F336</f>
        <v>0</v>
      </c>
      <c r="AD336" s="72">
        <f ca="1">mult_opex * var_bw * G336</f>
        <v>1.372221482983752E-2</v>
      </c>
      <c r="AE336" s="72">
        <f ca="1">SUM(AB336:AD336)*WI_current_1</f>
        <v>1.372221482983752E-2</v>
      </c>
      <c r="AF336" s="73">
        <f ca="1">mult_capex * IFERROR(OFFSET(assumptions!$F$39,MATCH(B336,assumptions!$E$39:$E$45,0)-1,0),0)</f>
        <v>0</v>
      </c>
      <c r="AG336" s="75">
        <f ca="1">mult_capex * capex_new*WI_current_1 *'forecast production'!I337</f>
        <v>0</v>
      </c>
      <c r="AH336" s="146">
        <f t="shared" ca="1" si="147"/>
        <v>0</v>
      </c>
      <c r="AI336" s="73">
        <f t="shared" ca="1" si="140"/>
        <v>215.43048108054319</v>
      </c>
      <c r="AJ336" s="72">
        <f t="shared" ca="1" si="141"/>
        <v>91.900361155161974</v>
      </c>
      <c r="AK336" s="72">
        <f t="shared" ca="1" si="148"/>
        <v>307.33084223570518</v>
      </c>
      <c r="AL336" s="73">
        <f t="shared" ca="1" si="142"/>
        <v>-2631.3301182440564</v>
      </c>
      <c r="AM336" s="132">
        <f ca="1">IF(X336*(lease_NRI/J336)  - (Z336+Y336+AB336+AC336+AD336)  - (AK336)*(lease_NRI/J336)&gt;0,1,0)</f>
        <v>0</v>
      </c>
      <c r="AN336" s="73">
        <f t="shared" ca="1" si="149"/>
        <v>0</v>
      </c>
      <c r="AO336" s="75">
        <f t="shared" ca="1" si="154"/>
        <v>2329073.2544940379</v>
      </c>
      <c r="AP336" s="72">
        <f ca="1">AL336  /  ( 1 + disc_1/12)^(COUNT($AL$6:AL336)-1)</f>
        <v>-170.14309475715601</v>
      </c>
      <c r="AQ336" s="72">
        <f t="shared" ca="1" si="155"/>
        <v>1563458.398389671</v>
      </c>
      <c r="AS336" s="303">
        <f t="shared" ca="1" si="150"/>
        <v>1</v>
      </c>
      <c r="AT336" s="300">
        <f ca="1">IFERROR(IRR($AN$6:AN336)*12,0)</f>
        <v>0</v>
      </c>
      <c r="AU336" s="297">
        <f t="shared" ca="1" si="151"/>
        <v>0</v>
      </c>
      <c r="AV336" s="303">
        <f t="shared" ca="1" si="152"/>
        <v>0</v>
      </c>
    </row>
    <row r="337" spans="2:48" x14ac:dyDescent="0.25">
      <c r="B337" s="43">
        <f t="shared" si="153"/>
        <v>54271</v>
      </c>
      <c r="C337" s="79">
        <f t="shared" si="143"/>
        <v>2048</v>
      </c>
      <c r="D337" s="64">
        <f ca="1">wellcount_base  +  SUM('forecast production'!I$7:I338)</f>
        <v>1</v>
      </c>
      <c r="E337" s="110">
        <f ca="1">'forecast production'!AE338</f>
        <v>52.409668537286699</v>
      </c>
      <c r="F337" s="98">
        <f ca="1">'forecast production'!AF338</f>
        <v>419.99251624710593</v>
      </c>
      <c r="G337" s="98">
        <f ca="1">'forecast production'!AG338</f>
        <v>6.6291187920378908E-3</v>
      </c>
      <c r="H337" s="98">
        <f ca="1">'forecast production'!AH338</f>
        <v>62.9988774370659</v>
      </c>
      <c r="I337" s="307">
        <f t="shared" ca="1" si="144"/>
        <v>1</v>
      </c>
      <c r="J337" s="306">
        <f t="shared" ca="1" si="145"/>
        <v>0.75</v>
      </c>
      <c r="K337" s="112">
        <f t="shared" ca="1" si="130"/>
        <v>39.307251402965022</v>
      </c>
      <c r="L337" s="98">
        <f t="shared" ca="1" si="131"/>
        <v>236.24579038899708</v>
      </c>
      <c r="M337" s="98">
        <f t="shared" ca="1" si="132"/>
        <v>4.9718390940284183E-3</v>
      </c>
      <c r="N337" s="98">
        <f t="shared" ca="1" si="133"/>
        <v>47.249158077799422</v>
      </c>
      <c r="O337" s="67">
        <f>assumptions!M341</f>
        <v>55</v>
      </c>
      <c r="P337" s="68">
        <f>assumptions!N341</f>
        <v>3</v>
      </c>
      <c r="Q337" s="68">
        <f>assumptions!O341</f>
        <v>22</v>
      </c>
      <c r="R337" s="67">
        <f t="shared" si="134"/>
        <v>52.5</v>
      </c>
      <c r="S337" s="68">
        <f t="shared" si="135"/>
        <v>2.3275000000000001</v>
      </c>
      <c r="T337" s="68">
        <f t="shared" si="136"/>
        <v>22</v>
      </c>
      <c r="U337" s="73">
        <f t="shared" ca="1" si="137"/>
        <v>2063.6306986556638</v>
      </c>
      <c r="V337" s="72">
        <f t="shared" ca="1" si="138"/>
        <v>549.86207713039073</v>
      </c>
      <c r="W337" s="72">
        <f t="shared" ca="1" si="139"/>
        <v>1039.4814777115873</v>
      </c>
      <c r="X337" s="72">
        <f t="shared" ca="1" si="146"/>
        <v>3652.9742534976422</v>
      </c>
      <c r="Y337" s="73">
        <f>mult_opex * fixed_month</f>
        <v>1000</v>
      </c>
      <c r="Z337" s="72">
        <f ca="1">mult_opex * fixed_well *D337</f>
        <v>5000</v>
      </c>
      <c r="AA337" s="72">
        <f ca="1">(Z337+Y337)*WI_current_1</f>
        <v>6000</v>
      </c>
      <c r="AB337" s="72">
        <f ca="1">mult_opex * var_bo*E337</f>
        <v>0</v>
      </c>
      <c r="AC337" s="72">
        <f ca="1">mult_opex * var_mcf*F337</f>
        <v>0</v>
      </c>
      <c r="AD337" s="72">
        <f ca="1">mult_opex * var_bw * G337</f>
        <v>1.3258237584075782E-2</v>
      </c>
      <c r="AE337" s="72">
        <f ca="1">SUM(AB337:AD337)*WI_current_1</f>
        <v>1.3258237584075782E-2</v>
      </c>
      <c r="AF337" s="73">
        <f ca="1">mult_capex * IFERROR(OFFSET(assumptions!$F$39,MATCH(B337,assumptions!$E$39:$E$45,0)-1,0),0)</f>
        <v>0</v>
      </c>
      <c r="AG337" s="75">
        <f ca="1">mult_capex * capex_new*WI_current_1 *'forecast production'!I338</f>
        <v>0</v>
      </c>
      <c r="AH337" s="146">
        <f t="shared" ca="1" si="147"/>
        <v>0</v>
      </c>
      <c r="AI337" s="73">
        <f t="shared" ca="1" si="140"/>
        <v>214.12777875130888</v>
      </c>
      <c r="AJ337" s="72">
        <f t="shared" ca="1" si="141"/>
        <v>91.32435633744106</v>
      </c>
      <c r="AK337" s="72">
        <f t="shared" ca="1" si="148"/>
        <v>305.45213508874997</v>
      </c>
      <c r="AL337" s="73">
        <f t="shared" ca="1" si="142"/>
        <v>-2652.4911398286918</v>
      </c>
      <c r="AM337" s="132">
        <f ca="1">IF(X337*(lease_NRI/J337)  - (Z337+Y337+AB337+AC337+AD337)  - (AK337)*(lease_NRI/J337)&gt;0,1,0)</f>
        <v>0</v>
      </c>
      <c r="AN337" s="73">
        <f t="shared" ca="1" si="149"/>
        <v>0</v>
      </c>
      <c r="AO337" s="75">
        <f t="shared" ca="1" si="154"/>
        <v>2329073.2544940379</v>
      </c>
      <c r="AP337" s="72">
        <f ca="1">AL337  /  ( 1 + disc_1/12)^(COUNT($AL$6:AL337)-1)</f>
        <v>-170.09392738650777</v>
      </c>
      <c r="AQ337" s="72">
        <f t="shared" ca="1" si="155"/>
        <v>1563458.398389671</v>
      </c>
      <c r="AS337" s="303">
        <f t="shared" ca="1" si="150"/>
        <v>1</v>
      </c>
      <c r="AT337" s="300">
        <f ca="1">IFERROR(IRR($AN$6:AN337)*12,0)</f>
        <v>0</v>
      </c>
      <c r="AU337" s="297">
        <f t="shared" ca="1" si="151"/>
        <v>0</v>
      </c>
      <c r="AV337" s="303">
        <f t="shared" ca="1" si="152"/>
        <v>0</v>
      </c>
    </row>
    <row r="338" spans="2:48" x14ac:dyDescent="0.25">
      <c r="B338" s="43">
        <f t="shared" si="153"/>
        <v>54302</v>
      </c>
      <c r="C338" s="79">
        <f t="shared" si="143"/>
        <v>2048</v>
      </c>
      <c r="D338" s="64">
        <f ca="1">wellcount_base  +  SUM('forecast production'!I$7:I339)</f>
        <v>1</v>
      </c>
      <c r="E338" s="110">
        <f ca="1">'forecast production'!AE339</f>
        <v>50.361124585947344</v>
      </c>
      <c r="F338" s="98">
        <f ca="1">'forecast production'!AF339</f>
        <v>404.31403831394721</v>
      </c>
      <c r="G338" s="98">
        <f ca="1">'forecast production'!AG339</f>
        <v>6.1983987884552845E-3</v>
      </c>
      <c r="H338" s="98">
        <f ca="1">'forecast production'!AH339</f>
        <v>60.64710574709207</v>
      </c>
      <c r="I338" s="307">
        <f t="shared" ca="1" si="144"/>
        <v>1</v>
      </c>
      <c r="J338" s="306">
        <f t="shared" ca="1" si="145"/>
        <v>0.75</v>
      </c>
      <c r="K338" s="112">
        <f t="shared" ca="1" si="130"/>
        <v>37.770843439460506</v>
      </c>
      <c r="L338" s="98">
        <f t="shared" ca="1" si="131"/>
        <v>227.42664655159533</v>
      </c>
      <c r="M338" s="98">
        <f t="shared" ca="1" si="132"/>
        <v>4.6487990913414634E-3</v>
      </c>
      <c r="N338" s="98">
        <f t="shared" ca="1" si="133"/>
        <v>45.485329310319052</v>
      </c>
      <c r="O338" s="67">
        <f>assumptions!M342</f>
        <v>55</v>
      </c>
      <c r="P338" s="68">
        <f>assumptions!N342</f>
        <v>3</v>
      </c>
      <c r="Q338" s="68">
        <f>assumptions!O342</f>
        <v>22</v>
      </c>
      <c r="R338" s="67">
        <f t="shared" si="134"/>
        <v>52.5</v>
      </c>
      <c r="S338" s="68">
        <f t="shared" si="135"/>
        <v>2.3275000000000001</v>
      </c>
      <c r="T338" s="68">
        <f t="shared" si="136"/>
        <v>22</v>
      </c>
      <c r="U338" s="73">
        <f t="shared" ca="1" si="137"/>
        <v>1982.9692805716766</v>
      </c>
      <c r="V338" s="72">
        <f t="shared" ca="1" si="138"/>
        <v>529.3355198488382</v>
      </c>
      <c r="W338" s="72">
        <f t="shared" ca="1" si="139"/>
        <v>1000.6772448270192</v>
      </c>
      <c r="X338" s="72">
        <f t="shared" ca="1" si="146"/>
        <v>3512.9820452475342</v>
      </c>
      <c r="Y338" s="73">
        <f>mult_opex * fixed_month</f>
        <v>1000</v>
      </c>
      <c r="Z338" s="72">
        <f ca="1">mult_opex * fixed_well *D338</f>
        <v>5000</v>
      </c>
      <c r="AA338" s="72">
        <f ca="1">(Z338+Y338)*WI_current_1</f>
        <v>6000</v>
      </c>
      <c r="AB338" s="72">
        <f ca="1">mult_opex * var_bo*E338</f>
        <v>0</v>
      </c>
      <c r="AC338" s="72">
        <f ca="1">mult_opex * var_mcf*F338</f>
        <v>0</v>
      </c>
      <c r="AD338" s="72">
        <f ca="1">mult_opex * var_bw * G338</f>
        <v>1.2396797576910569E-2</v>
      </c>
      <c r="AE338" s="72">
        <f ca="1">SUM(AB338:AD338)*WI_current_1</f>
        <v>1.2396797576910569E-2</v>
      </c>
      <c r="AF338" s="73">
        <f ca="1">mult_capex * IFERROR(OFFSET(assumptions!$F$39,MATCH(B338,assumptions!$E$39:$E$45,0)-1,0),0)</f>
        <v>0</v>
      </c>
      <c r="AG338" s="75">
        <f ca="1">mult_capex * capex_new*WI_current_1 *'forecast production'!I339</f>
        <v>0</v>
      </c>
      <c r="AH338" s="146">
        <f t="shared" ca="1" si="147"/>
        <v>0</v>
      </c>
      <c r="AI338" s="73">
        <f t="shared" ca="1" si="140"/>
        <v>205.96754425698643</v>
      </c>
      <c r="AJ338" s="72">
        <f t="shared" ca="1" si="141"/>
        <v>87.824551131188358</v>
      </c>
      <c r="AK338" s="72">
        <f t="shared" ca="1" si="148"/>
        <v>293.7920953881748</v>
      </c>
      <c r="AL338" s="73">
        <f t="shared" ca="1" si="142"/>
        <v>-2780.8224469382176</v>
      </c>
      <c r="AM338" s="132">
        <f ca="1">IF(X338*(lease_NRI/J338)  - (Z338+Y338+AB338+AC338+AD338)  - (AK338)*(lease_NRI/J338)&gt;0,1,0)</f>
        <v>0</v>
      </c>
      <c r="AN338" s="73">
        <f t="shared" ca="1" si="149"/>
        <v>0</v>
      </c>
      <c r="AO338" s="75">
        <f t="shared" ca="1" si="154"/>
        <v>2329073.2544940379</v>
      </c>
      <c r="AP338" s="72">
        <f ca="1">AL338  /  ( 1 + disc_1/12)^(COUNT($AL$6:AL338)-1)</f>
        <v>-176.8495679601412</v>
      </c>
      <c r="AQ338" s="72">
        <f t="shared" ca="1" si="155"/>
        <v>1563458.398389671</v>
      </c>
      <c r="AS338" s="303">
        <f t="shared" ca="1" si="150"/>
        <v>1</v>
      </c>
      <c r="AT338" s="300">
        <f ca="1">IFERROR(IRR($AN$6:AN338)*12,0)</f>
        <v>0</v>
      </c>
      <c r="AU338" s="297">
        <f t="shared" ca="1" si="151"/>
        <v>0</v>
      </c>
      <c r="AV338" s="303">
        <f t="shared" ca="1" si="152"/>
        <v>0</v>
      </c>
    </row>
    <row r="339" spans="2:48" x14ac:dyDescent="0.25">
      <c r="B339" s="43">
        <f t="shared" si="153"/>
        <v>54332</v>
      </c>
      <c r="C339" s="79">
        <f t="shared" si="143"/>
        <v>2048</v>
      </c>
      <c r="D339" s="64">
        <f ca="1">wellcount_base  +  SUM('forecast production'!I$7:I340)</f>
        <v>1</v>
      </c>
      <c r="E339" s="110">
        <f ca="1">'forecast production'!AE340</f>
        <v>51.68440437200573</v>
      </c>
      <c r="F339" s="98">
        <f ca="1">'forecast production'!AF340</f>
        <v>415.67182709732776</v>
      </c>
      <c r="G339" s="98">
        <f ca="1">'forecast production'!AG340</f>
        <v>6.1953857358854302E-3</v>
      </c>
      <c r="H339" s="98">
        <f ca="1">'forecast production'!AH340</f>
        <v>62.350774064599165</v>
      </c>
      <c r="I339" s="307">
        <f t="shared" ca="1" si="144"/>
        <v>1</v>
      </c>
      <c r="J339" s="306">
        <f t="shared" ca="1" si="145"/>
        <v>0.75</v>
      </c>
      <c r="K339" s="112">
        <f t="shared" ca="1" si="130"/>
        <v>38.763303279004298</v>
      </c>
      <c r="L339" s="98">
        <f t="shared" ca="1" si="131"/>
        <v>233.81540274224685</v>
      </c>
      <c r="M339" s="98">
        <f t="shared" ca="1" si="132"/>
        <v>4.6465393019140726E-3</v>
      </c>
      <c r="N339" s="98">
        <f t="shared" ca="1" si="133"/>
        <v>46.763080548449373</v>
      </c>
      <c r="O339" s="67">
        <f>assumptions!M343</f>
        <v>55</v>
      </c>
      <c r="P339" s="68">
        <f>assumptions!N343</f>
        <v>3</v>
      </c>
      <c r="Q339" s="68">
        <f>assumptions!O343</f>
        <v>22</v>
      </c>
      <c r="R339" s="67">
        <f t="shared" si="134"/>
        <v>52.5</v>
      </c>
      <c r="S339" s="68">
        <f t="shared" si="135"/>
        <v>2.3275000000000001</v>
      </c>
      <c r="T339" s="68">
        <f t="shared" si="136"/>
        <v>22</v>
      </c>
      <c r="U339" s="73">
        <f t="shared" ca="1" si="137"/>
        <v>2035.0734221477255</v>
      </c>
      <c r="V339" s="72">
        <f t="shared" ca="1" si="138"/>
        <v>544.20534988257953</v>
      </c>
      <c r="W339" s="72">
        <f t="shared" ca="1" si="139"/>
        <v>1028.7877720658862</v>
      </c>
      <c r="X339" s="72">
        <f t="shared" ca="1" si="146"/>
        <v>3608.0665440961911</v>
      </c>
      <c r="Y339" s="73">
        <f>mult_opex * fixed_month</f>
        <v>1000</v>
      </c>
      <c r="Z339" s="72">
        <f ca="1">mult_opex * fixed_well *D339</f>
        <v>5000</v>
      </c>
      <c r="AA339" s="72">
        <f ca="1">(Z339+Y339)*WI_current_1</f>
        <v>6000</v>
      </c>
      <c r="AB339" s="72">
        <f ca="1">mult_opex * var_bo*E339</f>
        <v>0</v>
      </c>
      <c r="AC339" s="72">
        <f ca="1">mult_opex * var_mcf*F339</f>
        <v>0</v>
      </c>
      <c r="AD339" s="72">
        <f ca="1">mult_opex * var_bw * G339</f>
        <v>1.239077147177086E-2</v>
      </c>
      <c r="AE339" s="72">
        <f ca="1">SUM(AB339:AD339)*WI_current_1</f>
        <v>1.239077147177086E-2</v>
      </c>
      <c r="AF339" s="73">
        <f ca="1">mult_capex * IFERROR(OFFSET(assumptions!$F$39,MATCH(B339,assumptions!$E$39:$E$45,0)-1,0),0)</f>
        <v>0</v>
      </c>
      <c r="AG339" s="75">
        <f ca="1">mult_capex * capex_new*WI_current_1 *'forecast production'!I340</f>
        <v>0</v>
      </c>
      <c r="AH339" s="146">
        <f t="shared" ca="1" si="147"/>
        <v>0</v>
      </c>
      <c r="AI339" s="73">
        <f t="shared" ca="1" si="140"/>
        <v>211.58786156493028</v>
      </c>
      <c r="AJ339" s="72">
        <f t="shared" ca="1" si="141"/>
        <v>90.201663602404778</v>
      </c>
      <c r="AK339" s="72">
        <f t="shared" ca="1" si="148"/>
        <v>301.78952516733506</v>
      </c>
      <c r="AL339" s="73">
        <f t="shared" ca="1" si="142"/>
        <v>-2693.7353718426157</v>
      </c>
      <c r="AM339" s="132">
        <f ca="1">IF(X339*(lease_NRI/J339)  - (Z339+Y339+AB339+AC339+AD339)  - (AK339)*(lease_NRI/J339)&gt;0,1,0)</f>
        <v>0</v>
      </c>
      <c r="AN339" s="73">
        <f t="shared" ca="1" si="149"/>
        <v>0</v>
      </c>
      <c r="AO339" s="75">
        <f t="shared" ca="1" si="154"/>
        <v>2329073.2544940379</v>
      </c>
      <c r="AP339" s="72">
        <f ca="1">AL339  /  ( 1 + disc_1/12)^(COUNT($AL$6:AL339)-1)</f>
        <v>-169.89537155541802</v>
      </c>
      <c r="AQ339" s="72">
        <f t="shared" ca="1" si="155"/>
        <v>1563458.398389671</v>
      </c>
      <c r="AS339" s="303">
        <f t="shared" ca="1" si="150"/>
        <v>1</v>
      </c>
      <c r="AT339" s="300">
        <f ca="1">IFERROR(IRR($AN$6:AN339)*12,0)</f>
        <v>0</v>
      </c>
      <c r="AU339" s="297">
        <f t="shared" ca="1" si="151"/>
        <v>0</v>
      </c>
      <c r="AV339" s="303">
        <f t="shared" ca="1" si="152"/>
        <v>0</v>
      </c>
    </row>
    <row r="340" spans="2:48" x14ac:dyDescent="0.25">
      <c r="B340" s="43">
        <f t="shared" si="153"/>
        <v>54363</v>
      </c>
      <c r="C340" s="79">
        <f t="shared" si="143"/>
        <v>2048</v>
      </c>
      <c r="D340" s="64">
        <f ca="1">wellcount_base  +  SUM('forecast production'!I$7:I341)</f>
        <v>1</v>
      </c>
      <c r="E340" s="110">
        <f ca="1">'forecast production'!AE341</f>
        <v>49.664208921246058</v>
      </c>
      <c r="F340" s="98">
        <f ca="1">'forecast production'!AF341</f>
        <v>400.154642108377</v>
      </c>
      <c r="G340" s="98">
        <f ca="1">'forecast production'!AG341</f>
        <v>5.7929144674182514E-3</v>
      </c>
      <c r="H340" s="98">
        <f ca="1">'forecast production'!AH341</f>
        <v>60.023196316256545</v>
      </c>
      <c r="I340" s="307">
        <f t="shared" ca="1" si="144"/>
        <v>1</v>
      </c>
      <c r="J340" s="306">
        <f t="shared" ca="1" si="145"/>
        <v>0.75</v>
      </c>
      <c r="K340" s="112">
        <f t="shared" ca="1" si="130"/>
        <v>37.248156690934543</v>
      </c>
      <c r="L340" s="98">
        <f t="shared" ca="1" si="131"/>
        <v>225.08698618596208</v>
      </c>
      <c r="M340" s="98">
        <f t="shared" ca="1" si="132"/>
        <v>4.3446858505636881E-3</v>
      </c>
      <c r="N340" s="98">
        <f t="shared" ca="1" si="133"/>
        <v>45.017397237192412</v>
      </c>
      <c r="O340" s="67">
        <f>assumptions!M344</f>
        <v>55</v>
      </c>
      <c r="P340" s="68">
        <f>assumptions!N344</f>
        <v>3</v>
      </c>
      <c r="Q340" s="68">
        <f>assumptions!O344</f>
        <v>22</v>
      </c>
      <c r="R340" s="67">
        <f t="shared" si="134"/>
        <v>52.5</v>
      </c>
      <c r="S340" s="68">
        <f t="shared" si="135"/>
        <v>2.3275000000000001</v>
      </c>
      <c r="T340" s="68">
        <f t="shared" si="136"/>
        <v>22</v>
      </c>
      <c r="U340" s="73">
        <f t="shared" ca="1" si="137"/>
        <v>1955.5282262740636</v>
      </c>
      <c r="V340" s="72">
        <f t="shared" ca="1" si="138"/>
        <v>523.88996034782679</v>
      </c>
      <c r="W340" s="72">
        <f t="shared" ca="1" si="139"/>
        <v>990.38273921823304</v>
      </c>
      <c r="X340" s="72">
        <f t="shared" ca="1" si="146"/>
        <v>3469.8009258401235</v>
      </c>
      <c r="Y340" s="73">
        <f>mult_opex * fixed_month</f>
        <v>1000</v>
      </c>
      <c r="Z340" s="72">
        <f ca="1">mult_opex * fixed_well *D340</f>
        <v>5000</v>
      </c>
      <c r="AA340" s="72">
        <f ca="1">(Z340+Y340)*WI_current_1</f>
        <v>6000</v>
      </c>
      <c r="AB340" s="72">
        <f ca="1">mult_opex * var_bo*E340</f>
        <v>0</v>
      </c>
      <c r="AC340" s="72">
        <f ca="1">mult_opex * var_mcf*F340</f>
        <v>0</v>
      </c>
      <c r="AD340" s="72">
        <f ca="1">mult_opex * var_bw * G340</f>
        <v>1.1585828934836503E-2</v>
      </c>
      <c r="AE340" s="72">
        <f ca="1">SUM(AB340:AD340)*WI_current_1</f>
        <v>1.1585828934836503E-2</v>
      </c>
      <c r="AF340" s="73">
        <f ca="1">mult_capex * IFERROR(OFFSET(assumptions!$F$39,MATCH(B340,assumptions!$E$39:$E$45,0)-1,0),0)</f>
        <v>0</v>
      </c>
      <c r="AG340" s="75">
        <f ca="1">mult_capex * capex_new*WI_current_1 *'forecast production'!I341</f>
        <v>0</v>
      </c>
      <c r="AH340" s="146">
        <f t="shared" ca="1" si="147"/>
        <v>0</v>
      </c>
      <c r="AI340" s="73">
        <f t="shared" ca="1" si="140"/>
        <v>203.52475087606143</v>
      </c>
      <c r="AJ340" s="72">
        <f t="shared" ca="1" si="141"/>
        <v>86.745023146003092</v>
      </c>
      <c r="AK340" s="72">
        <f t="shared" ca="1" si="148"/>
        <v>290.26977402206455</v>
      </c>
      <c r="AL340" s="73">
        <f t="shared" ca="1" si="142"/>
        <v>-2820.4804340108763</v>
      </c>
      <c r="AM340" s="132">
        <f ca="1">IF(X340*(lease_NRI/J340)  - (Z340+Y340+AB340+AC340+AD340)  - (AK340)*(lease_NRI/J340)&gt;0,1,0)</f>
        <v>0</v>
      </c>
      <c r="AN340" s="73">
        <f t="shared" ca="1" si="149"/>
        <v>0</v>
      </c>
      <c r="AO340" s="75">
        <f t="shared" ca="1" si="154"/>
        <v>2329073.2544940379</v>
      </c>
      <c r="AP340" s="72">
        <f ca="1">AL340  /  ( 1 + disc_1/12)^(COUNT($AL$6:AL340)-1)</f>
        <v>-176.41909323055086</v>
      </c>
      <c r="AQ340" s="72">
        <f t="shared" ca="1" si="155"/>
        <v>1563458.398389671</v>
      </c>
      <c r="AS340" s="303">
        <f t="shared" ca="1" si="150"/>
        <v>1</v>
      </c>
      <c r="AT340" s="300">
        <f ca="1">IFERROR(IRR($AN$6:AN340)*12,0)</f>
        <v>0</v>
      </c>
      <c r="AU340" s="297">
        <f t="shared" ca="1" si="151"/>
        <v>0</v>
      </c>
      <c r="AV340" s="303">
        <f t="shared" ca="1" si="152"/>
        <v>0</v>
      </c>
    </row>
    <row r="341" spans="2:48" x14ac:dyDescent="0.25">
      <c r="B341" s="44">
        <f t="shared" si="153"/>
        <v>54393</v>
      </c>
      <c r="C341" s="100">
        <f t="shared" si="143"/>
        <v>2048</v>
      </c>
      <c r="D341" s="65">
        <f ca="1">wellcount_base  +  SUM('forecast production'!I$7:I342)</f>
        <v>1</v>
      </c>
      <c r="E341" s="109">
        <f ca="1">'forecast production'!AE342</f>
        <v>50.969176677553946</v>
      </c>
      <c r="F341" s="101">
        <f ca="1">'forecast production'!AF342</f>
        <v>411.39558720320736</v>
      </c>
      <c r="G341" s="101">
        <f ca="1">'forecast production'!AG342</f>
        <v>5.7901636818443363E-3</v>
      </c>
      <c r="H341" s="102">
        <f ca="1">'forecast production'!AH342</f>
        <v>61.70933808048111</v>
      </c>
      <c r="I341" s="308">
        <f t="shared" ca="1" si="144"/>
        <v>1</v>
      </c>
      <c r="J341" s="309">
        <f t="shared" ca="1" si="145"/>
        <v>0.75</v>
      </c>
      <c r="K341" s="113">
        <f t="shared" ca="1" si="130"/>
        <v>38.22688250816546</v>
      </c>
      <c r="L341" s="102">
        <f t="shared" ca="1" si="131"/>
        <v>231.41001780180412</v>
      </c>
      <c r="M341" s="102">
        <f t="shared" ca="1" si="132"/>
        <v>4.3426227613832524E-3</v>
      </c>
      <c r="N341" s="102">
        <f t="shared" ca="1" si="133"/>
        <v>46.282003560360835</v>
      </c>
      <c r="O341" s="103">
        <f>assumptions!M345</f>
        <v>55</v>
      </c>
      <c r="P341" s="104">
        <f>assumptions!N345</f>
        <v>3</v>
      </c>
      <c r="Q341" s="104">
        <f>assumptions!O345</f>
        <v>22</v>
      </c>
      <c r="R341" s="103">
        <f t="shared" si="134"/>
        <v>52.5</v>
      </c>
      <c r="S341" s="104">
        <f t="shared" si="135"/>
        <v>2.3275000000000001</v>
      </c>
      <c r="T341" s="104">
        <f t="shared" si="136"/>
        <v>22</v>
      </c>
      <c r="U341" s="105">
        <f t="shared" ca="1" si="137"/>
        <v>2006.9113316786866</v>
      </c>
      <c r="V341" s="106">
        <f t="shared" ca="1" si="138"/>
        <v>538.60681643369912</v>
      </c>
      <c r="W341" s="106">
        <f t="shared" ca="1" si="139"/>
        <v>1018.2040783279383</v>
      </c>
      <c r="X341" s="106">
        <f t="shared" ca="1" si="146"/>
        <v>3563.7222264403235</v>
      </c>
      <c r="Y341" s="105">
        <f>mult_opex * fixed_month</f>
        <v>1000</v>
      </c>
      <c r="Z341" s="106">
        <f ca="1">mult_opex * fixed_well *D341</f>
        <v>5000</v>
      </c>
      <c r="AA341" s="106">
        <f ca="1">(Z341+Y341)*WI_current_1</f>
        <v>6000</v>
      </c>
      <c r="AB341" s="106">
        <f ca="1">mult_opex * var_bo*E341</f>
        <v>0</v>
      </c>
      <c r="AC341" s="106">
        <f ca="1">mult_opex * var_mcf*F341</f>
        <v>0</v>
      </c>
      <c r="AD341" s="106">
        <f ca="1">mult_opex * var_bw * G341</f>
        <v>1.1580327363688673E-2</v>
      </c>
      <c r="AE341" s="106">
        <f ca="1">SUM(AB341:AD341)*WI_current_1</f>
        <v>1.1580327363688673E-2</v>
      </c>
      <c r="AF341" s="105">
        <f ca="1">mult_capex * IFERROR(OFFSET(assumptions!$F$39,MATCH(B341,assumptions!$E$39:$E$45,0)-1,0),0)</f>
        <v>0</v>
      </c>
      <c r="AG341" s="106">
        <f ca="1">mult_capex * capex_new*WI_current_1 *'forecast production'!I342</f>
        <v>0</v>
      </c>
      <c r="AH341" s="147">
        <f t="shared" ca="1" si="147"/>
        <v>0</v>
      </c>
      <c r="AI341" s="105">
        <f t="shared" ca="1" si="140"/>
        <v>209.07873836434237</v>
      </c>
      <c r="AJ341" s="106">
        <f t="shared" ca="1" si="141"/>
        <v>89.093055661008094</v>
      </c>
      <c r="AK341" s="106">
        <f t="shared" ca="1" si="148"/>
        <v>298.17179402535044</v>
      </c>
      <c r="AL341" s="105">
        <f t="shared" ca="1" si="142"/>
        <v>-2734.4611479123905</v>
      </c>
      <c r="AM341" s="133">
        <f ca="1">IF(X341*(lease_NRI/J341)  - (Z341+Y341+AB341+AC341+AD341)  - (AK341)*(lease_NRI/J341)&gt;0,1,0)</f>
        <v>0</v>
      </c>
      <c r="AN341" s="105">
        <f t="shared" ca="1" si="149"/>
        <v>0</v>
      </c>
      <c r="AO341" s="106">
        <f t="shared" ca="1" si="154"/>
        <v>2329073.2544940379</v>
      </c>
      <c r="AP341" s="106">
        <f ca="1">AL341  /  ( 1 + disc_1/12)^(COUNT($AL$6:AL341)-1)</f>
        <v>-169.62510406396177</v>
      </c>
      <c r="AQ341" s="106">
        <f t="shared" ca="1" si="155"/>
        <v>1563458.398389671</v>
      </c>
      <c r="AS341" s="304">
        <f t="shared" ca="1" si="150"/>
        <v>1</v>
      </c>
      <c r="AT341" s="301">
        <f ca="1">IFERROR(IRR($AN$6:AN341)*12,0)</f>
        <v>0</v>
      </c>
      <c r="AU341" s="298">
        <f t="shared" ca="1" si="151"/>
        <v>0</v>
      </c>
      <c r="AV341" s="304">
        <f t="shared" ca="1" si="152"/>
        <v>0</v>
      </c>
    </row>
    <row r="342" spans="2:48" x14ac:dyDescent="0.25">
      <c r="B342" s="43">
        <f t="shared" si="153"/>
        <v>54424</v>
      </c>
      <c r="C342" s="79">
        <f t="shared" si="143"/>
        <v>2049</v>
      </c>
      <c r="D342" s="64">
        <f ca="1">wellcount_base  +  SUM('forecast production'!I$7:I343)</f>
        <v>1</v>
      </c>
      <c r="E342" s="110">
        <f ca="1">'forecast production'!AE343</f>
        <v>50.609502011467811</v>
      </c>
      <c r="F342" s="98">
        <f ca="1">'forecast production'!AF343</f>
        <v>411.39558720320736</v>
      </c>
      <c r="G342" s="98">
        <f ca="1">'forecast production'!AG343</f>
        <v>5.7901636818443363E-3</v>
      </c>
      <c r="H342" s="98">
        <f ca="1">'forecast production'!AH343</f>
        <v>61.70933808048111</v>
      </c>
      <c r="I342" s="307">
        <f t="shared" ca="1" si="144"/>
        <v>1</v>
      </c>
      <c r="J342" s="306">
        <f t="shared" ca="1" si="145"/>
        <v>0.75</v>
      </c>
      <c r="K342" s="112">
        <f t="shared" ca="1" si="130"/>
        <v>37.957126508600858</v>
      </c>
      <c r="L342" s="98">
        <f t="shared" ca="1" si="131"/>
        <v>231.41001780180412</v>
      </c>
      <c r="M342" s="98">
        <f t="shared" ca="1" si="132"/>
        <v>4.3426227613832524E-3</v>
      </c>
      <c r="N342" s="98">
        <f t="shared" ca="1" si="133"/>
        <v>46.282003560360835</v>
      </c>
      <c r="O342" s="67">
        <f>assumptions!M346</f>
        <v>55</v>
      </c>
      <c r="P342" s="68">
        <f>assumptions!N346</f>
        <v>3</v>
      </c>
      <c r="Q342" s="68">
        <f>assumptions!O346</f>
        <v>22</v>
      </c>
      <c r="R342" s="67">
        <f t="shared" si="134"/>
        <v>52.5</v>
      </c>
      <c r="S342" s="68">
        <f t="shared" si="135"/>
        <v>2.3275000000000001</v>
      </c>
      <c r="T342" s="68">
        <f t="shared" si="136"/>
        <v>22</v>
      </c>
      <c r="U342" s="73">
        <f t="shared" ca="1" si="137"/>
        <v>1992.7491417015451</v>
      </c>
      <c r="V342" s="72">
        <f t="shared" ca="1" si="138"/>
        <v>538.60681643369912</v>
      </c>
      <c r="W342" s="72">
        <f t="shared" ca="1" si="139"/>
        <v>1018.2040783279383</v>
      </c>
      <c r="X342" s="72">
        <f t="shared" ca="1" si="146"/>
        <v>3549.5600364631828</v>
      </c>
      <c r="Y342" s="73">
        <f>mult_opex * fixed_month</f>
        <v>1000</v>
      </c>
      <c r="Z342" s="72">
        <f ca="1">mult_opex * fixed_well *D342</f>
        <v>5000</v>
      </c>
      <c r="AA342" s="72">
        <f ca="1">(Z342+Y342)*WI_current_1</f>
        <v>6000</v>
      </c>
      <c r="AB342" s="72">
        <f ca="1">mult_opex * var_bo*E342</f>
        <v>0</v>
      </c>
      <c r="AC342" s="72">
        <f ca="1">mult_opex * var_mcf*F342</f>
        <v>0</v>
      </c>
      <c r="AD342" s="72">
        <f ca="1">mult_opex * var_bw * G342</f>
        <v>1.1580327363688673E-2</v>
      </c>
      <c r="AE342" s="72">
        <f ca="1">SUM(AB342:AD342)*WI_current_1</f>
        <v>1.1580327363688673E-2</v>
      </c>
      <c r="AF342" s="73">
        <f ca="1">mult_capex * IFERROR(OFFSET(assumptions!$F$39,MATCH(B342,assumptions!$E$39:$E$45,0)-1,0),0)</f>
        <v>0</v>
      </c>
      <c r="AG342" s="75">
        <f ca="1">mult_capex * capex_new*WI_current_1 *'forecast production'!I343</f>
        <v>0</v>
      </c>
      <c r="AH342" s="146">
        <f t="shared" ca="1" si="147"/>
        <v>0</v>
      </c>
      <c r="AI342" s="73">
        <f t="shared" ca="1" si="140"/>
        <v>208.42727762539386</v>
      </c>
      <c r="AJ342" s="72">
        <f t="shared" ca="1" si="141"/>
        <v>88.739000911579581</v>
      </c>
      <c r="AK342" s="72">
        <f t="shared" ca="1" si="148"/>
        <v>297.16627853697344</v>
      </c>
      <c r="AL342" s="73">
        <f t="shared" ca="1" si="142"/>
        <v>-2747.6178224011546</v>
      </c>
      <c r="AM342" s="132">
        <f ca="1">IF(X342*(lease_NRI/J342)  - (Z342+Y342+AB342+AC342+AD342)  - (AK342)*(lease_NRI/J342)&gt;0,1,0)</f>
        <v>0</v>
      </c>
      <c r="AN342" s="73">
        <f t="shared" ca="1" si="149"/>
        <v>0</v>
      </c>
      <c r="AO342" s="75">
        <f t="shared" ca="1" si="154"/>
        <v>2329073.2544940379</v>
      </c>
      <c r="AP342" s="72">
        <f ca="1">AL342  /  ( 1 + disc_1/12)^(COUNT($AL$6:AL342)-1)</f>
        <v>-169.03263843575496</v>
      </c>
      <c r="AQ342" s="72">
        <f t="shared" ca="1" si="155"/>
        <v>1563458.398389671</v>
      </c>
      <c r="AS342" s="303">
        <f t="shared" ca="1" si="150"/>
        <v>1</v>
      </c>
      <c r="AT342" s="300">
        <f ca="1">IFERROR(IRR($AN$6:AN342)*12,0)</f>
        <v>0</v>
      </c>
      <c r="AU342" s="297">
        <f t="shared" ca="1" si="151"/>
        <v>0</v>
      </c>
      <c r="AV342" s="303">
        <f t="shared" ca="1" si="152"/>
        <v>0</v>
      </c>
    </row>
    <row r="343" spans="2:48" x14ac:dyDescent="0.25">
      <c r="B343" s="43">
        <f t="shared" si="153"/>
        <v>54455</v>
      </c>
      <c r="C343" s="79">
        <f t="shared" si="143"/>
        <v>2049</v>
      </c>
      <c r="D343" s="64">
        <f ca="1">wellcount_base  +  SUM('forecast production'!I$7:I344)</f>
        <v>1</v>
      </c>
      <c r="E343" s="110">
        <f ca="1">'forecast production'!AE344</f>
        <v>45.389233323193331</v>
      </c>
      <c r="F343" s="98">
        <f ca="1">'forecast production'!AF344</f>
        <v>371.58311102225184</v>
      </c>
      <c r="G343" s="98">
        <f ca="1">'forecast production'!AG344</f>
        <v>5.2298252610206908E-3</v>
      </c>
      <c r="H343" s="98">
        <f ca="1">'forecast production'!AH344</f>
        <v>55.737466653337776</v>
      </c>
      <c r="I343" s="307">
        <f t="shared" ca="1" si="144"/>
        <v>1</v>
      </c>
      <c r="J343" s="306">
        <f t="shared" ca="1" si="145"/>
        <v>0.75</v>
      </c>
      <c r="K343" s="112">
        <f t="shared" ca="1" si="130"/>
        <v>34.041924992394996</v>
      </c>
      <c r="L343" s="98">
        <f t="shared" ca="1" si="131"/>
        <v>209.01549995001665</v>
      </c>
      <c r="M343" s="98">
        <f t="shared" ca="1" si="132"/>
        <v>3.9223689457655178E-3</v>
      </c>
      <c r="N343" s="98">
        <f t="shared" ca="1" si="133"/>
        <v>41.803099990003332</v>
      </c>
      <c r="O343" s="67">
        <f>assumptions!M347</f>
        <v>55</v>
      </c>
      <c r="P343" s="68">
        <f>assumptions!N347</f>
        <v>3</v>
      </c>
      <c r="Q343" s="68">
        <f>assumptions!O347</f>
        <v>22</v>
      </c>
      <c r="R343" s="67">
        <f t="shared" si="134"/>
        <v>52.5</v>
      </c>
      <c r="S343" s="68">
        <f t="shared" si="135"/>
        <v>2.3275000000000001</v>
      </c>
      <c r="T343" s="68">
        <f t="shared" si="136"/>
        <v>22</v>
      </c>
      <c r="U343" s="73">
        <f t="shared" ca="1" si="137"/>
        <v>1787.2010621007373</v>
      </c>
      <c r="V343" s="72">
        <f t="shared" ca="1" si="138"/>
        <v>486.48357613366375</v>
      </c>
      <c r="W343" s="72">
        <f t="shared" ca="1" si="139"/>
        <v>919.66819978007334</v>
      </c>
      <c r="X343" s="72">
        <f t="shared" ca="1" si="146"/>
        <v>3193.3528380144744</v>
      </c>
      <c r="Y343" s="73">
        <f>mult_opex * fixed_month</f>
        <v>1000</v>
      </c>
      <c r="Z343" s="72">
        <f ca="1">mult_opex * fixed_well *D343</f>
        <v>5000</v>
      </c>
      <c r="AA343" s="72">
        <f ca="1">(Z343+Y343)*WI_current_1</f>
        <v>6000</v>
      </c>
      <c r="AB343" s="72">
        <f ca="1">mult_opex * var_bo*E343</f>
        <v>0</v>
      </c>
      <c r="AC343" s="72">
        <f ca="1">mult_opex * var_mcf*F343</f>
        <v>0</v>
      </c>
      <c r="AD343" s="72">
        <f ca="1">mult_opex * var_bw * G343</f>
        <v>1.0459650522041382E-2</v>
      </c>
      <c r="AE343" s="72">
        <f ca="1">SUM(AB343:AD343)*WI_current_1</f>
        <v>1.0459650522041382E-2</v>
      </c>
      <c r="AF343" s="73">
        <f ca="1">mult_capex * IFERROR(OFFSET(assumptions!$F$39,MATCH(B343,assumptions!$E$39:$E$45,0)-1,0),0)</f>
        <v>0</v>
      </c>
      <c r="AG343" s="75">
        <f ca="1">mult_capex * capex_new*WI_current_1 *'forecast production'!I344</f>
        <v>0</v>
      </c>
      <c r="AH343" s="146">
        <f t="shared" ca="1" si="147"/>
        <v>0</v>
      </c>
      <c r="AI343" s="73">
        <f t="shared" ca="1" si="140"/>
        <v>187.67263205016417</v>
      </c>
      <c r="AJ343" s="72">
        <f t="shared" ca="1" si="141"/>
        <v>79.833820950361869</v>
      </c>
      <c r="AK343" s="72">
        <f t="shared" ca="1" si="148"/>
        <v>267.50645300052605</v>
      </c>
      <c r="AL343" s="73">
        <f t="shared" ca="1" si="142"/>
        <v>-3074.1640746365738</v>
      </c>
      <c r="AM343" s="132">
        <f ca="1">IF(X343*(lease_NRI/J343)  - (Z343+Y343+AB343+AC343+AD343)  - (AK343)*(lease_NRI/J343)&gt;0,1,0)</f>
        <v>0</v>
      </c>
      <c r="AN343" s="73">
        <f t="shared" ca="1" si="149"/>
        <v>0</v>
      </c>
      <c r="AO343" s="75">
        <f t="shared" ca="1" si="154"/>
        <v>2329073.2544940379</v>
      </c>
      <c r="AP343" s="72">
        <f ca="1">AL343  /  ( 1 + disc_1/12)^(COUNT($AL$6:AL343)-1)</f>
        <v>-187.55867861887728</v>
      </c>
      <c r="AQ343" s="72">
        <f t="shared" ca="1" si="155"/>
        <v>1563458.398389671</v>
      </c>
      <c r="AS343" s="303">
        <f t="shared" ca="1" si="150"/>
        <v>1</v>
      </c>
      <c r="AT343" s="300">
        <f ca="1">IFERROR(IRR($AN$6:AN343)*12,0)</f>
        <v>0</v>
      </c>
      <c r="AU343" s="297">
        <f t="shared" ca="1" si="151"/>
        <v>0</v>
      </c>
      <c r="AV343" s="303">
        <f t="shared" ca="1" si="152"/>
        <v>0</v>
      </c>
    </row>
    <row r="344" spans="2:48" x14ac:dyDescent="0.25">
      <c r="B344" s="43">
        <f t="shared" si="153"/>
        <v>54483</v>
      </c>
      <c r="C344" s="79">
        <f t="shared" si="143"/>
        <v>2049</v>
      </c>
      <c r="D344" s="64">
        <f ca="1">wellcount_base  +  SUM('forecast production'!I$7:I345)</f>
        <v>1</v>
      </c>
      <c r="E344" s="110">
        <f ca="1">'forecast production'!AE345</f>
        <v>49.931957187023649</v>
      </c>
      <c r="F344" s="98">
        <f ca="1">'forecast production'!AF345</f>
        <v>411.39558720320736</v>
      </c>
      <c r="G344" s="98">
        <f ca="1">'forecast production'!AG345</f>
        <v>5.7901636818443363E-3</v>
      </c>
      <c r="H344" s="98">
        <f ca="1">'forecast production'!AH345</f>
        <v>61.70933808048111</v>
      </c>
      <c r="I344" s="307">
        <f t="shared" ca="1" si="144"/>
        <v>1</v>
      </c>
      <c r="J344" s="306">
        <f t="shared" ca="1" si="145"/>
        <v>0.75</v>
      </c>
      <c r="K344" s="112">
        <f t="shared" ca="1" si="130"/>
        <v>37.448967890267738</v>
      </c>
      <c r="L344" s="98">
        <f t="shared" ca="1" si="131"/>
        <v>231.41001780180412</v>
      </c>
      <c r="M344" s="98">
        <f t="shared" ca="1" si="132"/>
        <v>4.3426227613832524E-3</v>
      </c>
      <c r="N344" s="98">
        <f t="shared" ca="1" si="133"/>
        <v>46.282003560360835</v>
      </c>
      <c r="O344" s="67">
        <f>assumptions!M348</f>
        <v>55</v>
      </c>
      <c r="P344" s="68">
        <f>assumptions!N348</f>
        <v>3</v>
      </c>
      <c r="Q344" s="68">
        <f>assumptions!O348</f>
        <v>22</v>
      </c>
      <c r="R344" s="67">
        <f t="shared" si="134"/>
        <v>52.5</v>
      </c>
      <c r="S344" s="68">
        <f t="shared" si="135"/>
        <v>2.3275000000000001</v>
      </c>
      <c r="T344" s="68">
        <f t="shared" si="136"/>
        <v>22</v>
      </c>
      <c r="U344" s="73">
        <f t="shared" ca="1" si="137"/>
        <v>1966.0708142390563</v>
      </c>
      <c r="V344" s="72">
        <f t="shared" ca="1" si="138"/>
        <v>538.60681643369912</v>
      </c>
      <c r="W344" s="72">
        <f t="shared" ca="1" si="139"/>
        <v>1018.2040783279383</v>
      </c>
      <c r="X344" s="72">
        <f t="shared" ca="1" si="146"/>
        <v>3522.8817090006933</v>
      </c>
      <c r="Y344" s="73">
        <f>mult_opex * fixed_month</f>
        <v>1000</v>
      </c>
      <c r="Z344" s="72">
        <f ca="1">mult_opex * fixed_well *D344</f>
        <v>5000</v>
      </c>
      <c r="AA344" s="72">
        <f ca="1">(Z344+Y344)*WI_current_1</f>
        <v>6000</v>
      </c>
      <c r="AB344" s="72">
        <f ca="1">mult_opex * var_bo*E344</f>
        <v>0</v>
      </c>
      <c r="AC344" s="72">
        <f ca="1">mult_opex * var_mcf*F344</f>
        <v>0</v>
      </c>
      <c r="AD344" s="72">
        <f ca="1">mult_opex * var_bw * G344</f>
        <v>1.1580327363688673E-2</v>
      </c>
      <c r="AE344" s="72">
        <f ca="1">SUM(AB344:AD344)*WI_current_1</f>
        <v>1.1580327363688673E-2</v>
      </c>
      <c r="AF344" s="73">
        <f ca="1">mult_capex * IFERROR(OFFSET(assumptions!$F$39,MATCH(B344,assumptions!$E$39:$E$45,0)-1,0),0)</f>
        <v>0</v>
      </c>
      <c r="AG344" s="75">
        <f ca="1">mult_capex * capex_new*WI_current_1 *'forecast production'!I345</f>
        <v>0</v>
      </c>
      <c r="AH344" s="146">
        <f t="shared" ca="1" si="147"/>
        <v>0</v>
      </c>
      <c r="AI344" s="73">
        <f t="shared" ca="1" si="140"/>
        <v>207.20007456211937</v>
      </c>
      <c r="AJ344" s="72">
        <f t="shared" ca="1" si="141"/>
        <v>88.07204272501734</v>
      </c>
      <c r="AK344" s="72">
        <f t="shared" ca="1" si="148"/>
        <v>295.27211728713672</v>
      </c>
      <c r="AL344" s="73">
        <f t="shared" ca="1" si="142"/>
        <v>-2772.4019886138071</v>
      </c>
      <c r="AM344" s="132">
        <f ca="1">IF(X344*(lease_NRI/J344)  - (Z344+Y344+AB344+AC344+AD344)  - (AK344)*(lease_NRI/J344)&gt;0,1,0)</f>
        <v>0</v>
      </c>
      <c r="AN344" s="73">
        <f t="shared" ca="1" si="149"/>
        <v>0</v>
      </c>
      <c r="AO344" s="75">
        <f t="shared" ca="1" si="154"/>
        <v>2329073.2544940379</v>
      </c>
      <c r="AP344" s="72">
        <f ca="1">AL344  /  ( 1 + disc_1/12)^(COUNT($AL$6:AL344)-1)</f>
        <v>-167.7498725292551</v>
      </c>
      <c r="AQ344" s="72">
        <f t="shared" ca="1" si="155"/>
        <v>1563458.398389671</v>
      </c>
      <c r="AS344" s="303">
        <f t="shared" ca="1" si="150"/>
        <v>1</v>
      </c>
      <c r="AT344" s="300">
        <f ca="1">IFERROR(IRR($AN$6:AN344)*12,0)</f>
        <v>0</v>
      </c>
      <c r="AU344" s="297">
        <f t="shared" ca="1" si="151"/>
        <v>0</v>
      </c>
      <c r="AV344" s="303">
        <f t="shared" ca="1" si="152"/>
        <v>0</v>
      </c>
    </row>
    <row r="345" spans="2:48" x14ac:dyDescent="0.25">
      <c r="B345" s="43">
        <f t="shared" si="153"/>
        <v>54514</v>
      </c>
      <c r="C345" s="79">
        <f t="shared" si="143"/>
        <v>2049</v>
      </c>
      <c r="D345" s="64">
        <f ca="1">wellcount_base  +  SUM('forecast production'!I$7:I346)</f>
        <v>1</v>
      </c>
      <c r="E345" s="110">
        <f ca="1">'forecast production'!AE346</f>
        <v>47.98025988137784</v>
      </c>
      <c r="F345" s="98">
        <f ca="1">'forecast production'!AF346</f>
        <v>398.12476180955554</v>
      </c>
      <c r="G345" s="98">
        <f ca="1">'forecast production'!AG346</f>
        <v>5.6033842082364544E-3</v>
      </c>
      <c r="H345" s="98">
        <f ca="1">'forecast production'!AH346</f>
        <v>59.718714271433328</v>
      </c>
      <c r="I345" s="307">
        <f t="shared" ca="1" si="144"/>
        <v>1</v>
      </c>
      <c r="J345" s="306">
        <f t="shared" ca="1" si="145"/>
        <v>0.75</v>
      </c>
      <c r="K345" s="112">
        <f t="shared" ca="1" si="130"/>
        <v>35.985194911033382</v>
      </c>
      <c r="L345" s="98">
        <f t="shared" ca="1" si="131"/>
        <v>223.94517851787498</v>
      </c>
      <c r="M345" s="98">
        <f t="shared" ca="1" si="132"/>
        <v>4.2025381561773406E-3</v>
      </c>
      <c r="N345" s="98">
        <f t="shared" ca="1" si="133"/>
        <v>44.789035703574996</v>
      </c>
      <c r="O345" s="67">
        <f>assumptions!M349</f>
        <v>55</v>
      </c>
      <c r="P345" s="68">
        <f>assumptions!N349</f>
        <v>3</v>
      </c>
      <c r="Q345" s="68">
        <f>assumptions!O349</f>
        <v>22</v>
      </c>
      <c r="R345" s="67">
        <f t="shared" si="134"/>
        <v>52.5</v>
      </c>
      <c r="S345" s="68">
        <f t="shared" si="135"/>
        <v>2.3275000000000001</v>
      </c>
      <c r="T345" s="68">
        <f t="shared" si="136"/>
        <v>22</v>
      </c>
      <c r="U345" s="73">
        <f t="shared" ca="1" si="137"/>
        <v>1889.2227328292527</v>
      </c>
      <c r="V345" s="72">
        <f t="shared" ca="1" si="138"/>
        <v>521.232403000354</v>
      </c>
      <c r="W345" s="72">
        <f t="shared" ca="1" si="139"/>
        <v>985.35878547864991</v>
      </c>
      <c r="X345" s="72">
        <f t="shared" ca="1" si="146"/>
        <v>3395.8139213082568</v>
      </c>
      <c r="Y345" s="73">
        <f>mult_opex * fixed_month</f>
        <v>1000</v>
      </c>
      <c r="Z345" s="72">
        <f ca="1">mult_opex * fixed_well *D345</f>
        <v>5000</v>
      </c>
      <c r="AA345" s="72">
        <f ca="1">(Z345+Y345)*WI_current_1</f>
        <v>6000</v>
      </c>
      <c r="AB345" s="72">
        <f ca="1">mult_opex * var_bo*E345</f>
        <v>0</v>
      </c>
      <c r="AC345" s="72">
        <f ca="1">mult_opex * var_mcf*F345</f>
        <v>0</v>
      </c>
      <c r="AD345" s="72">
        <f ca="1">mult_opex * var_bw * G345</f>
        <v>1.1206768416472909E-2</v>
      </c>
      <c r="AE345" s="72">
        <f ca="1">SUM(AB345:AD345)*WI_current_1</f>
        <v>1.1206768416472909E-2</v>
      </c>
      <c r="AF345" s="73">
        <f ca="1">mult_capex * IFERROR(OFFSET(assumptions!$F$39,MATCH(B345,assumptions!$E$39:$E$45,0)-1,0),0)</f>
        <v>0</v>
      </c>
      <c r="AG345" s="75">
        <f ca="1">mult_capex * capex_new*WI_current_1 *'forecast production'!I346</f>
        <v>0</v>
      </c>
      <c r="AH345" s="146">
        <f t="shared" ca="1" si="147"/>
        <v>0</v>
      </c>
      <c r="AI345" s="73">
        <f t="shared" ca="1" si="140"/>
        <v>199.89858484607089</v>
      </c>
      <c r="AJ345" s="72">
        <f t="shared" ca="1" si="141"/>
        <v>84.895348032706423</v>
      </c>
      <c r="AK345" s="72">
        <f t="shared" ca="1" si="148"/>
        <v>284.7939328787773</v>
      </c>
      <c r="AL345" s="73">
        <f t="shared" ca="1" si="142"/>
        <v>-2888.991218338937</v>
      </c>
      <c r="AM345" s="132">
        <f ca="1">IF(X345*(lease_NRI/J345)  - (Z345+Y345+AB345+AC345+AD345)  - (AK345)*(lease_NRI/J345)&gt;0,1,0)</f>
        <v>0</v>
      </c>
      <c r="AN345" s="73">
        <f t="shared" ca="1" si="149"/>
        <v>0</v>
      </c>
      <c r="AO345" s="75">
        <f t="shared" ca="1" si="154"/>
        <v>2329073.2544940379</v>
      </c>
      <c r="AP345" s="72">
        <f ca="1">AL345  /  ( 1 + disc_1/12)^(COUNT($AL$6:AL345)-1)</f>
        <v>-173.35967917387461</v>
      </c>
      <c r="AQ345" s="72">
        <f t="shared" ca="1" si="155"/>
        <v>1563458.398389671</v>
      </c>
      <c r="AS345" s="303">
        <f t="shared" ca="1" si="150"/>
        <v>1</v>
      </c>
      <c r="AT345" s="300">
        <f ca="1">IFERROR(IRR($AN$6:AN345)*12,0)</f>
        <v>0</v>
      </c>
      <c r="AU345" s="297">
        <f t="shared" ca="1" si="151"/>
        <v>0</v>
      </c>
      <c r="AV345" s="303">
        <f t="shared" ca="1" si="152"/>
        <v>0</v>
      </c>
    </row>
    <row r="346" spans="2:48" x14ac:dyDescent="0.25">
      <c r="B346" s="43">
        <f t="shared" si="153"/>
        <v>54544</v>
      </c>
      <c r="C346" s="79">
        <f t="shared" si="143"/>
        <v>2049</v>
      </c>
      <c r="D346" s="64">
        <f ca="1">wellcount_base  +  SUM('forecast production'!I$7:I347)</f>
        <v>1</v>
      </c>
      <c r="E346" s="110">
        <f ca="1">'forecast production'!AE347</f>
        <v>49.24098049778307</v>
      </c>
      <c r="F346" s="98">
        <f ca="1">'forecast production'!AF347</f>
        <v>411.39558720320736</v>
      </c>
      <c r="G346" s="98">
        <f ca="1">'forecast production'!AG347</f>
        <v>5.7901636818443363E-3</v>
      </c>
      <c r="H346" s="98">
        <f ca="1">'forecast production'!AH347</f>
        <v>61.70933808048111</v>
      </c>
      <c r="I346" s="307">
        <f t="shared" ca="1" si="144"/>
        <v>1</v>
      </c>
      <c r="J346" s="306">
        <f t="shared" ca="1" si="145"/>
        <v>0.75</v>
      </c>
      <c r="K346" s="112">
        <f t="shared" ca="1" si="130"/>
        <v>36.930735373337299</v>
      </c>
      <c r="L346" s="98">
        <f t="shared" ca="1" si="131"/>
        <v>231.41001780180412</v>
      </c>
      <c r="M346" s="98">
        <f t="shared" ca="1" si="132"/>
        <v>4.3426227613832524E-3</v>
      </c>
      <c r="N346" s="98">
        <f t="shared" ca="1" si="133"/>
        <v>46.282003560360835</v>
      </c>
      <c r="O346" s="67">
        <f>assumptions!M350</f>
        <v>55</v>
      </c>
      <c r="P346" s="68">
        <f>assumptions!N350</f>
        <v>3</v>
      </c>
      <c r="Q346" s="68">
        <f>assumptions!O350</f>
        <v>22</v>
      </c>
      <c r="R346" s="67">
        <f t="shared" si="134"/>
        <v>52.5</v>
      </c>
      <c r="S346" s="68">
        <f t="shared" si="135"/>
        <v>2.3275000000000001</v>
      </c>
      <c r="T346" s="68">
        <f t="shared" si="136"/>
        <v>22</v>
      </c>
      <c r="U346" s="73">
        <f t="shared" ca="1" si="137"/>
        <v>1938.8636071002081</v>
      </c>
      <c r="V346" s="72">
        <f t="shared" ca="1" si="138"/>
        <v>538.60681643369912</v>
      </c>
      <c r="W346" s="72">
        <f t="shared" ca="1" si="139"/>
        <v>1018.2040783279383</v>
      </c>
      <c r="X346" s="72">
        <f t="shared" ca="1" si="146"/>
        <v>3495.6745018618458</v>
      </c>
      <c r="Y346" s="73">
        <f>mult_opex * fixed_month</f>
        <v>1000</v>
      </c>
      <c r="Z346" s="72">
        <f ca="1">mult_opex * fixed_well *D346</f>
        <v>5000</v>
      </c>
      <c r="AA346" s="72">
        <f ca="1">(Z346+Y346)*WI_current_1</f>
        <v>6000</v>
      </c>
      <c r="AB346" s="72">
        <f ca="1">mult_opex * var_bo*E346</f>
        <v>0</v>
      </c>
      <c r="AC346" s="72">
        <f ca="1">mult_opex * var_mcf*F346</f>
        <v>0</v>
      </c>
      <c r="AD346" s="72">
        <f ca="1">mult_opex * var_bw * G346</f>
        <v>1.1580327363688673E-2</v>
      </c>
      <c r="AE346" s="72">
        <f ca="1">SUM(AB346:AD346)*WI_current_1</f>
        <v>1.1580327363688673E-2</v>
      </c>
      <c r="AF346" s="73">
        <f ca="1">mult_capex * IFERROR(OFFSET(assumptions!$F$39,MATCH(B346,assumptions!$E$39:$E$45,0)-1,0),0)</f>
        <v>0</v>
      </c>
      <c r="AG346" s="75">
        <f ca="1">mult_capex * capex_new*WI_current_1 *'forecast production'!I347</f>
        <v>0</v>
      </c>
      <c r="AH346" s="146">
        <f t="shared" ca="1" si="147"/>
        <v>0</v>
      </c>
      <c r="AI346" s="73">
        <f t="shared" ca="1" si="140"/>
        <v>205.94854303373239</v>
      </c>
      <c r="AJ346" s="72">
        <f t="shared" ca="1" si="141"/>
        <v>87.39186254654615</v>
      </c>
      <c r="AK346" s="72">
        <f t="shared" ca="1" si="148"/>
        <v>293.34040558027857</v>
      </c>
      <c r="AL346" s="73">
        <f t="shared" ca="1" si="142"/>
        <v>-2797.6774840457965</v>
      </c>
      <c r="AM346" s="132">
        <f ca="1">IF(X346*(lease_NRI/J346)  - (Z346+Y346+AB346+AC346+AD346)  - (AK346)*(lease_NRI/J346)&gt;0,1,0)</f>
        <v>0</v>
      </c>
      <c r="AN346" s="73">
        <f t="shared" ca="1" si="149"/>
        <v>0</v>
      </c>
      <c r="AO346" s="75">
        <f t="shared" ca="1" si="154"/>
        <v>2329073.2544940379</v>
      </c>
      <c r="AP346" s="72">
        <f ca="1">AL346  /  ( 1 + disc_1/12)^(COUNT($AL$6:AL346)-1)</f>
        <v>-166.4927766478076</v>
      </c>
      <c r="AQ346" s="72">
        <f t="shared" ca="1" si="155"/>
        <v>1563458.398389671</v>
      </c>
      <c r="AS346" s="303">
        <f t="shared" ca="1" si="150"/>
        <v>1</v>
      </c>
      <c r="AT346" s="300">
        <f ca="1">IFERROR(IRR($AN$6:AN346)*12,0)</f>
        <v>0</v>
      </c>
      <c r="AU346" s="297">
        <f t="shared" ca="1" si="151"/>
        <v>0</v>
      </c>
      <c r="AV346" s="303">
        <f t="shared" ca="1" si="152"/>
        <v>0</v>
      </c>
    </row>
    <row r="347" spans="2:48" x14ac:dyDescent="0.25">
      <c r="B347" s="43">
        <f t="shared" si="153"/>
        <v>54575</v>
      </c>
      <c r="C347" s="79">
        <f t="shared" si="143"/>
        <v>2049</v>
      </c>
      <c r="D347" s="64">
        <f ca="1">wellcount_base  +  SUM('forecast production'!I$7:I348)</f>
        <v>1</v>
      </c>
      <c r="E347" s="110">
        <f ca="1">'forecast production'!AE348</f>
        <v>47.31629149340619</v>
      </c>
      <c r="F347" s="98">
        <f ca="1">'forecast production'!AF348</f>
        <v>398.12476180955554</v>
      </c>
      <c r="G347" s="98">
        <f ca="1">'forecast production'!AG348</f>
        <v>5.6033842082364544E-3</v>
      </c>
      <c r="H347" s="98">
        <f ca="1">'forecast production'!AH348</f>
        <v>59.718714271433328</v>
      </c>
      <c r="I347" s="307">
        <f t="shared" ca="1" si="144"/>
        <v>1</v>
      </c>
      <c r="J347" s="306">
        <f t="shared" ca="1" si="145"/>
        <v>0.75</v>
      </c>
      <c r="K347" s="112">
        <f t="shared" ca="1" si="130"/>
        <v>35.487218620054641</v>
      </c>
      <c r="L347" s="98">
        <f t="shared" ca="1" si="131"/>
        <v>223.94517851787498</v>
      </c>
      <c r="M347" s="98">
        <f t="shared" ca="1" si="132"/>
        <v>4.2025381561773406E-3</v>
      </c>
      <c r="N347" s="98">
        <f t="shared" ca="1" si="133"/>
        <v>44.789035703574996</v>
      </c>
      <c r="O347" s="67">
        <f>assumptions!M351</f>
        <v>55</v>
      </c>
      <c r="P347" s="68">
        <f>assumptions!N351</f>
        <v>3</v>
      </c>
      <c r="Q347" s="68">
        <f>assumptions!O351</f>
        <v>22</v>
      </c>
      <c r="R347" s="67">
        <f t="shared" si="134"/>
        <v>52.5</v>
      </c>
      <c r="S347" s="68">
        <f t="shared" si="135"/>
        <v>2.3275000000000001</v>
      </c>
      <c r="T347" s="68">
        <f t="shared" si="136"/>
        <v>22</v>
      </c>
      <c r="U347" s="73">
        <f t="shared" ca="1" si="137"/>
        <v>1863.0789775528685</v>
      </c>
      <c r="V347" s="72">
        <f t="shared" ca="1" si="138"/>
        <v>521.232403000354</v>
      </c>
      <c r="W347" s="72">
        <f t="shared" ca="1" si="139"/>
        <v>985.35878547864991</v>
      </c>
      <c r="X347" s="72">
        <f t="shared" ca="1" si="146"/>
        <v>3369.6701660318722</v>
      </c>
      <c r="Y347" s="73">
        <f>mult_opex * fixed_month</f>
        <v>1000</v>
      </c>
      <c r="Z347" s="72">
        <f ca="1">mult_opex * fixed_well *D347</f>
        <v>5000</v>
      </c>
      <c r="AA347" s="72">
        <f ca="1">(Z347+Y347)*WI_current_1</f>
        <v>6000</v>
      </c>
      <c r="AB347" s="72">
        <f ca="1">mult_opex * var_bo*E347</f>
        <v>0</v>
      </c>
      <c r="AC347" s="72">
        <f ca="1">mult_opex * var_mcf*F347</f>
        <v>0</v>
      </c>
      <c r="AD347" s="72">
        <f ca="1">mult_opex * var_bw * G347</f>
        <v>1.1206768416472909E-2</v>
      </c>
      <c r="AE347" s="72">
        <f ca="1">SUM(AB347:AD347)*WI_current_1</f>
        <v>1.1206768416472909E-2</v>
      </c>
      <c r="AF347" s="73">
        <f ca="1">mult_capex * IFERROR(OFFSET(assumptions!$F$39,MATCH(B347,assumptions!$E$39:$E$45,0)-1,0),0)</f>
        <v>0</v>
      </c>
      <c r="AG347" s="75">
        <f ca="1">mult_capex * capex_new*WI_current_1 *'forecast production'!I348</f>
        <v>0</v>
      </c>
      <c r="AH347" s="146">
        <f t="shared" ca="1" si="147"/>
        <v>0</v>
      </c>
      <c r="AI347" s="73">
        <f t="shared" ca="1" si="140"/>
        <v>198.69597210335724</v>
      </c>
      <c r="AJ347" s="72">
        <f t="shared" ca="1" si="141"/>
        <v>84.241754150796808</v>
      </c>
      <c r="AK347" s="72">
        <f t="shared" ca="1" si="148"/>
        <v>282.93772625415403</v>
      </c>
      <c r="AL347" s="73">
        <f t="shared" ca="1" si="142"/>
        <v>-2913.2787669906979</v>
      </c>
      <c r="AM347" s="132">
        <f ca="1">IF(X347*(lease_NRI/J347)  - (Z347+Y347+AB347+AC347+AD347)  - (AK347)*(lease_NRI/J347)&gt;0,1,0)</f>
        <v>0</v>
      </c>
      <c r="AN347" s="73">
        <f t="shared" ca="1" si="149"/>
        <v>0</v>
      </c>
      <c r="AO347" s="75">
        <f t="shared" ca="1" si="154"/>
        <v>2329073.2544940379</v>
      </c>
      <c r="AP347" s="72">
        <f ca="1">AL347  /  ( 1 + disc_1/12)^(COUNT($AL$6:AL347)-1)</f>
        <v>-171.93950333188636</v>
      </c>
      <c r="AQ347" s="72">
        <f t="shared" ca="1" si="155"/>
        <v>1563458.398389671</v>
      </c>
      <c r="AS347" s="303">
        <f t="shared" ca="1" si="150"/>
        <v>1</v>
      </c>
      <c r="AT347" s="300">
        <f ca="1">IFERROR(IRR($AN$6:AN347)*12,0)</f>
        <v>0</v>
      </c>
      <c r="AU347" s="297">
        <f t="shared" ca="1" si="151"/>
        <v>0</v>
      </c>
      <c r="AV347" s="303">
        <f t="shared" ca="1" si="152"/>
        <v>0</v>
      </c>
    </row>
    <row r="348" spans="2:48" x14ac:dyDescent="0.25">
      <c r="B348" s="43">
        <f t="shared" si="153"/>
        <v>54605</v>
      </c>
      <c r="C348" s="79">
        <f t="shared" si="143"/>
        <v>2049</v>
      </c>
      <c r="D348" s="64">
        <f ca="1">wellcount_base  +  SUM('forecast production'!I$7:I349)</f>
        <v>1</v>
      </c>
      <c r="E348" s="110">
        <f ca="1">'forecast production'!AE349</f>
        <v>48.559565796735434</v>
      </c>
      <c r="F348" s="98">
        <f ca="1">'forecast production'!AF349</f>
        <v>411.39558720320736</v>
      </c>
      <c r="G348" s="98">
        <f ca="1">'forecast production'!AG349</f>
        <v>5.7901636818443363E-3</v>
      </c>
      <c r="H348" s="98">
        <f ca="1">'forecast production'!AH349</f>
        <v>61.70933808048111</v>
      </c>
      <c r="I348" s="307">
        <f t="shared" ca="1" si="144"/>
        <v>1</v>
      </c>
      <c r="J348" s="306">
        <f t="shared" ca="1" si="145"/>
        <v>0.75</v>
      </c>
      <c r="K348" s="112">
        <f t="shared" ca="1" si="130"/>
        <v>36.419674347551577</v>
      </c>
      <c r="L348" s="98">
        <f t="shared" ca="1" si="131"/>
        <v>231.41001780180412</v>
      </c>
      <c r="M348" s="98">
        <f t="shared" ca="1" si="132"/>
        <v>4.3426227613832524E-3</v>
      </c>
      <c r="N348" s="98">
        <f t="shared" ca="1" si="133"/>
        <v>46.282003560360835</v>
      </c>
      <c r="O348" s="67">
        <f>assumptions!M352</f>
        <v>55</v>
      </c>
      <c r="P348" s="68">
        <f>assumptions!N352</f>
        <v>3</v>
      </c>
      <c r="Q348" s="68">
        <f>assumptions!O352</f>
        <v>22</v>
      </c>
      <c r="R348" s="67">
        <f t="shared" si="134"/>
        <v>52.5</v>
      </c>
      <c r="S348" s="68">
        <f t="shared" si="135"/>
        <v>2.3275000000000001</v>
      </c>
      <c r="T348" s="68">
        <f t="shared" si="136"/>
        <v>22</v>
      </c>
      <c r="U348" s="73">
        <f t="shared" ca="1" si="137"/>
        <v>1912.0329032464579</v>
      </c>
      <c r="V348" s="72">
        <f t="shared" ca="1" si="138"/>
        <v>538.60681643369912</v>
      </c>
      <c r="W348" s="72">
        <f t="shared" ca="1" si="139"/>
        <v>1018.2040783279383</v>
      </c>
      <c r="X348" s="72">
        <f t="shared" ca="1" si="146"/>
        <v>3468.8437980080953</v>
      </c>
      <c r="Y348" s="73">
        <f>mult_opex * fixed_month</f>
        <v>1000</v>
      </c>
      <c r="Z348" s="72">
        <f ca="1">mult_opex * fixed_well *D348</f>
        <v>5000</v>
      </c>
      <c r="AA348" s="72">
        <f ca="1">(Z348+Y348)*WI_current_1</f>
        <v>6000</v>
      </c>
      <c r="AB348" s="72">
        <f ca="1">mult_opex * var_bo*E348</f>
        <v>0</v>
      </c>
      <c r="AC348" s="72">
        <f ca="1">mult_opex * var_mcf*F348</f>
        <v>0</v>
      </c>
      <c r="AD348" s="72">
        <f ca="1">mult_opex * var_bw * G348</f>
        <v>1.1580327363688673E-2</v>
      </c>
      <c r="AE348" s="72">
        <f ca="1">SUM(AB348:AD348)*WI_current_1</f>
        <v>1.1580327363688673E-2</v>
      </c>
      <c r="AF348" s="73">
        <f ca="1">mult_capex * IFERROR(OFFSET(assumptions!$F$39,MATCH(B348,assumptions!$E$39:$E$45,0)-1,0),0)</f>
        <v>0</v>
      </c>
      <c r="AG348" s="75">
        <f ca="1">mult_capex * capex_new*WI_current_1 *'forecast production'!I349</f>
        <v>0</v>
      </c>
      <c r="AH348" s="146">
        <f t="shared" ca="1" si="147"/>
        <v>0</v>
      </c>
      <c r="AI348" s="73">
        <f t="shared" ca="1" si="140"/>
        <v>204.71433065645988</v>
      </c>
      <c r="AJ348" s="72">
        <f t="shared" ca="1" si="141"/>
        <v>86.721094950202385</v>
      </c>
      <c r="AK348" s="72">
        <f t="shared" ca="1" si="148"/>
        <v>291.43542560666225</v>
      </c>
      <c r="AL348" s="73">
        <f t="shared" ca="1" si="142"/>
        <v>-2822.6032079259307</v>
      </c>
      <c r="AM348" s="132">
        <f ca="1">IF(X348*(lease_NRI/J348)  - (Z348+Y348+AB348+AC348+AD348)  - (AK348)*(lease_NRI/J348)&gt;0,1,0)</f>
        <v>0</v>
      </c>
      <c r="AN348" s="73">
        <f t="shared" ca="1" si="149"/>
        <v>0</v>
      </c>
      <c r="AO348" s="75">
        <f t="shared" ca="1" si="154"/>
        <v>2329073.2544940379</v>
      </c>
      <c r="AP348" s="72">
        <f ca="1">AL348  /  ( 1 + disc_1/12)^(COUNT($AL$6:AL348)-1)</f>
        <v>-165.21114109711721</v>
      </c>
      <c r="AQ348" s="72">
        <f t="shared" ca="1" si="155"/>
        <v>1563458.398389671</v>
      </c>
      <c r="AS348" s="303">
        <f t="shared" ca="1" si="150"/>
        <v>1</v>
      </c>
      <c r="AT348" s="300">
        <f ca="1">IFERROR(IRR($AN$6:AN348)*12,0)</f>
        <v>0</v>
      </c>
      <c r="AU348" s="297">
        <f t="shared" ca="1" si="151"/>
        <v>0</v>
      </c>
      <c r="AV348" s="303">
        <f t="shared" ca="1" si="152"/>
        <v>0</v>
      </c>
    </row>
    <row r="349" spans="2:48" x14ac:dyDescent="0.25">
      <c r="B349" s="43">
        <f t="shared" si="153"/>
        <v>54636</v>
      </c>
      <c r="C349" s="79">
        <f t="shared" si="143"/>
        <v>2049</v>
      </c>
      <c r="D349" s="64">
        <f ca="1">wellcount_base  +  SUM('forecast production'!I$7:I350)</f>
        <v>1</v>
      </c>
      <c r="E349" s="108">
        <f ca="1">'forecast production'!AE350</f>
        <v>48.216895054303762</v>
      </c>
      <c r="F349" s="97">
        <f ca="1">'forecast production'!AF350</f>
        <v>411.39558720320736</v>
      </c>
      <c r="G349" s="97">
        <f ca="1">'forecast production'!AG350</f>
        <v>5.7901636818443363E-3</v>
      </c>
      <c r="H349" s="98">
        <f ca="1">'forecast production'!AH350</f>
        <v>61.70933808048111</v>
      </c>
      <c r="I349" s="307">
        <f t="shared" ca="1" si="144"/>
        <v>1</v>
      </c>
      <c r="J349" s="306">
        <f t="shared" ca="1" si="145"/>
        <v>0.75</v>
      </c>
      <c r="K349" s="112">
        <f t="shared" ca="1" si="130"/>
        <v>36.162671290727822</v>
      </c>
      <c r="L349" s="98">
        <f t="shared" ca="1" si="131"/>
        <v>231.41001780180412</v>
      </c>
      <c r="M349" s="98">
        <f t="shared" ca="1" si="132"/>
        <v>4.3426227613832524E-3</v>
      </c>
      <c r="N349" s="98">
        <f t="shared" ca="1" si="133"/>
        <v>46.282003560360835</v>
      </c>
      <c r="O349" s="67">
        <f>assumptions!M353</f>
        <v>55</v>
      </c>
      <c r="P349" s="68">
        <f>assumptions!N353</f>
        <v>3</v>
      </c>
      <c r="Q349" s="68">
        <f>assumptions!O353</f>
        <v>22</v>
      </c>
      <c r="R349" s="67">
        <f t="shared" si="134"/>
        <v>52.5</v>
      </c>
      <c r="S349" s="68">
        <f t="shared" si="135"/>
        <v>2.3275000000000001</v>
      </c>
      <c r="T349" s="68">
        <f t="shared" si="136"/>
        <v>22</v>
      </c>
      <c r="U349" s="73">
        <f t="shared" ca="1" si="137"/>
        <v>1898.5402427632107</v>
      </c>
      <c r="V349" s="72">
        <f t="shared" ca="1" si="138"/>
        <v>538.60681643369912</v>
      </c>
      <c r="W349" s="72">
        <f t="shared" ca="1" si="139"/>
        <v>1018.2040783279383</v>
      </c>
      <c r="X349" s="72">
        <f t="shared" ca="1" si="146"/>
        <v>3455.3511375248481</v>
      </c>
      <c r="Y349" s="73">
        <f>mult_opex * fixed_month</f>
        <v>1000</v>
      </c>
      <c r="Z349" s="72">
        <f ca="1">mult_opex * fixed_well *D349</f>
        <v>5000</v>
      </c>
      <c r="AA349" s="72">
        <f ca="1">(Z349+Y349)*WI_current_1</f>
        <v>6000</v>
      </c>
      <c r="AB349" s="72">
        <f ca="1">mult_opex * var_bo*E349</f>
        <v>0</v>
      </c>
      <c r="AC349" s="72">
        <f ca="1">mult_opex * var_mcf*F349</f>
        <v>0</v>
      </c>
      <c r="AD349" s="72">
        <f ca="1">mult_opex * var_bw * G349</f>
        <v>1.1580327363688673E-2</v>
      </c>
      <c r="AE349" s="72">
        <f ca="1">SUM(AB349:AD349)*WI_current_1</f>
        <v>1.1580327363688673E-2</v>
      </c>
      <c r="AF349" s="73">
        <f ca="1">mult_capex * IFERROR(OFFSET(assumptions!$F$39,MATCH(B349,assumptions!$E$39:$E$45,0)-1,0),0)</f>
        <v>0</v>
      </c>
      <c r="AG349" s="75">
        <f ca="1">mult_capex * capex_new*WI_current_1 *'forecast production'!I350</f>
        <v>0</v>
      </c>
      <c r="AH349" s="146">
        <f t="shared" ca="1" si="147"/>
        <v>0</v>
      </c>
      <c r="AI349" s="73">
        <f t="shared" ca="1" si="140"/>
        <v>204.09366827423048</v>
      </c>
      <c r="AJ349" s="72">
        <f t="shared" ca="1" si="141"/>
        <v>86.383778438121212</v>
      </c>
      <c r="AK349" s="72">
        <f t="shared" ca="1" si="148"/>
        <v>290.47744671235171</v>
      </c>
      <c r="AL349" s="73">
        <f t="shared" ca="1" si="142"/>
        <v>-2835.1378895148673</v>
      </c>
      <c r="AM349" s="132">
        <f ca="1">IF(X349*(lease_NRI/J349)  - (Z349+Y349+AB349+AC349+AD349)  - (AK349)*(lease_NRI/J349)&gt;0,1,0)</f>
        <v>0</v>
      </c>
      <c r="AN349" s="73">
        <f t="shared" ca="1" si="149"/>
        <v>0</v>
      </c>
      <c r="AO349" s="75">
        <f t="shared" ca="1" si="154"/>
        <v>2329073.2544940379</v>
      </c>
      <c r="AP349" s="72">
        <f ca="1">AL349  /  ( 1 + disc_1/12)^(COUNT($AL$6:AL349)-1)</f>
        <v>-164.57336980408436</v>
      </c>
      <c r="AQ349" s="72">
        <f t="shared" ca="1" si="155"/>
        <v>1563458.398389671</v>
      </c>
      <c r="AS349" s="303">
        <f t="shared" ca="1" si="150"/>
        <v>1</v>
      </c>
      <c r="AT349" s="300">
        <f ca="1">IFERROR(IRR($AN$6:AN349)*12,0)</f>
        <v>0</v>
      </c>
      <c r="AU349" s="297">
        <f t="shared" ca="1" si="151"/>
        <v>0</v>
      </c>
      <c r="AV349" s="303">
        <f t="shared" ca="1" si="152"/>
        <v>0</v>
      </c>
    </row>
    <row r="350" spans="2:48" x14ac:dyDescent="0.25">
      <c r="B350" s="43">
        <f t="shared" si="153"/>
        <v>54667</v>
      </c>
      <c r="C350" s="79">
        <f t="shared" si="143"/>
        <v>2049</v>
      </c>
      <c r="D350" s="64">
        <f ca="1">wellcount_base  +  SUM('forecast production'!I$7:I351)</f>
        <v>1</v>
      </c>
      <c r="E350" s="110">
        <f ca="1">'forecast production'!AE351</f>
        <v>46.332234619071556</v>
      </c>
      <c r="F350" s="98">
        <f ca="1">'forecast production'!AF351</f>
        <v>398.12476180955554</v>
      </c>
      <c r="G350" s="98">
        <f ca="1">'forecast production'!AG351</f>
        <v>5.6033842082364544E-3</v>
      </c>
      <c r="H350" s="98">
        <f ca="1">'forecast production'!AH351</f>
        <v>59.718714271433328</v>
      </c>
      <c r="I350" s="307">
        <f t="shared" ca="1" si="144"/>
        <v>1</v>
      </c>
      <c r="J350" s="306">
        <f t="shared" ca="1" si="145"/>
        <v>0.75</v>
      </c>
      <c r="K350" s="112">
        <f t="shared" ca="1" si="130"/>
        <v>34.749175964303667</v>
      </c>
      <c r="L350" s="98">
        <f t="shared" ca="1" si="131"/>
        <v>223.94517851787498</v>
      </c>
      <c r="M350" s="98">
        <f t="shared" ca="1" si="132"/>
        <v>4.2025381561773406E-3</v>
      </c>
      <c r="N350" s="98">
        <f t="shared" ca="1" si="133"/>
        <v>44.789035703574996</v>
      </c>
      <c r="O350" s="67">
        <f>assumptions!M354</f>
        <v>55</v>
      </c>
      <c r="P350" s="68">
        <f>assumptions!N354</f>
        <v>3</v>
      </c>
      <c r="Q350" s="68">
        <f>assumptions!O354</f>
        <v>22</v>
      </c>
      <c r="R350" s="67">
        <f t="shared" si="134"/>
        <v>52.5</v>
      </c>
      <c r="S350" s="68">
        <f t="shared" si="135"/>
        <v>2.3275000000000001</v>
      </c>
      <c r="T350" s="68">
        <f t="shared" si="136"/>
        <v>22</v>
      </c>
      <c r="U350" s="73">
        <f t="shared" ca="1" si="137"/>
        <v>1824.3317381259426</v>
      </c>
      <c r="V350" s="72">
        <f t="shared" ca="1" si="138"/>
        <v>521.232403000354</v>
      </c>
      <c r="W350" s="72">
        <f t="shared" ca="1" si="139"/>
        <v>985.35878547864991</v>
      </c>
      <c r="X350" s="72">
        <f t="shared" ca="1" si="146"/>
        <v>3330.922926604947</v>
      </c>
      <c r="Y350" s="73">
        <f>mult_opex * fixed_month</f>
        <v>1000</v>
      </c>
      <c r="Z350" s="72">
        <f ca="1">mult_opex * fixed_well *D350</f>
        <v>5000</v>
      </c>
      <c r="AA350" s="72">
        <f ca="1">(Z350+Y350)*WI_current_1</f>
        <v>6000</v>
      </c>
      <c r="AB350" s="72">
        <f ca="1">mult_opex * var_bo*E350</f>
        <v>0</v>
      </c>
      <c r="AC350" s="72">
        <f ca="1">mult_opex * var_mcf*F350</f>
        <v>0</v>
      </c>
      <c r="AD350" s="72">
        <f ca="1">mult_opex * var_bw * G350</f>
        <v>1.1206768416472909E-2</v>
      </c>
      <c r="AE350" s="72">
        <f ca="1">SUM(AB350:AD350)*WI_current_1</f>
        <v>1.1206768416472909E-2</v>
      </c>
      <c r="AF350" s="73">
        <f ca="1">mult_capex * IFERROR(OFFSET(assumptions!$F$39,MATCH(B350,assumptions!$E$39:$E$45,0)-1,0),0)</f>
        <v>0</v>
      </c>
      <c r="AG350" s="75">
        <f ca="1">mult_capex * capex_new*WI_current_1 *'forecast production'!I351</f>
        <v>0</v>
      </c>
      <c r="AH350" s="146">
        <f t="shared" ca="1" si="147"/>
        <v>0</v>
      </c>
      <c r="AI350" s="73">
        <f t="shared" ca="1" si="140"/>
        <v>196.91359908971864</v>
      </c>
      <c r="AJ350" s="72">
        <f t="shared" ca="1" si="141"/>
        <v>83.273073165123677</v>
      </c>
      <c r="AK350" s="72">
        <f t="shared" ca="1" si="148"/>
        <v>280.18667225484234</v>
      </c>
      <c r="AL350" s="73">
        <f t="shared" ca="1" si="142"/>
        <v>-2949.2749524183118</v>
      </c>
      <c r="AM350" s="132">
        <f ca="1">IF(X350*(lease_NRI/J350)  - (Z350+Y350+AB350+AC350+AD350)  - (AK350)*(lease_NRI/J350)&gt;0,1,0)</f>
        <v>0</v>
      </c>
      <c r="AN350" s="73">
        <f t="shared" ca="1" si="149"/>
        <v>0</v>
      </c>
      <c r="AO350" s="75">
        <f t="shared" ca="1" si="154"/>
        <v>2329073.2544940379</v>
      </c>
      <c r="AP350" s="72">
        <f ca="1">AL350  /  ( 1 + disc_1/12)^(COUNT($AL$6:AL350)-1)</f>
        <v>-169.78390340916403</v>
      </c>
      <c r="AQ350" s="72">
        <f t="shared" ca="1" si="155"/>
        <v>1563458.398389671</v>
      </c>
      <c r="AS350" s="303">
        <f t="shared" ca="1" si="150"/>
        <v>1</v>
      </c>
      <c r="AT350" s="300">
        <f ca="1">IFERROR(IRR($AN$6:AN350)*12,0)</f>
        <v>0</v>
      </c>
      <c r="AU350" s="297">
        <f t="shared" ca="1" si="151"/>
        <v>0</v>
      </c>
      <c r="AV350" s="303">
        <f t="shared" ca="1" si="152"/>
        <v>0</v>
      </c>
    </row>
    <row r="351" spans="2:48" x14ac:dyDescent="0.25">
      <c r="B351" s="43">
        <f t="shared" si="153"/>
        <v>54697</v>
      </c>
      <c r="C351" s="79">
        <f t="shared" si="143"/>
        <v>2049</v>
      </c>
      <c r="D351" s="64">
        <f ca="1">wellcount_base  +  SUM('forecast production'!I$7:I352)</f>
        <v>1</v>
      </c>
      <c r="E351" s="110">
        <f ca="1">'forecast production'!AE352</f>
        <v>47.549652022245283</v>
      </c>
      <c r="F351" s="98">
        <f ca="1">'forecast production'!AF352</f>
        <v>411.39558720320736</v>
      </c>
      <c r="G351" s="98">
        <f ca="1">'forecast production'!AG352</f>
        <v>5.7901636818443363E-3</v>
      </c>
      <c r="H351" s="98">
        <f ca="1">'forecast production'!AH352</f>
        <v>61.70933808048111</v>
      </c>
      <c r="I351" s="307">
        <f t="shared" ca="1" si="144"/>
        <v>1</v>
      </c>
      <c r="J351" s="306">
        <f t="shared" ca="1" si="145"/>
        <v>0.75</v>
      </c>
      <c r="K351" s="112">
        <f t="shared" ca="1" si="130"/>
        <v>35.662239016683962</v>
      </c>
      <c r="L351" s="98">
        <f t="shared" ca="1" si="131"/>
        <v>231.41001780180412</v>
      </c>
      <c r="M351" s="98">
        <f t="shared" ca="1" si="132"/>
        <v>4.3426227613832524E-3</v>
      </c>
      <c r="N351" s="98">
        <f t="shared" ca="1" si="133"/>
        <v>46.282003560360835</v>
      </c>
      <c r="O351" s="67">
        <f>assumptions!M355</f>
        <v>55</v>
      </c>
      <c r="P351" s="68">
        <f>assumptions!N355</f>
        <v>3</v>
      </c>
      <c r="Q351" s="68">
        <f>assumptions!O355</f>
        <v>22</v>
      </c>
      <c r="R351" s="67">
        <f t="shared" si="134"/>
        <v>52.5</v>
      </c>
      <c r="S351" s="68">
        <f t="shared" si="135"/>
        <v>2.3275000000000001</v>
      </c>
      <c r="T351" s="68">
        <f t="shared" si="136"/>
        <v>22</v>
      </c>
      <c r="U351" s="73">
        <f t="shared" ca="1" si="137"/>
        <v>1872.2675483759081</v>
      </c>
      <c r="V351" s="72">
        <f t="shared" ca="1" si="138"/>
        <v>538.60681643369912</v>
      </c>
      <c r="W351" s="72">
        <f t="shared" ca="1" si="139"/>
        <v>1018.2040783279383</v>
      </c>
      <c r="X351" s="72">
        <f t="shared" ca="1" si="146"/>
        <v>3429.078443137545</v>
      </c>
      <c r="Y351" s="73">
        <f>mult_opex * fixed_month</f>
        <v>1000</v>
      </c>
      <c r="Z351" s="72">
        <f ca="1">mult_opex * fixed_well *D351</f>
        <v>5000</v>
      </c>
      <c r="AA351" s="72">
        <f ca="1">(Z351+Y351)*WI_current_1</f>
        <v>6000</v>
      </c>
      <c r="AB351" s="72">
        <f ca="1">mult_opex * var_bo*E351</f>
        <v>0</v>
      </c>
      <c r="AC351" s="72">
        <f ca="1">mult_opex * var_mcf*F351</f>
        <v>0</v>
      </c>
      <c r="AD351" s="72">
        <f ca="1">mult_opex * var_bw * G351</f>
        <v>1.1580327363688673E-2</v>
      </c>
      <c r="AE351" s="72">
        <f ca="1">SUM(AB351:AD351)*WI_current_1</f>
        <v>1.1580327363688673E-2</v>
      </c>
      <c r="AF351" s="73">
        <f ca="1">mult_capex * IFERROR(OFFSET(assumptions!$F$39,MATCH(B351,assumptions!$E$39:$E$45,0)-1,0),0)</f>
        <v>0</v>
      </c>
      <c r="AG351" s="75">
        <f ca="1">mult_capex * capex_new*WI_current_1 *'forecast production'!I352</f>
        <v>0</v>
      </c>
      <c r="AH351" s="146">
        <f t="shared" ca="1" si="147"/>
        <v>0</v>
      </c>
      <c r="AI351" s="73">
        <f t="shared" ca="1" si="140"/>
        <v>202.88512433241459</v>
      </c>
      <c r="AJ351" s="72">
        <f t="shared" ca="1" si="141"/>
        <v>85.726961078438634</v>
      </c>
      <c r="AK351" s="72">
        <f t="shared" ca="1" si="148"/>
        <v>288.61208541085324</v>
      </c>
      <c r="AL351" s="73">
        <f t="shared" ca="1" si="142"/>
        <v>-2859.5452226006719</v>
      </c>
      <c r="AM351" s="132">
        <f ca="1">IF(X351*(lease_NRI/J351)  - (Z351+Y351+AB351+AC351+AD351)  - (AK351)*(lease_NRI/J351)&gt;0,1,0)</f>
        <v>0</v>
      </c>
      <c r="AN351" s="73">
        <f t="shared" ca="1" si="149"/>
        <v>0</v>
      </c>
      <c r="AO351" s="75">
        <f t="shared" ca="1" si="154"/>
        <v>2329073.2544940379</v>
      </c>
      <c r="AP351" s="72">
        <f ca="1">AL351  /  ( 1 + disc_1/12)^(COUNT($AL$6:AL351)-1)</f>
        <v>-163.25785885918734</v>
      </c>
      <c r="AQ351" s="72">
        <f t="shared" ca="1" si="155"/>
        <v>1563458.398389671</v>
      </c>
      <c r="AS351" s="303">
        <f t="shared" ca="1" si="150"/>
        <v>1</v>
      </c>
      <c r="AT351" s="300">
        <f ca="1">IFERROR(IRR($AN$6:AN351)*12,0)</f>
        <v>0</v>
      </c>
      <c r="AU351" s="297">
        <f t="shared" ca="1" si="151"/>
        <v>0</v>
      </c>
      <c r="AV351" s="303">
        <f t="shared" ca="1" si="152"/>
        <v>0</v>
      </c>
    </row>
    <row r="352" spans="2:48" x14ac:dyDescent="0.25">
      <c r="B352" s="43">
        <f t="shared" si="153"/>
        <v>54728</v>
      </c>
      <c r="C352" s="79">
        <f t="shared" si="143"/>
        <v>2049</v>
      </c>
      <c r="D352" s="64">
        <f ca="1">wellcount_base  +  SUM('forecast production'!I$7:I353)</f>
        <v>1</v>
      </c>
      <c r="E352" s="110">
        <f ca="1">'forecast production'!AE353</f>
        <v>45.69107220754637</v>
      </c>
      <c r="F352" s="98">
        <f ca="1">'forecast production'!AF353</f>
        <v>398.12476180955554</v>
      </c>
      <c r="G352" s="98">
        <f ca="1">'forecast production'!AG353</f>
        <v>5.6033842082364544E-3</v>
      </c>
      <c r="H352" s="98">
        <f ca="1">'forecast production'!AH353</f>
        <v>59.718714271433328</v>
      </c>
      <c r="I352" s="307">
        <f t="shared" ca="1" si="144"/>
        <v>1</v>
      </c>
      <c r="J352" s="306">
        <f t="shared" ca="1" si="145"/>
        <v>0.75</v>
      </c>
      <c r="K352" s="112">
        <f t="shared" ca="1" si="130"/>
        <v>34.268304155659777</v>
      </c>
      <c r="L352" s="98">
        <f t="shared" ca="1" si="131"/>
        <v>223.94517851787498</v>
      </c>
      <c r="M352" s="98">
        <f t="shared" ca="1" si="132"/>
        <v>4.2025381561773406E-3</v>
      </c>
      <c r="N352" s="98">
        <f t="shared" ca="1" si="133"/>
        <v>44.789035703574996</v>
      </c>
      <c r="O352" s="67">
        <f>assumptions!M356</f>
        <v>55</v>
      </c>
      <c r="P352" s="68">
        <f>assumptions!N356</f>
        <v>3</v>
      </c>
      <c r="Q352" s="68">
        <f>assumptions!O356</f>
        <v>22</v>
      </c>
      <c r="R352" s="67">
        <f t="shared" si="134"/>
        <v>52.5</v>
      </c>
      <c r="S352" s="68">
        <f t="shared" si="135"/>
        <v>2.3275000000000001</v>
      </c>
      <c r="T352" s="68">
        <f t="shared" si="136"/>
        <v>22</v>
      </c>
      <c r="U352" s="73">
        <f t="shared" ca="1" si="137"/>
        <v>1799.0859681721383</v>
      </c>
      <c r="V352" s="72">
        <f t="shared" ca="1" si="138"/>
        <v>521.232403000354</v>
      </c>
      <c r="W352" s="72">
        <f t="shared" ca="1" si="139"/>
        <v>985.35878547864991</v>
      </c>
      <c r="X352" s="72">
        <f t="shared" ca="1" si="146"/>
        <v>3305.6771566511425</v>
      </c>
      <c r="Y352" s="73">
        <f>mult_opex * fixed_month</f>
        <v>1000</v>
      </c>
      <c r="Z352" s="72">
        <f ca="1">mult_opex * fixed_well *D352</f>
        <v>5000</v>
      </c>
      <c r="AA352" s="72">
        <f ca="1">(Z352+Y352)*WI_current_1</f>
        <v>6000</v>
      </c>
      <c r="AB352" s="72">
        <f ca="1">mult_opex * var_bo*E352</f>
        <v>0</v>
      </c>
      <c r="AC352" s="72">
        <f ca="1">mult_opex * var_mcf*F352</f>
        <v>0</v>
      </c>
      <c r="AD352" s="72">
        <f ca="1">mult_opex * var_bw * G352</f>
        <v>1.1206768416472909E-2</v>
      </c>
      <c r="AE352" s="72">
        <f ca="1">SUM(AB352:AD352)*WI_current_1</f>
        <v>1.1206768416472909E-2</v>
      </c>
      <c r="AF352" s="73">
        <f ca="1">mult_capex * IFERROR(OFFSET(assumptions!$F$39,MATCH(B352,assumptions!$E$39:$E$45,0)-1,0),0)</f>
        <v>0</v>
      </c>
      <c r="AG352" s="75">
        <f ca="1">mult_capex * capex_new*WI_current_1 *'forecast production'!I353</f>
        <v>0</v>
      </c>
      <c r="AH352" s="146">
        <f t="shared" ca="1" si="147"/>
        <v>0</v>
      </c>
      <c r="AI352" s="73">
        <f t="shared" ca="1" si="140"/>
        <v>195.75229367184363</v>
      </c>
      <c r="AJ352" s="72">
        <f t="shared" ca="1" si="141"/>
        <v>82.641928916278573</v>
      </c>
      <c r="AK352" s="72">
        <f t="shared" ca="1" si="148"/>
        <v>278.3942225881222</v>
      </c>
      <c r="AL352" s="73">
        <f t="shared" ca="1" si="142"/>
        <v>-2972.7282727053962</v>
      </c>
      <c r="AM352" s="132">
        <f ca="1">IF(X352*(lease_NRI/J352)  - (Z352+Y352+AB352+AC352+AD352)  - (AK352)*(lease_NRI/J352)&gt;0,1,0)</f>
        <v>0</v>
      </c>
      <c r="AN352" s="73">
        <f t="shared" ca="1" si="149"/>
        <v>0</v>
      </c>
      <c r="AO352" s="75">
        <f t="shared" ca="1" si="154"/>
        <v>2329073.2544940379</v>
      </c>
      <c r="AP352" s="72">
        <f ca="1">AL352  /  ( 1 + disc_1/12)^(COUNT($AL$6:AL352)-1)</f>
        <v>-168.31709095683357</v>
      </c>
      <c r="AQ352" s="72">
        <f t="shared" ca="1" si="155"/>
        <v>1563458.398389671</v>
      </c>
      <c r="AS352" s="303">
        <f t="shared" ca="1" si="150"/>
        <v>1</v>
      </c>
      <c r="AT352" s="300">
        <f ca="1">IFERROR(IRR($AN$6:AN352)*12,0)</f>
        <v>0</v>
      </c>
      <c r="AU352" s="297">
        <f t="shared" ca="1" si="151"/>
        <v>0</v>
      </c>
      <c r="AV352" s="303">
        <f t="shared" ca="1" si="152"/>
        <v>0</v>
      </c>
    </row>
    <row r="353" spans="1:48" x14ac:dyDescent="0.25">
      <c r="B353" s="44">
        <f t="shared" si="153"/>
        <v>54758</v>
      </c>
      <c r="C353" s="100">
        <f t="shared" si="143"/>
        <v>2049</v>
      </c>
      <c r="D353" s="65">
        <f ca="1">wellcount_base  +  SUM('forecast production'!I$7:I354)</f>
        <v>1</v>
      </c>
      <c r="E353" s="109">
        <f ca="1">'forecast production'!AE354</f>
        <v>46.891642543349633</v>
      </c>
      <c r="F353" s="101">
        <f ca="1">'forecast production'!AF354</f>
        <v>411.39558720320736</v>
      </c>
      <c r="G353" s="101">
        <f ca="1">'forecast production'!AG354</f>
        <v>5.7901636818443363E-3</v>
      </c>
      <c r="H353" s="102">
        <f ca="1">'forecast production'!AH354</f>
        <v>61.70933808048111</v>
      </c>
      <c r="I353" s="308">
        <f t="shared" ca="1" si="144"/>
        <v>1</v>
      </c>
      <c r="J353" s="309">
        <f t="shared" ca="1" si="145"/>
        <v>0.75</v>
      </c>
      <c r="K353" s="113">
        <f t="shared" ca="1" si="130"/>
        <v>35.168731907512225</v>
      </c>
      <c r="L353" s="102">
        <f t="shared" ca="1" si="131"/>
        <v>231.41001780180412</v>
      </c>
      <c r="M353" s="102">
        <f t="shared" ca="1" si="132"/>
        <v>4.3426227613832524E-3</v>
      </c>
      <c r="N353" s="102">
        <f t="shared" ca="1" si="133"/>
        <v>46.282003560360835</v>
      </c>
      <c r="O353" s="103">
        <f>assumptions!M357</f>
        <v>55</v>
      </c>
      <c r="P353" s="104">
        <f>assumptions!N357</f>
        <v>3</v>
      </c>
      <c r="Q353" s="104">
        <f>assumptions!O357</f>
        <v>22</v>
      </c>
      <c r="R353" s="103">
        <f t="shared" si="134"/>
        <v>52.5</v>
      </c>
      <c r="S353" s="104">
        <f t="shared" si="135"/>
        <v>2.3275000000000001</v>
      </c>
      <c r="T353" s="104">
        <f t="shared" si="136"/>
        <v>22</v>
      </c>
      <c r="U353" s="105">
        <f t="shared" ca="1" si="137"/>
        <v>1846.3584251443917</v>
      </c>
      <c r="V353" s="106">
        <f t="shared" ca="1" si="138"/>
        <v>538.60681643369912</v>
      </c>
      <c r="W353" s="106">
        <f t="shared" ca="1" si="139"/>
        <v>1018.2040783279383</v>
      </c>
      <c r="X353" s="106">
        <f t="shared" ca="1" si="146"/>
        <v>3403.1693199060292</v>
      </c>
      <c r="Y353" s="105">
        <f>mult_opex * fixed_month</f>
        <v>1000</v>
      </c>
      <c r="Z353" s="106">
        <f ca="1">mult_opex * fixed_well *D353</f>
        <v>5000</v>
      </c>
      <c r="AA353" s="106">
        <f ca="1">(Z353+Y353)*WI_current_1</f>
        <v>6000</v>
      </c>
      <c r="AB353" s="106">
        <f ca="1">mult_opex * var_bo*E353</f>
        <v>0</v>
      </c>
      <c r="AC353" s="106">
        <f ca="1">mult_opex * var_mcf*F353</f>
        <v>0</v>
      </c>
      <c r="AD353" s="106">
        <f ca="1">mult_opex * var_bw * G353</f>
        <v>1.1580327363688673E-2</v>
      </c>
      <c r="AE353" s="106">
        <f ca="1">SUM(AB353:AD353)*WI_current_1</f>
        <v>1.1580327363688673E-2</v>
      </c>
      <c r="AF353" s="105">
        <f ca="1">mult_capex * IFERROR(OFFSET(assumptions!$F$39,MATCH(B353,assumptions!$E$39:$E$45,0)-1,0),0)</f>
        <v>0</v>
      </c>
      <c r="AG353" s="106">
        <f ca="1">mult_capex * capex_new*WI_current_1 *'forecast production'!I354</f>
        <v>0</v>
      </c>
      <c r="AH353" s="147">
        <f t="shared" ca="1" si="147"/>
        <v>0</v>
      </c>
      <c r="AI353" s="105">
        <f t="shared" ca="1" si="140"/>
        <v>201.69330466376482</v>
      </c>
      <c r="AJ353" s="106">
        <f t="shared" ca="1" si="141"/>
        <v>85.079232997650735</v>
      </c>
      <c r="AK353" s="106">
        <f t="shared" ca="1" si="148"/>
        <v>286.77253766141553</v>
      </c>
      <c r="AL353" s="105">
        <f t="shared" ca="1" si="142"/>
        <v>-2883.61479808275</v>
      </c>
      <c r="AM353" s="133">
        <f ca="1">IF(X353*(lease_NRI/J353)  - (Z353+Y353+AB353+AC353+AD353)  - (AK353)*(lease_NRI/J353)&gt;0,1,0)</f>
        <v>0</v>
      </c>
      <c r="AN353" s="105">
        <f t="shared" ca="1" si="149"/>
        <v>0</v>
      </c>
      <c r="AO353" s="106">
        <f t="shared" ca="1" si="154"/>
        <v>2329073.2544940379</v>
      </c>
      <c r="AP353" s="106">
        <f ca="1">AL353  /  ( 1 + disc_1/12)^(COUNT($AL$6:AL353)-1)</f>
        <v>-161.922098744116</v>
      </c>
      <c r="AQ353" s="106">
        <f t="shared" ca="1" si="155"/>
        <v>1563458.398389671</v>
      </c>
      <c r="AS353" s="304">
        <f t="shared" ca="1" si="150"/>
        <v>1</v>
      </c>
      <c r="AT353" s="301">
        <f ca="1">IFERROR(IRR($AN$6:AN353)*12,0)</f>
        <v>0</v>
      </c>
      <c r="AU353" s="298">
        <f t="shared" ca="1" si="151"/>
        <v>0</v>
      </c>
      <c r="AV353" s="304">
        <f t="shared" ca="1" si="152"/>
        <v>0</v>
      </c>
    </row>
    <row r="354" spans="1:48" x14ac:dyDescent="0.25">
      <c r="B354" s="43">
        <f t="shared" si="153"/>
        <v>54789</v>
      </c>
      <c r="C354" s="79">
        <f t="shared" si="143"/>
        <v>2050</v>
      </c>
      <c r="D354" s="64">
        <f ca="1">wellcount_base  +  SUM('forecast production'!I$7:I355)</f>
        <v>1</v>
      </c>
      <c r="E354" s="110">
        <f ca="1">'forecast production'!AE355</f>
        <v>46.560741850550372</v>
      </c>
      <c r="F354" s="98">
        <f ca="1">'forecast production'!AF355</f>
        <v>411.39558720320736</v>
      </c>
      <c r="G354" s="98">
        <f ca="1">'forecast production'!AG355</f>
        <v>5.7901636818443363E-3</v>
      </c>
      <c r="H354" s="98">
        <f ca="1">'forecast production'!AH355</f>
        <v>61.70933808048111</v>
      </c>
      <c r="I354" s="307">
        <f t="shared" ca="1" si="144"/>
        <v>1</v>
      </c>
      <c r="J354" s="306">
        <f t="shared" ca="1" si="145"/>
        <v>0.75</v>
      </c>
      <c r="K354" s="112">
        <f t="shared" ca="1" si="130"/>
        <v>34.920556387912782</v>
      </c>
      <c r="L354" s="98">
        <f t="shared" ca="1" si="131"/>
        <v>231.41001780180412</v>
      </c>
      <c r="M354" s="98">
        <f t="shared" ca="1" si="132"/>
        <v>4.3426227613832524E-3</v>
      </c>
      <c r="N354" s="98">
        <f t="shared" ca="1" si="133"/>
        <v>46.282003560360835</v>
      </c>
      <c r="O354" s="67">
        <f>assumptions!M358</f>
        <v>55</v>
      </c>
      <c r="P354" s="68">
        <f>assumptions!N358</f>
        <v>3</v>
      </c>
      <c r="Q354" s="68">
        <f>assumptions!O358</f>
        <v>22</v>
      </c>
      <c r="R354" s="67">
        <f t="shared" si="134"/>
        <v>52.5</v>
      </c>
      <c r="S354" s="68">
        <f t="shared" si="135"/>
        <v>2.3275000000000001</v>
      </c>
      <c r="T354" s="68">
        <f t="shared" si="136"/>
        <v>22</v>
      </c>
      <c r="U354" s="73">
        <f t="shared" ca="1" si="137"/>
        <v>1833.329210365421</v>
      </c>
      <c r="V354" s="72">
        <f t="shared" ca="1" si="138"/>
        <v>538.60681643369912</v>
      </c>
      <c r="W354" s="72">
        <f t="shared" ca="1" si="139"/>
        <v>1018.2040783279383</v>
      </c>
      <c r="X354" s="72">
        <f t="shared" ca="1" si="146"/>
        <v>3390.1401051270586</v>
      </c>
      <c r="Y354" s="73">
        <f>mult_opex * fixed_month</f>
        <v>1000</v>
      </c>
      <c r="Z354" s="72">
        <f ca="1">mult_opex * fixed_well *D354</f>
        <v>5000</v>
      </c>
      <c r="AA354" s="72">
        <f ca="1">(Z354+Y354)*WI_current_1</f>
        <v>6000</v>
      </c>
      <c r="AB354" s="72">
        <f ca="1">mult_opex * var_bo*E354</f>
        <v>0</v>
      </c>
      <c r="AC354" s="72">
        <f ca="1">mult_opex * var_mcf*F354</f>
        <v>0</v>
      </c>
      <c r="AD354" s="72">
        <f ca="1">mult_opex * var_bw * G354</f>
        <v>1.1580327363688673E-2</v>
      </c>
      <c r="AE354" s="72">
        <f ca="1">SUM(AB354:AD354)*WI_current_1</f>
        <v>1.1580327363688673E-2</v>
      </c>
      <c r="AF354" s="73">
        <f ca="1">mult_capex * IFERROR(OFFSET(assumptions!$F$39,MATCH(B354,assumptions!$E$39:$E$45,0)-1,0),0)</f>
        <v>0</v>
      </c>
      <c r="AG354" s="75">
        <f ca="1">mult_capex * capex_new*WI_current_1 *'forecast production'!I355</f>
        <v>0</v>
      </c>
      <c r="AH354" s="146">
        <f t="shared" ca="1" si="147"/>
        <v>0</v>
      </c>
      <c r="AI354" s="73">
        <f t="shared" ca="1" si="140"/>
        <v>201.09396078393218</v>
      </c>
      <c r="AJ354" s="72">
        <f t="shared" ca="1" si="141"/>
        <v>84.753502628176477</v>
      </c>
      <c r="AK354" s="72">
        <f t="shared" ca="1" si="148"/>
        <v>285.84746341210865</v>
      </c>
      <c r="AL354" s="73">
        <f t="shared" ca="1" si="142"/>
        <v>-2895.7189386124137</v>
      </c>
      <c r="AM354" s="132">
        <f ca="1">IF(X354*(lease_NRI/J354)  - (Z354+Y354+AB354+AC354+AD354)  - (AK354)*(lease_NRI/J354)&gt;0,1,0)</f>
        <v>0</v>
      </c>
      <c r="AN354" s="73">
        <f t="shared" ca="1" si="149"/>
        <v>0</v>
      </c>
      <c r="AO354" s="75">
        <f t="shared" ca="1" si="154"/>
        <v>2329073.2544940379</v>
      </c>
      <c r="AP354" s="72">
        <f ca="1">AL354  /  ( 1 + disc_1/12)^(COUNT($AL$6:AL354)-1)</f>
        <v>-161.25795982249022</v>
      </c>
      <c r="AQ354" s="72">
        <f t="shared" ca="1" si="155"/>
        <v>1563458.398389671</v>
      </c>
      <c r="AS354" s="303">
        <f t="shared" ca="1" si="150"/>
        <v>1</v>
      </c>
      <c r="AT354" s="300">
        <f ca="1">IFERROR(IRR($AN$6:AN354)*12,0)</f>
        <v>0</v>
      </c>
      <c r="AU354" s="297">
        <f t="shared" ca="1" si="151"/>
        <v>0</v>
      </c>
      <c r="AV354" s="303">
        <f t="shared" ca="1" si="152"/>
        <v>0</v>
      </c>
    </row>
    <row r="355" spans="1:48" x14ac:dyDescent="0.25">
      <c r="B355" s="43">
        <f t="shared" si="153"/>
        <v>54820</v>
      </c>
      <c r="C355" s="79">
        <f t="shared" si="143"/>
        <v>2050</v>
      </c>
      <c r="D355" s="64">
        <f ca="1">wellcount_base  +  SUM('forecast production'!I$7:I356)</f>
        <v>1</v>
      </c>
      <c r="E355" s="110">
        <f ca="1">'forecast production'!AE356</f>
        <v>41.758094657337871</v>
      </c>
      <c r="F355" s="98">
        <f ca="1">'forecast production'!AF356</f>
        <v>371.58311102225184</v>
      </c>
      <c r="G355" s="98">
        <f ca="1">'forecast production'!AG356</f>
        <v>5.2298252610206908E-3</v>
      </c>
      <c r="H355" s="98">
        <f ca="1">'forecast production'!AH356</f>
        <v>55.737466653337776</v>
      </c>
      <c r="I355" s="307">
        <f t="shared" ca="1" si="144"/>
        <v>1</v>
      </c>
      <c r="J355" s="306">
        <f t="shared" ca="1" si="145"/>
        <v>0.75</v>
      </c>
      <c r="K355" s="112">
        <f t="shared" ca="1" si="130"/>
        <v>31.318570993003405</v>
      </c>
      <c r="L355" s="98">
        <f t="shared" ca="1" si="131"/>
        <v>209.01549995001665</v>
      </c>
      <c r="M355" s="98">
        <f t="shared" ca="1" si="132"/>
        <v>3.9223689457655178E-3</v>
      </c>
      <c r="N355" s="98">
        <f t="shared" ca="1" si="133"/>
        <v>41.803099990003332</v>
      </c>
      <c r="O355" s="67">
        <f>assumptions!M359</f>
        <v>55</v>
      </c>
      <c r="P355" s="68">
        <f>assumptions!N359</f>
        <v>3</v>
      </c>
      <c r="Q355" s="68">
        <f>assumptions!O359</f>
        <v>22</v>
      </c>
      <c r="R355" s="67">
        <f t="shared" si="134"/>
        <v>52.5</v>
      </c>
      <c r="S355" s="68">
        <f t="shared" si="135"/>
        <v>2.3275000000000001</v>
      </c>
      <c r="T355" s="68">
        <f t="shared" si="136"/>
        <v>22</v>
      </c>
      <c r="U355" s="73">
        <f t="shared" ca="1" si="137"/>
        <v>1644.2249771326788</v>
      </c>
      <c r="V355" s="72">
        <f t="shared" ca="1" si="138"/>
        <v>486.48357613366375</v>
      </c>
      <c r="W355" s="72">
        <f t="shared" ca="1" si="139"/>
        <v>919.66819978007334</v>
      </c>
      <c r="X355" s="72">
        <f t="shared" ca="1" si="146"/>
        <v>3050.3767530464156</v>
      </c>
      <c r="Y355" s="73">
        <f>mult_opex * fixed_month</f>
        <v>1000</v>
      </c>
      <c r="Z355" s="72">
        <f ca="1">mult_opex * fixed_well *D355</f>
        <v>5000</v>
      </c>
      <c r="AA355" s="72">
        <f ca="1">(Z355+Y355)*WI_current_1</f>
        <v>6000</v>
      </c>
      <c r="AB355" s="72">
        <f ca="1">mult_opex * var_bo*E355</f>
        <v>0</v>
      </c>
      <c r="AC355" s="72">
        <f ca="1">mult_opex * var_mcf*F355</f>
        <v>0</v>
      </c>
      <c r="AD355" s="72">
        <f ca="1">mult_opex * var_bw * G355</f>
        <v>1.0459650522041382E-2</v>
      </c>
      <c r="AE355" s="72">
        <f ca="1">SUM(AB355:AD355)*WI_current_1</f>
        <v>1.0459650522041382E-2</v>
      </c>
      <c r="AF355" s="73">
        <f ca="1">mult_capex * IFERROR(OFFSET(assumptions!$F$39,MATCH(B355,assumptions!$E$39:$E$45,0)-1,0),0)</f>
        <v>0</v>
      </c>
      <c r="AG355" s="75">
        <f ca="1">mult_capex * capex_new*WI_current_1 *'forecast production'!I356</f>
        <v>0</v>
      </c>
      <c r="AH355" s="146">
        <f t="shared" ca="1" si="147"/>
        <v>0</v>
      </c>
      <c r="AI355" s="73">
        <f t="shared" ca="1" si="140"/>
        <v>181.0957321416335</v>
      </c>
      <c r="AJ355" s="72">
        <f t="shared" ca="1" si="141"/>
        <v>76.259418826160399</v>
      </c>
      <c r="AK355" s="72">
        <f t="shared" ca="1" si="148"/>
        <v>257.35515096779392</v>
      </c>
      <c r="AL355" s="73">
        <f t="shared" ca="1" si="142"/>
        <v>-3206.9888575719006</v>
      </c>
      <c r="AM355" s="132">
        <f ca="1">IF(X355*(lease_NRI/J355)  - (Z355+Y355+AB355+AC355+AD355)  - (AK355)*(lease_NRI/J355)&gt;0,1,0)</f>
        <v>0</v>
      </c>
      <c r="AN355" s="73">
        <f t="shared" ca="1" si="149"/>
        <v>0</v>
      </c>
      <c r="AO355" s="75">
        <f t="shared" ca="1" si="154"/>
        <v>2329073.2544940379</v>
      </c>
      <c r="AP355" s="72">
        <f ca="1">AL355  /  ( 1 + disc_1/12)^(COUNT($AL$6:AL355)-1)</f>
        <v>-177.1161165076316</v>
      </c>
      <c r="AQ355" s="72">
        <f t="shared" ca="1" si="155"/>
        <v>1563458.398389671</v>
      </c>
      <c r="AS355" s="303">
        <f t="shared" ca="1" si="150"/>
        <v>1</v>
      </c>
      <c r="AT355" s="300">
        <f ca="1">IFERROR(IRR($AN$6:AN355)*12,0)</f>
        <v>0</v>
      </c>
      <c r="AU355" s="297">
        <f t="shared" ca="1" si="151"/>
        <v>0</v>
      </c>
      <c r="AV355" s="303">
        <f t="shared" ca="1" si="152"/>
        <v>0</v>
      </c>
    </row>
    <row r="356" spans="1:48" x14ac:dyDescent="0.25">
      <c r="B356" s="43">
        <f t="shared" si="153"/>
        <v>54848</v>
      </c>
      <c r="C356" s="79">
        <f t="shared" si="143"/>
        <v>2050</v>
      </c>
      <c r="D356" s="64">
        <f ca="1">wellcount_base  +  SUM('forecast production'!I$7:I357)</f>
        <v>1</v>
      </c>
      <c r="E356" s="110">
        <f ca="1">'forecast production'!AE357</f>
        <v>45.937400612061758</v>
      </c>
      <c r="F356" s="98">
        <f ca="1">'forecast production'!AF357</f>
        <v>411.39558720320736</v>
      </c>
      <c r="G356" s="98">
        <f ca="1">'forecast production'!AG357</f>
        <v>5.7901636818443363E-3</v>
      </c>
      <c r="H356" s="98">
        <f ca="1">'forecast production'!AH357</f>
        <v>61.70933808048111</v>
      </c>
      <c r="I356" s="307">
        <f t="shared" ca="1" si="144"/>
        <v>1</v>
      </c>
      <c r="J356" s="306">
        <f t="shared" ca="1" si="145"/>
        <v>0.75</v>
      </c>
      <c r="K356" s="112">
        <f t="shared" ca="1" si="130"/>
        <v>34.453050459046317</v>
      </c>
      <c r="L356" s="98">
        <f t="shared" ca="1" si="131"/>
        <v>231.41001780180412</v>
      </c>
      <c r="M356" s="98">
        <f t="shared" ca="1" si="132"/>
        <v>4.3426227613832524E-3</v>
      </c>
      <c r="N356" s="98">
        <f t="shared" ca="1" si="133"/>
        <v>46.282003560360835</v>
      </c>
      <c r="O356" s="67">
        <f>assumptions!M360</f>
        <v>55</v>
      </c>
      <c r="P356" s="68">
        <f>assumptions!N360</f>
        <v>3</v>
      </c>
      <c r="Q356" s="68">
        <f>assumptions!O360</f>
        <v>22</v>
      </c>
      <c r="R356" s="67">
        <f t="shared" si="134"/>
        <v>52.5</v>
      </c>
      <c r="S356" s="68">
        <f t="shared" si="135"/>
        <v>2.3275000000000001</v>
      </c>
      <c r="T356" s="68">
        <f t="shared" si="136"/>
        <v>22</v>
      </c>
      <c r="U356" s="73">
        <f t="shared" ca="1" si="137"/>
        <v>1808.7851490999317</v>
      </c>
      <c r="V356" s="72">
        <f t="shared" ca="1" si="138"/>
        <v>538.60681643369912</v>
      </c>
      <c r="W356" s="72">
        <f t="shared" ca="1" si="139"/>
        <v>1018.2040783279383</v>
      </c>
      <c r="X356" s="72">
        <f t="shared" ca="1" si="146"/>
        <v>3365.5960438615693</v>
      </c>
      <c r="Y356" s="73">
        <f>mult_opex * fixed_month</f>
        <v>1000</v>
      </c>
      <c r="Z356" s="72">
        <f ca="1">mult_opex * fixed_well *D356</f>
        <v>5000</v>
      </c>
      <c r="AA356" s="72">
        <f ca="1">(Z356+Y356)*WI_current_1</f>
        <v>6000</v>
      </c>
      <c r="AB356" s="72">
        <f ca="1">mult_opex * var_bo*E356</f>
        <v>0</v>
      </c>
      <c r="AC356" s="72">
        <f ca="1">mult_opex * var_mcf*F356</f>
        <v>0</v>
      </c>
      <c r="AD356" s="72">
        <f ca="1">mult_opex * var_bw * G356</f>
        <v>1.1580327363688673E-2</v>
      </c>
      <c r="AE356" s="72">
        <f ca="1">SUM(AB356:AD356)*WI_current_1</f>
        <v>1.1580327363688673E-2</v>
      </c>
      <c r="AF356" s="73">
        <f ca="1">mult_capex * IFERROR(OFFSET(assumptions!$F$39,MATCH(B356,assumptions!$E$39:$E$45,0)-1,0),0)</f>
        <v>0</v>
      </c>
      <c r="AG356" s="75">
        <f ca="1">mult_capex * capex_new*WI_current_1 *'forecast production'!I357</f>
        <v>0</v>
      </c>
      <c r="AH356" s="146">
        <f t="shared" ca="1" si="147"/>
        <v>0</v>
      </c>
      <c r="AI356" s="73">
        <f t="shared" ca="1" si="140"/>
        <v>199.96493396571964</v>
      </c>
      <c r="AJ356" s="72">
        <f t="shared" ca="1" si="141"/>
        <v>84.139901096539234</v>
      </c>
      <c r="AK356" s="72">
        <f t="shared" ca="1" si="148"/>
        <v>284.10483506225887</v>
      </c>
      <c r="AL356" s="73">
        <f t="shared" ca="1" si="142"/>
        <v>-2918.5203715280531</v>
      </c>
      <c r="AM356" s="132">
        <f ca="1">IF(X356*(lease_NRI/J356)  - (Z356+Y356+AB356+AC356+AD356)  - (AK356)*(lease_NRI/J356)&gt;0,1,0)</f>
        <v>0</v>
      </c>
      <c r="AN356" s="73">
        <f t="shared" ca="1" si="149"/>
        <v>0</v>
      </c>
      <c r="AO356" s="75">
        <f t="shared" ca="1" si="154"/>
        <v>2329073.2544940379</v>
      </c>
      <c r="AP356" s="72">
        <f ca="1">AL356  /  ( 1 + disc_1/12)^(COUNT($AL$6:AL356)-1)</f>
        <v>-159.85242719789207</v>
      </c>
      <c r="AQ356" s="72">
        <f t="shared" ca="1" si="155"/>
        <v>1563458.398389671</v>
      </c>
      <c r="AS356" s="303">
        <f t="shared" ca="1" si="150"/>
        <v>1</v>
      </c>
      <c r="AT356" s="300">
        <f ca="1">IFERROR(IRR($AN$6:AN356)*12,0)</f>
        <v>0</v>
      </c>
      <c r="AU356" s="297">
        <f t="shared" ca="1" si="151"/>
        <v>0</v>
      </c>
      <c r="AV356" s="303">
        <f t="shared" ca="1" si="152"/>
        <v>0</v>
      </c>
    </row>
    <row r="357" spans="1:48" x14ac:dyDescent="0.25">
      <c r="B357" s="43">
        <f t="shared" si="153"/>
        <v>54879</v>
      </c>
      <c r="C357" s="79">
        <f t="shared" si="143"/>
        <v>2050</v>
      </c>
      <c r="D357" s="64">
        <f ca="1">wellcount_base  +  SUM('forecast production'!I$7:I358)</f>
        <v>1</v>
      </c>
      <c r="E357" s="108">
        <f ca="1">'forecast production'!AE358</f>
        <v>44.141839090867613</v>
      </c>
      <c r="F357" s="97">
        <f ca="1">'forecast production'!AF358</f>
        <v>398.12476180955554</v>
      </c>
      <c r="G357" s="97">
        <f ca="1">'forecast production'!AG358</f>
        <v>5.6033842082364544E-3</v>
      </c>
      <c r="H357" s="98">
        <f ca="1">'forecast production'!AH358</f>
        <v>59.718714271433328</v>
      </c>
      <c r="I357" s="307">
        <f t="shared" ca="1" si="144"/>
        <v>1</v>
      </c>
      <c r="J357" s="306">
        <f t="shared" ca="1" si="145"/>
        <v>0.75</v>
      </c>
      <c r="K357" s="112">
        <f t="shared" ca="1" si="130"/>
        <v>33.106379318150708</v>
      </c>
      <c r="L357" s="98">
        <f t="shared" ca="1" si="131"/>
        <v>223.94517851787498</v>
      </c>
      <c r="M357" s="98">
        <f t="shared" ca="1" si="132"/>
        <v>4.2025381561773406E-3</v>
      </c>
      <c r="N357" s="98">
        <f t="shared" ca="1" si="133"/>
        <v>44.789035703574996</v>
      </c>
      <c r="O357" s="67">
        <f>assumptions!M361</f>
        <v>55</v>
      </c>
      <c r="P357" s="68">
        <f>assumptions!N361</f>
        <v>3</v>
      </c>
      <c r="Q357" s="68">
        <f>assumptions!O361</f>
        <v>22</v>
      </c>
      <c r="R357" s="67">
        <f t="shared" si="134"/>
        <v>52.5</v>
      </c>
      <c r="S357" s="68">
        <f t="shared" si="135"/>
        <v>2.3275000000000001</v>
      </c>
      <c r="T357" s="68">
        <f t="shared" si="136"/>
        <v>22</v>
      </c>
      <c r="U357" s="73">
        <f t="shared" ca="1" si="137"/>
        <v>1738.0849142029122</v>
      </c>
      <c r="V357" s="72">
        <f t="shared" ca="1" si="138"/>
        <v>521.232403000354</v>
      </c>
      <c r="W357" s="72">
        <f t="shared" ca="1" si="139"/>
        <v>985.35878547864991</v>
      </c>
      <c r="X357" s="72">
        <f t="shared" ca="1" si="146"/>
        <v>3244.6761026819158</v>
      </c>
      <c r="Y357" s="73">
        <f>mult_opex * fixed_month</f>
        <v>1000</v>
      </c>
      <c r="Z357" s="72">
        <f ca="1">mult_opex * fixed_well *D357</f>
        <v>5000</v>
      </c>
      <c r="AA357" s="72">
        <f ca="1">(Z357+Y357)*WI_current_1</f>
        <v>6000</v>
      </c>
      <c r="AB357" s="72">
        <f ca="1">mult_opex * var_bo*E357</f>
        <v>0</v>
      </c>
      <c r="AC357" s="72">
        <f ca="1">mult_opex * var_mcf*F357</f>
        <v>0</v>
      </c>
      <c r="AD357" s="72">
        <f ca="1">mult_opex * var_bw * G357</f>
        <v>1.1206768416472909E-2</v>
      </c>
      <c r="AE357" s="72">
        <f ca="1">SUM(AB357:AD357)*WI_current_1</f>
        <v>1.1206768416472909E-2</v>
      </c>
      <c r="AF357" s="73">
        <f ca="1">mult_capex * IFERROR(OFFSET(assumptions!$F$39,MATCH(B357,assumptions!$E$39:$E$45,0)-1,0),0)</f>
        <v>0</v>
      </c>
      <c r="AG357" s="75">
        <f ca="1">mult_capex * capex_new*WI_current_1 *'forecast production'!I358</f>
        <v>0</v>
      </c>
      <c r="AH357" s="146">
        <f t="shared" ca="1" si="147"/>
        <v>0</v>
      </c>
      <c r="AI357" s="73">
        <f t="shared" ca="1" si="140"/>
        <v>192.94624518925923</v>
      </c>
      <c r="AJ357" s="72">
        <f t="shared" ca="1" si="141"/>
        <v>81.116902567047902</v>
      </c>
      <c r="AK357" s="72">
        <f t="shared" ca="1" si="148"/>
        <v>274.0631477563071</v>
      </c>
      <c r="AL357" s="73">
        <f t="shared" ca="1" si="142"/>
        <v>-3029.3982518428074</v>
      </c>
      <c r="AM357" s="132">
        <f ca="1">IF(X357*(lease_NRI/J357)  - (Z357+Y357+AB357+AC357+AD357)  - (AK357)*(lease_NRI/J357)&gt;0,1,0)</f>
        <v>0</v>
      </c>
      <c r="AN357" s="73">
        <f t="shared" ca="1" si="149"/>
        <v>0</v>
      </c>
      <c r="AO357" s="75">
        <f t="shared" ca="1" si="154"/>
        <v>2329073.2544940379</v>
      </c>
      <c r="AP357" s="72">
        <f ca="1">AL357  /  ( 1 + disc_1/12)^(COUNT($AL$6:AL357)-1)</f>
        <v>-164.55411687555755</v>
      </c>
      <c r="AQ357" s="72">
        <f t="shared" ca="1" si="155"/>
        <v>1563458.398389671</v>
      </c>
      <c r="AS357" s="303">
        <f t="shared" ca="1" si="150"/>
        <v>1</v>
      </c>
      <c r="AT357" s="300">
        <f ca="1">IFERROR(IRR($AN$6:AN357)*12,0)</f>
        <v>0</v>
      </c>
      <c r="AU357" s="297">
        <f t="shared" ca="1" si="151"/>
        <v>0</v>
      </c>
      <c r="AV357" s="303">
        <f t="shared" ca="1" si="152"/>
        <v>0</v>
      </c>
    </row>
    <row r="358" spans="1:48" x14ac:dyDescent="0.25">
      <c r="B358" s="43">
        <f t="shared" si="153"/>
        <v>54909</v>
      </c>
      <c r="C358" s="79">
        <f t="shared" si="143"/>
        <v>2050</v>
      </c>
      <c r="D358" s="64">
        <f ca="1">wellcount_base  +  SUM('forecast production'!I$7:I359)</f>
        <v>1</v>
      </c>
      <c r="E358" s="110">
        <f ca="1">'forecast production'!AE359</f>
        <v>45.301702057960426</v>
      </c>
      <c r="F358" s="98">
        <f ca="1">'forecast production'!AF359</f>
        <v>411.39558720320736</v>
      </c>
      <c r="G358" s="98">
        <f ca="1">'forecast production'!AG359</f>
        <v>5.7901636818443363E-3</v>
      </c>
      <c r="H358" s="98">
        <f ca="1">'forecast production'!AH359</f>
        <v>61.70933808048111</v>
      </c>
      <c r="I358" s="307">
        <f t="shared" ca="1" si="144"/>
        <v>1</v>
      </c>
      <c r="J358" s="306">
        <f t="shared" ca="1" si="145"/>
        <v>0.75</v>
      </c>
      <c r="K358" s="112">
        <f t="shared" ca="1" si="130"/>
        <v>33.97627654347032</v>
      </c>
      <c r="L358" s="98">
        <f t="shared" ca="1" si="131"/>
        <v>231.41001780180412</v>
      </c>
      <c r="M358" s="98">
        <f t="shared" ca="1" si="132"/>
        <v>4.3426227613832524E-3</v>
      </c>
      <c r="N358" s="98">
        <f t="shared" ca="1" si="133"/>
        <v>46.282003560360835</v>
      </c>
      <c r="O358" s="67">
        <f>assumptions!M362</f>
        <v>55</v>
      </c>
      <c r="P358" s="68">
        <f>assumptions!N362</f>
        <v>3</v>
      </c>
      <c r="Q358" s="68">
        <f>assumptions!O362</f>
        <v>22</v>
      </c>
      <c r="R358" s="67">
        <f t="shared" si="134"/>
        <v>52.5</v>
      </c>
      <c r="S358" s="68">
        <f t="shared" si="135"/>
        <v>2.3275000000000001</v>
      </c>
      <c r="T358" s="68">
        <f t="shared" si="136"/>
        <v>22</v>
      </c>
      <c r="U358" s="73">
        <f t="shared" ca="1" si="137"/>
        <v>1783.7545185321917</v>
      </c>
      <c r="V358" s="72">
        <f t="shared" ca="1" si="138"/>
        <v>538.60681643369912</v>
      </c>
      <c r="W358" s="72">
        <f t="shared" ca="1" si="139"/>
        <v>1018.2040783279383</v>
      </c>
      <c r="X358" s="72">
        <f t="shared" ca="1" si="146"/>
        <v>3340.5654132938289</v>
      </c>
      <c r="Y358" s="73">
        <f>mult_opex * fixed_month</f>
        <v>1000</v>
      </c>
      <c r="Z358" s="72">
        <f ca="1">mult_opex * fixed_well *D358</f>
        <v>5000</v>
      </c>
      <c r="AA358" s="72">
        <f ca="1">(Z358+Y358)*WI_current_1</f>
        <v>6000</v>
      </c>
      <c r="AB358" s="72">
        <f ca="1">mult_opex * var_bo*E358</f>
        <v>0</v>
      </c>
      <c r="AC358" s="72">
        <f ca="1">mult_opex * var_mcf*F358</f>
        <v>0</v>
      </c>
      <c r="AD358" s="72">
        <f ca="1">mult_opex * var_bw * G358</f>
        <v>1.1580327363688673E-2</v>
      </c>
      <c r="AE358" s="72">
        <f ca="1">SUM(AB358:AD358)*WI_current_1</f>
        <v>1.1580327363688673E-2</v>
      </c>
      <c r="AF358" s="73">
        <f ca="1">mult_capex * IFERROR(OFFSET(assumptions!$F$39,MATCH(B358,assumptions!$E$39:$E$45,0)-1,0),0)</f>
        <v>0</v>
      </c>
      <c r="AG358" s="75">
        <f ca="1">mult_capex * capex_new*WI_current_1 *'forecast production'!I359</f>
        <v>0</v>
      </c>
      <c r="AH358" s="146">
        <f t="shared" ca="1" si="147"/>
        <v>0</v>
      </c>
      <c r="AI358" s="73">
        <f t="shared" ca="1" si="140"/>
        <v>198.81352495960363</v>
      </c>
      <c r="AJ358" s="72">
        <f t="shared" ca="1" si="141"/>
        <v>83.514135332345731</v>
      </c>
      <c r="AK358" s="72">
        <f t="shared" ca="1" si="148"/>
        <v>282.32766029194937</v>
      </c>
      <c r="AL358" s="73">
        <f t="shared" ca="1" si="142"/>
        <v>-2941.7738273254845</v>
      </c>
      <c r="AM358" s="132">
        <f ca="1">IF(X358*(lease_NRI/J358)  - (Z358+Y358+AB358+AC358+AD358)  - (AK358)*(lease_NRI/J358)&gt;0,1,0)</f>
        <v>0</v>
      </c>
      <c r="AN358" s="73">
        <f t="shared" ca="1" si="149"/>
        <v>0</v>
      </c>
      <c r="AO358" s="75">
        <f t="shared" ca="1" si="154"/>
        <v>2329073.2544940379</v>
      </c>
      <c r="AP358" s="72">
        <f ca="1">AL358  /  ( 1 + disc_1/12)^(COUNT($AL$6:AL358)-1)</f>
        <v>-158.47382381552418</v>
      </c>
      <c r="AQ358" s="72">
        <f t="shared" ca="1" si="155"/>
        <v>1563458.398389671</v>
      </c>
      <c r="AS358" s="303">
        <f t="shared" ca="1" si="150"/>
        <v>1</v>
      </c>
      <c r="AT358" s="300">
        <f ca="1">IFERROR(IRR($AN$6:AN358)*12,0)</f>
        <v>0</v>
      </c>
      <c r="AU358" s="297">
        <f t="shared" ca="1" si="151"/>
        <v>0</v>
      </c>
      <c r="AV358" s="303">
        <f t="shared" ca="1" si="152"/>
        <v>0</v>
      </c>
    </row>
    <row r="359" spans="1:48" x14ac:dyDescent="0.25">
      <c r="B359" s="43">
        <f t="shared" si="153"/>
        <v>54940</v>
      </c>
      <c r="C359" s="79">
        <f t="shared" si="143"/>
        <v>2050</v>
      </c>
      <c r="D359" s="64">
        <f ca="1">wellcount_base  +  SUM('forecast production'!I$7:I360)</f>
        <v>1</v>
      </c>
      <c r="E359" s="110">
        <f ca="1">'forecast production'!AE360</f>
        <v>43.5309881739337</v>
      </c>
      <c r="F359" s="98">
        <f ca="1">'forecast production'!AF360</f>
        <v>398.12476180955554</v>
      </c>
      <c r="G359" s="98">
        <f ca="1">'forecast production'!AG360</f>
        <v>5.6033842082364544E-3</v>
      </c>
      <c r="H359" s="98">
        <f ca="1">'forecast production'!AH360</f>
        <v>59.718714271433328</v>
      </c>
      <c r="I359" s="307">
        <f t="shared" ca="1" si="144"/>
        <v>1</v>
      </c>
      <c r="J359" s="306">
        <f t="shared" ca="1" si="145"/>
        <v>0.75</v>
      </c>
      <c r="K359" s="112">
        <f t="shared" ca="1" si="130"/>
        <v>32.648241130450273</v>
      </c>
      <c r="L359" s="98">
        <f t="shared" ca="1" si="131"/>
        <v>223.94517851787498</v>
      </c>
      <c r="M359" s="98">
        <f t="shared" ca="1" si="132"/>
        <v>4.2025381561773406E-3</v>
      </c>
      <c r="N359" s="98">
        <f t="shared" ca="1" si="133"/>
        <v>44.789035703574996</v>
      </c>
      <c r="O359" s="67">
        <f>assumptions!M363</f>
        <v>55</v>
      </c>
      <c r="P359" s="68">
        <f>assumptions!N363</f>
        <v>3</v>
      </c>
      <c r="Q359" s="68">
        <f>assumptions!O363</f>
        <v>22</v>
      </c>
      <c r="R359" s="67">
        <f t="shared" si="134"/>
        <v>52.5</v>
      </c>
      <c r="S359" s="68">
        <f t="shared" si="135"/>
        <v>2.3275000000000001</v>
      </c>
      <c r="T359" s="68">
        <f t="shared" si="136"/>
        <v>22</v>
      </c>
      <c r="U359" s="73">
        <f t="shared" ca="1" si="137"/>
        <v>1714.0326593486393</v>
      </c>
      <c r="V359" s="72">
        <f t="shared" ca="1" si="138"/>
        <v>521.232403000354</v>
      </c>
      <c r="W359" s="72">
        <f t="shared" ca="1" si="139"/>
        <v>985.35878547864991</v>
      </c>
      <c r="X359" s="72">
        <f t="shared" ca="1" si="146"/>
        <v>3220.6238478276437</v>
      </c>
      <c r="Y359" s="73">
        <f>mult_opex * fixed_month</f>
        <v>1000</v>
      </c>
      <c r="Z359" s="72">
        <f ca="1">mult_opex * fixed_well *D359</f>
        <v>5000</v>
      </c>
      <c r="AA359" s="72">
        <f ca="1">(Z359+Y359)*WI_current_1</f>
        <v>6000</v>
      </c>
      <c r="AB359" s="72">
        <f ca="1">mult_opex * var_bo*E359</f>
        <v>0</v>
      </c>
      <c r="AC359" s="72">
        <f ca="1">mult_opex * var_mcf*F359</f>
        <v>0</v>
      </c>
      <c r="AD359" s="72">
        <f ca="1">mult_opex * var_bw * G359</f>
        <v>1.1206768416472909E-2</v>
      </c>
      <c r="AE359" s="72">
        <f ca="1">SUM(AB359:AD359)*WI_current_1</f>
        <v>1.1206768416472909E-2</v>
      </c>
      <c r="AF359" s="73">
        <f ca="1">mult_capex * IFERROR(OFFSET(assumptions!$F$39,MATCH(B359,assumptions!$E$39:$E$45,0)-1,0),0)</f>
        <v>0</v>
      </c>
      <c r="AG359" s="75">
        <f ca="1">mult_capex * capex_new*WI_current_1 *'forecast production'!I360</f>
        <v>0</v>
      </c>
      <c r="AH359" s="146">
        <f t="shared" ca="1" si="147"/>
        <v>0</v>
      </c>
      <c r="AI359" s="73">
        <f t="shared" ca="1" si="140"/>
        <v>191.83984146596271</v>
      </c>
      <c r="AJ359" s="72">
        <f t="shared" ca="1" si="141"/>
        <v>80.515596195691103</v>
      </c>
      <c r="AK359" s="72">
        <f t="shared" ca="1" si="148"/>
        <v>272.35543766165381</v>
      </c>
      <c r="AL359" s="73">
        <f t="shared" ca="1" si="142"/>
        <v>-3051.7427966024266</v>
      </c>
      <c r="AM359" s="132">
        <f ca="1">IF(X359*(lease_NRI/J359)  - (Z359+Y359+AB359+AC359+AD359)  - (AK359)*(lease_NRI/J359)&gt;0,1,0)</f>
        <v>0</v>
      </c>
      <c r="AN359" s="73">
        <f t="shared" ca="1" si="149"/>
        <v>0</v>
      </c>
      <c r="AO359" s="75">
        <f t="shared" ca="1" si="154"/>
        <v>2329073.2544940379</v>
      </c>
      <c r="AP359" s="72">
        <f ca="1">AL359  /  ( 1 + disc_1/12)^(COUNT($AL$6:AL359)-1)</f>
        <v>-163.03920959540784</v>
      </c>
      <c r="AQ359" s="72">
        <f t="shared" ca="1" si="155"/>
        <v>1563458.398389671</v>
      </c>
      <c r="AS359" s="303">
        <f t="shared" ca="1" si="150"/>
        <v>1</v>
      </c>
      <c r="AT359" s="300">
        <f ca="1">IFERROR(IRR($AN$6:AN359)*12,0)</f>
        <v>0</v>
      </c>
      <c r="AU359" s="297">
        <f t="shared" ca="1" si="151"/>
        <v>0</v>
      </c>
      <c r="AV359" s="303">
        <f t="shared" ca="1" si="152"/>
        <v>0</v>
      </c>
    </row>
    <row r="360" spans="1:48" x14ac:dyDescent="0.25">
      <c r="B360" s="43">
        <f t="shared" si="153"/>
        <v>54970</v>
      </c>
      <c r="C360" s="79">
        <f t="shared" si="143"/>
        <v>2050</v>
      </c>
      <c r="D360" s="64">
        <f ca="1">wellcount_base  +  SUM('forecast production'!I$7:I361)</f>
        <v>1</v>
      </c>
      <c r="E360" s="110">
        <f ca="1">'forecast production'!AE361</f>
        <v>44.674800532996613</v>
      </c>
      <c r="F360" s="98">
        <f ca="1">'forecast production'!AF361</f>
        <v>411.39558720320736</v>
      </c>
      <c r="G360" s="98">
        <f ca="1">'forecast production'!AG361</f>
        <v>5.7901636818443363E-3</v>
      </c>
      <c r="H360" s="98">
        <f ca="1">'forecast production'!AH361</f>
        <v>61.70933808048111</v>
      </c>
      <c r="I360" s="307">
        <f t="shared" ca="1" si="144"/>
        <v>1</v>
      </c>
      <c r="J360" s="306">
        <f t="shared" ca="1" si="145"/>
        <v>0.75</v>
      </c>
      <c r="K360" s="112">
        <f t="shared" ca="1" si="130"/>
        <v>33.50610039974746</v>
      </c>
      <c r="L360" s="98">
        <f t="shared" ca="1" si="131"/>
        <v>231.41001780180412</v>
      </c>
      <c r="M360" s="98">
        <f t="shared" ca="1" si="132"/>
        <v>4.3426227613832524E-3</v>
      </c>
      <c r="N360" s="98">
        <f t="shared" ca="1" si="133"/>
        <v>46.282003560360835</v>
      </c>
      <c r="O360" s="67">
        <f>assumptions!M364</f>
        <v>55</v>
      </c>
      <c r="P360" s="68">
        <f>assumptions!N364</f>
        <v>3</v>
      </c>
      <c r="Q360" s="68">
        <f>assumptions!O364</f>
        <v>22</v>
      </c>
      <c r="R360" s="67">
        <f t="shared" si="134"/>
        <v>52.5</v>
      </c>
      <c r="S360" s="68">
        <f t="shared" si="135"/>
        <v>2.3275000000000001</v>
      </c>
      <c r="T360" s="68">
        <f t="shared" si="136"/>
        <v>22</v>
      </c>
      <c r="U360" s="73">
        <f t="shared" ca="1" si="137"/>
        <v>1759.0702709867417</v>
      </c>
      <c r="V360" s="72">
        <f t="shared" ca="1" si="138"/>
        <v>538.60681643369912</v>
      </c>
      <c r="W360" s="72">
        <f t="shared" ca="1" si="139"/>
        <v>1018.2040783279383</v>
      </c>
      <c r="X360" s="72">
        <f t="shared" ca="1" si="146"/>
        <v>3315.8811657483793</v>
      </c>
      <c r="Y360" s="73">
        <f>mult_opex * fixed_month</f>
        <v>1000</v>
      </c>
      <c r="Z360" s="72">
        <f ca="1">mult_opex * fixed_well *D360</f>
        <v>5000</v>
      </c>
      <c r="AA360" s="72">
        <f ca="1">(Z360+Y360)*WI_current_1</f>
        <v>6000</v>
      </c>
      <c r="AB360" s="72">
        <f ca="1">mult_opex * var_bo*E360</f>
        <v>0</v>
      </c>
      <c r="AC360" s="72">
        <f ca="1">mult_opex * var_mcf*F360</f>
        <v>0</v>
      </c>
      <c r="AD360" s="72">
        <f ca="1">mult_opex * var_bw * G360</f>
        <v>1.1580327363688673E-2</v>
      </c>
      <c r="AE360" s="72">
        <f ca="1">SUM(AB360:AD360)*WI_current_1</f>
        <v>1.1580327363688673E-2</v>
      </c>
      <c r="AF360" s="73">
        <f ca="1">mult_capex * IFERROR(OFFSET(assumptions!$F$39,MATCH(B360,assumptions!$E$39:$E$45,0)-1,0),0)</f>
        <v>0</v>
      </c>
      <c r="AG360" s="75">
        <f ca="1">mult_capex * capex_new*WI_current_1 *'forecast production'!I361</f>
        <v>0</v>
      </c>
      <c r="AH360" s="146">
        <f t="shared" ca="1" si="147"/>
        <v>0</v>
      </c>
      <c r="AI360" s="73">
        <f t="shared" ca="1" si="140"/>
        <v>197.67804957251292</v>
      </c>
      <c r="AJ360" s="72">
        <f t="shared" ca="1" si="141"/>
        <v>82.897029143709489</v>
      </c>
      <c r="AK360" s="72">
        <f t="shared" ca="1" si="148"/>
        <v>280.57507871622238</v>
      </c>
      <c r="AL360" s="73">
        <f t="shared" ca="1" si="142"/>
        <v>-2964.7054932952069</v>
      </c>
      <c r="AM360" s="132">
        <f ca="1">IF(X360*(lease_NRI/J360)  - (Z360+Y360+AB360+AC360+AD360)  - (AK360)*(lease_NRI/J360)&gt;0,1,0)</f>
        <v>0</v>
      </c>
      <c r="AN360" s="73">
        <f t="shared" ca="1" si="149"/>
        <v>0</v>
      </c>
      <c r="AO360" s="75">
        <f t="shared" ca="1" si="154"/>
        <v>2329073.2544940379</v>
      </c>
      <c r="AP360" s="72">
        <f ca="1">AL360  /  ( 1 + disc_1/12)^(COUNT($AL$6:AL360)-1)</f>
        <v>-157.08024389227117</v>
      </c>
      <c r="AQ360" s="72">
        <f t="shared" ca="1" si="155"/>
        <v>1563458.398389671</v>
      </c>
      <c r="AS360" s="303">
        <f t="shared" ca="1" si="150"/>
        <v>1</v>
      </c>
      <c r="AT360" s="300">
        <f ca="1">IFERROR(IRR($AN$6:AN360)*12,0)</f>
        <v>0</v>
      </c>
      <c r="AU360" s="297">
        <f t="shared" ca="1" si="151"/>
        <v>0</v>
      </c>
      <c r="AV360" s="303">
        <f t="shared" ca="1" si="152"/>
        <v>0</v>
      </c>
    </row>
    <row r="361" spans="1:48" x14ac:dyDescent="0.25">
      <c r="B361" s="43">
        <f t="shared" si="153"/>
        <v>55001</v>
      </c>
      <c r="C361" s="79">
        <f t="shared" si="143"/>
        <v>2050</v>
      </c>
      <c r="D361" s="64">
        <f ca="1">wellcount_base  +  SUM('forecast production'!I$7:I362)</f>
        <v>1</v>
      </c>
      <c r="E361" s="110">
        <f ca="1">'forecast production'!AE362</f>
        <v>44.359543449959453</v>
      </c>
      <c r="F361" s="98">
        <f ca="1">'forecast production'!AF362</f>
        <v>411.39558720320736</v>
      </c>
      <c r="G361" s="98">
        <f ca="1">'forecast production'!AG362</f>
        <v>5.7901636818443363E-3</v>
      </c>
      <c r="H361" s="98">
        <f ca="1">'forecast production'!AH362</f>
        <v>61.70933808048111</v>
      </c>
      <c r="I361" s="307">
        <f t="shared" ca="1" si="144"/>
        <v>1</v>
      </c>
      <c r="J361" s="306">
        <f t="shared" ca="1" si="145"/>
        <v>0.75</v>
      </c>
      <c r="K361" s="112">
        <f t="shared" ca="1" si="130"/>
        <v>33.269657587469588</v>
      </c>
      <c r="L361" s="98">
        <f t="shared" ca="1" si="131"/>
        <v>231.41001780180412</v>
      </c>
      <c r="M361" s="98">
        <f t="shared" ca="1" si="132"/>
        <v>4.3426227613832524E-3</v>
      </c>
      <c r="N361" s="98">
        <f t="shared" ca="1" si="133"/>
        <v>46.282003560360835</v>
      </c>
      <c r="O361" s="67">
        <f>assumptions!M365</f>
        <v>55</v>
      </c>
      <c r="P361" s="68">
        <f>assumptions!N365</f>
        <v>3</v>
      </c>
      <c r="Q361" s="68">
        <f>assumptions!O365</f>
        <v>22</v>
      </c>
      <c r="R361" s="67">
        <f t="shared" si="134"/>
        <v>52.5</v>
      </c>
      <c r="S361" s="68">
        <f t="shared" si="135"/>
        <v>2.3275000000000001</v>
      </c>
      <c r="T361" s="68">
        <f t="shared" si="136"/>
        <v>22</v>
      </c>
      <c r="U361" s="73">
        <f t="shared" ca="1" si="137"/>
        <v>1746.6570233421535</v>
      </c>
      <c r="V361" s="72">
        <f t="shared" ca="1" si="138"/>
        <v>538.60681643369912</v>
      </c>
      <c r="W361" s="72">
        <f t="shared" ca="1" si="139"/>
        <v>1018.2040783279383</v>
      </c>
      <c r="X361" s="72">
        <f t="shared" ca="1" si="146"/>
        <v>3303.4679181037909</v>
      </c>
      <c r="Y361" s="73">
        <f>mult_opex * fixed_month</f>
        <v>1000</v>
      </c>
      <c r="Z361" s="72">
        <f ca="1">mult_opex * fixed_well *D361</f>
        <v>5000</v>
      </c>
      <c r="AA361" s="72">
        <f ca="1">(Z361+Y361)*WI_current_1</f>
        <v>6000</v>
      </c>
      <c r="AB361" s="72">
        <f ca="1">mult_opex * var_bo*E361</f>
        <v>0</v>
      </c>
      <c r="AC361" s="72">
        <f ca="1">mult_opex * var_mcf*F361</f>
        <v>0</v>
      </c>
      <c r="AD361" s="72">
        <f ca="1">mult_opex * var_bw * G361</f>
        <v>1.1580327363688673E-2</v>
      </c>
      <c r="AE361" s="72">
        <f ca="1">SUM(AB361:AD361)*WI_current_1</f>
        <v>1.1580327363688673E-2</v>
      </c>
      <c r="AF361" s="73">
        <f ca="1">mult_capex * IFERROR(OFFSET(assumptions!$F$39,MATCH(B361,assumptions!$E$39:$E$45,0)-1,0),0)</f>
        <v>0</v>
      </c>
      <c r="AG361" s="75">
        <f ca="1">mult_capex * capex_new*WI_current_1 *'forecast production'!I362</f>
        <v>0</v>
      </c>
      <c r="AH361" s="146">
        <f t="shared" ca="1" si="147"/>
        <v>0</v>
      </c>
      <c r="AI361" s="73">
        <f t="shared" ca="1" si="140"/>
        <v>197.10704018086187</v>
      </c>
      <c r="AJ361" s="72">
        <f t="shared" ca="1" si="141"/>
        <v>82.586697952594776</v>
      </c>
      <c r="AK361" s="72">
        <f t="shared" ca="1" si="148"/>
        <v>279.69373813345663</v>
      </c>
      <c r="AL361" s="73">
        <f t="shared" ca="1" si="142"/>
        <v>-2976.2374003570294</v>
      </c>
      <c r="AM361" s="132">
        <f ca="1">IF(X361*(lease_NRI/J361)  - (Z361+Y361+AB361+AC361+AD361)  - (AK361)*(lease_NRI/J361)&gt;0,1,0)</f>
        <v>0</v>
      </c>
      <c r="AN361" s="73">
        <f t="shared" ca="1" si="149"/>
        <v>0</v>
      </c>
      <c r="AO361" s="75">
        <f t="shared" ca="1" si="154"/>
        <v>2329073.2544940379</v>
      </c>
      <c r="AP361" s="72">
        <f ca="1">AL361  /  ( 1 + disc_1/12)^(COUNT($AL$6:AL361)-1)</f>
        <v>-156.38801037714387</v>
      </c>
      <c r="AQ361" s="72">
        <f t="shared" ca="1" si="155"/>
        <v>1563458.398389671</v>
      </c>
      <c r="AS361" s="303">
        <f t="shared" ca="1" si="150"/>
        <v>1</v>
      </c>
      <c r="AT361" s="300">
        <f ca="1">IFERROR(IRR($AN$6:AN361)*12,0)</f>
        <v>0</v>
      </c>
      <c r="AU361" s="297">
        <f t="shared" ca="1" si="151"/>
        <v>0</v>
      </c>
      <c r="AV361" s="303">
        <f t="shared" ca="1" si="152"/>
        <v>0</v>
      </c>
    </row>
    <row r="362" spans="1:48" x14ac:dyDescent="0.25">
      <c r="B362" s="43">
        <f t="shared" si="153"/>
        <v>55032</v>
      </c>
      <c r="C362" s="79">
        <f t="shared" si="143"/>
        <v>2050</v>
      </c>
      <c r="D362" s="64">
        <f ca="1">wellcount_base  +  SUM('forecast production'!I$7:I363)</f>
        <v>1</v>
      </c>
      <c r="E362" s="110">
        <f ca="1">'forecast production'!AE363</f>
        <v>42.625655849545836</v>
      </c>
      <c r="F362" s="98">
        <f ca="1">'forecast production'!AF363</f>
        <v>398.12476180955554</v>
      </c>
      <c r="G362" s="98">
        <f ca="1">'forecast production'!AG363</f>
        <v>5.6033842082364544E-3</v>
      </c>
      <c r="H362" s="98">
        <f ca="1">'forecast production'!AH363</f>
        <v>59.718714271433328</v>
      </c>
      <c r="I362" s="307">
        <f t="shared" ca="1" si="144"/>
        <v>1</v>
      </c>
      <c r="J362" s="306">
        <f t="shared" ca="1" si="145"/>
        <v>0.75</v>
      </c>
      <c r="K362" s="112">
        <f t="shared" ca="1" si="130"/>
        <v>31.969241887159377</v>
      </c>
      <c r="L362" s="98">
        <f t="shared" ca="1" si="131"/>
        <v>223.94517851787498</v>
      </c>
      <c r="M362" s="98">
        <f t="shared" ca="1" si="132"/>
        <v>4.2025381561773406E-3</v>
      </c>
      <c r="N362" s="98">
        <f t="shared" ca="1" si="133"/>
        <v>44.789035703574996</v>
      </c>
      <c r="O362" s="67">
        <f>assumptions!M366</f>
        <v>55</v>
      </c>
      <c r="P362" s="68">
        <f>assumptions!N366</f>
        <v>3</v>
      </c>
      <c r="Q362" s="68">
        <f>assumptions!O366</f>
        <v>22</v>
      </c>
      <c r="R362" s="67">
        <f t="shared" si="134"/>
        <v>52.5</v>
      </c>
      <c r="S362" s="68">
        <f t="shared" si="135"/>
        <v>2.3275000000000001</v>
      </c>
      <c r="T362" s="68">
        <f t="shared" si="136"/>
        <v>22</v>
      </c>
      <c r="U362" s="73">
        <f t="shared" ca="1" si="137"/>
        <v>1678.3851990758674</v>
      </c>
      <c r="V362" s="72">
        <f t="shared" ca="1" si="138"/>
        <v>521.232403000354</v>
      </c>
      <c r="W362" s="72">
        <f t="shared" ca="1" si="139"/>
        <v>985.35878547864991</v>
      </c>
      <c r="X362" s="72">
        <f t="shared" ca="1" si="146"/>
        <v>3184.9763875548715</v>
      </c>
      <c r="Y362" s="73">
        <f>mult_opex * fixed_month</f>
        <v>1000</v>
      </c>
      <c r="Z362" s="72">
        <f ca="1">mult_opex * fixed_well *D362</f>
        <v>5000</v>
      </c>
      <c r="AA362" s="72">
        <f ca="1">(Z362+Y362)*WI_current_1</f>
        <v>6000</v>
      </c>
      <c r="AB362" s="72">
        <f ca="1">mult_opex * var_bo*E362</f>
        <v>0</v>
      </c>
      <c r="AC362" s="72">
        <f ca="1">mult_opex * var_mcf*F362</f>
        <v>0</v>
      </c>
      <c r="AD362" s="72">
        <f ca="1">mult_opex * var_bw * G362</f>
        <v>1.1206768416472909E-2</v>
      </c>
      <c r="AE362" s="72">
        <f ca="1">SUM(AB362:AD362)*WI_current_1</f>
        <v>1.1206768416472909E-2</v>
      </c>
      <c r="AF362" s="73">
        <f ca="1">mult_capex * IFERROR(OFFSET(assumptions!$F$39,MATCH(B362,assumptions!$E$39:$E$45,0)-1,0),0)</f>
        <v>0</v>
      </c>
      <c r="AG362" s="75">
        <f ca="1">mult_capex * capex_new*WI_current_1 *'forecast production'!I363</f>
        <v>0</v>
      </c>
      <c r="AH362" s="146">
        <f t="shared" ca="1" si="147"/>
        <v>0</v>
      </c>
      <c r="AI362" s="73">
        <f t="shared" ca="1" si="140"/>
        <v>190.20005829341517</v>
      </c>
      <c r="AJ362" s="72">
        <f t="shared" ca="1" si="141"/>
        <v>79.624409688871793</v>
      </c>
      <c r="AK362" s="72">
        <f t="shared" ca="1" si="148"/>
        <v>269.82446798228693</v>
      </c>
      <c r="AL362" s="73">
        <f t="shared" ca="1" si="142"/>
        <v>-3084.8592871958317</v>
      </c>
      <c r="AM362" s="132">
        <f ca="1">IF(X362*(lease_NRI/J362)  - (Z362+Y362+AB362+AC362+AD362)  - (AK362)*(lease_NRI/J362)&gt;0,1,0)</f>
        <v>0</v>
      </c>
      <c r="AN362" s="73">
        <f t="shared" ca="1" si="149"/>
        <v>0</v>
      </c>
      <c r="AO362" s="75">
        <f t="shared" ca="1" si="154"/>
        <v>2329073.2544940379</v>
      </c>
      <c r="AP362" s="72">
        <f ca="1">AL362  /  ( 1 + disc_1/12)^(COUNT($AL$6:AL362)-1)</f>
        <v>-160.75597329484697</v>
      </c>
      <c r="AQ362" s="72">
        <f t="shared" ca="1" si="155"/>
        <v>1563458.398389671</v>
      </c>
      <c r="AS362" s="303">
        <f t="shared" ca="1" si="150"/>
        <v>1</v>
      </c>
      <c r="AT362" s="300">
        <f ca="1">IFERROR(IRR($AN$6:AN362)*12,0)</f>
        <v>0</v>
      </c>
      <c r="AU362" s="297">
        <f t="shared" ca="1" si="151"/>
        <v>0</v>
      </c>
      <c r="AV362" s="303">
        <f t="shared" ca="1" si="152"/>
        <v>0</v>
      </c>
    </row>
    <row r="363" spans="1:48" x14ac:dyDescent="0.25">
      <c r="B363" s="43">
        <f t="shared" si="153"/>
        <v>55062</v>
      </c>
      <c r="C363" s="79">
        <f t="shared" si="143"/>
        <v>2050</v>
      </c>
      <c r="D363" s="64">
        <f ca="1">wellcount_base  +  SUM('forecast production'!I$7:I364)</f>
        <v>1</v>
      </c>
      <c r="E363" s="110">
        <f ca="1">'forecast production'!AE364</f>
        <v>43.745679860465657</v>
      </c>
      <c r="F363" s="98">
        <f ca="1">'forecast production'!AF364</f>
        <v>411.39558720320736</v>
      </c>
      <c r="G363" s="98">
        <f ca="1">'forecast production'!AG364</f>
        <v>5.7901636818443363E-3</v>
      </c>
      <c r="H363" s="98">
        <f ca="1">'forecast production'!AH364</f>
        <v>61.70933808048111</v>
      </c>
      <c r="I363" s="307">
        <f t="shared" ca="1" si="144"/>
        <v>1</v>
      </c>
      <c r="J363" s="306">
        <f t="shared" ca="1" si="145"/>
        <v>0.75</v>
      </c>
      <c r="K363" s="112">
        <f t="shared" ca="1" si="130"/>
        <v>32.809259895349243</v>
      </c>
      <c r="L363" s="98">
        <f t="shared" ca="1" si="131"/>
        <v>231.41001780180412</v>
      </c>
      <c r="M363" s="98">
        <f t="shared" ca="1" si="132"/>
        <v>4.3426227613832524E-3</v>
      </c>
      <c r="N363" s="98">
        <f t="shared" ca="1" si="133"/>
        <v>46.282003560360835</v>
      </c>
      <c r="O363" s="67">
        <f>assumptions!M367</f>
        <v>55</v>
      </c>
      <c r="P363" s="68">
        <f>assumptions!N367</f>
        <v>3</v>
      </c>
      <c r="Q363" s="68">
        <f>assumptions!O367</f>
        <v>22</v>
      </c>
      <c r="R363" s="67">
        <f t="shared" si="134"/>
        <v>52.5</v>
      </c>
      <c r="S363" s="68">
        <f t="shared" si="135"/>
        <v>2.3275000000000001</v>
      </c>
      <c r="T363" s="68">
        <f t="shared" si="136"/>
        <v>22</v>
      </c>
      <c r="U363" s="73">
        <f t="shared" ca="1" si="137"/>
        <v>1722.4861445058352</v>
      </c>
      <c r="V363" s="72">
        <f t="shared" ca="1" si="138"/>
        <v>538.60681643369912</v>
      </c>
      <c r="W363" s="72">
        <f t="shared" ca="1" si="139"/>
        <v>1018.2040783279383</v>
      </c>
      <c r="X363" s="72">
        <f t="shared" ca="1" si="146"/>
        <v>3279.2970392674724</v>
      </c>
      <c r="Y363" s="73">
        <f>mult_opex * fixed_month</f>
        <v>1000</v>
      </c>
      <c r="Z363" s="72">
        <f ca="1">mult_opex * fixed_well *D363</f>
        <v>5000</v>
      </c>
      <c r="AA363" s="72">
        <f ca="1">(Z363+Y363)*WI_current_1</f>
        <v>6000</v>
      </c>
      <c r="AB363" s="72">
        <f ca="1">mult_opex * var_bo*E363</f>
        <v>0</v>
      </c>
      <c r="AC363" s="72">
        <f ca="1">mult_opex * var_mcf*F363</f>
        <v>0</v>
      </c>
      <c r="AD363" s="72">
        <f ca="1">mult_opex * var_bw * G363</f>
        <v>1.1580327363688673E-2</v>
      </c>
      <c r="AE363" s="72">
        <f ca="1">SUM(AB363:AD363)*WI_current_1</f>
        <v>1.1580327363688673E-2</v>
      </c>
      <c r="AF363" s="73">
        <f ca="1">mult_capex * IFERROR(OFFSET(assumptions!$F$39,MATCH(B363,assumptions!$E$39:$E$45,0)-1,0),0)</f>
        <v>0</v>
      </c>
      <c r="AG363" s="75">
        <f ca="1">mult_capex * capex_new*WI_current_1 *'forecast production'!I364</f>
        <v>0</v>
      </c>
      <c r="AH363" s="146">
        <f t="shared" ca="1" si="147"/>
        <v>0</v>
      </c>
      <c r="AI363" s="73">
        <f t="shared" ca="1" si="140"/>
        <v>195.99517975439119</v>
      </c>
      <c r="AJ363" s="72">
        <f t="shared" ca="1" si="141"/>
        <v>81.982425981686816</v>
      </c>
      <c r="AK363" s="72">
        <f t="shared" ca="1" si="148"/>
        <v>277.97760573607798</v>
      </c>
      <c r="AL363" s="73">
        <f t="shared" ca="1" si="142"/>
        <v>-2998.6921467959692</v>
      </c>
      <c r="AM363" s="132">
        <f ca="1">IF(X363*(lease_NRI/J363)  - (Z363+Y363+AB363+AC363+AD363)  - (AK363)*(lease_NRI/J363)&gt;0,1,0)</f>
        <v>0</v>
      </c>
      <c r="AN363" s="73">
        <f t="shared" ca="1" si="149"/>
        <v>0</v>
      </c>
      <c r="AO363" s="75">
        <f t="shared" ca="1" si="154"/>
        <v>2329073.2544940379</v>
      </c>
      <c r="AP363" s="72">
        <f ca="1">AL363  /  ( 1 + disc_1/12)^(COUNT($AL$6:AL363)-1)</f>
        <v>-154.9742411038236</v>
      </c>
      <c r="AQ363" s="72">
        <f t="shared" ca="1" si="155"/>
        <v>1563458.398389671</v>
      </c>
      <c r="AS363" s="303">
        <f t="shared" ca="1" si="150"/>
        <v>1</v>
      </c>
      <c r="AT363" s="300">
        <f ca="1">IFERROR(IRR($AN$6:AN363)*12,0)</f>
        <v>0</v>
      </c>
      <c r="AU363" s="297">
        <f t="shared" ca="1" si="151"/>
        <v>0</v>
      </c>
      <c r="AV363" s="303">
        <f t="shared" ca="1" si="152"/>
        <v>0</v>
      </c>
    </row>
    <row r="364" spans="1:48" x14ac:dyDescent="0.25">
      <c r="B364" s="43">
        <f t="shared" si="153"/>
        <v>55093</v>
      </c>
      <c r="C364" s="79">
        <f t="shared" si="143"/>
        <v>2050</v>
      </c>
      <c r="D364" s="64">
        <f ca="1">wellcount_base  +  SUM('forecast production'!I$7:I365)</f>
        <v>1</v>
      </c>
      <c r="E364" s="110">
        <f ca="1">'forecast production'!AE365</f>
        <v>42.035786430942665</v>
      </c>
      <c r="F364" s="98">
        <f ca="1">'forecast production'!AF365</f>
        <v>398.12476180955554</v>
      </c>
      <c r="G364" s="98">
        <f ca="1">'forecast production'!AG365</f>
        <v>5.6033842082364544E-3</v>
      </c>
      <c r="H364" s="98">
        <f ca="1">'forecast production'!AH365</f>
        <v>59.718714271433328</v>
      </c>
      <c r="I364" s="307">
        <f t="shared" ca="1" si="144"/>
        <v>1</v>
      </c>
      <c r="J364" s="306">
        <f t="shared" ca="1" si="145"/>
        <v>0.75</v>
      </c>
      <c r="K364" s="112">
        <f t="shared" ca="1" si="130"/>
        <v>31.526839823206998</v>
      </c>
      <c r="L364" s="98">
        <f t="shared" ca="1" si="131"/>
        <v>223.94517851787498</v>
      </c>
      <c r="M364" s="98">
        <f t="shared" ca="1" si="132"/>
        <v>4.2025381561773406E-3</v>
      </c>
      <c r="N364" s="98">
        <f t="shared" ca="1" si="133"/>
        <v>44.789035703574996</v>
      </c>
      <c r="O364" s="67">
        <f>assumptions!M368</f>
        <v>55</v>
      </c>
      <c r="P364" s="68">
        <f>assumptions!N368</f>
        <v>3</v>
      </c>
      <c r="Q364" s="68">
        <f>assumptions!O368</f>
        <v>22</v>
      </c>
      <c r="R364" s="67">
        <f t="shared" si="134"/>
        <v>52.5</v>
      </c>
      <c r="S364" s="68">
        <f t="shared" si="135"/>
        <v>2.3275000000000001</v>
      </c>
      <c r="T364" s="68">
        <f t="shared" si="136"/>
        <v>22</v>
      </c>
      <c r="U364" s="73">
        <f t="shared" ca="1" si="137"/>
        <v>1655.1590907183675</v>
      </c>
      <c r="V364" s="72">
        <f t="shared" ca="1" si="138"/>
        <v>521.232403000354</v>
      </c>
      <c r="W364" s="72">
        <f t="shared" ca="1" si="139"/>
        <v>985.35878547864991</v>
      </c>
      <c r="X364" s="72">
        <f t="shared" ca="1" si="146"/>
        <v>3161.7502791973711</v>
      </c>
      <c r="Y364" s="73">
        <f>mult_opex * fixed_month</f>
        <v>1000</v>
      </c>
      <c r="Z364" s="72">
        <f ca="1">mult_opex * fixed_well *D364</f>
        <v>5000</v>
      </c>
      <c r="AA364" s="72">
        <f ca="1">(Z364+Y364)*WI_current_1</f>
        <v>6000</v>
      </c>
      <c r="AB364" s="72">
        <f ca="1">mult_opex * var_bo*E364</f>
        <v>0</v>
      </c>
      <c r="AC364" s="72">
        <f ca="1">mult_opex * var_mcf*F364</f>
        <v>0</v>
      </c>
      <c r="AD364" s="72">
        <f ca="1">mult_opex * var_bw * G364</f>
        <v>1.1206768416472909E-2</v>
      </c>
      <c r="AE364" s="72">
        <f ca="1">SUM(AB364:AD364)*WI_current_1</f>
        <v>1.1206768416472909E-2</v>
      </c>
      <c r="AF364" s="73">
        <f ca="1">mult_capex * IFERROR(OFFSET(assumptions!$F$39,MATCH(B364,assumptions!$E$39:$E$45,0)-1,0),0)</f>
        <v>0</v>
      </c>
      <c r="AG364" s="75">
        <f ca="1">mult_capex * capex_new*WI_current_1 *'forecast production'!I365</f>
        <v>0</v>
      </c>
      <c r="AH364" s="146">
        <f t="shared" ca="1" si="147"/>
        <v>0</v>
      </c>
      <c r="AI364" s="73">
        <f t="shared" ca="1" si="140"/>
        <v>189.1316573089702</v>
      </c>
      <c r="AJ364" s="72">
        <f t="shared" ca="1" si="141"/>
        <v>79.043756979934287</v>
      </c>
      <c r="AK364" s="72">
        <f t="shared" ca="1" si="148"/>
        <v>268.17541428890451</v>
      </c>
      <c r="AL364" s="73">
        <f t="shared" ca="1" si="142"/>
        <v>-3106.4363418599496</v>
      </c>
      <c r="AM364" s="132">
        <f ca="1">IF(X364*(lease_NRI/J364)  - (Z364+Y364+AB364+AC364+AD364)  - (AK364)*(lease_NRI/J364)&gt;0,1,0)</f>
        <v>0</v>
      </c>
      <c r="AN364" s="73">
        <f t="shared" ca="1" si="149"/>
        <v>0</v>
      </c>
      <c r="AO364" s="75">
        <f t="shared" ca="1" si="154"/>
        <v>2329073.2544940379</v>
      </c>
      <c r="AP364" s="72">
        <f ca="1">AL364  /  ( 1 + disc_1/12)^(COUNT($AL$6:AL364)-1)</f>
        <v>-159.21572914884703</v>
      </c>
      <c r="AQ364" s="72">
        <f t="shared" ca="1" si="155"/>
        <v>1563458.398389671</v>
      </c>
      <c r="AS364" s="303">
        <f t="shared" ca="1" si="150"/>
        <v>1</v>
      </c>
      <c r="AT364" s="300">
        <f ca="1">IFERROR(IRR($AN$6:AN364)*12,0)</f>
        <v>0</v>
      </c>
      <c r="AU364" s="297">
        <f t="shared" ca="1" si="151"/>
        <v>0</v>
      </c>
      <c r="AV364" s="303">
        <f t="shared" ca="1" si="152"/>
        <v>0</v>
      </c>
    </row>
    <row r="365" spans="1:48" x14ac:dyDescent="0.25">
      <c r="B365" s="44">
        <f t="shared" si="153"/>
        <v>55123</v>
      </c>
      <c r="C365" s="100">
        <f t="shared" si="143"/>
        <v>2050</v>
      </c>
      <c r="D365" s="65">
        <f ca="1">wellcount_base  +  SUM('forecast production'!I$7:I366)</f>
        <v>1</v>
      </c>
      <c r="E365" s="109">
        <f ca="1">'forecast production'!AE366</f>
        <v>43.140311139881675</v>
      </c>
      <c r="F365" s="101">
        <f ca="1">'forecast production'!AF366</f>
        <v>411.39558720320736</v>
      </c>
      <c r="G365" s="101">
        <f ca="1">'forecast production'!AG366</f>
        <v>5.7901636818443363E-3</v>
      </c>
      <c r="H365" s="102">
        <f ca="1">'forecast production'!AH366</f>
        <v>61.70933808048111</v>
      </c>
      <c r="I365" s="308">
        <f t="shared" ca="1" si="144"/>
        <v>1</v>
      </c>
      <c r="J365" s="309">
        <f t="shared" ca="1" si="145"/>
        <v>0.75</v>
      </c>
      <c r="K365" s="113">
        <f t="shared" ca="1" si="130"/>
        <v>32.355233354911256</v>
      </c>
      <c r="L365" s="102">
        <f t="shared" ca="1" si="131"/>
        <v>231.41001780180412</v>
      </c>
      <c r="M365" s="102">
        <f t="shared" ca="1" si="132"/>
        <v>4.3426227613832524E-3</v>
      </c>
      <c r="N365" s="102">
        <f t="shared" ca="1" si="133"/>
        <v>46.282003560360835</v>
      </c>
      <c r="O365" s="103">
        <f>assumptions!M369</f>
        <v>55</v>
      </c>
      <c r="P365" s="104">
        <f>assumptions!N369</f>
        <v>3</v>
      </c>
      <c r="Q365" s="104">
        <f>assumptions!O369</f>
        <v>22</v>
      </c>
      <c r="R365" s="103">
        <f t="shared" si="134"/>
        <v>52.5</v>
      </c>
      <c r="S365" s="104">
        <f t="shared" si="135"/>
        <v>2.3275000000000001</v>
      </c>
      <c r="T365" s="104">
        <f t="shared" si="136"/>
        <v>22</v>
      </c>
      <c r="U365" s="105">
        <f t="shared" ca="1" si="137"/>
        <v>1698.6497511328409</v>
      </c>
      <c r="V365" s="106">
        <f t="shared" ca="1" si="138"/>
        <v>538.60681643369912</v>
      </c>
      <c r="W365" s="106">
        <f t="shared" ca="1" si="139"/>
        <v>1018.2040783279383</v>
      </c>
      <c r="X365" s="106">
        <f t="shared" ca="1" si="146"/>
        <v>3255.4606458944781</v>
      </c>
      <c r="Y365" s="105">
        <f>mult_opex * fixed_month</f>
        <v>1000</v>
      </c>
      <c r="Z365" s="106">
        <f ca="1">mult_opex * fixed_well *D365</f>
        <v>5000</v>
      </c>
      <c r="AA365" s="106">
        <f ca="1">(Z365+Y365)*WI_current_1</f>
        <v>6000</v>
      </c>
      <c r="AB365" s="106">
        <f ca="1">mult_opex * var_bo*E365</f>
        <v>0</v>
      </c>
      <c r="AC365" s="106">
        <f ca="1">mult_opex * var_mcf*F365</f>
        <v>0</v>
      </c>
      <c r="AD365" s="106">
        <f ca="1">mult_opex * var_bw * G365</f>
        <v>1.1580327363688673E-2</v>
      </c>
      <c r="AE365" s="106">
        <f ca="1">SUM(AB365:AD365)*WI_current_1</f>
        <v>1.1580327363688673E-2</v>
      </c>
      <c r="AF365" s="105">
        <f ca="1">mult_capex * IFERROR(OFFSET(assumptions!$F$39,MATCH(B365,assumptions!$E$39:$E$45,0)-1,0),0)</f>
        <v>0</v>
      </c>
      <c r="AG365" s="106">
        <f ca="1">mult_capex * capex_new*WI_current_1 *'forecast production'!I366</f>
        <v>0</v>
      </c>
      <c r="AH365" s="147">
        <f t="shared" ca="1" si="147"/>
        <v>0</v>
      </c>
      <c r="AI365" s="105">
        <f t="shared" ca="1" si="140"/>
        <v>194.89870565923349</v>
      </c>
      <c r="AJ365" s="106">
        <f t="shared" ca="1" si="141"/>
        <v>81.386516147361959</v>
      </c>
      <c r="AK365" s="106">
        <f t="shared" ca="1" si="148"/>
        <v>276.28522180659547</v>
      </c>
      <c r="AL365" s="105">
        <f t="shared" ca="1" si="142"/>
        <v>-3020.8361562394812</v>
      </c>
      <c r="AM365" s="133">
        <f ca="1">IF(X365*(lease_NRI/J365)  - (Z365+Y365+AB365+AC365+AD365)  - (AK365)*(lease_NRI/J365)&gt;0,1,0)</f>
        <v>0</v>
      </c>
      <c r="AN365" s="105">
        <f t="shared" ca="1" si="149"/>
        <v>0</v>
      </c>
      <c r="AO365" s="106">
        <f t="shared" ca="1" si="154"/>
        <v>2329073.2544940379</v>
      </c>
      <c r="AP365" s="106">
        <f ca="1">AL365  /  ( 1 + disc_1/12)^(COUNT($AL$6:AL365)-1)</f>
        <v>-153.54884647704867</v>
      </c>
      <c r="AQ365" s="106">
        <f t="shared" ca="1" si="155"/>
        <v>1563458.398389671</v>
      </c>
      <c r="AS365" s="304">
        <f t="shared" ca="1" si="150"/>
        <v>1</v>
      </c>
      <c r="AT365" s="301">
        <f ca="1">IFERROR(IRR($AN$6:AN365)*12,0)</f>
        <v>0</v>
      </c>
      <c r="AU365" s="298">
        <f t="shared" ca="1" si="151"/>
        <v>0</v>
      </c>
      <c r="AV365" s="304">
        <f t="shared" ca="1" si="152"/>
        <v>0</v>
      </c>
    </row>
    <row r="366" spans="1:48" x14ac:dyDescent="0.25">
      <c r="A366" s="18" t="s">
        <v>18</v>
      </c>
      <c r="B366" s="18" t="s">
        <v>18</v>
      </c>
      <c r="C366" s="18" t="s">
        <v>18</v>
      </c>
      <c r="D366" s="66" t="s">
        <v>18</v>
      </c>
      <c r="E366" s="18" t="s">
        <v>18</v>
      </c>
      <c r="F366" s="18" t="s">
        <v>18</v>
      </c>
      <c r="G366" s="18" t="s">
        <v>18</v>
      </c>
      <c r="H366" s="18" t="s">
        <v>18</v>
      </c>
      <c r="I366" s="18" t="s">
        <v>18</v>
      </c>
      <c r="J366" s="18" t="s">
        <v>18</v>
      </c>
      <c r="K366" s="18" t="s">
        <v>18</v>
      </c>
      <c r="L366" s="18" t="s">
        <v>18</v>
      </c>
      <c r="M366" s="18" t="s">
        <v>18</v>
      </c>
      <c r="N366" s="18" t="s">
        <v>18</v>
      </c>
      <c r="O366" s="70" t="s">
        <v>18</v>
      </c>
      <c r="P366" s="70" t="s">
        <v>18</v>
      </c>
      <c r="Q366" s="70" t="s">
        <v>18</v>
      </c>
      <c r="R366" s="70" t="s">
        <v>18</v>
      </c>
      <c r="S366" s="70" t="s">
        <v>18</v>
      </c>
      <c r="T366" s="70" t="s">
        <v>18</v>
      </c>
      <c r="U366" s="74" t="s">
        <v>18</v>
      </c>
      <c r="V366" s="74" t="s">
        <v>18</v>
      </c>
      <c r="W366" s="74" t="s">
        <v>18</v>
      </c>
      <c r="X366" s="74" t="s">
        <v>18</v>
      </c>
      <c r="Y366" s="74" t="s">
        <v>18</v>
      </c>
      <c r="Z366" s="74" t="s">
        <v>18</v>
      </c>
      <c r="AA366" s="74" t="s">
        <v>18</v>
      </c>
      <c r="AB366" s="74" t="s">
        <v>18</v>
      </c>
      <c r="AC366" s="74" t="s">
        <v>18</v>
      </c>
      <c r="AD366" s="74" t="s">
        <v>18</v>
      </c>
      <c r="AE366" s="74" t="s">
        <v>18</v>
      </c>
      <c r="AF366" s="74" t="s">
        <v>18</v>
      </c>
      <c r="AG366" s="74" t="s">
        <v>18</v>
      </c>
      <c r="AH366" s="74" t="s">
        <v>18</v>
      </c>
      <c r="AI366" s="74" t="s">
        <v>18</v>
      </c>
      <c r="AJ366" s="74" t="s">
        <v>18</v>
      </c>
      <c r="AK366" s="74" t="s">
        <v>18</v>
      </c>
      <c r="AL366" s="74" t="s">
        <v>18</v>
      </c>
      <c r="AM366" s="74" t="s">
        <v>18</v>
      </c>
      <c r="AN366" s="74" t="s">
        <v>18</v>
      </c>
      <c r="AO366" s="74" t="s">
        <v>18</v>
      </c>
      <c r="AP366" s="18" t="s">
        <v>18</v>
      </c>
      <c r="AQ366" s="18"/>
      <c r="AS366" s="74" t="s">
        <v>18</v>
      </c>
      <c r="AT366" s="74" t="s">
        <v>18</v>
      </c>
      <c r="AU366" s="74" t="s">
        <v>18</v>
      </c>
      <c r="AV366" s="74" t="s">
        <v>18</v>
      </c>
    </row>
    <row r="393" spans="2:41" x14ac:dyDescent="0.25">
      <c r="B393" s="43"/>
      <c r="C393" s="79"/>
      <c r="D393" s="64"/>
      <c r="E393" s="96"/>
      <c r="F393" s="97"/>
      <c r="G393" s="97"/>
      <c r="H393" s="98"/>
      <c r="I393" s="98"/>
      <c r="J393" s="98"/>
      <c r="K393" s="99"/>
      <c r="L393" s="98"/>
      <c r="M393" s="98"/>
      <c r="N393" s="98"/>
      <c r="O393" s="67"/>
      <c r="P393" s="68"/>
      <c r="Q393" s="68"/>
      <c r="R393" s="67"/>
      <c r="S393" s="68"/>
      <c r="T393" s="68"/>
      <c r="U393" s="73"/>
      <c r="V393" s="72"/>
      <c r="W393" s="72"/>
      <c r="X393" s="72"/>
      <c r="Y393" s="73"/>
      <c r="Z393" s="72"/>
      <c r="AA393" s="72"/>
      <c r="AB393" s="72"/>
      <c r="AC393" s="72"/>
      <c r="AD393" s="72"/>
      <c r="AE393" s="72"/>
      <c r="AF393" s="73"/>
      <c r="AG393" s="73"/>
      <c r="AH393" s="73"/>
      <c r="AI393" s="73"/>
      <c r="AJ393" s="72"/>
      <c r="AK393" s="72"/>
      <c r="AL393" s="73"/>
      <c r="AM393" s="75"/>
      <c r="AN393" s="75"/>
      <c r="AO393" s="75"/>
    </row>
  </sheetData>
  <customSheetViews>
    <customSheetView guid="{67117C0F-1B5D-4D89-8B0C-855EE265FFB6}" scale="70" showPageBreaks="1" showGridLines="0" fitToPage="1">
      <pane xSplit="2" ySplit="5" topLeftCell="C6" activePane="bottomRight" state="frozen"/>
      <selection pane="bottomRight" activeCell="C6" sqref="C6"/>
      <pageMargins left="0.7" right="0.7" top="0.75" bottom="0.75" header="0.3" footer="0.3"/>
      <printOptions horizontalCentered="1"/>
      <pageSetup scale="10" orientation="landscape" verticalDpi="0" r:id="rId1"/>
      <headerFooter>
        <oddFooter>&amp;L&amp;K01+047&amp;D,  &amp;T&amp;R&amp;K01+045 © AAPL 2018</oddFooter>
      </headerFooter>
    </customSheetView>
  </customSheetViews>
  <printOptions horizontalCentered="1"/>
  <pageMargins left="0.7" right="0.7" top="0.75" bottom="0.75" header="0.3" footer="0.3"/>
  <pageSetup scale="10" orientation="landscape" verticalDpi="0" r:id="rId2"/>
  <headerFooter>
    <oddFooter>&amp;L&amp;K01+047&amp;D,  &amp;T&amp;R&amp;K01+045 © AAPL 2018</oddFooter>
  </headerFooter>
  <ignoredErrors>
    <ignoredError sqref="D7:D365" formulaRange="1"/>
  </ignoredError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62890-8A00-4889-8AF4-4D3AF6328C14}">
  <sheetPr>
    <tabColor theme="1" tint="0.499984740745262"/>
    <pageSetUpPr fitToPage="1"/>
  </sheetPr>
  <dimension ref="A1:AV393"/>
  <sheetViews>
    <sheetView showGridLines="0"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1.125" defaultRowHeight="15.75" x14ac:dyDescent="0.25"/>
  <cols>
    <col min="1" max="1" width="3" style="6" customWidth="1"/>
    <col min="2" max="2" width="16.125" style="2" customWidth="1"/>
    <col min="3" max="5" width="11" style="2" customWidth="1"/>
    <col min="6" max="14" width="11" style="6" customWidth="1"/>
    <col min="15" max="20" width="11.125" style="6"/>
    <col min="21" max="31" width="12.375" style="6" customWidth="1"/>
    <col min="32" max="34" width="14" style="6" customWidth="1"/>
    <col min="35" max="37" width="11.875" style="6" bestFit="1" customWidth="1"/>
    <col min="38" max="38" width="13" style="6" bestFit="1" customWidth="1"/>
    <col min="39" max="39" width="13" style="6" customWidth="1"/>
    <col min="40" max="40" width="17.625" style="6" customWidth="1"/>
    <col min="41" max="41" width="13" style="6" customWidth="1"/>
    <col min="42" max="43" width="11.125" style="6" customWidth="1"/>
    <col min="44" max="16384" width="11.125" style="6"/>
  </cols>
  <sheetData>
    <row r="1" spans="2:48" ht="23.25" x14ac:dyDescent="0.35">
      <c r="B1" s="1" t="s">
        <v>231</v>
      </c>
      <c r="C1" s="1"/>
      <c r="D1" s="1"/>
    </row>
    <row r="2" spans="2:48" s="7" customFormat="1" ht="18.75" x14ac:dyDescent="0.3">
      <c r="B2" s="5" t="s">
        <v>49</v>
      </c>
      <c r="C2" s="5"/>
      <c r="D2" s="5"/>
      <c r="E2" s="3"/>
    </row>
    <row r="3" spans="2:48" x14ac:dyDescent="0.25">
      <c r="B3" s="4"/>
      <c r="C3" s="4"/>
      <c r="D3" s="4"/>
      <c r="AL3" s="13" t="s">
        <v>45</v>
      </c>
      <c r="AM3" s="13"/>
      <c r="AN3" s="13"/>
      <c r="AO3" s="13"/>
      <c r="AS3" s="13" t="s">
        <v>232</v>
      </c>
      <c r="AT3" s="13"/>
      <c r="AU3" s="13"/>
    </row>
    <row r="4" spans="2:48" x14ac:dyDescent="0.25">
      <c r="E4" s="13" t="s">
        <v>29</v>
      </c>
      <c r="I4" s="13" t="s">
        <v>218</v>
      </c>
      <c r="K4" s="13" t="s">
        <v>84</v>
      </c>
      <c r="O4" s="13" t="s">
        <v>30</v>
      </c>
      <c r="R4" s="13" t="s">
        <v>201</v>
      </c>
      <c r="U4" s="13" t="s">
        <v>34</v>
      </c>
      <c r="Y4" s="13" t="s">
        <v>32</v>
      </c>
      <c r="AF4" s="13" t="s">
        <v>33</v>
      </c>
      <c r="AG4" s="13"/>
      <c r="AH4" s="13"/>
      <c r="AI4" s="13" t="s">
        <v>41</v>
      </c>
      <c r="AL4" s="6" t="s">
        <v>46</v>
      </c>
      <c r="AP4" s="23"/>
      <c r="AQ4" s="23"/>
    </row>
    <row r="5" spans="2:48" ht="32.25" thickBot="1" x14ac:dyDescent="0.3">
      <c r="B5" s="8" t="s">
        <v>15</v>
      </c>
      <c r="C5" s="22" t="s">
        <v>88</v>
      </c>
      <c r="D5" s="22" t="s">
        <v>36</v>
      </c>
      <c r="E5" s="9" t="s">
        <v>7</v>
      </c>
      <c r="F5" s="9" t="s">
        <v>8</v>
      </c>
      <c r="G5" s="9" t="s">
        <v>13</v>
      </c>
      <c r="H5" s="9" t="s">
        <v>16</v>
      </c>
      <c r="I5" s="9" t="s">
        <v>161</v>
      </c>
      <c r="J5" s="9" t="s">
        <v>162</v>
      </c>
      <c r="K5" s="9" t="s">
        <v>7</v>
      </c>
      <c r="L5" s="9" t="s">
        <v>8</v>
      </c>
      <c r="M5" s="9" t="s">
        <v>13</v>
      </c>
      <c r="N5" s="9" t="s">
        <v>16</v>
      </c>
      <c r="O5" s="9" t="s">
        <v>7</v>
      </c>
      <c r="P5" s="9" t="s">
        <v>8</v>
      </c>
      <c r="Q5" s="9" t="s">
        <v>16</v>
      </c>
      <c r="R5" s="9" t="s">
        <v>7</v>
      </c>
      <c r="S5" s="9" t="s">
        <v>8</v>
      </c>
      <c r="T5" s="9" t="s">
        <v>16</v>
      </c>
      <c r="U5" s="9" t="s">
        <v>7</v>
      </c>
      <c r="V5" s="9" t="s">
        <v>8</v>
      </c>
      <c r="W5" s="9" t="s">
        <v>16</v>
      </c>
      <c r="X5" s="9" t="s">
        <v>35</v>
      </c>
      <c r="Y5" s="22" t="s">
        <v>37</v>
      </c>
      <c r="Z5" s="22" t="s">
        <v>38</v>
      </c>
      <c r="AA5" s="22" t="s">
        <v>257</v>
      </c>
      <c r="AB5" s="22" t="s">
        <v>39</v>
      </c>
      <c r="AC5" s="22" t="s">
        <v>40</v>
      </c>
      <c r="AD5" s="22" t="s">
        <v>51</v>
      </c>
      <c r="AE5" s="22" t="s">
        <v>256</v>
      </c>
      <c r="AF5" s="9" t="s">
        <v>126</v>
      </c>
      <c r="AG5" s="9" t="s">
        <v>127</v>
      </c>
      <c r="AH5" s="9" t="s">
        <v>129</v>
      </c>
      <c r="AI5" s="9" t="s">
        <v>42</v>
      </c>
      <c r="AJ5" s="9" t="s">
        <v>43</v>
      </c>
      <c r="AK5" s="9" t="s">
        <v>131</v>
      </c>
      <c r="AL5" s="9" t="s">
        <v>132</v>
      </c>
      <c r="AM5" s="9" t="s">
        <v>124</v>
      </c>
      <c r="AN5" s="15" t="s">
        <v>198</v>
      </c>
      <c r="AO5" s="15" t="s">
        <v>87</v>
      </c>
      <c r="AP5" s="15" t="str">
        <f>"Total Disc CF @ "&amp;TEXT(disc_1,"##%")</f>
        <v>Total Disc CF @ 10%</v>
      </c>
      <c r="AQ5" s="15" t="s">
        <v>138</v>
      </c>
      <c r="AS5" s="22" t="s">
        <v>214</v>
      </c>
      <c r="AT5" s="22" t="s">
        <v>217</v>
      </c>
      <c r="AU5" s="22" t="s">
        <v>215</v>
      </c>
      <c r="AV5" s="22" t="s">
        <v>216</v>
      </c>
    </row>
    <row r="6" spans="2:48" x14ac:dyDescent="0.25">
      <c r="B6" s="42">
        <f>as_of</f>
        <v>44197</v>
      </c>
      <c r="C6" s="79">
        <f>YEAR(B6)</f>
        <v>2021</v>
      </c>
      <c r="D6" s="64">
        <f ca="1">wellcount_base  +  SUM('forecast production'!I$7:I7)</f>
        <v>1</v>
      </c>
      <c r="E6" s="108">
        <f ca="1">'forecast production'!AE7</f>
        <v>999.65129029819309</v>
      </c>
      <c r="F6" s="97">
        <f ca="1">'forecast production'!AF7</f>
        <v>4160.524168653903</v>
      </c>
      <c r="G6" s="97">
        <f ca="1">'forecast production'!AG7</f>
        <v>655.31736389311311</v>
      </c>
      <c r="H6" s="98">
        <f ca="1">'forecast production'!AH7</f>
        <v>624.07862529808551</v>
      </c>
      <c r="I6" s="305">
        <f>WI_2</f>
        <v>0</v>
      </c>
      <c r="J6" s="306">
        <f>NRI_2</f>
        <v>0.25</v>
      </c>
      <c r="K6" s="111">
        <f t="shared" ref="K6:K69" ca="1" si="0">E6*NRI_current</f>
        <v>249.91282257454827</v>
      </c>
      <c r="L6" s="98">
        <f t="shared" ref="L6:L69" ca="1" si="1">F6 * NRI_current * ( 1-shrink_ngl-shrink_leaseuse) - vol_leaseuse</f>
        <v>780.09828162260681</v>
      </c>
      <c r="M6" s="98">
        <f t="shared" ref="M6:M69" ca="1" si="2">G6*NRI_current</f>
        <v>163.82934097327828</v>
      </c>
      <c r="N6" s="98">
        <f t="shared" ref="N6:N69" ca="1" si="3">H6 * NRI_current</f>
        <v>156.01965632452138</v>
      </c>
      <c r="O6" s="67">
        <f>assumptions!M10</f>
        <v>55</v>
      </c>
      <c r="P6" s="68">
        <f>assumptions!N10</f>
        <v>3</v>
      </c>
      <c r="Q6" s="68">
        <f>assumptions!O10</f>
        <v>22</v>
      </c>
      <c r="R6" s="69">
        <f t="shared" ref="R6:R69" si="4" xml:space="preserve"> (O6*mult_oilprice )  *  (1+  pdiff_oil)   + diff_oil</f>
        <v>52.5</v>
      </c>
      <c r="S6" s="68">
        <f t="shared" ref="S6:S69" si="5">(  (P6*mult_gasprice )  * (1+   pdiff_gas)  +  diff_gas ) *  energy_residue/1000</f>
        <v>2.3275000000000001</v>
      </c>
      <c r="T6" s="68">
        <f t="shared" ref="T6:T69" si="6">mult_oilprice * (1+pdiff_ngl)*O6</f>
        <v>22</v>
      </c>
      <c r="U6" s="71">
        <f ca="1">K6*R6</f>
        <v>13120.423185163785</v>
      </c>
      <c r="V6" s="72">
        <f t="shared" ref="V6:V69" ca="1" si="7">L6*S6</f>
        <v>1815.6787504766173</v>
      </c>
      <c r="W6" s="72">
        <f t="shared" ref="W6:W69" ca="1" si="8">N6*T6</f>
        <v>3432.4324391394703</v>
      </c>
      <c r="X6" s="72">
        <f ca="1">SUM(U6:W6)</f>
        <v>18368.534374779872</v>
      </c>
      <c r="Y6" s="71">
        <f>mult_opex * fixed_month</f>
        <v>1000</v>
      </c>
      <c r="Z6" s="72">
        <f ca="1">mult_opex * fixed_well *D6</f>
        <v>5000</v>
      </c>
      <c r="AA6" s="72">
        <f ca="1">(Z6+Y6)*WI_current_2</f>
        <v>0</v>
      </c>
      <c r="AB6" s="72">
        <f ca="1">mult_opex * var_bo*E6</f>
        <v>0</v>
      </c>
      <c r="AC6" s="72">
        <f ca="1">mult_opex * var_mcf*F6</f>
        <v>0</v>
      </c>
      <c r="AD6" s="72">
        <f ca="1">mult_opex * var_bw * G6</f>
        <v>1310.6347277862262</v>
      </c>
      <c r="AE6" s="72">
        <f ca="1">SUM(AB6:AD6)*WI_current_2</f>
        <v>0</v>
      </c>
      <c r="AF6" s="71">
        <f>initial_investment_partner2</f>
        <v>0</v>
      </c>
      <c r="AG6" s="144">
        <f>mult_capex * capex_new*WI_current_2 *'forecast production'!I7</f>
        <v>0</v>
      </c>
      <c r="AH6" s="145">
        <f>AG6+AF6</f>
        <v>0</v>
      </c>
      <c r="AI6" s="71">
        <f t="shared" ref="AI6:AI69" ca="1" si="9">U6*sev_oil   +  V6*sev_gas  +  W6*sev_ngl</f>
        <v>997.14780573874066</v>
      </c>
      <c r="AJ6" s="72">
        <f t="shared" ref="AJ6:AJ69" ca="1" si="10">adval * X6</f>
        <v>459.21335936949686</v>
      </c>
      <c r="AK6" s="72">
        <f ca="1">SUM(AI6:AJ6)</f>
        <v>1456.3611651082374</v>
      </c>
      <c r="AL6" s="71">
        <f t="shared" ref="AL6:AL69" ca="1" si="11">X6-AE6-AH6-AK6-AA6</f>
        <v>16912.173209671637</v>
      </c>
      <c r="AM6" s="321">
        <f ca="1">'monthly calculations (1)'!AM6</f>
        <v>1</v>
      </c>
      <c r="AN6" s="71">
        <f ca="1">AL6*AM6</f>
        <v>16912.173209671637</v>
      </c>
      <c r="AO6" s="75">
        <f ca="1">AL6</f>
        <v>16912.173209671637</v>
      </c>
      <c r="AP6" s="143">
        <f ca="1">AO6</f>
        <v>16912.173209671637</v>
      </c>
      <c r="AQ6" s="143">
        <f ca="1">AP6</f>
        <v>16912.173209671637</v>
      </c>
      <c r="AS6" s="302"/>
      <c r="AT6" s="296"/>
      <c r="AU6" s="297"/>
      <c r="AV6" s="302"/>
    </row>
    <row r="7" spans="2:48" x14ac:dyDescent="0.25">
      <c r="B7" s="42">
        <f>EOMONTH(B6,0)+1</f>
        <v>44228</v>
      </c>
      <c r="C7" s="79">
        <f t="shared" ref="C7:C70" si="12">YEAR(B7)</f>
        <v>2021</v>
      </c>
      <c r="D7" s="64">
        <f ca="1">wellcount_base  +  SUM('forecast production'!I$7:I8)</f>
        <v>1</v>
      </c>
      <c r="E7" s="108">
        <f ca="1">'forecast production'!AE8</f>
        <v>877.69250734629099</v>
      </c>
      <c r="F7" s="97">
        <f ca="1">'forecast production'!AF8</f>
        <v>3685.5041352782137</v>
      </c>
      <c r="G7" s="97">
        <f ca="1">'forecast production'!AG8</f>
        <v>570.72664971688664</v>
      </c>
      <c r="H7" s="98">
        <f ca="1">'forecast production'!AH8</f>
        <v>552.82562029173209</v>
      </c>
      <c r="I7" s="307">
        <f>IF('monthly calculations (1)'!AV6,WI_2_APO, WI_2)</f>
        <v>0</v>
      </c>
      <c r="J7" s="306">
        <f>IF('monthly calculations (1)'!AV6,NRI_2_APO, NRI_2)</f>
        <v>0.25</v>
      </c>
      <c r="K7" s="112">
        <f t="shared" ca="1" si="0"/>
        <v>219.42312683657275</v>
      </c>
      <c r="L7" s="98">
        <f t="shared" ca="1" si="1"/>
        <v>691.03202536466506</v>
      </c>
      <c r="M7" s="98">
        <f t="shared" ca="1" si="2"/>
        <v>142.68166242922166</v>
      </c>
      <c r="N7" s="98">
        <f t="shared" ca="1" si="3"/>
        <v>138.20640507293302</v>
      </c>
      <c r="O7" s="67">
        <f>assumptions!M11</f>
        <v>55</v>
      </c>
      <c r="P7" s="68">
        <f>assumptions!N11</f>
        <v>3</v>
      </c>
      <c r="Q7" s="68">
        <f>assumptions!O11</f>
        <v>22</v>
      </c>
      <c r="R7" s="67">
        <f t="shared" si="4"/>
        <v>52.5</v>
      </c>
      <c r="S7" s="68">
        <f t="shared" si="5"/>
        <v>2.3275000000000001</v>
      </c>
      <c r="T7" s="68">
        <f t="shared" si="6"/>
        <v>22</v>
      </c>
      <c r="U7" s="73">
        <f t="shared" ref="U7:V70" ca="1" si="13">K7*R7</f>
        <v>11519.714158920069</v>
      </c>
      <c r="V7" s="72">
        <f t="shared" ca="1" si="7"/>
        <v>1608.3770390362581</v>
      </c>
      <c r="W7" s="72">
        <f t="shared" ca="1" si="8"/>
        <v>3040.5409116045266</v>
      </c>
      <c r="X7" s="72">
        <f t="shared" ref="X7:X70" ca="1" si="14">SUM(U7:W7)</f>
        <v>16168.632109560855</v>
      </c>
      <c r="Y7" s="73">
        <f>mult_opex * fixed_month</f>
        <v>1000</v>
      </c>
      <c r="Z7" s="72">
        <f ca="1">mult_opex * fixed_well *D7</f>
        <v>5000</v>
      </c>
      <c r="AA7" s="72">
        <f ca="1">(Z7+Y7)*WI_current_2</f>
        <v>0</v>
      </c>
      <c r="AB7" s="72">
        <f ca="1">mult_opex * var_bo*E7</f>
        <v>0</v>
      </c>
      <c r="AC7" s="72">
        <f ca="1">mult_opex * var_mcf*F7</f>
        <v>0</v>
      </c>
      <c r="AD7" s="72">
        <f ca="1">mult_opex * var_bw * G7</f>
        <v>1141.4532994337733</v>
      </c>
      <c r="AE7" s="72">
        <f ca="1">SUM(AB7:AD7)*WI_current_2</f>
        <v>0</v>
      </c>
      <c r="AF7" s="73">
        <f ca="1">mult_capex * IFERROR(OFFSET(assumptions!$F$39,MATCH(B7,assumptions!$E$39:$E$45,0)-1,0),0)</f>
        <v>0</v>
      </c>
      <c r="AG7" s="75">
        <f>mult_capex * capex_new*WI_current_2 *'forecast production'!I8</f>
        <v>0</v>
      </c>
      <c r="AH7" s="146">
        <f t="shared" ref="AH7:AH70" ca="1" si="15">AG7+AF7</f>
        <v>0</v>
      </c>
      <c r="AI7" s="73">
        <f t="shared" ca="1" si="9"/>
        <v>878.57569760838214</v>
      </c>
      <c r="AJ7" s="72">
        <f ca="1">adval * X7</f>
        <v>404.2158027390214</v>
      </c>
      <c r="AK7" s="72">
        <f t="shared" ref="AK7:AK70" ca="1" si="16">SUM(AI7:AJ7)</f>
        <v>1282.7915003474036</v>
      </c>
      <c r="AL7" s="73">
        <f t="shared" ca="1" si="11"/>
        <v>14885.84060921345</v>
      </c>
      <c r="AM7" s="321">
        <f ca="1">'monthly calculations (1)'!AM7</f>
        <v>1</v>
      </c>
      <c r="AN7" s="73">
        <f t="shared" ref="AN7:AN70" ca="1" si="17">AL7*AM7</f>
        <v>14885.84060921345</v>
      </c>
      <c r="AO7" s="75">
        <f ca="1">AO6+AN7</f>
        <v>31798.013818885087</v>
      </c>
      <c r="AP7" s="72">
        <f ca="1">AL7  /  ( 1 + disc_1/12)^(COUNT($AL$6:AL7)-1)</f>
        <v>14762.817133104249</v>
      </c>
      <c r="AQ7" s="72">
        <f ca="1">AQ6+AP7*AM7</f>
        <v>31674.990342775884</v>
      </c>
      <c r="AS7" s="303"/>
      <c r="AT7" s="300"/>
      <c r="AU7" s="297"/>
      <c r="AV7" s="303"/>
    </row>
    <row r="8" spans="2:48" x14ac:dyDescent="0.25">
      <c r="B8" s="43">
        <f t="shared" ref="B8:B71" si="18">EOMONTH(B7,0)+1</f>
        <v>44256</v>
      </c>
      <c r="C8" s="79">
        <f t="shared" si="12"/>
        <v>2021</v>
      </c>
      <c r="D8" s="64">
        <f ca="1">wellcount_base  +  SUM('forecast production'!I$7:I9)</f>
        <v>1</v>
      </c>
      <c r="E8" s="108">
        <f ca="1">'forecast production'!AE9</f>
        <v>947.82020444049567</v>
      </c>
      <c r="F8" s="97">
        <f ca="1">'forecast production'!AF9</f>
        <v>4010.5994456525514</v>
      </c>
      <c r="G8" s="97">
        <f ca="1">'forecast production'!AG9</f>
        <v>611.42808582706505</v>
      </c>
      <c r="H8" s="98">
        <f ca="1">'forecast production'!AH9</f>
        <v>601.58991684788259</v>
      </c>
      <c r="I8" s="307">
        <f ca="1">IF('monthly calculations (1)'!AV7,WI_2_APO, WI_2)</f>
        <v>0</v>
      </c>
      <c r="J8" s="306">
        <f ca="1">IF('monthly calculations (1)'!AV7,NRI_2_APO, NRI_2)</f>
        <v>0.25</v>
      </c>
      <c r="K8" s="112">
        <f t="shared" ca="1" si="0"/>
        <v>236.95505111012392</v>
      </c>
      <c r="L8" s="98">
        <f t="shared" ca="1" si="1"/>
        <v>751.98739605985338</v>
      </c>
      <c r="M8" s="98">
        <f t="shared" ca="1" si="2"/>
        <v>152.85702145676626</v>
      </c>
      <c r="N8" s="98">
        <f t="shared" ca="1" si="3"/>
        <v>150.39747921197065</v>
      </c>
      <c r="O8" s="67">
        <f>assumptions!M12</f>
        <v>55</v>
      </c>
      <c r="P8" s="68">
        <f>assumptions!N12</f>
        <v>3</v>
      </c>
      <c r="Q8" s="68">
        <f>assumptions!O12</f>
        <v>22</v>
      </c>
      <c r="R8" s="67">
        <f t="shared" si="4"/>
        <v>52.5</v>
      </c>
      <c r="S8" s="68">
        <f t="shared" si="5"/>
        <v>2.3275000000000001</v>
      </c>
      <c r="T8" s="68">
        <f t="shared" si="6"/>
        <v>22</v>
      </c>
      <c r="U8" s="73">
        <f t="shared" ca="1" si="13"/>
        <v>12440.140183281506</v>
      </c>
      <c r="V8" s="72">
        <f t="shared" ca="1" si="7"/>
        <v>1750.2506643293088</v>
      </c>
      <c r="W8" s="72">
        <f t="shared" ca="1" si="8"/>
        <v>3308.7445426633544</v>
      </c>
      <c r="X8" s="72">
        <f t="shared" ca="1" si="14"/>
        <v>17499.135390274168</v>
      </c>
      <c r="Y8" s="73">
        <f>mult_opex * fixed_month</f>
        <v>1000</v>
      </c>
      <c r="Z8" s="72">
        <f ca="1">mult_opex * fixed_well *D8</f>
        <v>5000</v>
      </c>
      <c r="AA8" s="72">
        <f ca="1">(Z8+Y8)*WI_current_2</f>
        <v>0</v>
      </c>
      <c r="AB8" s="72">
        <f ca="1">mult_opex * var_bo*E8</f>
        <v>0</v>
      </c>
      <c r="AC8" s="72">
        <f ca="1">mult_opex * var_mcf*F8</f>
        <v>0</v>
      </c>
      <c r="AD8" s="72">
        <f ca="1">mult_opex * var_bw * G8</f>
        <v>1222.8561716541301</v>
      </c>
      <c r="AE8" s="72">
        <f ca="1">SUM(AB8:AD8)*WI_current_2</f>
        <v>0</v>
      </c>
      <c r="AF8" s="73">
        <f ca="1">mult_capex * IFERROR(OFFSET(assumptions!$F$39,MATCH(B8,assumptions!$E$39:$E$45,0)-1,0),0)</f>
        <v>0</v>
      </c>
      <c r="AG8" s="75">
        <f ca="1">mult_capex * capex_new*WI_current_2 *'forecast production'!I9</f>
        <v>0</v>
      </c>
      <c r="AH8" s="146">
        <f t="shared" ca="1" si="15"/>
        <v>0</v>
      </c>
      <c r="AI8" s="73">
        <f t="shared" ca="1" si="9"/>
        <v>951.671088955399</v>
      </c>
      <c r="AJ8" s="72">
        <f t="shared" ca="1" si="10"/>
        <v>437.47838475685421</v>
      </c>
      <c r="AK8" s="72">
        <f t="shared" ca="1" si="16"/>
        <v>1389.1494737122532</v>
      </c>
      <c r="AL8" s="73">
        <f t="shared" ca="1" si="11"/>
        <v>16109.985916561915</v>
      </c>
      <c r="AM8" s="321">
        <f ca="1">'monthly calculations (1)'!AM8</f>
        <v>1</v>
      </c>
      <c r="AN8" s="73">
        <f t="shared" ca="1" si="17"/>
        <v>16109.985916561915</v>
      </c>
      <c r="AO8" s="75">
        <f t="shared" ref="AO8:AO71" ca="1" si="19">AO7+AN8</f>
        <v>47907.999735447003</v>
      </c>
      <c r="AP8" s="72">
        <f ca="1">AL8  /  ( 1 + disc_1/12)^(COUNT($AL$6:AL8)-1)</f>
        <v>15844.805491325154</v>
      </c>
      <c r="AQ8" s="72">
        <f t="shared" ref="AQ8:AQ71" ca="1" si="20">AQ7+AP8*AM8</f>
        <v>47519.795834101038</v>
      </c>
      <c r="AS8" s="303"/>
      <c r="AT8" s="300"/>
      <c r="AU8" s="297"/>
      <c r="AV8" s="303"/>
    </row>
    <row r="9" spans="2:48" x14ac:dyDescent="0.25">
      <c r="B9" s="43">
        <f t="shared" si="18"/>
        <v>44287</v>
      </c>
      <c r="C9" s="79">
        <f t="shared" si="12"/>
        <v>2021</v>
      </c>
      <c r="D9" s="64">
        <f ca="1">wellcount_base  +  SUM('forecast production'!I$7:I10)</f>
        <v>1</v>
      </c>
      <c r="E9" s="108">
        <f ca="1">'forecast production'!AE10</f>
        <v>892.91974108754789</v>
      </c>
      <c r="F9" s="97">
        <f ca="1">'forecast production'!AF10</f>
        <v>3809.1049203621878</v>
      </c>
      <c r="G9" s="97">
        <f ca="1">'forecast production'!AG10</f>
        <v>570.54586987632445</v>
      </c>
      <c r="H9" s="98">
        <f ca="1">'forecast production'!AH10</f>
        <v>571.36573805432818</v>
      </c>
      <c r="I9" s="307">
        <f ca="1">IF('monthly calculations (1)'!AV8,WI_2_APO, WI_2)</f>
        <v>0</v>
      </c>
      <c r="J9" s="306">
        <f ca="1">IF('monthly calculations (1)'!AV8,NRI_2_APO, NRI_2)</f>
        <v>0.25</v>
      </c>
      <c r="K9" s="112">
        <f t="shared" ca="1" si="0"/>
        <v>223.22993527188697</v>
      </c>
      <c r="L9" s="98">
        <f t="shared" ca="1" si="1"/>
        <v>714.20717256791022</v>
      </c>
      <c r="M9" s="98">
        <f t="shared" ca="1" si="2"/>
        <v>142.63646746908111</v>
      </c>
      <c r="N9" s="98">
        <f t="shared" ca="1" si="3"/>
        <v>142.84143451358204</v>
      </c>
      <c r="O9" s="67">
        <f>assumptions!M13</f>
        <v>55</v>
      </c>
      <c r="P9" s="68">
        <f>assumptions!N13</f>
        <v>3</v>
      </c>
      <c r="Q9" s="68">
        <f>assumptions!O13</f>
        <v>22</v>
      </c>
      <c r="R9" s="67">
        <f t="shared" si="4"/>
        <v>52.5</v>
      </c>
      <c r="S9" s="68">
        <f t="shared" si="5"/>
        <v>2.3275000000000001</v>
      </c>
      <c r="T9" s="68">
        <f t="shared" si="6"/>
        <v>22</v>
      </c>
      <c r="U9" s="73">
        <f t="shared" ca="1" si="13"/>
        <v>11719.571601774067</v>
      </c>
      <c r="V9" s="72">
        <f t="shared" ca="1" si="7"/>
        <v>1662.3171941518112</v>
      </c>
      <c r="W9" s="72">
        <f t="shared" ca="1" si="8"/>
        <v>3142.511559298805</v>
      </c>
      <c r="X9" s="72">
        <f t="shared" ca="1" si="14"/>
        <v>16524.400355224683</v>
      </c>
      <c r="Y9" s="73">
        <f>mult_opex * fixed_month</f>
        <v>1000</v>
      </c>
      <c r="Z9" s="72">
        <f ca="1">mult_opex * fixed_well *D9</f>
        <v>5000</v>
      </c>
      <c r="AA9" s="72">
        <f ca="1">(Z9+Y9)*WI_current_2</f>
        <v>0</v>
      </c>
      <c r="AB9" s="72">
        <f ca="1">mult_opex * var_bo*E9</f>
        <v>0</v>
      </c>
      <c r="AC9" s="72">
        <f ca="1">mult_opex * var_mcf*F9</f>
        <v>0</v>
      </c>
      <c r="AD9" s="72">
        <f ca="1">mult_opex * var_bw * G9</f>
        <v>1141.0917397526489</v>
      </c>
      <c r="AE9" s="72">
        <f ca="1">SUM(AB9:AD9)*WI_current_2</f>
        <v>0</v>
      </c>
      <c r="AF9" s="73">
        <f ca="1">mult_capex * IFERROR(OFFSET(assumptions!$F$39,MATCH(B9,assumptions!$E$39:$E$45,0)-1,0),0)</f>
        <v>0</v>
      </c>
      <c r="AG9" s="75">
        <f ca="1">mult_capex * capex_new*WI_current_2 *'forecast production'!I10</f>
        <v>0</v>
      </c>
      <c r="AH9" s="146">
        <f t="shared" ca="1" si="15"/>
        <v>0</v>
      </c>
      <c r="AI9" s="73">
        <f t="shared" ca="1" si="9"/>
        <v>899.46245019040327</v>
      </c>
      <c r="AJ9" s="72">
        <f t="shared" ca="1" si="10"/>
        <v>413.1100088806171</v>
      </c>
      <c r="AK9" s="72">
        <f t="shared" ca="1" si="16"/>
        <v>1312.5724590710204</v>
      </c>
      <c r="AL9" s="73">
        <f t="shared" ca="1" si="11"/>
        <v>15211.827896153663</v>
      </c>
      <c r="AM9" s="321">
        <f ca="1">'monthly calculations (1)'!AM9</f>
        <v>1</v>
      </c>
      <c r="AN9" s="73">
        <f t="shared" ca="1" si="17"/>
        <v>15211.827896153663</v>
      </c>
      <c r="AO9" s="75">
        <f t="shared" ca="1" si="19"/>
        <v>63119.827631600667</v>
      </c>
      <c r="AP9" s="72">
        <f ca="1">AL9  /  ( 1 + disc_1/12)^(COUNT($AL$6:AL9)-1)</f>
        <v>14837.783516657644</v>
      </c>
      <c r="AQ9" s="72">
        <f t="shared" ca="1" si="20"/>
        <v>62357.579350758679</v>
      </c>
      <c r="AS9" s="303"/>
      <c r="AT9" s="300"/>
      <c r="AU9" s="297"/>
      <c r="AV9" s="303"/>
    </row>
    <row r="10" spans="2:48" x14ac:dyDescent="0.25">
      <c r="B10" s="43">
        <f t="shared" si="18"/>
        <v>44317</v>
      </c>
      <c r="C10" s="79">
        <f t="shared" si="12"/>
        <v>2021</v>
      </c>
      <c r="D10" s="64">
        <f ca="1">wellcount_base  +  SUM('forecast production'!I$7:I11)</f>
        <v>1</v>
      </c>
      <c r="E10" s="108">
        <f ca="1">'forecast production'!AE11</f>
        <v>899.59578460402668</v>
      </c>
      <c r="F10" s="97">
        <f ca="1">'forecast production'!AF11</f>
        <v>3866.5451814011508</v>
      </c>
      <c r="G10" s="97">
        <f ca="1">'forecast production'!AG11</f>
        <v>569.15362757131334</v>
      </c>
      <c r="H10" s="98">
        <f ca="1">'forecast production'!AH11</f>
        <v>579.9817772101726</v>
      </c>
      <c r="I10" s="307">
        <f ca="1">IF('monthly calculations (1)'!AV9,WI_2_APO, WI_2)</f>
        <v>0</v>
      </c>
      <c r="J10" s="306">
        <f ca="1">IF('monthly calculations (1)'!AV9,NRI_2_APO, NRI_2)</f>
        <v>0.25</v>
      </c>
      <c r="K10" s="112">
        <f t="shared" ca="1" si="0"/>
        <v>224.89894615100667</v>
      </c>
      <c r="L10" s="98">
        <f t="shared" ca="1" si="1"/>
        <v>724.9772215127158</v>
      </c>
      <c r="M10" s="98">
        <f t="shared" ca="1" si="2"/>
        <v>142.28840689282833</v>
      </c>
      <c r="N10" s="98">
        <f t="shared" ca="1" si="3"/>
        <v>144.99544430254315</v>
      </c>
      <c r="O10" s="67">
        <f>assumptions!M14</f>
        <v>55</v>
      </c>
      <c r="P10" s="68">
        <f>assumptions!N14</f>
        <v>3</v>
      </c>
      <c r="Q10" s="68">
        <f>assumptions!O14</f>
        <v>22</v>
      </c>
      <c r="R10" s="67">
        <f t="shared" si="4"/>
        <v>52.5</v>
      </c>
      <c r="S10" s="68">
        <f t="shared" si="5"/>
        <v>2.3275000000000001</v>
      </c>
      <c r="T10" s="68">
        <f t="shared" si="6"/>
        <v>22</v>
      </c>
      <c r="U10" s="73">
        <f t="shared" ca="1" si="13"/>
        <v>11807.19467292785</v>
      </c>
      <c r="V10" s="72">
        <f t="shared" ca="1" si="7"/>
        <v>1687.384483070846</v>
      </c>
      <c r="W10" s="72">
        <f t="shared" ca="1" si="8"/>
        <v>3189.8997746559494</v>
      </c>
      <c r="X10" s="72">
        <f t="shared" ca="1" si="14"/>
        <v>16684.478930654645</v>
      </c>
      <c r="Y10" s="73">
        <f>mult_opex * fixed_month</f>
        <v>1000</v>
      </c>
      <c r="Z10" s="72">
        <f ca="1">mult_opex * fixed_well *D10</f>
        <v>5000</v>
      </c>
      <c r="AA10" s="72">
        <f ca="1">(Z10+Y10)*WI_current_2</f>
        <v>0</v>
      </c>
      <c r="AB10" s="72">
        <f ca="1">mult_opex * var_bo*E10</f>
        <v>0</v>
      </c>
      <c r="AC10" s="72">
        <f ca="1">mult_opex * var_mcf*F10</f>
        <v>0</v>
      </c>
      <c r="AD10" s="72">
        <f ca="1">mult_opex * var_bw * G10</f>
        <v>1138.3072551426267</v>
      </c>
      <c r="AE10" s="72">
        <f ca="1">SUM(AB10:AD10)*WI_current_2</f>
        <v>0</v>
      </c>
      <c r="AF10" s="73">
        <f ca="1">mult_capex * IFERROR(OFFSET(assumptions!$F$39,MATCH(B10,assumptions!$E$39:$E$45,0)-1,0),0)</f>
        <v>0</v>
      </c>
      <c r="AG10" s="75">
        <f ca="1">mult_capex * capex_new*WI_current_2 *'forecast production'!I11</f>
        <v>0</v>
      </c>
      <c r="AH10" s="146">
        <f t="shared" ca="1" si="15"/>
        <v>0</v>
      </c>
      <c r="AI10" s="73">
        <f t="shared" ca="1" si="9"/>
        <v>908.92727428419073</v>
      </c>
      <c r="AJ10" s="72">
        <f t="shared" ca="1" si="10"/>
        <v>417.11197326636614</v>
      </c>
      <c r="AK10" s="72">
        <f t="shared" ca="1" si="16"/>
        <v>1326.0392475505569</v>
      </c>
      <c r="AL10" s="73">
        <f t="shared" ca="1" si="11"/>
        <v>15358.439683104087</v>
      </c>
      <c r="AM10" s="321">
        <f ca="1">'monthly calculations (1)'!AM10</f>
        <v>1</v>
      </c>
      <c r="AN10" s="73">
        <f t="shared" ca="1" si="17"/>
        <v>15358.439683104087</v>
      </c>
      <c r="AO10" s="75">
        <f t="shared" ca="1" si="19"/>
        <v>78478.267314704746</v>
      </c>
      <c r="AP10" s="72">
        <f ca="1">AL10  /  ( 1 + disc_1/12)^(COUNT($AL$6:AL10)-1)</f>
        <v>14856.982075253807</v>
      </c>
      <c r="AQ10" s="72">
        <f t="shared" ca="1" si="20"/>
        <v>77214.561426012486</v>
      </c>
      <c r="AS10" s="303"/>
      <c r="AT10" s="300"/>
      <c r="AU10" s="297"/>
      <c r="AV10" s="303"/>
    </row>
    <row r="11" spans="2:48" x14ac:dyDescent="0.25">
      <c r="B11" s="43">
        <f t="shared" si="18"/>
        <v>44348</v>
      </c>
      <c r="C11" s="79">
        <f t="shared" si="12"/>
        <v>2021</v>
      </c>
      <c r="D11" s="64">
        <f ca="1">wellcount_base  +  SUM('forecast production'!I$7:I12)</f>
        <v>1</v>
      </c>
      <c r="E11" s="108">
        <f ca="1">'forecast production'!AE12</f>
        <v>848.63370806597936</v>
      </c>
      <c r="F11" s="97">
        <f ca="1">'forecast production'!AF12</f>
        <v>3674.7406471061113</v>
      </c>
      <c r="G11" s="97">
        <f ca="1">'forecast production'!AG12</f>
        <v>531.10495566641066</v>
      </c>
      <c r="H11" s="98">
        <f ca="1">'forecast production'!AH12</f>
        <v>551.21109706591665</v>
      </c>
      <c r="I11" s="307">
        <f ca="1">IF('monthly calculations (1)'!AV10,WI_2_APO, WI_2)</f>
        <v>0</v>
      </c>
      <c r="J11" s="306">
        <f ca="1">IF('monthly calculations (1)'!AV10,NRI_2_APO, NRI_2)</f>
        <v>0.25</v>
      </c>
      <c r="K11" s="112">
        <f t="shared" ca="1" si="0"/>
        <v>212.15842701649484</v>
      </c>
      <c r="L11" s="98">
        <f t="shared" ca="1" si="1"/>
        <v>689.01387133239587</v>
      </c>
      <c r="M11" s="98">
        <f t="shared" ca="1" si="2"/>
        <v>132.77623891660267</v>
      </c>
      <c r="N11" s="98">
        <f t="shared" ca="1" si="3"/>
        <v>137.80277426647916</v>
      </c>
      <c r="O11" s="67">
        <f>assumptions!M15</f>
        <v>55</v>
      </c>
      <c r="P11" s="68">
        <f>assumptions!N15</f>
        <v>3</v>
      </c>
      <c r="Q11" s="68">
        <f>assumptions!O15</f>
        <v>22</v>
      </c>
      <c r="R11" s="67">
        <f t="shared" si="4"/>
        <v>52.5</v>
      </c>
      <c r="S11" s="68">
        <f t="shared" si="5"/>
        <v>2.3275000000000001</v>
      </c>
      <c r="T11" s="68">
        <f t="shared" si="6"/>
        <v>22</v>
      </c>
      <c r="U11" s="73">
        <f t="shared" ca="1" si="13"/>
        <v>11138.317418365979</v>
      </c>
      <c r="V11" s="72">
        <f t="shared" ca="1" si="7"/>
        <v>1603.6797855261514</v>
      </c>
      <c r="W11" s="72">
        <f t="shared" ca="1" si="8"/>
        <v>3031.6610338625414</v>
      </c>
      <c r="X11" s="72">
        <f t="shared" ca="1" si="14"/>
        <v>15773.658237754673</v>
      </c>
      <c r="Y11" s="73">
        <f>mult_opex * fixed_month</f>
        <v>1000</v>
      </c>
      <c r="Z11" s="72">
        <f ca="1">mult_opex * fixed_well *D11</f>
        <v>5000</v>
      </c>
      <c r="AA11" s="72">
        <f ca="1">(Z11+Y11)*WI_current_2</f>
        <v>0</v>
      </c>
      <c r="AB11" s="72">
        <f ca="1">mult_opex * var_bo*E11</f>
        <v>0</v>
      </c>
      <c r="AC11" s="72">
        <f ca="1">mult_opex * var_mcf*F11</f>
        <v>0</v>
      </c>
      <c r="AD11" s="72">
        <f ca="1">mult_opex * var_bw * G11</f>
        <v>1062.2099113328213</v>
      </c>
      <c r="AE11" s="72">
        <f ca="1">SUM(AB11:AD11)*WI_current_2</f>
        <v>0</v>
      </c>
      <c r="AF11" s="73">
        <f ca="1">mult_capex * IFERROR(OFFSET(assumptions!$F$39,MATCH(B11,assumptions!$E$39:$E$45,0)-1,0),0)</f>
        <v>0</v>
      </c>
      <c r="AG11" s="75">
        <f ca="1">mult_capex * capex_new*WI_current_2 *'forecast production'!I12</f>
        <v>0</v>
      </c>
      <c r="AH11" s="146">
        <f t="shared" ca="1" si="15"/>
        <v>0</v>
      </c>
      <c r="AI11" s="73">
        <f t="shared" ca="1" si="9"/>
        <v>860.01316269898689</v>
      </c>
      <c r="AJ11" s="72">
        <f t="shared" ca="1" si="10"/>
        <v>394.34145594386683</v>
      </c>
      <c r="AK11" s="72">
        <f t="shared" ca="1" si="16"/>
        <v>1254.3546186428537</v>
      </c>
      <c r="AL11" s="73">
        <f t="shared" ca="1" si="11"/>
        <v>14519.303619111819</v>
      </c>
      <c r="AM11" s="321">
        <f ca="1">'monthly calculations (1)'!AM11</f>
        <v>1</v>
      </c>
      <c r="AN11" s="73">
        <f t="shared" ca="1" si="17"/>
        <v>14519.303619111819</v>
      </c>
      <c r="AO11" s="75">
        <f t="shared" ca="1" si="19"/>
        <v>92997.570933816562</v>
      </c>
      <c r="AP11" s="72">
        <f ca="1">AL11  /  ( 1 + disc_1/12)^(COUNT($AL$6:AL11)-1)</f>
        <v>13929.167655340543</v>
      </c>
      <c r="AQ11" s="72">
        <f t="shared" ca="1" si="20"/>
        <v>91143.729081353027</v>
      </c>
      <c r="AS11" s="303"/>
      <c r="AT11" s="300"/>
      <c r="AU11" s="297"/>
      <c r="AV11" s="303"/>
    </row>
    <row r="12" spans="2:48" x14ac:dyDescent="0.25">
      <c r="B12" s="43">
        <f t="shared" si="18"/>
        <v>44378</v>
      </c>
      <c r="C12" s="79">
        <f t="shared" si="12"/>
        <v>2021</v>
      </c>
      <c r="D12" s="64">
        <f ca="1">wellcount_base  +  SUM('forecast production'!I$7:I13)</f>
        <v>1</v>
      </c>
      <c r="E12" s="108">
        <f ca="1">'forecast production'!AE13</f>
        <v>856.04102436288395</v>
      </c>
      <c r="F12" s="97">
        <f ca="1">'forecast production'!AF13</f>
        <v>3732.4805011189483</v>
      </c>
      <c r="G12" s="97">
        <f ca="1">'forecast production'!AG13</f>
        <v>529.8156409434788</v>
      </c>
      <c r="H12" s="98">
        <f ca="1">'forecast production'!AH13</f>
        <v>559.87207516784224</v>
      </c>
      <c r="I12" s="307">
        <f ca="1">IF('monthly calculations (1)'!AV11,WI_2_APO, WI_2)</f>
        <v>0</v>
      </c>
      <c r="J12" s="306">
        <f ca="1">IF('monthly calculations (1)'!AV11,NRI_2_APO, NRI_2)</f>
        <v>0.25</v>
      </c>
      <c r="K12" s="112">
        <f t="shared" ca="1" si="0"/>
        <v>214.01025609072099</v>
      </c>
      <c r="L12" s="98">
        <f t="shared" ca="1" si="1"/>
        <v>699.84009395980274</v>
      </c>
      <c r="M12" s="98">
        <f t="shared" ca="1" si="2"/>
        <v>132.4539102358697</v>
      </c>
      <c r="N12" s="98">
        <f t="shared" ca="1" si="3"/>
        <v>139.96801879196056</v>
      </c>
      <c r="O12" s="67">
        <f>assumptions!M16</f>
        <v>55</v>
      </c>
      <c r="P12" s="68">
        <f>assumptions!N16</f>
        <v>3</v>
      </c>
      <c r="Q12" s="68">
        <f>assumptions!O16</f>
        <v>22</v>
      </c>
      <c r="R12" s="67">
        <f t="shared" si="4"/>
        <v>52.5</v>
      </c>
      <c r="S12" s="68">
        <f t="shared" si="5"/>
        <v>2.3275000000000001</v>
      </c>
      <c r="T12" s="68">
        <f t="shared" si="6"/>
        <v>22</v>
      </c>
      <c r="U12" s="73">
        <f t="shared" ca="1" si="13"/>
        <v>11235.538444762851</v>
      </c>
      <c r="V12" s="72">
        <f t="shared" ca="1" si="7"/>
        <v>1628.877818691441</v>
      </c>
      <c r="W12" s="72">
        <f t="shared" ca="1" si="8"/>
        <v>3079.2964134231324</v>
      </c>
      <c r="X12" s="72">
        <f t="shared" ca="1" si="14"/>
        <v>15943.712676877425</v>
      </c>
      <c r="Y12" s="73">
        <f>mult_opex * fixed_month</f>
        <v>1000</v>
      </c>
      <c r="Z12" s="72">
        <f ca="1">mult_opex * fixed_well *D12</f>
        <v>5000</v>
      </c>
      <c r="AA12" s="72">
        <f ca="1">(Z12+Y12)*WI_current_2</f>
        <v>0</v>
      </c>
      <c r="AB12" s="72">
        <f ca="1">mult_opex * var_bo*E12</f>
        <v>0</v>
      </c>
      <c r="AC12" s="72">
        <f ca="1">mult_opex * var_mcf*F12</f>
        <v>0</v>
      </c>
      <c r="AD12" s="72">
        <f ca="1">mult_opex * var_bw * G12</f>
        <v>1059.6312818869576</v>
      </c>
      <c r="AE12" s="72">
        <f ca="1">SUM(AB12:AD12)*WI_current_2</f>
        <v>0</v>
      </c>
      <c r="AF12" s="73">
        <f ca="1">mult_capex * IFERROR(OFFSET(assumptions!$F$39,MATCH(B12,assumptions!$E$39:$E$45,0)-1,0),0)</f>
        <v>0</v>
      </c>
      <c r="AG12" s="75">
        <f ca="1">mult_capex * capex_new*WI_current_2 *'forecast production'!I13</f>
        <v>0</v>
      </c>
      <c r="AH12" s="146">
        <f ca="1">AG12+AF12</f>
        <v>0</v>
      </c>
      <c r="AI12" s="73">
        <f t="shared" ca="1" si="9"/>
        <v>869.94783586768415</v>
      </c>
      <c r="AJ12" s="72">
        <f t="shared" ca="1" si="10"/>
        <v>398.59281692193565</v>
      </c>
      <c r="AK12" s="72">
        <f t="shared" ca="1" si="16"/>
        <v>1268.5406527896198</v>
      </c>
      <c r="AL12" s="73">
        <f t="shared" ca="1" si="11"/>
        <v>14675.172024087806</v>
      </c>
      <c r="AM12" s="321">
        <f ca="1">'monthly calculations (1)'!AM12</f>
        <v>1</v>
      </c>
      <c r="AN12" s="73">
        <f t="shared" ca="1" si="17"/>
        <v>14675.172024087806</v>
      </c>
      <c r="AO12" s="75">
        <f t="shared" ca="1" si="19"/>
        <v>107672.74295790437</v>
      </c>
      <c r="AP12" s="72">
        <f ca="1">AL12  /  ( 1 + disc_1/12)^(COUNT($AL$6:AL12)-1)</f>
        <v>13962.347901963705</v>
      </c>
      <c r="AQ12" s="72">
        <f t="shared" ca="1" si="20"/>
        <v>105106.07698331673</v>
      </c>
      <c r="AS12" s="303"/>
      <c r="AT12" s="300"/>
      <c r="AU12" s="297"/>
      <c r="AV12" s="303"/>
    </row>
    <row r="13" spans="2:48" x14ac:dyDescent="0.25">
      <c r="B13" s="43">
        <f t="shared" si="18"/>
        <v>44409</v>
      </c>
      <c r="C13" s="79">
        <f t="shared" si="12"/>
        <v>2021</v>
      </c>
      <c r="D13" s="64">
        <f ca="1">wellcount_base  +  SUM('forecast production'!I$7:I14)</f>
        <v>1</v>
      </c>
      <c r="E13" s="108">
        <f ca="1">'forecast production'!AE14</f>
        <v>835.48409418579763</v>
      </c>
      <c r="F13" s="97">
        <f ca="1">'forecast production'!AF14</f>
        <v>3667.8504110083995</v>
      </c>
      <c r="G13" s="97">
        <f ca="1">'forecast production'!AG14</f>
        <v>510.8833153222356</v>
      </c>
      <c r="H13" s="98">
        <f ca="1">'forecast production'!AH14</f>
        <v>550.17756165125991</v>
      </c>
      <c r="I13" s="307">
        <f ca="1">IF('monthly calculations (1)'!AV12,WI_2_APO, WI_2)</f>
        <v>0</v>
      </c>
      <c r="J13" s="306">
        <f ca="1">IF('monthly calculations (1)'!AV12,NRI_2_APO, NRI_2)</f>
        <v>0.25</v>
      </c>
      <c r="K13" s="112">
        <f t="shared" ca="1" si="0"/>
        <v>208.87102354644941</v>
      </c>
      <c r="L13" s="98">
        <f t="shared" ca="1" si="1"/>
        <v>687.72195206407491</v>
      </c>
      <c r="M13" s="98">
        <f t="shared" ca="1" si="2"/>
        <v>127.7208288305589</v>
      </c>
      <c r="N13" s="98">
        <f t="shared" ca="1" si="3"/>
        <v>137.54439041281498</v>
      </c>
      <c r="O13" s="67">
        <f>assumptions!M17</f>
        <v>55</v>
      </c>
      <c r="P13" s="68">
        <f>assumptions!N17</f>
        <v>3</v>
      </c>
      <c r="Q13" s="68">
        <f>assumptions!O17</f>
        <v>22</v>
      </c>
      <c r="R13" s="67">
        <f t="shared" si="4"/>
        <v>52.5</v>
      </c>
      <c r="S13" s="68">
        <f t="shared" si="5"/>
        <v>2.3275000000000001</v>
      </c>
      <c r="T13" s="68">
        <f t="shared" si="6"/>
        <v>22</v>
      </c>
      <c r="U13" s="73">
        <f t="shared" ca="1" si="13"/>
        <v>10965.728736188594</v>
      </c>
      <c r="V13" s="72">
        <f t="shared" ca="1" si="7"/>
        <v>1600.6728434291344</v>
      </c>
      <c r="W13" s="72">
        <f t="shared" ca="1" si="8"/>
        <v>3025.9765890819294</v>
      </c>
      <c r="X13" s="72">
        <f t="shared" ca="1" si="14"/>
        <v>15592.378168699657</v>
      </c>
      <c r="Y13" s="73">
        <f>mult_opex * fixed_month</f>
        <v>1000</v>
      </c>
      <c r="Z13" s="72">
        <f ca="1">mult_opex * fixed_well *D13</f>
        <v>5000</v>
      </c>
      <c r="AA13" s="72">
        <f ca="1">(Z13+Y13)*WI_current_2</f>
        <v>0</v>
      </c>
      <c r="AB13" s="72">
        <f ca="1">mult_opex * var_bo*E13</f>
        <v>0</v>
      </c>
      <c r="AC13" s="72">
        <f ca="1">mult_opex * var_mcf*F13</f>
        <v>0</v>
      </c>
      <c r="AD13" s="72">
        <f ca="1">mult_opex * var_bw * G13</f>
        <v>1021.7666306444712</v>
      </c>
      <c r="AE13" s="72">
        <f ca="1">SUM(AB13:AD13)*WI_current_2</f>
        <v>0</v>
      </c>
      <c r="AF13" s="73">
        <f ca="1">mult_capex * IFERROR(OFFSET(assumptions!$F$39,MATCH(B13,assumptions!$E$39:$E$45,0)-1,0),0)</f>
        <v>0</v>
      </c>
      <c r="AG13" s="75">
        <f ca="1">mult_capex * capex_new*WI_current_2 *'forecast production'!I14</f>
        <v>0</v>
      </c>
      <c r="AH13" s="146">
        <f t="shared" ca="1" si="15"/>
        <v>0</v>
      </c>
      <c r="AI13" s="73">
        <f t="shared" ca="1" si="9"/>
        <v>851.422229303005</v>
      </c>
      <c r="AJ13" s="72">
        <f t="shared" ca="1" si="10"/>
        <v>389.80945421749146</v>
      </c>
      <c r="AK13" s="72">
        <f t="shared" ca="1" si="16"/>
        <v>1241.2316835204965</v>
      </c>
      <c r="AL13" s="73">
        <f t="shared" ca="1" si="11"/>
        <v>14351.146485179161</v>
      </c>
      <c r="AM13" s="321">
        <f ca="1">'monthly calculations (1)'!AM13</f>
        <v>1</v>
      </c>
      <c r="AN13" s="73">
        <f t="shared" ca="1" si="17"/>
        <v>14351.146485179161</v>
      </c>
      <c r="AO13" s="75">
        <f t="shared" ca="1" si="19"/>
        <v>122023.88944308352</v>
      </c>
      <c r="AP13" s="72">
        <f ca="1">AL13  /  ( 1 + disc_1/12)^(COUNT($AL$6:AL13)-1)</f>
        <v>13541.217927198808</v>
      </c>
      <c r="AQ13" s="72">
        <f t="shared" ca="1" si="20"/>
        <v>118647.29491051554</v>
      </c>
      <c r="AS13" s="303"/>
      <c r="AT13" s="300"/>
      <c r="AU13" s="297"/>
      <c r="AV13" s="303"/>
    </row>
    <row r="14" spans="2:48" x14ac:dyDescent="0.25">
      <c r="B14" s="43">
        <f t="shared" si="18"/>
        <v>44440</v>
      </c>
      <c r="C14" s="79">
        <f t="shared" si="12"/>
        <v>2021</v>
      </c>
      <c r="D14" s="64">
        <f ca="1">wellcount_base  +  SUM('forecast production'!I$7:I15)</f>
        <v>1</v>
      </c>
      <c r="E14" s="108">
        <f ca="1">'forecast production'!AE15</f>
        <v>789.57224249716796</v>
      </c>
      <c r="F14" s="97">
        <f ca="1">'forecast production'!AF15</f>
        <v>3489.1165552339144</v>
      </c>
      <c r="G14" s="97">
        <f ca="1">'forecast production'!AG15</f>
        <v>476.73945911883038</v>
      </c>
      <c r="H14" s="98">
        <f ca="1">'forecast production'!AH15</f>
        <v>523.36748328508725</v>
      </c>
      <c r="I14" s="307">
        <f ca="1">IF('monthly calculations (1)'!AV13,WI_2_APO, WI_2)</f>
        <v>0</v>
      </c>
      <c r="J14" s="306">
        <f ca="1">IF('monthly calculations (1)'!AV13,NRI_2_APO, NRI_2)</f>
        <v>0.25</v>
      </c>
      <c r="K14" s="112">
        <f t="shared" ca="1" si="0"/>
        <v>197.39306062429199</v>
      </c>
      <c r="L14" s="98">
        <f t="shared" ca="1" si="1"/>
        <v>654.20935410635889</v>
      </c>
      <c r="M14" s="98">
        <f t="shared" ca="1" si="2"/>
        <v>119.1848647797076</v>
      </c>
      <c r="N14" s="98">
        <f t="shared" ca="1" si="3"/>
        <v>130.84187082127181</v>
      </c>
      <c r="O14" s="67">
        <f>assumptions!M18</f>
        <v>55</v>
      </c>
      <c r="P14" s="68">
        <f>assumptions!N18</f>
        <v>3</v>
      </c>
      <c r="Q14" s="68">
        <f>assumptions!O18</f>
        <v>22</v>
      </c>
      <c r="R14" s="67">
        <f t="shared" si="4"/>
        <v>52.5</v>
      </c>
      <c r="S14" s="68">
        <f t="shared" si="5"/>
        <v>2.3275000000000001</v>
      </c>
      <c r="T14" s="68">
        <f t="shared" si="6"/>
        <v>22</v>
      </c>
      <c r="U14" s="73">
        <f t="shared" ca="1" si="13"/>
        <v>10363.13568277533</v>
      </c>
      <c r="V14" s="72">
        <f t="shared" ca="1" si="7"/>
        <v>1522.6722716825504</v>
      </c>
      <c r="W14" s="72">
        <f t="shared" ca="1" si="8"/>
        <v>2878.5211580679797</v>
      </c>
      <c r="X14" s="72">
        <f t="shared" ca="1" si="14"/>
        <v>14764.329112525858</v>
      </c>
      <c r="Y14" s="73">
        <f>mult_opex * fixed_month</f>
        <v>1000</v>
      </c>
      <c r="Z14" s="72">
        <f ca="1">mult_opex * fixed_well *D14</f>
        <v>5000</v>
      </c>
      <c r="AA14" s="72">
        <f ca="1">(Z14+Y14)*WI_current_2</f>
        <v>0</v>
      </c>
      <c r="AB14" s="72">
        <f ca="1">mult_opex * var_bo*E14</f>
        <v>0</v>
      </c>
      <c r="AC14" s="72">
        <f ca="1">mult_opex * var_mcf*F14</f>
        <v>0</v>
      </c>
      <c r="AD14" s="72">
        <f ca="1">mult_opex * var_bw * G14</f>
        <v>953.47891823766076</v>
      </c>
      <c r="AE14" s="72">
        <f ca="1">SUM(AB14:AD14)*WI_current_2</f>
        <v>0</v>
      </c>
      <c r="AF14" s="73">
        <f ca="1">mult_capex * IFERROR(OFFSET(assumptions!$F$39,MATCH(B14,assumptions!$E$39:$E$45,0)-1,0),0)</f>
        <v>0</v>
      </c>
      <c r="AG14" s="75">
        <f ca="1">mult_capex * capex_new*WI_current_2 *'forecast production'!I15</f>
        <v>0</v>
      </c>
      <c r="AH14" s="146">
        <f t="shared" ca="1" si="15"/>
        <v>0</v>
      </c>
      <c r="AI14" s="73">
        <f t="shared" ca="1" si="9"/>
        <v>806.79374863895487</v>
      </c>
      <c r="AJ14" s="72">
        <f t="shared" ca="1" si="10"/>
        <v>369.10822781314647</v>
      </c>
      <c r="AK14" s="72">
        <f t="shared" ca="1" si="16"/>
        <v>1175.9019764521013</v>
      </c>
      <c r="AL14" s="73">
        <f t="shared" ca="1" si="11"/>
        <v>13588.427136073757</v>
      </c>
      <c r="AM14" s="321">
        <f ca="1">'monthly calculations (1)'!AM14</f>
        <v>1</v>
      </c>
      <c r="AN14" s="73">
        <f t="shared" ca="1" si="17"/>
        <v>13588.427136073757</v>
      </c>
      <c r="AO14" s="75">
        <f t="shared" ca="1" si="19"/>
        <v>135612.31657915728</v>
      </c>
      <c r="AP14" s="72">
        <f ca="1">AL14  /  ( 1 + disc_1/12)^(COUNT($AL$6:AL14)-1)</f>
        <v>12715.580621015641</v>
      </c>
      <c r="AQ14" s="72">
        <f t="shared" ca="1" si="20"/>
        <v>131362.87553153117</v>
      </c>
      <c r="AS14" s="303"/>
      <c r="AT14" s="300"/>
      <c r="AU14" s="297"/>
      <c r="AV14" s="303"/>
    </row>
    <row r="15" spans="2:48" x14ac:dyDescent="0.25">
      <c r="B15" s="43">
        <f t="shared" si="18"/>
        <v>44470</v>
      </c>
      <c r="C15" s="79">
        <f t="shared" si="12"/>
        <v>2021</v>
      </c>
      <c r="D15" s="64">
        <f ca="1">wellcount_base  +  SUM('forecast production'!I$7:I16)</f>
        <v>1</v>
      </c>
      <c r="E15" s="108">
        <f ca="1">'forecast production'!AE16</f>
        <v>797.78609618388373</v>
      </c>
      <c r="F15" s="97">
        <f ca="1">'forecast production'!AF16</f>
        <v>3546.9950453122378</v>
      </c>
      <c r="G15" s="97">
        <f ca="1">'forecast production'!AG16</f>
        <v>475.59116358989871</v>
      </c>
      <c r="H15" s="98">
        <f ca="1">'forecast production'!AH16</f>
        <v>532.04925679683561</v>
      </c>
      <c r="I15" s="307">
        <f ca="1">IF('monthly calculations (1)'!AV14,WI_2_APO, WI_2)</f>
        <v>0</v>
      </c>
      <c r="J15" s="306">
        <f ca="1">IF('monthly calculations (1)'!AV14,NRI_2_APO, NRI_2)</f>
        <v>0.25</v>
      </c>
      <c r="K15" s="112">
        <f t="shared" ca="1" si="0"/>
        <v>199.44652404597093</v>
      </c>
      <c r="L15" s="98">
        <f t="shared" ca="1" si="1"/>
        <v>665.06157099604457</v>
      </c>
      <c r="M15" s="98">
        <f t="shared" ca="1" si="2"/>
        <v>118.89779089747468</v>
      </c>
      <c r="N15" s="98">
        <f t="shared" ca="1" si="3"/>
        <v>133.0123141992089</v>
      </c>
      <c r="O15" s="67">
        <f>assumptions!M19</f>
        <v>55</v>
      </c>
      <c r="P15" s="68">
        <f>assumptions!N19</f>
        <v>3</v>
      </c>
      <c r="Q15" s="68">
        <f>assumptions!O19</f>
        <v>22</v>
      </c>
      <c r="R15" s="67">
        <f t="shared" si="4"/>
        <v>52.5</v>
      </c>
      <c r="S15" s="68">
        <f t="shared" si="5"/>
        <v>2.3275000000000001</v>
      </c>
      <c r="T15" s="68">
        <f t="shared" si="6"/>
        <v>22</v>
      </c>
      <c r="U15" s="73">
        <f t="shared" ca="1" si="13"/>
        <v>10470.942512413474</v>
      </c>
      <c r="V15" s="72">
        <f t="shared" ca="1" si="7"/>
        <v>1547.9308064932939</v>
      </c>
      <c r="W15" s="72">
        <f t="shared" ca="1" si="8"/>
        <v>2926.2709123825957</v>
      </c>
      <c r="X15" s="72">
        <f t="shared" ca="1" si="14"/>
        <v>14945.144231289363</v>
      </c>
      <c r="Y15" s="73">
        <f>mult_opex * fixed_month</f>
        <v>1000</v>
      </c>
      <c r="Z15" s="72">
        <f ca="1">mult_opex * fixed_well *D15</f>
        <v>5000</v>
      </c>
      <c r="AA15" s="72">
        <f ca="1">(Z15+Y15)*WI_current_2</f>
        <v>0</v>
      </c>
      <c r="AB15" s="72">
        <f ca="1">mult_opex * var_bo*E15</f>
        <v>0</v>
      </c>
      <c r="AC15" s="72">
        <f ca="1">mult_opex * var_mcf*F15</f>
        <v>0</v>
      </c>
      <c r="AD15" s="72">
        <f ca="1">mult_opex * var_bw * G15</f>
        <v>951.18232717979743</v>
      </c>
      <c r="AE15" s="72">
        <f ca="1">SUM(AB15:AD15)*WI_current_2</f>
        <v>0</v>
      </c>
      <c r="AF15" s="73">
        <f ca="1">mult_capex * IFERROR(OFFSET(assumptions!$F$39,MATCH(B15,assumptions!$E$39:$E$45,0)-1,0),0)</f>
        <v>0</v>
      </c>
      <c r="AG15" s="75">
        <f ca="1">mult_capex * capex_new*WI_current_2 *'forecast production'!I16</f>
        <v>0</v>
      </c>
      <c r="AH15" s="146">
        <f t="shared" ca="1" si="15"/>
        <v>0</v>
      </c>
      <c r="AI15" s="73">
        <f t="shared" ca="1" si="9"/>
        <v>817.22848448671152</v>
      </c>
      <c r="AJ15" s="72">
        <f t="shared" ca="1" si="10"/>
        <v>373.6286057822341</v>
      </c>
      <c r="AK15" s="72">
        <f t="shared" ca="1" si="16"/>
        <v>1190.8570902689457</v>
      </c>
      <c r="AL15" s="73">
        <f t="shared" ca="1" si="11"/>
        <v>13754.287141020417</v>
      </c>
      <c r="AM15" s="321">
        <f ca="1">'monthly calculations (1)'!AM15</f>
        <v>1</v>
      </c>
      <c r="AN15" s="73">
        <f t="shared" ca="1" si="17"/>
        <v>13754.287141020417</v>
      </c>
      <c r="AO15" s="75">
        <f t="shared" ca="1" si="19"/>
        <v>149366.60372017769</v>
      </c>
      <c r="AP15" s="72">
        <f ca="1">AL15  /  ( 1 + disc_1/12)^(COUNT($AL$6:AL15)-1)</f>
        <v>12764.416545149505</v>
      </c>
      <c r="AQ15" s="72">
        <f t="shared" ca="1" si="20"/>
        <v>144127.29207668066</v>
      </c>
      <c r="AS15" s="303"/>
      <c r="AT15" s="300"/>
      <c r="AU15" s="297"/>
      <c r="AV15" s="303"/>
    </row>
    <row r="16" spans="2:48" x14ac:dyDescent="0.25">
      <c r="B16" s="43">
        <f t="shared" si="18"/>
        <v>44501</v>
      </c>
      <c r="C16" s="79">
        <f t="shared" si="12"/>
        <v>2021</v>
      </c>
      <c r="D16" s="64">
        <f ca="1">wellcount_base  +  SUM('forecast production'!I$7:I17)</f>
        <v>1</v>
      </c>
      <c r="E16" s="108">
        <f ca="1">'forecast production'!AE17</f>
        <v>754.74445545287688</v>
      </c>
      <c r="F16" s="97">
        <f ca="1">'forecast production'!AF17</f>
        <v>3376.0438619397132</v>
      </c>
      <c r="G16" s="97">
        <f ca="1">'forecast production'!AG17</f>
        <v>443.8117646058169</v>
      </c>
      <c r="H16" s="98">
        <f ca="1">'forecast production'!AH17</f>
        <v>506.40657929095704</v>
      </c>
      <c r="I16" s="307">
        <f ca="1">IF('monthly calculations (1)'!AV15,WI_2_APO, WI_2)</f>
        <v>0</v>
      </c>
      <c r="J16" s="306">
        <f ca="1">IF('monthly calculations (1)'!AV15,NRI_2_APO, NRI_2)</f>
        <v>0.25</v>
      </c>
      <c r="K16" s="112">
        <f t="shared" ca="1" si="0"/>
        <v>188.68611386321922</v>
      </c>
      <c r="L16" s="98">
        <f t="shared" ca="1" si="1"/>
        <v>633.0082241136962</v>
      </c>
      <c r="M16" s="98">
        <f t="shared" ca="1" si="2"/>
        <v>110.95294115145423</v>
      </c>
      <c r="N16" s="98">
        <f t="shared" ca="1" si="3"/>
        <v>126.60164482273926</v>
      </c>
      <c r="O16" s="67">
        <f>assumptions!M20</f>
        <v>55</v>
      </c>
      <c r="P16" s="68">
        <f>assumptions!N20</f>
        <v>3</v>
      </c>
      <c r="Q16" s="68">
        <f>assumptions!O20</f>
        <v>22</v>
      </c>
      <c r="R16" s="67">
        <f t="shared" si="4"/>
        <v>52.5</v>
      </c>
      <c r="S16" s="68">
        <f t="shared" si="5"/>
        <v>2.3275000000000001</v>
      </c>
      <c r="T16" s="68">
        <f t="shared" si="6"/>
        <v>22</v>
      </c>
      <c r="U16" s="73">
        <f t="shared" ca="1" si="13"/>
        <v>9906.0209778190092</v>
      </c>
      <c r="V16" s="72">
        <f t="shared" ca="1" si="7"/>
        <v>1473.3266416246279</v>
      </c>
      <c r="W16" s="72">
        <f t="shared" ca="1" si="8"/>
        <v>2785.2361861002637</v>
      </c>
      <c r="X16" s="72">
        <f t="shared" ca="1" si="14"/>
        <v>14164.583805543902</v>
      </c>
      <c r="Y16" s="73">
        <f>mult_opex * fixed_month</f>
        <v>1000</v>
      </c>
      <c r="Z16" s="72">
        <f ca="1">mult_opex * fixed_well *D16</f>
        <v>5000</v>
      </c>
      <c r="AA16" s="72">
        <f ca="1">(Z16+Y16)*WI_current_2</f>
        <v>0</v>
      </c>
      <c r="AB16" s="72">
        <f ca="1">mult_opex * var_bo*E16</f>
        <v>0</v>
      </c>
      <c r="AC16" s="72">
        <f ca="1">mult_opex * var_mcf*F16</f>
        <v>0</v>
      </c>
      <c r="AD16" s="72">
        <f ca="1">mult_opex * var_bw * G16</f>
        <v>887.62352921163381</v>
      </c>
      <c r="AE16" s="72">
        <f ca="1">SUM(AB16:AD16)*WI_current_2</f>
        <v>0</v>
      </c>
      <c r="AF16" s="73">
        <f ca="1">mult_capex * IFERROR(OFFSET(assumptions!$F$39,MATCH(B16,assumptions!$E$39:$E$45,0)-1,0),0)</f>
        <v>0</v>
      </c>
      <c r="AG16" s="75">
        <f ca="1">mult_capex * capex_new*WI_current_2 *'forecast production'!I17</f>
        <v>0</v>
      </c>
      <c r="AH16" s="146">
        <f t="shared" ca="1" si="15"/>
        <v>0</v>
      </c>
      <c r="AI16" s="73">
        <f t="shared" ca="1" si="9"/>
        <v>775.06917705904129</v>
      </c>
      <c r="AJ16" s="72">
        <f t="shared" ca="1" si="10"/>
        <v>354.11459513859756</v>
      </c>
      <c r="AK16" s="72">
        <f t="shared" ca="1" si="16"/>
        <v>1129.183772197639</v>
      </c>
      <c r="AL16" s="73">
        <f t="shared" ca="1" si="11"/>
        <v>13035.400033346263</v>
      </c>
      <c r="AM16" s="321">
        <f ca="1">'monthly calculations (1)'!AM16</f>
        <v>1</v>
      </c>
      <c r="AN16" s="73">
        <f t="shared" ca="1" si="17"/>
        <v>13035.400033346263</v>
      </c>
      <c r="AO16" s="75">
        <f t="shared" ca="1" si="19"/>
        <v>162402.00375352395</v>
      </c>
      <c r="AP16" s="72">
        <f ca="1">AL16  /  ( 1 + disc_1/12)^(COUNT($AL$6:AL16)-1)</f>
        <v>11997.28900408468</v>
      </c>
      <c r="AQ16" s="72">
        <f t="shared" ca="1" si="20"/>
        <v>156124.58108076535</v>
      </c>
      <c r="AS16" s="303"/>
      <c r="AT16" s="300"/>
      <c r="AU16" s="297"/>
      <c r="AV16" s="303"/>
    </row>
    <row r="17" spans="2:48" x14ac:dyDescent="0.25">
      <c r="B17" s="44">
        <f t="shared" si="18"/>
        <v>44531</v>
      </c>
      <c r="C17" s="100">
        <f t="shared" si="12"/>
        <v>2021</v>
      </c>
      <c r="D17" s="65">
        <f ca="1">wellcount_base  +  SUM('forecast production'!I$7:I18)</f>
        <v>1</v>
      </c>
      <c r="E17" s="109">
        <f ca="1">'forecast production'!AE18</f>
        <v>763.34317880276399</v>
      </c>
      <c r="F17" s="101">
        <f ca="1">'forecast production'!AF18</f>
        <v>3433.8499745180247</v>
      </c>
      <c r="G17" s="101">
        <f ca="1">'forecast production'!AG18</f>
        <v>442.74835582716042</v>
      </c>
      <c r="H17" s="102">
        <f ca="1">'forecast production'!AH18</f>
        <v>515.07749617770378</v>
      </c>
      <c r="I17" s="308">
        <f ca="1">IF('monthly calculations (1)'!AV16,WI_2_APO, WI_2)</f>
        <v>0</v>
      </c>
      <c r="J17" s="309">
        <f ca="1">IF('monthly calculations (1)'!AV16,NRI_2_APO, NRI_2)</f>
        <v>0.25</v>
      </c>
      <c r="K17" s="113">
        <f t="shared" ca="1" si="0"/>
        <v>190.835794700691</v>
      </c>
      <c r="L17" s="102">
        <f t="shared" ca="1" si="1"/>
        <v>643.84687022212961</v>
      </c>
      <c r="M17" s="102">
        <f t="shared" ca="1" si="2"/>
        <v>110.68708895679011</v>
      </c>
      <c r="N17" s="102">
        <f t="shared" ca="1" si="3"/>
        <v>128.76937404442594</v>
      </c>
      <c r="O17" s="103">
        <f>assumptions!M21</f>
        <v>55</v>
      </c>
      <c r="P17" s="104">
        <f>assumptions!N21</f>
        <v>3</v>
      </c>
      <c r="Q17" s="104">
        <f>assumptions!O21</f>
        <v>22</v>
      </c>
      <c r="R17" s="103">
        <f t="shared" si="4"/>
        <v>52.5</v>
      </c>
      <c r="S17" s="104">
        <f t="shared" si="5"/>
        <v>2.3275000000000001</v>
      </c>
      <c r="T17" s="104">
        <f t="shared" si="6"/>
        <v>22</v>
      </c>
      <c r="U17" s="105">
        <f t="shared" ca="1" si="13"/>
        <v>10018.879221786277</v>
      </c>
      <c r="V17" s="106">
        <f t="shared" ca="1" si="7"/>
        <v>1498.5535904420067</v>
      </c>
      <c r="W17" s="106">
        <f t="shared" ca="1" si="8"/>
        <v>2832.9262289773706</v>
      </c>
      <c r="X17" s="106">
        <f t="shared" ca="1" si="14"/>
        <v>14350.359041205655</v>
      </c>
      <c r="Y17" s="105">
        <f>mult_opex * fixed_month</f>
        <v>1000</v>
      </c>
      <c r="Z17" s="106">
        <f ca="1">mult_opex * fixed_well *D17</f>
        <v>5000</v>
      </c>
      <c r="AA17" s="106">
        <f ca="1">(Z17+Y17)*WI_current_2</f>
        <v>0</v>
      </c>
      <c r="AB17" s="106">
        <f ca="1">mult_opex * var_bo*E17</f>
        <v>0</v>
      </c>
      <c r="AC17" s="106">
        <f ca="1">mult_opex * var_mcf*F17</f>
        <v>0</v>
      </c>
      <c r="AD17" s="106">
        <f ca="1">mult_opex * var_bw * G17</f>
        <v>885.49671165432085</v>
      </c>
      <c r="AE17" s="106">
        <f ca="1">SUM(AB17:AD17)*WI_current_2</f>
        <v>0</v>
      </c>
      <c r="AF17" s="105">
        <f ca="1">mult_capex * IFERROR(OFFSET(assumptions!$F$39,MATCH(B17,assumptions!$E$39:$E$45,0)-1,0),0)</f>
        <v>0</v>
      </c>
      <c r="AG17" s="106">
        <f ca="1">mult_capex * capex_new*WI_current_2 *'forecast production'!I18</f>
        <v>0</v>
      </c>
      <c r="AH17" s="147">
        <f t="shared" ca="1" si="15"/>
        <v>0</v>
      </c>
      <c r="AI17" s="105">
        <f t="shared" ca="1" si="9"/>
        <v>785.72943065862205</v>
      </c>
      <c r="AJ17" s="106">
        <f t="shared" ca="1" si="10"/>
        <v>358.75897603014141</v>
      </c>
      <c r="AK17" s="106">
        <f t="shared" ca="1" si="16"/>
        <v>1144.4884066887635</v>
      </c>
      <c r="AL17" s="105">
        <f t="shared" ca="1" si="11"/>
        <v>13205.87063451689</v>
      </c>
      <c r="AM17" s="322">
        <f ca="1">'monthly calculations (1)'!AM17</f>
        <v>1</v>
      </c>
      <c r="AN17" s="105">
        <f t="shared" ca="1" si="17"/>
        <v>13205.87063451689</v>
      </c>
      <c r="AO17" s="106">
        <f t="shared" ca="1" si="19"/>
        <v>175607.87438804086</v>
      </c>
      <c r="AP17" s="106">
        <f ca="1">AL17  /  ( 1 + disc_1/12)^(COUNT($AL$6:AL17)-1)</f>
        <v>12053.735896609905</v>
      </c>
      <c r="AQ17" s="106">
        <f t="shared" ca="1" si="20"/>
        <v>168178.31697737525</v>
      </c>
      <c r="AS17" s="304"/>
      <c r="AT17" s="301"/>
      <c r="AU17" s="298"/>
      <c r="AV17" s="304"/>
    </row>
    <row r="18" spans="2:48" x14ac:dyDescent="0.25">
      <c r="B18" s="43">
        <f t="shared" si="18"/>
        <v>44562</v>
      </c>
      <c r="C18" s="79">
        <f t="shared" si="12"/>
        <v>2022</v>
      </c>
      <c r="D18" s="64">
        <f ca="1">wellcount_base  +  SUM('forecast production'!I$7:I19)</f>
        <v>1</v>
      </c>
      <c r="E18" s="108">
        <f ca="1">'forecast production'!AE19</f>
        <v>746.95466506337016</v>
      </c>
      <c r="F18" s="97">
        <f ca="1">'forecast production'!AF19</f>
        <v>3379.0721996425586</v>
      </c>
      <c r="G18" s="97">
        <f ca="1">'forecast production'!AG19</f>
        <v>426.94121255794425</v>
      </c>
      <c r="H18" s="98">
        <f ca="1">'forecast production'!AH19</f>
        <v>506.86082994638383</v>
      </c>
      <c r="I18" s="307">
        <f ca="1">IF('monthly calculations (1)'!AV17,WI_2_APO, WI_2)</f>
        <v>0</v>
      </c>
      <c r="J18" s="306">
        <f ca="1">IF('monthly calculations (1)'!AV17,NRI_2_APO, NRI_2)</f>
        <v>0.25</v>
      </c>
      <c r="K18" s="112">
        <f t="shared" ca="1" si="0"/>
        <v>186.73866626584254</v>
      </c>
      <c r="L18" s="98">
        <f t="shared" ca="1" si="1"/>
        <v>633.57603743297977</v>
      </c>
      <c r="M18" s="98">
        <f t="shared" ca="1" si="2"/>
        <v>106.73530313948606</v>
      </c>
      <c r="N18" s="98">
        <f t="shared" ca="1" si="3"/>
        <v>126.71520748659596</v>
      </c>
      <c r="O18" s="67">
        <f>assumptions!M22</f>
        <v>55</v>
      </c>
      <c r="P18" s="68">
        <f>assumptions!N22</f>
        <v>3</v>
      </c>
      <c r="Q18" s="68">
        <f>assumptions!O22</f>
        <v>22</v>
      </c>
      <c r="R18" s="67">
        <f t="shared" si="4"/>
        <v>52.5</v>
      </c>
      <c r="S18" s="68">
        <f t="shared" si="5"/>
        <v>2.3275000000000001</v>
      </c>
      <c r="T18" s="68">
        <f t="shared" si="6"/>
        <v>22</v>
      </c>
      <c r="U18" s="73">
        <f t="shared" ca="1" si="13"/>
        <v>9803.7799789567325</v>
      </c>
      <c r="V18" s="72">
        <f t="shared" ca="1" si="7"/>
        <v>1474.6482271252605</v>
      </c>
      <c r="W18" s="72">
        <f t="shared" ca="1" si="8"/>
        <v>2787.7345647051111</v>
      </c>
      <c r="X18" s="72">
        <f t="shared" ca="1" si="14"/>
        <v>14066.162770787105</v>
      </c>
      <c r="Y18" s="73">
        <f>mult_opex * fixed_month</f>
        <v>1000</v>
      </c>
      <c r="Z18" s="72">
        <f ca="1">mult_opex * fixed_well *D18</f>
        <v>5000</v>
      </c>
      <c r="AA18" s="72">
        <f ca="1">(Z18+Y18)*WI_current_2</f>
        <v>0</v>
      </c>
      <c r="AB18" s="72">
        <f ca="1">mult_opex * var_bo*E18</f>
        <v>0</v>
      </c>
      <c r="AC18" s="72">
        <f ca="1">mult_opex * var_mcf*F18</f>
        <v>0</v>
      </c>
      <c r="AD18" s="72">
        <f ca="1">mult_opex * var_bw * G18</f>
        <v>853.88242511588851</v>
      </c>
      <c r="AE18" s="72">
        <f ca="1">SUM(AB18:AD18)*WI_current_2</f>
        <v>0</v>
      </c>
      <c r="AF18" s="73">
        <f ca="1">mult_capex * IFERROR(OFFSET(assumptions!$F$39,MATCH(B18,assumptions!$E$39:$E$45,0)-1,0),0)</f>
        <v>0</v>
      </c>
      <c r="AG18" s="75">
        <f ca="1">mult_capex * capex_new*WI_current_2 *'forecast production'!I19</f>
        <v>0</v>
      </c>
      <c r="AH18" s="146">
        <f t="shared" ca="1" si="15"/>
        <v>0</v>
      </c>
      <c r="AI18" s="73">
        <f t="shared" ca="1" si="9"/>
        <v>770.65258841928755</v>
      </c>
      <c r="AJ18" s="72">
        <f t="shared" ca="1" si="10"/>
        <v>351.65406926967762</v>
      </c>
      <c r="AK18" s="72">
        <f t="shared" ca="1" si="16"/>
        <v>1122.3066576889651</v>
      </c>
      <c r="AL18" s="73">
        <f t="shared" ca="1" si="11"/>
        <v>12943.85611309814</v>
      </c>
      <c r="AM18" s="321">
        <f ca="1">'monthly calculations (1)'!AM18</f>
        <v>1</v>
      </c>
      <c r="AN18" s="73">
        <f t="shared" ca="1" si="17"/>
        <v>12943.85611309814</v>
      </c>
      <c r="AO18" s="75">
        <f t="shared" ca="1" si="19"/>
        <v>188551.73050113901</v>
      </c>
      <c r="AP18" s="72">
        <f ca="1">AL18  /  ( 1 + disc_1/12)^(COUNT($AL$6:AL18)-1)</f>
        <v>11716.939442997909</v>
      </c>
      <c r="AQ18" s="72">
        <f t="shared" ca="1" si="20"/>
        <v>179895.25642037316</v>
      </c>
      <c r="AS18" s="303"/>
      <c r="AT18" s="300"/>
      <c r="AU18" s="297"/>
      <c r="AV18" s="303"/>
    </row>
    <row r="19" spans="2:48" x14ac:dyDescent="0.25">
      <c r="B19" s="43">
        <f t="shared" si="18"/>
        <v>44593</v>
      </c>
      <c r="C19" s="79">
        <f t="shared" si="12"/>
        <v>2022</v>
      </c>
      <c r="D19" s="64">
        <f ca="1">wellcount_base  +  SUM('forecast production'!I$7:I20)</f>
        <v>1</v>
      </c>
      <c r="E19" s="108">
        <f ca="1">'forecast production'!AE20</f>
        <v>660.48844457689052</v>
      </c>
      <c r="F19" s="97">
        <f ca="1">'forecast production'!AF20</f>
        <v>3004.1422603109536</v>
      </c>
      <c r="G19" s="97">
        <f ca="1">'forecast production'!AG20</f>
        <v>371.85909527598579</v>
      </c>
      <c r="H19" s="98">
        <f ca="1">'forecast production'!AH20</f>
        <v>450.62133904664307</v>
      </c>
      <c r="I19" s="307">
        <f ca="1">IF('monthly calculations (1)'!AV18,WI_2_APO, WI_2)</f>
        <v>0</v>
      </c>
      <c r="J19" s="306">
        <f ca="1">IF('monthly calculations (1)'!AV18,NRI_2_APO, NRI_2)</f>
        <v>0.25</v>
      </c>
      <c r="K19" s="112">
        <f t="shared" ca="1" si="0"/>
        <v>165.12211114422263</v>
      </c>
      <c r="L19" s="98">
        <f t="shared" ca="1" si="1"/>
        <v>563.27667380830383</v>
      </c>
      <c r="M19" s="98">
        <f t="shared" ca="1" si="2"/>
        <v>92.964773818996449</v>
      </c>
      <c r="N19" s="98">
        <f t="shared" ca="1" si="3"/>
        <v>112.65533476166077</v>
      </c>
      <c r="O19" s="67">
        <f>assumptions!M23</f>
        <v>55</v>
      </c>
      <c r="P19" s="68">
        <f>assumptions!N23</f>
        <v>3</v>
      </c>
      <c r="Q19" s="68">
        <f>assumptions!O23</f>
        <v>22</v>
      </c>
      <c r="R19" s="67">
        <f t="shared" si="4"/>
        <v>52.5</v>
      </c>
      <c r="S19" s="68">
        <f t="shared" si="5"/>
        <v>2.3275000000000001</v>
      </c>
      <c r="T19" s="68">
        <f t="shared" si="6"/>
        <v>22</v>
      </c>
      <c r="U19" s="73">
        <f t="shared" ca="1" si="13"/>
        <v>8668.9108350716888</v>
      </c>
      <c r="V19" s="72">
        <f t="shared" ca="1" si="7"/>
        <v>1311.0264582888271</v>
      </c>
      <c r="W19" s="72">
        <f t="shared" ca="1" si="8"/>
        <v>2478.4173647565367</v>
      </c>
      <c r="X19" s="72">
        <f t="shared" ca="1" si="14"/>
        <v>12458.354658117052</v>
      </c>
      <c r="Y19" s="73">
        <f>mult_opex * fixed_month</f>
        <v>1000</v>
      </c>
      <c r="Z19" s="72">
        <f ca="1">mult_opex * fixed_well *D19</f>
        <v>5000</v>
      </c>
      <c r="AA19" s="72">
        <f ca="1">(Z19+Y19)*WI_current_2</f>
        <v>0</v>
      </c>
      <c r="AB19" s="72">
        <f ca="1">mult_opex * var_bo*E19</f>
        <v>0</v>
      </c>
      <c r="AC19" s="72">
        <f ca="1">mult_opex * var_mcf*F19</f>
        <v>0</v>
      </c>
      <c r="AD19" s="72">
        <f ca="1">mult_opex * var_bw * G19</f>
        <v>743.71819055197159</v>
      </c>
      <c r="AE19" s="72">
        <f ca="1">SUM(AB19:AD19)*WI_current_2</f>
        <v>0</v>
      </c>
      <c r="AF19" s="73">
        <f ca="1">mult_capex * IFERROR(OFFSET(assumptions!$F$39,MATCH(B19,assumptions!$E$39:$E$45,0)-1,0),0)</f>
        <v>0</v>
      </c>
      <c r="AG19" s="75">
        <f ca="1">mult_capex * capex_new*WI_current_2 *'forecast production'!I20</f>
        <v>0</v>
      </c>
      <c r="AH19" s="146">
        <f t="shared" ca="1" si="15"/>
        <v>0</v>
      </c>
      <c r="AI19" s="73">
        <f t="shared" ca="1" si="9"/>
        <v>682.9781851416999</v>
      </c>
      <c r="AJ19" s="72">
        <f t="shared" ca="1" si="10"/>
        <v>311.45886645292632</v>
      </c>
      <c r="AK19" s="72">
        <f t="shared" ca="1" si="16"/>
        <v>994.43705159462615</v>
      </c>
      <c r="AL19" s="73">
        <f t="shared" ca="1" si="11"/>
        <v>11463.917606522426</v>
      </c>
      <c r="AM19" s="321">
        <f ca="1">'monthly calculations (1)'!AM19</f>
        <v>1</v>
      </c>
      <c r="AN19" s="73">
        <f t="shared" ca="1" si="17"/>
        <v>11463.917606522426</v>
      </c>
      <c r="AO19" s="75">
        <f t="shared" ca="1" si="19"/>
        <v>200015.64810766143</v>
      </c>
      <c r="AP19" s="72">
        <f ca="1">AL19  /  ( 1 + disc_1/12)^(COUNT($AL$6:AL19)-1)</f>
        <v>10291.51806101136</v>
      </c>
      <c r="AQ19" s="72">
        <f t="shared" ca="1" si="20"/>
        <v>190186.77448138452</v>
      </c>
      <c r="AS19" s="303"/>
      <c r="AT19" s="300"/>
      <c r="AU19" s="297"/>
      <c r="AV19" s="303"/>
    </row>
    <row r="20" spans="2:48" x14ac:dyDescent="0.25">
      <c r="B20" s="43">
        <f t="shared" si="18"/>
        <v>44621</v>
      </c>
      <c r="C20" s="79">
        <f t="shared" si="12"/>
        <v>2022</v>
      </c>
      <c r="D20" s="64">
        <f ca="1">wellcount_base  +  SUM('forecast production'!I$7:I21)</f>
        <v>1</v>
      </c>
      <c r="E20" s="108">
        <f ca="1">'forecast production'!AE21</f>
        <v>717.63145415598649</v>
      </c>
      <c r="F20" s="97">
        <f ca="1">'forecast production'!AF21</f>
        <v>3279.5038001196112</v>
      </c>
      <c r="G20" s="97">
        <f ca="1">'forecast production'!AG21</f>
        <v>398.40630818595969</v>
      </c>
      <c r="H20" s="98">
        <f ca="1">'forecast production'!AH21</f>
        <v>491.92557001794171</v>
      </c>
      <c r="I20" s="307">
        <f ca="1">IF('monthly calculations (1)'!AV19,WI_2_APO, WI_2)</f>
        <v>0</v>
      </c>
      <c r="J20" s="306">
        <f ca="1">IF('monthly calculations (1)'!AV19,NRI_2_APO, NRI_2)</f>
        <v>0.25</v>
      </c>
      <c r="K20" s="112">
        <f t="shared" ca="1" si="0"/>
        <v>179.40786353899662</v>
      </c>
      <c r="L20" s="98">
        <f t="shared" ca="1" si="1"/>
        <v>614.90696252242708</v>
      </c>
      <c r="M20" s="98">
        <f t="shared" ca="1" si="2"/>
        <v>99.601577046489922</v>
      </c>
      <c r="N20" s="98">
        <f t="shared" ca="1" si="3"/>
        <v>122.98139250448543</v>
      </c>
      <c r="O20" s="67">
        <f>assumptions!M24</f>
        <v>55</v>
      </c>
      <c r="P20" s="68">
        <f>assumptions!N24</f>
        <v>3</v>
      </c>
      <c r="Q20" s="68">
        <f>assumptions!O24</f>
        <v>22</v>
      </c>
      <c r="R20" s="67">
        <f t="shared" si="4"/>
        <v>52.5</v>
      </c>
      <c r="S20" s="68">
        <f t="shared" si="5"/>
        <v>2.3275000000000001</v>
      </c>
      <c r="T20" s="68">
        <f t="shared" si="6"/>
        <v>22</v>
      </c>
      <c r="U20" s="73">
        <f t="shared" ca="1" si="13"/>
        <v>9418.9128357973223</v>
      </c>
      <c r="V20" s="72">
        <f t="shared" ca="1" si="7"/>
        <v>1431.1959552709491</v>
      </c>
      <c r="W20" s="72">
        <f t="shared" ca="1" si="8"/>
        <v>2705.5906350986793</v>
      </c>
      <c r="X20" s="72">
        <f t="shared" ca="1" si="14"/>
        <v>13555.69942616695</v>
      </c>
      <c r="Y20" s="73">
        <f>mult_opex * fixed_month</f>
        <v>1000</v>
      </c>
      <c r="Z20" s="72">
        <f ca="1">mult_opex * fixed_well *D20</f>
        <v>5000</v>
      </c>
      <c r="AA20" s="72">
        <f ca="1">(Z20+Y20)*WI_current_2</f>
        <v>0</v>
      </c>
      <c r="AB20" s="72">
        <f ca="1">mult_opex * var_bo*E20</f>
        <v>0</v>
      </c>
      <c r="AC20" s="72">
        <f ca="1">mult_opex * var_mcf*F20</f>
        <v>0</v>
      </c>
      <c r="AD20" s="72">
        <f ca="1">mult_opex * var_bw * G20</f>
        <v>796.81261637191938</v>
      </c>
      <c r="AE20" s="72">
        <f ca="1">SUM(AB20:AD20)*WI_current_2</f>
        <v>0</v>
      </c>
      <c r="AF20" s="73">
        <f ca="1">mult_capex * IFERROR(OFFSET(assumptions!$F$39,MATCH(B20,assumptions!$E$39:$E$45,0)-1,0),0)</f>
        <v>0</v>
      </c>
      <c r="AG20" s="75">
        <f ca="1">mult_capex * capex_new*WI_current_2 *'forecast production'!I21</f>
        <v>0</v>
      </c>
      <c r="AH20" s="146">
        <f t="shared" ca="1" si="15"/>
        <v>0</v>
      </c>
      <c r="AI20" s="73">
        <f t="shared" ca="1" si="9"/>
        <v>743.52898472439892</v>
      </c>
      <c r="AJ20" s="72">
        <f t="shared" ca="1" si="10"/>
        <v>338.89248565417375</v>
      </c>
      <c r="AK20" s="72">
        <f t="shared" ca="1" si="16"/>
        <v>1082.4214703785726</v>
      </c>
      <c r="AL20" s="73">
        <f t="shared" ca="1" si="11"/>
        <v>12473.277955788377</v>
      </c>
      <c r="AM20" s="321">
        <f ca="1">'monthly calculations (1)'!AM20</f>
        <v>1</v>
      </c>
      <c r="AN20" s="73">
        <f t="shared" ca="1" si="17"/>
        <v>12473.277955788377</v>
      </c>
      <c r="AO20" s="75">
        <f t="shared" ca="1" si="19"/>
        <v>212488.92606344982</v>
      </c>
      <c r="AP20" s="72">
        <f ca="1">AL20  /  ( 1 + disc_1/12)^(COUNT($AL$6:AL20)-1)</f>
        <v>11105.109892747028</v>
      </c>
      <c r="AQ20" s="72">
        <f t="shared" ca="1" si="20"/>
        <v>201291.88437413154</v>
      </c>
      <c r="AS20" s="303"/>
      <c r="AT20" s="300"/>
      <c r="AU20" s="297"/>
      <c r="AV20" s="303"/>
    </row>
    <row r="21" spans="2:48" x14ac:dyDescent="0.25">
      <c r="B21" s="43">
        <f t="shared" si="18"/>
        <v>44652</v>
      </c>
      <c r="C21" s="79">
        <f t="shared" si="12"/>
        <v>2022</v>
      </c>
      <c r="D21" s="64">
        <f ca="1">wellcount_base  +  SUM('forecast production'!I$7:I22)</f>
        <v>1</v>
      </c>
      <c r="E21" s="108">
        <f ca="1">'forecast production'!AE22</f>
        <v>680.44677115600484</v>
      </c>
      <c r="F21" s="97">
        <f ca="1">'forecast production'!AF22</f>
        <v>3125.3263094487415</v>
      </c>
      <c r="G21" s="97">
        <f ca="1">'forecast production'!AG22</f>
        <v>371.79643159251623</v>
      </c>
      <c r="H21" s="98">
        <f ca="1">'forecast production'!AH22</f>
        <v>468.79894641731124</v>
      </c>
      <c r="I21" s="307">
        <f ca="1">IF('monthly calculations (1)'!AV20,WI_2_APO, WI_2)</f>
        <v>0</v>
      </c>
      <c r="J21" s="306">
        <f ca="1">IF('monthly calculations (1)'!AV20,NRI_2_APO, NRI_2)</f>
        <v>0.25</v>
      </c>
      <c r="K21" s="112">
        <f t="shared" ca="1" si="0"/>
        <v>170.11169278900121</v>
      </c>
      <c r="L21" s="98">
        <f t="shared" ca="1" si="1"/>
        <v>585.99868302163907</v>
      </c>
      <c r="M21" s="98">
        <f t="shared" ca="1" si="2"/>
        <v>92.949107898129057</v>
      </c>
      <c r="N21" s="98">
        <f t="shared" ca="1" si="3"/>
        <v>117.19973660432781</v>
      </c>
      <c r="O21" s="67">
        <f>assumptions!M25</f>
        <v>55</v>
      </c>
      <c r="P21" s="68">
        <f>assumptions!N25</f>
        <v>3</v>
      </c>
      <c r="Q21" s="68">
        <f>assumptions!O25</f>
        <v>22</v>
      </c>
      <c r="R21" s="67">
        <f t="shared" si="4"/>
        <v>52.5</v>
      </c>
      <c r="S21" s="68">
        <f t="shared" si="5"/>
        <v>2.3275000000000001</v>
      </c>
      <c r="T21" s="68">
        <f t="shared" si="6"/>
        <v>22</v>
      </c>
      <c r="U21" s="73">
        <f t="shared" ca="1" si="13"/>
        <v>8930.8638714225635</v>
      </c>
      <c r="V21" s="72">
        <f t="shared" ca="1" si="7"/>
        <v>1363.9119347328649</v>
      </c>
      <c r="W21" s="72">
        <f t="shared" ca="1" si="8"/>
        <v>2578.394205295212</v>
      </c>
      <c r="X21" s="72">
        <f t="shared" ca="1" si="14"/>
        <v>12873.17001145064</v>
      </c>
      <c r="Y21" s="73">
        <f>mult_opex * fixed_month</f>
        <v>1000</v>
      </c>
      <c r="Z21" s="72">
        <f ca="1">mult_opex * fixed_well *D21</f>
        <v>5000</v>
      </c>
      <c r="AA21" s="72">
        <f ca="1">(Z21+Y21)*WI_current_2</f>
        <v>0</v>
      </c>
      <c r="AB21" s="72">
        <f ca="1">mult_opex * var_bo*E21</f>
        <v>0</v>
      </c>
      <c r="AC21" s="72">
        <f ca="1">mult_opex * var_mcf*F21</f>
        <v>0</v>
      </c>
      <c r="AD21" s="72">
        <f ca="1">mult_opex * var_bw * G21</f>
        <v>743.59286318503246</v>
      </c>
      <c r="AE21" s="72">
        <f ca="1">SUM(AB21:AD21)*WI_current_2</f>
        <v>0</v>
      </c>
      <c r="AF21" s="73">
        <f ca="1">mult_capex * IFERROR(OFFSET(assumptions!$F$39,MATCH(B21,assumptions!$E$39:$E$45,0)-1,0),0)</f>
        <v>0</v>
      </c>
      <c r="AG21" s="75">
        <f ca="1">mult_capex * capex_new*WI_current_2 *'forecast production'!I22</f>
        <v>0</v>
      </c>
      <c r="AH21" s="146">
        <f t="shared" ca="1" si="15"/>
        <v>0</v>
      </c>
      <c r="AI21" s="73">
        <f t="shared" ca="1" si="9"/>
        <v>706.49269858754371</v>
      </c>
      <c r="AJ21" s="72">
        <f t="shared" ca="1" si="10"/>
        <v>321.82925028626602</v>
      </c>
      <c r="AK21" s="72">
        <f t="shared" ca="1" si="16"/>
        <v>1028.3219488738098</v>
      </c>
      <c r="AL21" s="73">
        <f ca="1">X21-AE21-AH21-AK21-AA21</f>
        <v>11844.84806257683</v>
      </c>
      <c r="AM21" s="321">
        <f ca="1">'monthly calculations (1)'!AM21</f>
        <v>1</v>
      </c>
      <c r="AN21" s="73">
        <f t="shared" ca="1" si="17"/>
        <v>11844.84806257683</v>
      </c>
      <c r="AO21" s="75">
        <f t="shared" ca="1" si="19"/>
        <v>224333.77412602666</v>
      </c>
      <c r="AP21" s="72">
        <f ca="1">AL21  /  ( 1 + disc_1/12)^(COUNT($AL$6:AL21)-1)</f>
        <v>10458.457363506315</v>
      </c>
      <c r="AQ21" s="72">
        <f t="shared" ca="1" si="20"/>
        <v>211750.34173763785</v>
      </c>
      <c r="AS21" s="303"/>
      <c r="AT21" s="300"/>
      <c r="AU21" s="297"/>
      <c r="AV21" s="303"/>
    </row>
    <row r="22" spans="2:48" x14ac:dyDescent="0.25">
      <c r="B22" s="43">
        <f t="shared" si="18"/>
        <v>44682</v>
      </c>
      <c r="C22" s="79">
        <f t="shared" si="12"/>
        <v>2022</v>
      </c>
      <c r="D22" s="64">
        <f ca="1">wellcount_base  +  SUM('forecast production'!I$7:I23)</f>
        <v>1</v>
      </c>
      <c r="E22" s="108">
        <f ca="1">'forecast production'!AE23</f>
        <v>689.64049017988134</v>
      </c>
      <c r="F22" s="97">
        <f ca="1">'forecast production'!AF23</f>
        <v>3182.5473400533056</v>
      </c>
      <c r="G22" s="97">
        <f ca="1">'forecast production'!AG23</f>
        <v>370.91712570506274</v>
      </c>
      <c r="H22" s="98">
        <f ca="1">'forecast production'!AH23</f>
        <v>477.3821010079958</v>
      </c>
      <c r="I22" s="307">
        <f ca="1">IF('monthly calculations (1)'!AV21,WI_2_APO, WI_2)</f>
        <v>0</v>
      </c>
      <c r="J22" s="306">
        <f ca="1">IF('monthly calculations (1)'!AV21,NRI_2_APO, NRI_2)</f>
        <v>0.25</v>
      </c>
      <c r="K22" s="112">
        <f t="shared" ca="1" si="0"/>
        <v>172.41012254497033</v>
      </c>
      <c r="L22" s="98">
        <f t="shared" ca="1" si="1"/>
        <v>596.72762625999485</v>
      </c>
      <c r="M22" s="98">
        <f t="shared" ca="1" si="2"/>
        <v>92.729281426265686</v>
      </c>
      <c r="N22" s="98">
        <f t="shared" ca="1" si="3"/>
        <v>119.34552525199895</v>
      </c>
      <c r="O22" s="67">
        <f>assumptions!M26</f>
        <v>55</v>
      </c>
      <c r="P22" s="68">
        <f>assumptions!N26</f>
        <v>3</v>
      </c>
      <c r="Q22" s="68">
        <f>assumptions!O26</f>
        <v>22</v>
      </c>
      <c r="R22" s="67">
        <f t="shared" si="4"/>
        <v>52.5</v>
      </c>
      <c r="S22" s="68">
        <f t="shared" si="5"/>
        <v>2.3275000000000001</v>
      </c>
      <c r="T22" s="68">
        <f t="shared" si="6"/>
        <v>22</v>
      </c>
      <c r="U22" s="73">
        <f t="shared" ca="1" si="13"/>
        <v>9051.5314336109423</v>
      </c>
      <c r="V22" s="72">
        <f t="shared" ca="1" si="7"/>
        <v>1388.8835501201381</v>
      </c>
      <c r="W22" s="72">
        <f t="shared" ca="1" si="8"/>
        <v>2625.6015555439767</v>
      </c>
      <c r="X22" s="72">
        <f t="shared" ca="1" si="14"/>
        <v>13066.016539275057</v>
      </c>
      <c r="Y22" s="73">
        <f>mult_opex * fixed_month</f>
        <v>1000</v>
      </c>
      <c r="Z22" s="72">
        <f ca="1">mult_opex * fixed_well *D22</f>
        <v>5000</v>
      </c>
      <c r="AA22" s="72">
        <f ca="1">(Z22+Y22)*WI_current_2</f>
        <v>0</v>
      </c>
      <c r="AB22" s="72">
        <f ca="1">mult_opex * var_bo*E22</f>
        <v>0</v>
      </c>
      <c r="AC22" s="72">
        <f ca="1">mult_opex * var_mcf*F22</f>
        <v>0</v>
      </c>
      <c r="AD22" s="72">
        <f ca="1">mult_opex * var_bw * G22</f>
        <v>741.83425141012549</v>
      </c>
      <c r="AE22" s="72">
        <f ca="1">SUM(AB22:AD22)*WI_current_2</f>
        <v>0</v>
      </c>
      <c r="AF22" s="73">
        <f ca="1">mult_capex * IFERROR(OFFSET(assumptions!$F$39,MATCH(B22,assumptions!$E$39:$E$45,0)-1,0),0)</f>
        <v>0</v>
      </c>
      <c r="AG22" s="75">
        <f ca="1">mult_capex * capex_new*WI_current_2 *'forecast production'!I23</f>
        <v>0</v>
      </c>
      <c r="AH22" s="146">
        <f t="shared" ca="1" si="15"/>
        <v>0</v>
      </c>
      <c r="AI22" s="73">
        <f t="shared" ca="1" si="9"/>
        <v>717.45682887091198</v>
      </c>
      <c r="AJ22" s="72">
        <f t="shared" ca="1" si="10"/>
        <v>326.65041348187646</v>
      </c>
      <c r="AK22" s="72">
        <f t="shared" ca="1" si="16"/>
        <v>1044.1072423527885</v>
      </c>
      <c r="AL22" s="73">
        <f t="shared" ca="1" si="11"/>
        <v>12021.909296922269</v>
      </c>
      <c r="AM22" s="321">
        <f ca="1">'monthly calculations (1)'!AM22</f>
        <v>1</v>
      </c>
      <c r="AN22" s="73">
        <f t="shared" ca="1" si="17"/>
        <v>12021.909296922269</v>
      </c>
      <c r="AO22" s="75">
        <f t="shared" ca="1" si="19"/>
        <v>236355.68342294893</v>
      </c>
      <c r="AP22" s="72">
        <f ca="1">AL22  /  ( 1 + disc_1/12)^(COUNT($AL$6:AL22)-1)</f>
        <v>10527.068736549292</v>
      </c>
      <c r="AQ22" s="72">
        <f t="shared" ca="1" si="20"/>
        <v>222277.41047418714</v>
      </c>
      <c r="AS22" s="303"/>
      <c r="AT22" s="300"/>
      <c r="AU22" s="297"/>
      <c r="AV22" s="303"/>
    </row>
    <row r="23" spans="2:48" x14ac:dyDescent="0.25">
      <c r="B23" s="43">
        <f t="shared" si="18"/>
        <v>44713</v>
      </c>
      <c r="C23" s="79">
        <f t="shared" si="12"/>
        <v>2022</v>
      </c>
      <c r="D23" s="64">
        <f ca="1">wellcount_base  +  SUM('forecast production'!I$7:I24)</f>
        <v>1</v>
      </c>
      <c r="E23" s="108">
        <f ca="1">'forecast production'!AE24</f>
        <v>654.42204576907068</v>
      </c>
      <c r="F23" s="97">
        <f ca="1">'forecast production'!AF24</f>
        <v>3034.2957003699958</v>
      </c>
      <c r="G23" s="97">
        <f ca="1">'forecast production'!AG24</f>
        <v>346.14776850987255</v>
      </c>
      <c r="H23" s="98">
        <f ca="1">'forecast production'!AH24</f>
        <v>455.14435505549937</v>
      </c>
      <c r="I23" s="307">
        <f ca="1">IF('monthly calculations (1)'!AV22,WI_2_APO, WI_2)</f>
        <v>0</v>
      </c>
      <c r="J23" s="306">
        <f ca="1">IF('monthly calculations (1)'!AV22,NRI_2_APO, NRI_2)</f>
        <v>0.25</v>
      </c>
      <c r="K23" s="112">
        <f t="shared" ca="1" si="0"/>
        <v>163.60551144226767</v>
      </c>
      <c r="L23" s="98">
        <f t="shared" ca="1" si="1"/>
        <v>568.9304438193742</v>
      </c>
      <c r="M23" s="98">
        <f t="shared" ca="1" si="2"/>
        <v>86.536942127468137</v>
      </c>
      <c r="N23" s="98">
        <f t="shared" ca="1" si="3"/>
        <v>113.78608876387484</v>
      </c>
      <c r="O23" s="67">
        <f>assumptions!M27</f>
        <v>55</v>
      </c>
      <c r="P23" s="68">
        <f>assumptions!N27</f>
        <v>3</v>
      </c>
      <c r="Q23" s="68">
        <f>assumptions!O27</f>
        <v>22</v>
      </c>
      <c r="R23" s="67">
        <f t="shared" si="4"/>
        <v>52.5</v>
      </c>
      <c r="S23" s="68">
        <f t="shared" si="5"/>
        <v>2.3275000000000001</v>
      </c>
      <c r="T23" s="68">
        <f t="shared" si="6"/>
        <v>22</v>
      </c>
      <c r="U23" s="73">
        <f t="shared" ca="1" si="13"/>
        <v>8589.2893507190529</v>
      </c>
      <c r="V23" s="72">
        <f t="shared" ca="1" si="7"/>
        <v>1324.1856079895936</v>
      </c>
      <c r="W23" s="72">
        <f t="shared" ca="1" si="8"/>
        <v>2503.2939528052466</v>
      </c>
      <c r="X23" s="72">
        <f t="shared" ca="1" si="14"/>
        <v>12416.768911513893</v>
      </c>
      <c r="Y23" s="73">
        <f>mult_opex * fixed_month</f>
        <v>1000</v>
      </c>
      <c r="Z23" s="72">
        <f ca="1">mult_opex * fixed_well *D23</f>
        <v>5000</v>
      </c>
      <c r="AA23" s="72">
        <f ca="1">(Z23+Y23)*WI_current_2</f>
        <v>0</v>
      </c>
      <c r="AB23" s="72">
        <f ca="1">mult_opex * var_bo*E23</f>
        <v>0</v>
      </c>
      <c r="AC23" s="72">
        <f ca="1">mult_opex * var_mcf*F23</f>
        <v>0</v>
      </c>
      <c r="AD23" s="72">
        <f ca="1">mult_opex * var_bw * G23</f>
        <v>692.2955370197451</v>
      </c>
      <c r="AE23" s="72">
        <f ca="1">SUM(AB23:AD23)*WI_current_2</f>
        <v>0</v>
      </c>
      <c r="AF23" s="73">
        <f ca="1">mult_capex * IFERROR(OFFSET(assumptions!$F$39,MATCH(B23,assumptions!$E$39:$E$45,0)-1,0),0)</f>
        <v>0</v>
      </c>
      <c r="AG23" s="75">
        <f ca="1">mult_capex * capex_new*WI_current_2 *'forecast production'!I24</f>
        <v>0</v>
      </c>
      <c r="AH23" s="146">
        <f t="shared" ca="1" si="15"/>
        <v>0</v>
      </c>
      <c r="AI23" s="73">
        <f t="shared" ca="1" si="9"/>
        <v>682.1682771926894</v>
      </c>
      <c r="AJ23" s="72">
        <f t="shared" ca="1" si="10"/>
        <v>310.41922278784733</v>
      </c>
      <c r="AK23" s="72">
        <f t="shared" ca="1" si="16"/>
        <v>992.58749998053668</v>
      </c>
      <c r="AL23" s="73">
        <f t="shared" ca="1" si="11"/>
        <v>11424.181411533356</v>
      </c>
      <c r="AM23" s="321">
        <f ca="1">'monthly calculations (1)'!AM23</f>
        <v>1</v>
      </c>
      <c r="AN23" s="73">
        <f t="shared" ca="1" si="17"/>
        <v>11424.181411533356</v>
      </c>
      <c r="AO23" s="75">
        <f t="shared" ca="1" si="19"/>
        <v>247779.86483448229</v>
      </c>
      <c r="AP23" s="72">
        <f ca="1">AL23  /  ( 1 + disc_1/12)^(COUNT($AL$6:AL23)-1)</f>
        <v>9920.9892338822501</v>
      </c>
      <c r="AQ23" s="72">
        <f t="shared" ca="1" si="20"/>
        <v>232198.3997080694</v>
      </c>
      <c r="AS23" s="303"/>
      <c r="AT23" s="300"/>
      <c r="AU23" s="297"/>
      <c r="AV23" s="303"/>
    </row>
    <row r="24" spans="2:48" x14ac:dyDescent="0.25">
      <c r="B24" s="43">
        <f t="shared" si="18"/>
        <v>44743</v>
      </c>
      <c r="C24" s="79">
        <f t="shared" si="12"/>
        <v>2022</v>
      </c>
      <c r="D24" s="64">
        <f ca="1">wellcount_base  +  SUM('forecast production'!I$7:I25)</f>
        <v>1</v>
      </c>
      <c r="E24" s="108">
        <f ca="1">'forecast production'!AE25</f>
        <v>663.75111018316989</v>
      </c>
      <c r="F24" s="97">
        <f ca="1">'forecast production'!AF25</f>
        <v>3091.1591701039843</v>
      </c>
      <c r="G24" s="97">
        <f ca="1">'forecast production'!AG25</f>
        <v>345.33346030879238</v>
      </c>
      <c r="H24" s="98">
        <f ca="1">'forecast production'!AH25</f>
        <v>463.67387551559767</v>
      </c>
      <c r="I24" s="307">
        <f ca="1">IF('monthly calculations (1)'!AV23,WI_2_APO, WI_2)</f>
        <v>0</v>
      </c>
      <c r="J24" s="306">
        <f ca="1">IF('monthly calculations (1)'!AV23,NRI_2_APO, NRI_2)</f>
        <v>0.25</v>
      </c>
      <c r="K24" s="112">
        <f t="shared" ca="1" si="0"/>
        <v>165.93777754579247</v>
      </c>
      <c r="L24" s="98">
        <f t="shared" ca="1" si="1"/>
        <v>579.5923443944971</v>
      </c>
      <c r="M24" s="98">
        <f t="shared" ca="1" si="2"/>
        <v>86.333365077198096</v>
      </c>
      <c r="N24" s="98">
        <f t="shared" ca="1" si="3"/>
        <v>115.91846887889942</v>
      </c>
      <c r="O24" s="67">
        <f>assumptions!M28</f>
        <v>55</v>
      </c>
      <c r="P24" s="68">
        <f>assumptions!N28</f>
        <v>3</v>
      </c>
      <c r="Q24" s="68">
        <f>assumptions!O28</f>
        <v>22</v>
      </c>
      <c r="R24" s="67">
        <f t="shared" si="4"/>
        <v>52.5</v>
      </c>
      <c r="S24" s="68">
        <f t="shared" si="5"/>
        <v>2.3275000000000001</v>
      </c>
      <c r="T24" s="68">
        <f t="shared" si="6"/>
        <v>22</v>
      </c>
      <c r="U24" s="73">
        <f t="shared" ca="1" si="13"/>
        <v>8711.7333211541045</v>
      </c>
      <c r="V24" s="72">
        <f t="shared" ca="1" si="7"/>
        <v>1349.001181578192</v>
      </c>
      <c r="W24" s="72">
        <f t="shared" ca="1" si="8"/>
        <v>2550.2063153357872</v>
      </c>
      <c r="X24" s="72">
        <f t="shared" ca="1" si="14"/>
        <v>12610.940818068084</v>
      </c>
      <c r="Y24" s="73">
        <f>mult_opex * fixed_month</f>
        <v>1000</v>
      </c>
      <c r="Z24" s="72">
        <f ca="1">mult_opex * fixed_well *D24</f>
        <v>5000</v>
      </c>
      <c r="AA24" s="72">
        <f ca="1">(Z24+Y24)*WI_current_2</f>
        <v>0</v>
      </c>
      <c r="AB24" s="72">
        <f ca="1">mult_opex * var_bo*E24</f>
        <v>0</v>
      </c>
      <c r="AC24" s="72">
        <f ca="1">mult_opex * var_mcf*F24</f>
        <v>0</v>
      </c>
      <c r="AD24" s="72">
        <f ca="1">mult_opex * var_bw * G24</f>
        <v>690.66692061758476</v>
      </c>
      <c r="AE24" s="72">
        <f ca="1">SUM(AB24:AD24)*WI_current_2</f>
        <v>0</v>
      </c>
      <c r="AF24" s="73">
        <f ca="1">mult_capex * IFERROR(OFFSET(assumptions!$F$39,MATCH(B24,assumptions!$E$39:$E$45,0)-1,0),0)</f>
        <v>0</v>
      </c>
      <c r="AG24" s="75">
        <f ca="1">mult_capex * capex_new*WI_current_2 *'forecast production'!I25</f>
        <v>0</v>
      </c>
      <c r="AH24" s="146">
        <f t="shared" ca="1" si="15"/>
        <v>0</v>
      </c>
      <c r="AI24" s="73">
        <f t="shared" ca="1" si="9"/>
        <v>693.18029504163724</v>
      </c>
      <c r="AJ24" s="72">
        <f t="shared" ca="1" si="10"/>
        <v>315.2735204517021</v>
      </c>
      <c r="AK24" s="72">
        <f t="shared" ca="1" si="16"/>
        <v>1008.4538154933393</v>
      </c>
      <c r="AL24" s="73">
        <f t="shared" ca="1" si="11"/>
        <v>11602.487002574744</v>
      </c>
      <c r="AM24" s="321">
        <f ca="1">'monthly calculations (1)'!AM24</f>
        <v>1</v>
      </c>
      <c r="AN24" s="73">
        <f t="shared" ca="1" si="17"/>
        <v>11602.487002574744</v>
      </c>
      <c r="AO24" s="75">
        <f t="shared" ca="1" si="19"/>
        <v>259382.35183705704</v>
      </c>
      <c r="AP24" s="72">
        <f ca="1">AL24  /  ( 1 + disc_1/12)^(COUNT($AL$6:AL24)-1)</f>
        <v>9992.562050004839</v>
      </c>
      <c r="AQ24" s="72">
        <f t="shared" ca="1" si="20"/>
        <v>242190.96175807423</v>
      </c>
      <c r="AS24" s="303"/>
      <c r="AT24" s="300"/>
      <c r="AU24" s="297"/>
      <c r="AV24" s="303"/>
    </row>
    <row r="25" spans="2:48" x14ac:dyDescent="0.25">
      <c r="B25" s="43">
        <f t="shared" si="18"/>
        <v>44774</v>
      </c>
      <c r="C25" s="79">
        <f t="shared" si="12"/>
        <v>2022</v>
      </c>
      <c r="D25" s="64">
        <f ca="1">wellcount_base  +  SUM('forecast production'!I$7:I26)</f>
        <v>1</v>
      </c>
      <c r="E25" s="108">
        <f ca="1">'forecast production'!AE26</f>
        <v>651.32518797399678</v>
      </c>
      <c r="F25" s="97">
        <f ca="1">'forecast production'!AF26</f>
        <v>3046.6984554273172</v>
      </c>
      <c r="G25" s="97">
        <f ca="1">'forecast production'!AG26</f>
        <v>333.01928612063358</v>
      </c>
      <c r="H25" s="98">
        <f ca="1">'forecast production'!AH26</f>
        <v>457.00476831409759</v>
      </c>
      <c r="I25" s="307">
        <f ca="1">IF('monthly calculations (1)'!AV24,WI_2_APO, WI_2)</f>
        <v>0</v>
      </c>
      <c r="J25" s="306">
        <f ca="1">IF('monthly calculations (1)'!AV24,NRI_2_APO, NRI_2)</f>
        <v>0.25</v>
      </c>
      <c r="K25" s="112">
        <f t="shared" ca="1" si="0"/>
        <v>162.83129699349919</v>
      </c>
      <c r="L25" s="98">
        <f t="shared" ca="1" si="1"/>
        <v>571.255960392622</v>
      </c>
      <c r="M25" s="98">
        <f t="shared" ca="1" si="2"/>
        <v>83.254821530158395</v>
      </c>
      <c r="N25" s="98">
        <f t="shared" ca="1" si="3"/>
        <v>114.2511920785244</v>
      </c>
      <c r="O25" s="67">
        <f>assumptions!M29</f>
        <v>55</v>
      </c>
      <c r="P25" s="68">
        <f>assumptions!N29</f>
        <v>3</v>
      </c>
      <c r="Q25" s="68">
        <f>assumptions!O29</f>
        <v>22</v>
      </c>
      <c r="R25" s="67">
        <f t="shared" si="4"/>
        <v>52.5</v>
      </c>
      <c r="S25" s="68">
        <f t="shared" si="5"/>
        <v>2.3275000000000001</v>
      </c>
      <c r="T25" s="68">
        <f t="shared" si="6"/>
        <v>22</v>
      </c>
      <c r="U25" s="73">
        <f t="shared" ca="1" si="13"/>
        <v>8548.6430921587071</v>
      </c>
      <c r="V25" s="72">
        <f t="shared" ca="1" si="7"/>
        <v>1329.5982478138278</v>
      </c>
      <c r="W25" s="72">
        <f t="shared" ca="1" si="8"/>
        <v>2513.5262257275367</v>
      </c>
      <c r="X25" s="72">
        <f t="shared" ca="1" si="14"/>
        <v>12391.767565700073</v>
      </c>
      <c r="Y25" s="73">
        <f>mult_opex * fixed_month</f>
        <v>1000</v>
      </c>
      <c r="Z25" s="72">
        <f ca="1">mult_opex * fixed_well *D25</f>
        <v>5000</v>
      </c>
      <c r="AA25" s="72">
        <f ca="1">(Z25+Y25)*WI_current_2</f>
        <v>0</v>
      </c>
      <c r="AB25" s="72">
        <f ca="1">mult_opex * var_bo*E25</f>
        <v>0</v>
      </c>
      <c r="AC25" s="72">
        <f ca="1">mult_opex * var_mcf*F25</f>
        <v>0</v>
      </c>
      <c r="AD25" s="72">
        <f ca="1">mult_opex * var_bw * G25</f>
        <v>666.03857224126716</v>
      </c>
      <c r="AE25" s="72">
        <f ca="1">SUM(AB25:AD25)*WI_current_2</f>
        <v>0</v>
      </c>
      <c r="AF25" s="73">
        <f ca="1">mult_capex * IFERROR(OFFSET(assumptions!$F$39,MATCH(B25,assumptions!$E$39:$E$45,0)-1,0),0)</f>
        <v>0</v>
      </c>
      <c r="AG25" s="75">
        <f ca="1">mult_capex * capex_new*WI_current_2 *'forecast production'!I26</f>
        <v>0</v>
      </c>
      <c r="AH25" s="146">
        <f t="shared" ca="1" si="15"/>
        <v>0</v>
      </c>
      <c r="AI25" s="73">
        <f t="shared" ca="1" si="9"/>
        <v>681.47191775490285</v>
      </c>
      <c r="AJ25" s="72">
        <f t="shared" ca="1" si="10"/>
        <v>309.79418914250186</v>
      </c>
      <c r="AK25" s="72">
        <f t="shared" ca="1" si="16"/>
        <v>991.26610689740471</v>
      </c>
      <c r="AL25" s="73">
        <f t="shared" ca="1" si="11"/>
        <v>11400.501458802668</v>
      </c>
      <c r="AM25" s="321">
        <f ca="1">'monthly calculations (1)'!AM25</f>
        <v>1</v>
      </c>
      <c r="AN25" s="73">
        <f t="shared" ca="1" si="17"/>
        <v>11400.501458802668</v>
      </c>
      <c r="AO25" s="75">
        <f t="shared" ca="1" si="19"/>
        <v>270782.85329585971</v>
      </c>
      <c r="AP25" s="72">
        <f ca="1">AL25  /  ( 1 + disc_1/12)^(COUNT($AL$6:AL25)-1)</f>
        <v>9737.4579084932211</v>
      </c>
      <c r="AQ25" s="72">
        <f t="shared" ca="1" si="20"/>
        <v>251928.41966656747</v>
      </c>
      <c r="AS25" s="303"/>
      <c r="AT25" s="300"/>
      <c r="AU25" s="297"/>
      <c r="AV25" s="303"/>
    </row>
    <row r="26" spans="2:48" x14ac:dyDescent="0.25">
      <c r="B26" s="43">
        <f t="shared" si="18"/>
        <v>44805</v>
      </c>
      <c r="C26" s="79">
        <f t="shared" si="12"/>
        <v>2022</v>
      </c>
      <c r="D26" s="64">
        <f ca="1">wellcount_base  +  SUM('forecast production'!I$7:I27)</f>
        <v>1</v>
      </c>
      <c r="E26" s="108">
        <f ca="1">'forecast production'!AE27</f>
        <v>618.73157552863211</v>
      </c>
      <c r="F26" s="97">
        <f ca="1">'forecast production'!AF27</f>
        <v>2906.6115283154209</v>
      </c>
      <c r="G26" s="97">
        <f ca="1">'forecast production'!AG27</f>
        <v>310.78677789356834</v>
      </c>
      <c r="H26" s="98">
        <f ca="1">'forecast production'!AH27</f>
        <v>435.99172924731306</v>
      </c>
      <c r="I26" s="307">
        <f ca="1">IF('monthly calculations (1)'!AV25,WI_2_APO, WI_2)</f>
        <v>0</v>
      </c>
      <c r="J26" s="306">
        <f ca="1">IF('monthly calculations (1)'!AV25,NRI_2_APO, NRI_2)</f>
        <v>0.25</v>
      </c>
      <c r="K26" s="112">
        <f t="shared" ca="1" si="0"/>
        <v>154.68289388215803</v>
      </c>
      <c r="L26" s="98">
        <f t="shared" ca="1" si="1"/>
        <v>544.98966155914138</v>
      </c>
      <c r="M26" s="98">
        <f t="shared" ca="1" si="2"/>
        <v>77.696694473392085</v>
      </c>
      <c r="N26" s="98">
        <f t="shared" ca="1" si="3"/>
        <v>108.99793231182827</v>
      </c>
      <c r="O26" s="67">
        <f>assumptions!M30</f>
        <v>55</v>
      </c>
      <c r="P26" s="68">
        <f>assumptions!N30</f>
        <v>3</v>
      </c>
      <c r="Q26" s="68">
        <f>assumptions!O30</f>
        <v>22</v>
      </c>
      <c r="R26" s="67">
        <f t="shared" si="4"/>
        <v>52.5</v>
      </c>
      <c r="S26" s="68">
        <f t="shared" si="5"/>
        <v>2.3275000000000001</v>
      </c>
      <c r="T26" s="68">
        <f t="shared" si="6"/>
        <v>22</v>
      </c>
      <c r="U26" s="73">
        <f t="shared" ca="1" si="13"/>
        <v>8120.8519288132966</v>
      </c>
      <c r="V26" s="72">
        <f t="shared" ca="1" si="7"/>
        <v>1268.4634372789017</v>
      </c>
      <c r="W26" s="72">
        <f t="shared" ca="1" si="8"/>
        <v>2397.9545108602219</v>
      </c>
      <c r="X26" s="72">
        <f t="shared" ca="1" si="14"/>
        <v>11787.26987695242</v>
      </c>
      <c r="Y26" s="73">
        <f>mult_opex * fixed_month</f>
        <v>1000</v>
      </c>
      <c r="Z26" s="72">
        <f ca="1">mult_opex * fixed_well *D26</f>
        <v>5000</v>
      </c>
      <c r="AA26" s="72">
        <f ca="1">(Z26+Y26)*WI_current_2</f>
        <v>0</v>
      </c>
      <c r="AB26" s="72">
        <f ca="1">mult_opex * var_bo*E26</f>
        <v>0</v>
      </c>
      <c r="AC26" s="72">
        <f ca="1">mult_opex * var_mcf*F26</f>
        <v>0</v>
      </c>
      <c r="AD26" s="72">
        <f ca="1">mult_opex * var_bw * G26</f>
        <v>621.57355578713668</v>
      </c>
      <c r="AE26" s="72">
        <f ca="1">SUM(AB26:AD26)*WI_current_2</f>
        <v>0</v>
      </c>
      <c r="AF26" s="73">
        <f ca="1">mult_capex * IFERROR(OFFSET(assumptions!$F$39,MATCH(B26,assumptions!$E$39:$E$45,0)-1,0),0)</f>
        <v>0</v>
      </c>
      <c r="AG26" s="75">
        <f ca="1">mult_capex * capex_new*WI_current_2 *'forecast production'!I27</f>
        <v>0</v>
      </c>
      <c r="AH26" s="146">
        <f t="shared" ca="1" si="15"/>
        <v>0</v>
      </c>
      <c r="AI26" s="73">
        <f t="shared" ca="1" si="9"/>
        <v>648.54053483584585</v>
      </c>
      <c r="AJ26" s="72">
        <f t="shared" ca="1" si="10"/>
        <v>294.68174692381052</v>
      </c>
      <c r="AK26" s="72">
        <f t="shared" ca="1" si="16"/>
        <v>943.22228175965643</v>
      </c>
      <c r="AL26" s="73">
        <f t="shared" ca="1" si="11"/>
        <v>10844.047595192764</v>
      </c>
      <c r="AM26" s="321">
        <f ca="1">'monthly calculations (1)'!AM26</f>
        <v>1</v>
      </c>
      <c r="AN26" s="73">
        <f t="shared" ca="1" si="17"/>
        <v>10844.047595192764</v>
      </c>
      <c r="AO26" s="75">
        <f t="shared" ca="1" si="19"/>
        <v>281626.90089105244</v>
      </c>
      <c r="AP26" s="72">
        <f ca="1">AL26  /  ( 1 + disc_1/12)^(COUNT($AL$6:AL26)-1)</f>
        <v>9185.6296142614192</v>
      </c>
      <c r="AQ26" s="72">
        <f t="shared" ca="1" si="20"/>
        <v>261114.04928082888</v>
      </c>
      <c r="AS26" s="303"/>
      <c r="AT26" s="300"/>
      <c r="AU26" s="297"/>
      <c r="AV26" s="303"/>
    </row>
    <row r="27" spans="2:48" x14ac:dyDescent="0.25">
      <c r="B27" s="43">
        <f t="shared" si="18"/>
        <v>44835</v>
      </c>
      <c r="C27" s="79">
        <f t="shared" si="12"/>
        <v>2022</v>
      </c>
      <c r="D27" s="64">
        <f ca="1">wellcount_base  +  SUM('forecast production'!I$7:I28)</f>
        <v>1</v>
      </c>
      <c r="E27" s="108">
        <f ca="1">'forecast production'!AE28</f>
        <v>628.18437352725812</v>
      </c>
      <c r="F27" s="97">
        <f ca="1">'forecast production'!AF28</f>
        <v>2962.8429006240508</v>
      </c>
      <c r="G27" s="97">
        <f ca="1">'forecast production'!AG28</f>
        <v>310.06152512460267</v>
      </c>
      <c r="H27" s="98">
        <f ca="1">'forecast production'!AH28</f>
        <v>444.42643509360761</v>
      </c>
      <c r="I27" s="307">
        <f ca="1">IF('monthly calculations (1)'!AV26,WI_2_APO, WI_2)</f>
        <v>0</v>
      </c>
      <c r="J27" s="306">
        <f ca="1">IF('monthly calculations (1)'!AV26,NRI_2_APO, NRI_2)</f>
        <v>0.25</v>
      </c>
      <c r="K27" s="112">
        <f t="shared" ca="1" si="0"/>
        <v>157.04609338181453</v>
      </c>
      <c r="L27" s="98">
        <f t="shared" ca="1" si="1"/>
        <v>555.5330438670095</v>
      </c>
      <c r="M27" s="98">
        <f t="shared" ca="1" si="2"/>
        <v>77.515381281150667</v>
      </c>
      <c r="N27" s="98">
        <f t="shared" ca="1" si="3"/>
        <v>111.1066087734019</v>
      </c>
      <c r="O27" s="67">
        <f>assumptions!M31</f>
        <v>55</v>
      </c>
      <c r="P27" s="68">
        <f>assumptions!N31</f>
        <v>3</v>
      </c>
      <c r="Q27" s="68">
        <f>assumptions!O31</f>
        <v>22</v>
      </c>
      <c r="R27" s="67">
        <f t="shared" si="4"/>
        <v>52.5</v>
      </c>
      <c r="S27" s="68">
        <f t="shared" si="5"/>
        <v>2.3275000000000001</v>
      </c>
      <c r="T27" s="68">
        <f t="shared" si="6"/>
        <v>22</v>
      </c>
      <c r="U27" s="73">
        <f t="shared" ca="1" si="13"/>
        <v>8244.9199025452635</v>
      </c>
      <c r="V27" s="72">
        <f t="shared" ca="1" si="7"/>
        <v>1293.0031596004646</v>
      </c>
      <c r="W27" s="72">
        <f t="shared" ca="1" si="8"/>
        <v>2444.3453930148416</v>
      </c>
      <c r="X27" s="72">
        <f t="shared" ca="1" si="14"/>
        <v>11982.268455160571</v>
      </c>
      <c r="Y27" s="73">
        <f>mult_opex * fixed_month</f>
        <v>1000</v>
      </c>
      <c r="Z27" s="72">
        <f ca="1">mult_opex * fixed_well *D27</f>
        <v>5000</v>
      </c>
      <c r="AA27" s="72">
        <f ca="1">(Z27+Y27)*WI_current_2</f>
        <v>0</v>
      </c>
      <c r="AB27" s="72">
        <f ca="1">mult_opex * var_bo*E27</f>
        <v>0</v>
      </c>
      <c r="AC27" s="72">
        <f ca="1">mult_opex * var_mcf*F27</f>
        <v>0</v>
      </c>
      <c r="AD27" s="72">
        <f ca="1">mult_opex * var_bw * G27</f>
        <v>620.12305024920533</v>
      </c>
      <c r="AE27" s="72">
        <f ca="1">SUM(AB27:AD27)*WI_current_2</f>
        <v>0</v>
      </c>
      <c r="AF27" s="73">
        <f ca="1">mult_capex * IFERROR(OFFSET(assumptions!$F$39,MATCH(B27,assumptions!$E$39:$E$45,0)-1,0),0)</f>
        <v>0</v>
      </c>
      <c r="AG27" s="75">
        <f ca="1">mult_capex * capex_new*WI_current_2 *'forecast production'!I28</f>
        <v>0</v>
      </c>
      <c r="AH27" s="146">
        <f t="shared" ca="1" si="15"/>
        <v>0</v>
      </c>
      <c r="AI27" s="73">
        <f t="shared" ca="1" si="9"/>
        <v>659.56745696323003</v>
      </c>
      <c r="AJ27" s="72">
        <f t="shared" ca="1" si="10"/>
        <v>299.5567113790143</v>
      </c>
      <c r="AK27" s="72">
        <f t="shared" ca="1" si="16"/>
        <v>959.12416834224427</v>
      </c>
      <c r="AL27" s="73">
        <f t="shared" ca="1" si="11"/>
        <v>11023.144286818326</v>
      </c>
      <c r="AM27" s="321">
        <f ca="1">'monthly calculations (1)'!AM27</f>
        <v>1</v>
      </c>
      <c r="AN27" s="73">
        <f t="shared" ca="1" si="17"/>
        <v>11023.144286818326</v>
      </c>
      <c r="AO27" s="75">
        <f t="shared" ca="1" si="19"/>
        <v>292650.04517787078</v>
      </c>
      <c r="AP27" s="72">
        <f ca="1">AL27  /  ( 1 + disc_1/12)^(COUNT($AL$6:AL27)-1)</f>
        <v>9260.1683552116683</v>
      </c>
      <c r="AQ27" s="72">
        <f t="shared" ca="1" si="20"/>
        <v>270374.21763604053</v>
      </c>
      <c r="AS27" s="303"/>
      <c r="AT27" s="300"/>
      <c r="AU27" s="297"/>
      <c r="AV27" s="303"/>
    </row>
    <row r="28" spans="2:48" x14ac:dyDescent="0.25">
      <c r="B28" s="43">
        <f t="shared" si="18"/>
        <v>44866</v>
      </c>
      <c r="C28" s="79">
        <f t="shared" si="12"/>
        <v>2022</v>
      </c>
      <c r="D28" s="64">
        <f ca="1">wellcount_base  +  SUM('forecast production'!I$7:I29)</f>
        <v>1</v>
      </c>
      <c r="E28" s="108">
        <f ca="1">'forecast production'!AE29</f>
        <v>597.13864752529764</v>
      </c>
      <c r="F28" s="97">
        <f ca="1">'forecast production'!AF29</f>
        <v>2827.7151921196455</v>
      </c>
      <c r="G28" s="97">
        <f ca="1">'forecast production'!AG29</f>
        <v>289.36543752141017</v>
      </c>
      <c r="H28" s="98">
        <f ca="1">'forecast production'!AH29</f>
        <v>424.15727881794686</v>
      </c>
      <c r="I28" s="307">
        <f ca="1">IF('monthly calculations (1)'!AV27,WI_2_APO, WI_2)</f>
        <v>0</v>
      </c>
      <c r="J28" s="306">
        <f ca="1">IF('monthly calculations (1)'!AV27,NRI_2_APO, NRI_2)</f>
        <v>0.25</v>
      </c>
      <c r="K28" s="112">
        <f t="shared" ca="1" si="0"/>
        <v>149.28466188132441</v>
      </c>
      <c r="L28" s="98">
        <f t="shared" ca="1" si="1"/>
        <v>530.19659852243353</v>
      </c>
      <c r="M28" s="98">
        <f t="shared" ca="1" si="2"/>
        <v>72.341359380352543</v>
      </c>
      <c r="N28" s="98">
        <f t="shared" ca="1" si="3"/>
        <v>106.03931970448672</v>
      </c>
      <c r="O28" s="67">
        <f>assumptions!M32</f>
        <v>55</v>
      </c>
      <c r="P28" s="68">
        <f>assumptions!N32</f>
        <v>3</v>
      </c>
      <c r="Q28" s="68">
        <f>assumptions!O32</f>
        <v>22</v>
      </c>
      <c r="R28" s="67">
        <f t="shared" si="4"/>
        <v>52.5</v>
      </c>
      <c r="S28" s="68">
        <f t="shared" si="5"/>
        <v>2.3275000000000001</v>
      </c>
      <c r="T28" s="68">
        <f t="shared" si="6"/>
        <v>22</v>
      </c>
      <c r="U28" s="73">
        <f t="shared" ca="1" si="13"/>
        <v>7837.4447487695315</v>
      </c>
      <c r="V28" s="72">
        <f t="shared" ca="1" si="7"/>
        <v>1234.032583060964</v>
      </c>
      <c r="W28" s="72">
        <f t="shared" ca="1" si="8"/>
        <v>2332.8650334987078</v>
      </c>
      <c r="X28" s="72">
        <f t="shared" ca="1" si="14"/>
        <v>11404.342365329205</v>
      </c>
      <c r="Y28" s="73">
        <f>mult_opex * fixed_month</f>
        <v>1000</v>
      </c>
      <c r="Z28" s="72">
        <f ca="1">mult_opex * fixed_well *D28</f>
        <v>5000</v>
      </c>
      <c r="AA28" s="72">
        <f ca="1">(Z28+Y28)*WI_current_2</f>
        <v>0</v>
      </c>
      <c r="AB28" s="72">
        <f ca="1">mult_opex * var_bo*E28</f>
        <v>0</v>
      </c>
      <c r="AC28" s="72">
        <f ca="1">mult_opex * var_mcf*F28</f>
        <v>0</v>
      </c>
      <c r="AD28" s="72">
        <f ca="1">mult_opex * var_bw * G28</f>
        <v>578.73087504282034</v>
      </c>
      <c r="AE28" s="72">
        <f ca="1">SUM(AB28:AD28)*WI_current_2</f>
        <v>0</v>
      </c>
      <c r="AF28" s="73">
        <f ca="1">mult_capex * IFERROR(OFFSET(assumptions!$F$39,MATCH(B28,assumptions!$E$39:$E$45,0)-1,0),0)</f>
        <v>0</v>
      </c>
      <c r="AG28" s="75">
        <f ca="1">mult_capex * capex_new*WI_current_2 *'forecast production'!I29</f>
        <v>0</v>
      </c>
      <c r="AH28" s="146">
        <f t="shared" ca="1" si="15"/>
        <v>0</v>
      </c>
      <c r="AI28" s="73">
        <f t="shared" ca="1" si="9"/>
        <v>628.03977968537379</v>
      </c>
      <c r="AJ28" s="72">
        <f t="shared" ca="1" si="10"/>
        <v>285.10855913323013</v>
      </c>
      <c r="AK28" s="72">
        <f t="shared" ca="1" si="16"/>
        <v>913.14833881860386</v>
      </c>
      <c r="AL28" s="73">
        <f t="shared" ca="1" si="11"/>
        <v>10491.1940265106</v>
      </c>
      <c r="AM28" s="321">
        <f ca="1">'monthly calculations (1)'!AM28</f>
        <v>1</v>
      </c>
      <c r="AN28" s="73">
        <f t="shared" ca="1" si="17"/>
        <v>10491.1940265106</v>
      </c>
      <c r="AO28" s="75">
        <f t="shared" ca="1" si="19"/>
        <v>303141.23920438136</v>
      </c>
      <c r="AP28" s="72">
        <f ca="1">AL28  /  ( 1 + disc_1/12)^(COUNT($AL$6:AL28)-1)</f>
        <v>8740.4578967083544</v>
      </c>
      <c r="AQ28" s="72">
        <f t="shared" ca="1" si="20"/>
        <v>279114.67553274886</v>
      </c>
      <c r="AS28" s="303"/>
      <c r="AT28" s="300"/>
      <c r="AU28" s="297"/>
      <c r="AV28" s="303"/>
    </row>
    <row r="29" spans="2:48" x14ac:dyDescent="0.25">
      <c r="B29" s="44">
        <f t="shared" si="18"/>
        <v>44896</v>
      </c>
      <c r="C29" s="100">
        <f t="shared" si="12"/>
        <v>2022</v>
      </c>
      <c r="D29" s="65">
        <f ca="1">wellcount_base  +  SUM('forecast production'!I$7:I30)</f>
        <v>1</v>
      </c>
      <c r="E29" s="109">
        <f ca="1">'forecast production'!AE30</f>
        <v>606.63147393860379</v>
      </c>
      <c r="F29" s="101">
        <f ca="1">'forecast production'!AF30</f>
        <v>2883.4796842684741</v>
      </c>
      <c r="G29" s="101">
        <f ca="1">'forecast production'!AG30</f>
        <v>288.69379373393645</v>
      </c>
      <c r="H29" s="102">
        <f ca="1">'forecast production'!AH30</f>
        <v>432.52195264027114</v>
      </c>
      <c r="I29" s="308">
        <f ca="1">IF('monthly calculations (1)'!AV28,WI_2_APO, WI_2)</f>
        <v>0</v>
      </c>
      <c r="J29" s="309">
        <f ca="1">IF('monthly calculations (1)'!AV28,NRI_2_APO, NRI_2)</f>
        <v>0.25</v>
      </c>
      <c r="K29" s="113">
        <f t="shared" ca="1" si="0"/>
        <v>151.65786848465095</v>
      </c>
      <c r="L29" s="102">
        <f t="shared" ca="1" si="1"/>
        <v>540.65244080033892</v>
      </c>
      <c r="M29" s="102">
        <f t="shared" ca="1" si="2"/>
        <v>72.173448433484111</v>
      </c>
      <c r="N29" s="102">
        <f t="shared" ca="1" si="3"/>
        <v>108.13048816006778</v>
      </c>
      <c r="O29" s="103">
        <f>assumptions!M33</f>
        <v>55</v>
      </c>
      <c r="P29" s="104">
        <f>assumptions!N33</f>
        <v>3</v>
      </c>
      <c r="Q29" s="104">
        <f>assumptions!O33</f>
        <v>22</v>
      </c>
      <c r="R29" s="103">
        <f t="shared" si="4"/>
        <v>52.5</v>
      </c>
      <c r="S29" s="104">
        <f t="shared" si="5"/>
        <v>2.3275000000000001</v>
      </c>
      <c r="T29" s="104">
        <f t="shared" si="6"/>
        <v>22</v>
      </c>
      <c r="U29" s="105">
        <f t="shared" ca="1" si="13"/>
        <v>7962.0380954441744</v>
      </c>
      <c r="V29" s="106">
        <f t="shared" ca="1" si="7"/>
        <v>1258.3685559627888</v>
      </c>
      <c r="W29" s="106">
        <f t="shared" ca="1" si="8"/>
        <v>2378.8707395214915</v>
      </c>
      <c r="X29" s="106">
        <f t="shared" ca="1" si="14"/>
        <v>11599.277390928455</v>
      </c>
      <c r="Y29" s="105">
        <f>mult_opex * fixed_month</f>
        <v>1000</v>
      </c>
      <c r="Z29" s="106">
        <f ca="1">mult_opex * fixed_well *D29</f>
        <v>5000</v>
      </c>
      <c r="AA29" s="106">
        <f ca="1">(Z29+Y29)*WI_current_2</f>
        <v>0</v>
      </c>
      <c r="AB29" s="106">
        <f ca="1">mult_opex * var_bo*E29</f>
        <v>0</v>
      </c>
      <c r="AC29" s="106">
        <f ca="1">mult_opex * var_mcf*F29</f>
        <v>0</v>
      </c>
      <c r="AD29" s="106">
        <f ca="1">mult_opex * var_bw * G29</f>
        <v>577.38758746787289</v>
      </c>
      <c r="AE29" s="106">
        <f ca="1">SUM(AB29:AD29)*WI_current_2</f>
        <v>0</v>
      </c>
      <c r="AF29" s="105">
        <f ca="1">mult_capex * IFERROR(OFFSET(assumptions!$F$39,MATCH(B29,assumptions!$E$39:$E$45,0)-1,0),0)</f>
        <v>0</v>
      </c>
      <c r="AG29" s="106">
        <f ca="1">mult_capex * capex_new*WI_current_2 *'forecast production'!I30</f>
        <v>0</v>
      </c>
      <c r="AH29" s="147">
        <f t="shared" ca="1" si="15"/>
        <v>0</v>
      </c>
      <c r="AI29" s="105">
        <f t="shared" ca="1" si="9"/>
        <v>639.04669955175302</v>
      </c>
      <c r="AJ29" s="106">
        <f t="shared" ca="1" si="10"/>
        <v>289.98193477321138</v>
      </c>
      <c r="AK29" s="106">
        <f t="shared" ca="1" si="16"/>
        <v>929.0286343249644</v>
      </c>
      <c r="AL29" s="105">
        <f t="shared" ca="1" si="11"/>
        <v>10670.248756603491</v>
      </c>
      <c r="AM29" s="322">
        <f ca="1">'monthly calculations (1)'!AM29</f>
        <v>1</v>
      </c>
      <c r="AN29" s="105">
        <f t="shared" ca="1" si="17"/>
        <v>10670.248756603491</v>
      </c>
      <c r="AO29" s="106">
        <f t="shared" ca="1" si="19"/>
        <v>313811.48796098487</v>
      </c>
      <c r="AP29" s="106">
        <f ca="1">AL29  /  ( 1 + disc_1/12)^(COUNT($AL$6:AL29)-1)</f>
        <v>8816.1645216666457</v>
      </c>
      <c r="AQ29" s="106">
        <f t="shared" ca="1" si="20"/>
        <v>287930.84005441552</v>
      </c>
      <c r="AS29" s="304"/>
      <c r="AT29" s="301"/>
      <c r="AU29" s="298"/>
      <c r="AV29" s="304"/>
    </row>
    <row r="30" spans="2:48" x14ac:dyDescent="0.25">
      <c r="B30" s="43">
        <f t="shared" si="18"/>
        <v>44927</v>
      </c>
      <c r="C30" s="79">
        <f t="shared" si="12"/>
        <v>2023</v>
      </c>
      <c r="D30" s="64">
        <f ca="1">wellcount_base  +  SUM('forecast production'!I$7:I31)</f>
        <v>1</v>
      </c>
      <c r="E30" s="108">
        <f ca="1">'forecast production'!AE31</f>
        <v>596.23542744274027</v>
      </c>
      <c r="F30" s="97">
        <f ca="1">'forecast production'!AF31</f>
        <v>2844.7550458795163</v>
      </c>
      <c r="G30" s="97">
        <f ca="1">'forecast production'!AG31</f>
        <v>278.40837149924312</v>
      </c>
      <c r="H30" s="98">
        <f ca="1">'forecast production'!AH31</f>
        <v>426.71325688192741</v>
      </c>
      <c r="I30" s="307">
        <f ca="1">IF('monthly calculations (1)'!AV29,WI_2_APO, WI_2)</f>
        <v>0</v>
      </c>
      <c r="J30" s="306">
        <f ca="1">IF('monthly calculations (1)'!AV29,NRI_2_APO, NRI_2)</f>
        <v>0.25</v>
      </c>
      <c r="K30" s="112">
        <f t="shared" ca="1" si="0"/>
        <v>149.05885686068507</v>
      </c>
      <c r="L30" s="98">
        <f t="shared" ca="1" si="1"/>
        <v>533.39157110240933</v>
      </c>
      <c r="M30" s="98">
        <f t="shared" ca="1" si="2"/>
        <v>69.602092874810779</v>
      </c>
      <c r="N30" s="98">
        <f t="shared" ca="1" si="3"/>
        <v>106.67831422048185</v>
      </c>
      <c r="O30" s="67">
        <f>assumptions!M34</f>
        <v>55</v>
      </c>
      <c r="P30" s="68">
        <f>assumptions!N34</f>
        <v>3</v>
      </c>
      <c r="Q30" s="68">
        <f>assumptions!O34</f>
        <v>22</v>
      </c>
      <c r="R30" s="67">
        <f t="shared" si="4"/>
        <v>52.5</v>
      </c>
      <c r="S30" s="68">
        <f t="shared" si="5"/>
        <v>2.3275000000000001</v>
      </c>
      <c r="T30" s="68">
        <f t="shared" si="6"/>
        <v>22</v>
      </c>
      <c r="U30" s="73">
        <f t="shared" ca="1" si="13"/>
        <v>7825.5899851859658</v>
      </c>
      <c r="V30" s="72">
        <f t="shared" ca="1" si="7"/>
        <v>1241.4688817408578</v>
      </c>
      <c r="W30" s="72">
        <f t="shared" ca="1" si="8"/>
        <v>2346.9229128506008</v>
      </c>
      <c r="X30" s="72">
        <f t="shared" ca="1" si="14"/>
        <v>11413.981779777425</v>
      </c>
      <c r="Y30" s="73">
        <f>mult_opex * fixed_month</f>
        <v>1000</v>
      </c>
      <c r="Z30" s="72">
        <f ca="1">mult_opex * fixed_well *D30</f>
        <v>5000</v>
      </c>
      <c r="AA30" s="72">
        <f ca="1">(Z30+Y30)*WI_current_2</f>
        <v>0</v>
      </c>
      <c r="AB30" s="72">
        <f ca="1">mult_opex * var_bo*E30</f>
        <v>0</v>
      </c>
      <c r="AC30" s="72">
        <f ca="1">mult_opex * var_mcf*F30</f>
        <v>0</v>
      </c>
      <c r="AD30" s="72">
        <f ca="1">mult_opex * var_bw * G30</f>
        <v>556.81674299848623</v>
      </c>
      <c r="AE30" s="72">
        <f ca="1">SUM(AB30:AD30)*WI_current_2</f>
        <v>0</v>
      </c>
      <c r="AF30" s="73">
        <f ca="1">mult_capex * IFERROR(OFFSET(assumptions!$F$39,MATCH(B30,assumptions!$E$39:$E$45,0)-1,0),0)</f>
        <v>0</v>
      </c>
      <c r="AG30" s="75">
        <f ca="1">mult_capex * capex_new*WI_current_2 *'forecast production'!I31</f>
        <v>0</v>
      </c>
      <c r="AH30" s="146">
        <f t="shared" ca="1" si="15"/>
        <v>0</v>
      </c>
      <c r="AI30" s="73">
        <f t="shared" ca="1" si="9"/>
        <v>629.10652391291376</v>
      </c>
      <c r="AJ30" s="72">
        <f t="shared" ca="1" si="10"/>
        <v>285.34954449443563</v>
      </c>
      <c r="AK30" s="72">
        <f t="shared" ca="1" si="16"/>
        <v>914.45606840734945</v>
      </c>
      <c r="AL30" s="73">
        <f t="shared" ca="1" si="11"/>
        <v>10499.525711370075</v>
      </c>
      <c r="AM30" s="321">
        <f ca="1">'monthly calculations (1)'!AM30</f>
        <v>1</v>
      </c>
      <c r="AN30" s="73">
        <f t="shared" ca="1" si="17"/>
        <v>10499.525711370075</v>
      </c>
      <c r="AO30" s="75">
        <f t="shared" ca="1" si="19"/>
        <v>324311.01367235492</v>
      </c>
      <c r="AP30" s="72">
        <f ca="1">AL30  /  ( 1 + disc_1/12)^(COUNT($AL$6:AL30)-1)</f>
        <v>8603.411565368835</v>
      </c>
      <c r="AQ30" s="72">
        <f t="shared" ca="1" si="20"/>
        <v>296534.25161978434</v>
      </c>
      <c r="AS30" s="303"/>
      <c r="AT30" s="300"/>
      <c r="AU30" s="297"/>
      <c r="AV30" s="303"/>
    </row>
    <row r="31" spans="2:48" x14ac:dyDescent="0.25">
      <c r="B31" s="43">
        <f t="shared" si="18"/>
        <v>44958</v>
      </c>
      <c r="C31" s="79">
        <f t="shared" si="12"/>
        <v>2023</v>
      </c>
      <c r="D31" s="64">
        <f ca="1">wellcount_base  +  SUM('forecast production'!I$7:I32)</f>
        <v>1</v>
      </c>
      <c r="E31" s="108">
        <f ca="1">'forecast production'!AE32</f>
        <v>529.4616631529758</v>
      </c>
      <c r="F31" s="97">
        <f ca="1">'forecast production'!AF32</f>
        <v>2535.4061007055457</v>
      </c>
      <c r="G31" s="97">
        <f ca="1">'forecast production'!AG32</f>
        <v>242.50814362164977</v>
      </c>
      <c r="H31" s="98">
        <f ca="1">'forecast production'!AH32</f>
        <v>380.31091510583178</v>
      </c>
      <c r="I31" s="307">
        <f ca="1">IF('monthly calculations (1)'!AV30,WI_2_APO, WI_2)</f>
        <v>0</v>
      </c>
      <c r="J31" s="306">
        <f ca="1">IF('monthly calculations (1)'!AV30,NRI_2_APO, NRI_2)</f>
        <v>0.25</v>
      </c>
      <c r="K31" s="112">
        <f t="shared" ca="1" si="0"/>
        <v>132.36541578824395</v>
      </c>
      <c r="L31" s="98">
        <f t="shared" ca="1" si="1"/>
        <v>475.38864388228978</v>
      </c>
      <c r="M31" s="98">
        <f t="shared" ca="1" si="2"/>
        <v>60.627035905412441</v>
      </c>
      <c r="N31" s="98">
        <f t="shared" ca="1" si="3"/>
        <v>95.077728776457946</v>
      </c>
      <c r="O31" s="67">
        <f>assumptions!M35</f>
        <v>55</v>
      </c>
      <c r="P31" s="68">
        <f>assumptions!N35</f>
        <v>3</v>
      </c>
      <c r="Q31" s="68">
        <f>assumptions!O35</f>
        <v>22</v>
      </c>
      <c r="R31" s="67">
        <f t="shared" si="4"/>
        <v>52.5</v>
      </c>
      <c r="S31" s="68">
        <f t="shared" si="5"/>
        <v>2.3275000000000001</v>
      </c>
      <c r="T31" s="68">
        <f t="shared" si="6"/>
        <v>22</v>
      </c>
      <c r="U31" s="73">
        <f t="shared" ca="1" si="13"/>
        <v>6949.1843288828077</v>
      </c>
      <c r="V31" s="72">
        <f t="shared" ca="1" si="7"/>
        <v>1106.4670686360296</v>
      </c>
      <c r="W31" s="72">
        <f t="shared" ca="1" si="8"/>
        <v>2091.7100330820749</v>
      </c>
      <c r="X31" s="72">
        <f t="shared" ca="1" si="14"/>
        <v>10147.361430600911</v>
      </c>
      <c r="Y31" s="73">
        <f>mult_opex * fixed_month</f>
        <v>1000</v>
      </c>
      <c r="Z31" s="72">
        <f ca="1">mult_opex * fixed_well *D31</f>
        <v>5000</v>
      </c>
      <c r="AA31" s="72">
        <f ca="1">(Z31+Y31)*WI_current_2</f>
        <v>0</v>
      </c>
      <c r="AB31" s="72">
        <f ca="1">mult_opex * var_bo*E31</f>
        <v>0</v>
      </c>
      <c r="AC31" s="72">
        <f ca="1">mult_opex * var_mcf*F31</f>
        <v>0</v>
      </c>
      <c r="AD31" s="72">
        <f ca="1">mult_opex * var_bw * G31</f>
        <v>485.01628724329953</v>
      </c>
      <c r="AE31" s="72">
        <f ca="1">SUM(AB31:AD31)*WI_current_2</f>
        <v>0</v>
      </c>
      <c r="AF31" s="73">
        <f ca="1">mult_capex * IFERROR(OFFSET(assumptions!$F$39,MATCH(B31,assumptions!$E$39:$E$45,0)-1,0),0)</f>
        <v>0</v>
      </c>
      <c r="AG31" s="75">
        <f ca="1">mult_capex * capex_new*WI_current_2 *'forecast production'!I32</f>
        <v>0</v>
      </c>
      <c r="AH31" s="146">
        <f t="shared" ca="1" si="15"/>
        <v>0</v>
      </c>
      <c r="AI31" s="73">
        <f t="shared" ca="1" si="9"/>
        <v>559.52576175746697</v>
      </c>
      <c r="AJ31" s="72">
        <f t="shared" ca="1" si="10"/>
        <v>253.6840357650228</v>
      </c>
      <c r="AK31" s="72">
        <f t="shared" ca="1" si="16"/>
        <v>813.20979752248979</v>
      </c>
      <c r="AL31" s="73">
        <f t="shared" ca="1" si="11"/>
        <v>9334.1516330784216</v>
      </c>
      <c r="AM31" s="321">
        <f ca="1">'monthly calculations (1)'!AM31</f>
        <v>1</v>
      </c>
      <c r="AN31" s="73">
        <f t="shared" ca="1" si="17"/>
        <v>9334.1516330784216</v>
      </c>
      <c r="AO31" s="75">
        <f t="shared" ca="1" si="19"/>
        <v>333645.16530543333</v>
      </c>
      <c r="AP31" s="72">
        <f ca="1">AL31  /  ( 1 + disc_1/12)^(COUNT($AL$6:AL31)-1)</f>
        <v>7585.2822390709234</v>
      </c>
      <c r="AQ31" s="72">
        <f t="shared" ca="1" si="20"/>
        <v>304119.53385885525</v>
      </c>
      <c r="AS31" s="303"/>
      <c r="AT31" s="300"/>
      <c r="AU31" s="297"/>
      <c r="AV31" s="303"/>
    </row>
    <row r="32" spans="2:48" x14ac:dyDescent="0.25">
      <c r="B32" s="43">
        <f t="shared" si="18"/>
        <v>44986</v>
      </c>
      <c r="C32" s="79">
        <f t="shared" si="12"/>
        <v>2023</v>
      </c>
      <c r="D32" s="64">
        <f ca="1">wellcount_base  +  SUM('forecast production'!I$7:I33)</f>
        <v>1</v>
      </c>
      <c r="E32" s="108">
        <f ca="1">'forecast production'!AE33</f>
        <v>577.40273438739723</v>
      </c>
      <c r="F32" s="97">
        <f ca="1">'forecast production'!AF33</f>
        <v>2773.8553133088044</v>
      </c>
      <c r="G32" s="97">
        <f ca="1">'forecast production'!AG33</f>
        <v>259.83913420477114</v>
      </c>
      <c r="H32" s="98">
        <f ca="1">'forecast production'!AH33</f>
        <v>416.0782969963206</v>
      </c>
      <c r="I32" s="307">
        <f ca="1">IF('monthly calculations (1)'!AV31,WI_2_APO, WI_2)</f>
        <v>0</v>
      </c>
      <c r="J32" s="306">
        <f ca="1">IF('monthly calculations (1)'!AV31,NRI_2_APO, NRI_2)</f>
        <v>0.25</v>
      </c>
      <c r="K32" s="112">
        <f t="shared" ca="1" si="0"/>
        <v>144.35068359684931</v>
      </c>
      <c r="L32" s="98">
        <f t="shared" ca="1" si="1"/>
        <v>520.09787124540082</v>
      </c>
      <c r="M32" s="98">
        <f t="shared" ca="1" si="2"/>
        <v>64.959783551192785</v>
      </c>
      <c r="N32" s="98">
        <f t="shared" ca="1" si="3"/>
        <v>104.01957424908015</v>
      </c>
      <c r="O32" s="67">
        <f>assumptions!M36</f>
        <v>55</v>
      </c>
      <c r="P32" s="68">
        <f>assumptions!N36</f>
        <v>3</v>
      </c>
      <c r="Q32" s="68">
        <f>assumptions!O36</f>
        <v>22</v>
      </c>
      <c r="R32" s="67">
        <f t="shared" si="4"/>
        <v>52.5</v>
      </c>
      <c r="S32" s="68">
        <f t="shared" si="5"/>
        <v>2.3275000000000001</v>
      </c>
      <c r="T32" s="68">
        <f t="shared" si="6"/>
        <v>22</v>
      </c>
      <c r="U32" s="73">
        <f t="shared" ca="1" si="13"/>
        <v>7578.4108888345891</v>
      </c>
      <c r="V32" s="72">
        <f t="shared" ca="1" si="7"/>
        <v>1210.5277953236705</v>
      </c>
      <c r="W32" s="72">
        <f t="shared" ca="1" si="8"/>
        <v>2288.4306334797634</v>
      </c>
      <c r="X32" s="72">
        <f t="shared" ca="1" si="14"/>
        <v>11077.369317638024</v>
      </c>
      <c r="Y32" s="73">
        <f>mult_opex * fixed_month</f>
        <v>1000</v>
      </c>
      <c r="Z32" s="72">
        <f ca="1">mult_opex * fixed_well *D32</f>
        <v>5000</v>
      </c>
      <c r="AA32" s="72">
        <f ca="1">(Z32+Y32)*WI_current_2</f>
        <v>0</v>
      </c>
      <c r="AB32" s="72">
        <f ca="1">mult_opex * var_bo*E32</f>
        <v>0</v>
      </c>
      <c r="AC32" s="72">
        <f ca="1">mult_opex * var_mcf*F32</f>
        <v>0</v>
      </c>
      <c r="AD32" s="72">
        <f ca="1">mult_opex * var_bw * G32</f>
        <v>519.67826840954228</v>
      </c>
      <c r="AE32" s="72">
        <f ca="1">SUM(AB32:AD32)*WI_current_2</f>
        <v>0</v>
      </c>
      <c r="AF32" s="73">
        <f ca="1">mult_capex * IFERROR(OFFSET(assumptions!$F$39,MATCH(B32,assumptions!$E$39:$E$45,0)-1,0),0)</f>
        <v>0</v>
      </c>
      <c r="AG32" s="75">
        <f ca="1">mult_capex * capex_new*WI_current_2 *'forecast production'!I33</f>
        <v>0</v>
      </c>
      <c r="AH32" s="146">
        <f t="shared" ca="1" si="15"/>
        <v>0</v>
      </c>
      <c r="AI32" s="73">
        <f t="shared" ca="1" si="9"/>
        <v>611.02878304664864</v>
      </c>
      <c r="AJ32" s="72">
        <f t="shared" ca="1" si="10"/>
        <v>276.93423294095061</v>
      </c>
      <c r="AK32" s="72">
        <f t="shared" ca="1" si="16"/>
        <v>887.96301598759919</v>
      </c>
      <c r="AL32" s="73">
        <f t="shared" ca="1" si="11"/>
        <v>10189.406301650424</v>
      </c>
      <c r="AM32" s="321">
        <f ca="1">'monthly calculations (1)'!AM32</f>
        <v>1</v>
      </c>
      <c r="AN32" s="73">
        <f t="shared" ca="1" si="17"/>
        <v>10189.406301650424</v>
      </c>
      <c r="AO32" s="75">
        <f t="shared" ca="1" si="19"/>
        <v>343834.57160708378</v>
      </c>
      <c r="AP32" s="72">
        <f ca="1">AL32  /  ( 1 + disc_1/12)^(COUNT($AL$6:AL32)-1)</f>
        <v>8211.8621246136481</v>
      </c>
      <c r="AQ32" s="72">
        <f t="shared" ca="1" si="20"/>
        <v>312331.39598346892</v>
      </c>
      <c r="AS32" s="303"/>
      <c r="AT32" s="300"/>
      <c r="AU32" s="297"/>
      <c r="AV32" s="303"/>
    </row>
    <row r="33" spans="2:48" x14ac:dyDescent="0.25">
      <c r="B33" s="43">
        <f t="shared" si="18"/>
        <v>45017</v>
      </c>
      <c r="C33" s="79">
        <f t="shared" si="12"/>
        <v>2023</v>
      </c>
      <c r="D33" s="64">
        <f ca="1">wellcount_base  +  SUM('forecast production'!I$7:I34)</f>
        <v>1</v>
      </c>
      <c r="E33" s="108">
        <f ca="1">'forecast production'!AE34</f>
        <v>549.65475045002734</v>
      </c>
      <c r="F33" s="97">
        <f ca="1">'forecast production'!AF34</f>
        <v>2649.6782612298389</v>
      </c>
      <c r="G33" s="97">
        <f ca="1">'forecast production'!AG34</f>
        <v>242.50307849025634</v>
      </c>
      <c r="H33" s="98">
        <f ca="1">'forecast production'!AH34</f>
        <v>397.45173918447585</v>
      </c>
      <c r="I33" s="307">
        <f ca="1">IF('monthly calculations (1)'!AV32,WI_2_APO, WI_2)</f>
        <v>0</v>
      </c>
      <c r="J33" s="306">
        <f ca="1">IF('monthly calculations (1)'!AV32,NRI_2_APO, NRI_2)</f>
        <v>0.25</v>
      </c>
      <c r="K33" s="112">
        <f t="shared" ca="1" si="0"/>
        <v>137.41368761250683</v>
      </c>
      <c r="L33" s="98">
        <f t="shared" ca="1" si="1"/>
        <v>496.81467398059476</v>
      </c>
      <c r="M33" s="98">
        <f t="shared" ca="1" si="2"/>
        <v>60.625769622564086</v>
      </c>
      <c r="N33" s="98">
        <f t="shared" ca="1" si="3"/>
        <v>99.362934796118964</v>
      </c>
      <c r="O33" s="67">
        <f>assumptions!M37</f>
        <v>55</v>
      </c>
      <c r="P33" s="68">
        <f>assumptions!N37</f>
        <v>3</v>
      </c>
      <c r="Q33" s="68">
        <f>assumptions!O37</f>
        <v>22</v>
      </c>
      <c r="R33" s="67">
        <f t="shared" si="4"/>
        <v>52.5</v>
      </c>
      <c r="S33" s="68">
        <f t="shared" si="5"/>
        <v>2.3275000000000001</v>
      </c>
      <c r="T33" s="68">
        <f t="shared" si="6"/>
        <v>22</v>
      </c>
      <c r="U33" s="73">
        <f t="shared" ca="1" si="13"/>
        <v>7214.2185996566086</v>
      </c>
      <c r="V33" s="72">
        <f t="shared" ca="1" si="7"/>
        <v>1156.3361536898344</v>
      </c>
      <c r="W33" s="72">
        <f t="shared" ca="1" si="8"/>
        <v>2185.9845655146173</v>
      </c>
      <c r="X33" s="72">
        <f t="shared" ca="1" si="14"/>
        <v>10556.539318861061</v>
      </c>
      <c r="Y33" s="73">
        <f>mult_opex * fixed_month</f>
        <v>1000</v>
      </c>
      <c r="Z33" s="72">
        <f ca="1">mult_opex * fixed_well *D33</f>
        <v>5000</v>
      </c>
      <c r="AA33" s="72">
        <f ca="1">(Z33+Y33)*WI_current_2</f>
        <v>0</v>
      </c>
      <c r="AB33" s="72">
        <f ca="1">mult_opex * var_bo*E33</f>
        <v>0</v>
      </c>
      <c r="AC33" s="72">
        <f ca="1">mult_opex * var_mcf*F33</f>
        <v>0</v>
      </c>
      <c r="AD33" s="72">
        <f ca="1">mult_opex * var_bw * G33</f>
        <v>485.00615698051269</v>
      </c>
      <c r="AE33" s="72">
        <f ca="1">SUM(AB33:AD33)*WI_current_2</f>
        <v>0</v>
      </c>
      <c r="AF33" s="73">
        <f ca="1">mult_capex * IFERROR(OFFSET(assumptions!$F$39,MATCH(B33,assumptions!$E$39:$E$45,0)-1,0),0)</f>
        <v>0</v>
      </c>
      <c r="AG33" s="75">
        <f ca="1">mult_capex * capex_new*WI_current_2 *'forecast production'!I34</f>
        <v>0</v>
      </c>
      <c r="AH33" s="146">
        <f t="shared" ca="1" si="15"/>
        <v>0</v>
      </c>
      <c r="AI33" s="73">
        <f t="shared" ca="1" si="9"/>
        <v>582.52810952453785</v>
      </c>
      <c r="AJ33" s="72">
        <f t="shared" ca="1" si="10"/>
        <v>263.91348297152655</v>
      </c>
      <c r="AK33" s="72">
        <f t="shared" ca="1" si="16"/>
        <v>846.44159249606446</v>
      </c>
      <c r="AL33" s="73">
        <f t="shared" ca="1" si="11"/>
        <v>9710.0977263649966</v>
      </c>
      <c r="AM33" s="321">
        <f ca="1">'monthly calculations (1)'!AM33</f>
        <v>1</v>
      </c>
      <c r="AN33" s="73">
        <f t="shared" ca="1" si="17"/>
        <v>9710.0977263649966</v>
      </c>
      <c r="AO33" s="75">
        <f t="shared" ca="1" si="19"/>
        <v>353544.66933344875</v>
      </c>
      <c r="AP33" s="72">
        <f ca="1">AL33  /  ( 1 + disc_1/12)^(COUNT($AL$6:AL33)-1)</f>
        <v>7760.9028242816366</v>
      </c>
      <c r="AQ33" s="72">
        <f t="shared" ca="1" si="20"/>
        <v>320092.29880775057</v>
      </c>
      <c r="AS33" s="303"/>
      <c r="AT33" s="300"/>
      <c r="AU33" s="297"/>
      <c r="AV33" s="303"/>
    </row>
    <row r="34" spans="2:48" x14ac:dyDescent="0.25">
      <c r="B34" s="43">
        <f t="shared" si="18"/>
        <v>45047</v>
      </c>
      <c r="C34" s="79">
        <f t="shared" si="12"/>
        <v>2023</v>
      </c>
      <c r="D34" s="64">
        <f ca="1">wellcount_base  +  SUM('forecast production'!I$7:I35)</f>
        <v>1</v>
      </c>
      <c r="E34" s="108">
        <f ca="1">'forecast production'!AE35</f>
        <v>559.14296293728682</v>
      </c>
      <c r="F34" s="97">
        <f ca="1">'forecast production'!AF35</f>
        <v>2704.1746492115126</v>
      </c>
      <c r="G34" s="97">
        <f ca="1">'forecast production'!AG35</f>
        <v>241.94770735236548</v>
      </c>
      <c r="H34" s="98">
        <f ca="1">'forecast production'!AH35</f>
        <v>405.62619738172685</v>
      </c>
      <c r="I34" s="307">
        <f ca="1">IF('monthly calculations (1)'!AV33,WI_2_APO, WI_2)</f>
        <v>0</v>
      </c>
      <c r="J34" s="306">
        <f ca="1">IF('monthly calculations (1)'!AV33,NRI_2_APO, NRI_2)</f>
        <v>0.25</v>
      </c>
      <c r="K34" s="112">
        <f t="shared" ca="1" si="0"/>
        <v>139.78574073432171</v>
      </c>
      <c r="L34" s="98">
        <f t="shared" ca="1" si="1"/>
        <v>507.03274672715861</v>
      </c>
      <c r="M34" s="98">
        <f t="shared" ca="1" si="2"/>
        <v>60.486926838091371</v>
      </c>
      <c r="N34" s="98">
        <f t="shared" ca="1" si="3"/>
        <v>101.40654934543171</v>
      </c>
      <c r="O34" s="67">
        <f>assumptions!M38</f>
        <v>55</v>
      </c>
      <c r="P34" s="68">
        <f>assumptions!N38</f>
        <v>3</v>
      </c>
      <c r="Q34" s="68">
        <f>assumptions!O38</f>
        <v>22</v>
      </c>
      <c r="R34" s="67">
        <f t="shared" si="4"/>
        <v>52.5</v>
      </c>
      <c r="S34" s="68">
        <f t="shared" si="5"/>
        <v>2.3275000000000001</v>
      </c>
      <c r="T34" s="68">
        <f t="shared" si="6"/>
        <v>22</v>
      </c>
      <c r="U34" s="73">
        <f t="shared" ca="1" si="13"/>
        <v>7338.7513885518892</v>
      </c>
      <c r="V34" s="72">
        <f t="shared" ca="1" si="7"/>
        <v>1180.1187180074617</v>
      </c>
      <c r="W34" s="72">
        <f t="shared" ca="1" si="8"/>
        <v>2230.9440855994976</v>
      </c>
      <c r="X34" s="72">
        <f t="shared" ca="1" si="14"/>
        <v>10749.814192158849</v>
      </c>
      <c r="Y34" s="73">
        <f>mult_opex * fixed_month</f>
        <v>1000</v>
      </c>
      <c r="Z34" s="72">
        <f ca="1">mult_opex * fixed_well *D34</f>
        <v>5000</v>
      </c>
      <c r="AA34" s="72">
        <f ca="1">(Z34+Y34)*WI_current_2</f>
        <v>0</v>
      </c>
      <c r="AB34" s="72">
        <f ca="1">mult_opex * var_bo*E34</f>
        <v>0</v>
      </c>
      <c r="AC34" s="72">
        <f ca="1">mult_opex * var_mcf*F34</f>
        <v>0</v>
      </c>
      <c r="AD34" s="72">
        <f ca="1">mult_opex * var_bw * G34</f>
        <v>483.89541470473097</v>
      </c>
      <c r="AE34" s="72">
        <f ca="1">SUM(AB34:AD34)*WI_current_2</f>
        <v>0</v>
      </c>
      <c r="AF34" s="73">
        <f ca="1">mult_capex * IFERROR(OFFSET(assumptions!$F$39,MATCH(B34,assumptions!$E$39:$E$45,0)-1,0),0)</f>
        <v>0</v>
      </c>
      <c r="AG34" s="75">
        <f ca="1">mult_capex * capex_new*WI_current_2 *'forecast production'!I35</f>
        <v>0</v>
      </c>
      <c r="AH34" s="146">
        <f t="shared" ca="1" si="15"/>
        <v>0</v>
      </c>
      <c r="AI34" s="73">
        <f t="shared" ca="1" si="9"/>
        <v>593.4122741439088</v>
      </c>
      <c r="AJ34" s="72">
        <f t="shared" ca="1" si="10"/>
        <v>268.74535480397122</v>
      </c>
      <c r="AK34" s="72">
        <f t="shared" ca="1" si="16"/>
        <v>862.15762894788008</v>
      </c>
      <c r="AL34" s="73">
        <f t="shared" ca="1" si="11"/>
        <v>9887.6565632109687</v>
      </c>
      <c r="AM34" s="321">
        <f ca="1">'monthly calculations (1)'!AM34</f>
        <v>1</v>
      </c>
      <c r="AN34" s="73">
        <f t="shared" ca="1" si="17"/>
        <v>9887.6565632109687</v>
      </c>
      <c r="AO34" s="75">
        <f t="shared" ca="1" si="19"/>
        <v>363432.32589665969</v>
      </c>
      <c r="AP34" s="72">
        <f ca="1">AL34  /  ( 1 + disc_1/12)^(COUNT($AL$6:AL34)-1)</f>
        <v>7837.5061340740176</v>
      </c>
      <c r="AQ34" s="72">
        <f t="shared" ca="1" si="20"/>
        <v>327929.80494182458</v>
      </c>
      <c r="AS34" s="303"/>
      <c r="AT34" s="300"/>
      <c r="AU34" s="297"/>
      <c r="AV34" s="303"/>
    </row>
    <row r="35" spans="2:48" x14ac:dyDescent="0.25">
      <c r="B35" s="43">
        <f t="shared" si="18"/>
        <v>45078</v>
      </c>
      <c r="C35" s="79">
        <f t="shared" si="12"/>
        <v>2023</v>
      </c>
      <c r="D35" s="64">
        <f ca="1">wellcount_base  +  SUM('forecast production'!I$7:I36)</f>
        <v>1</v>
      </c>
      <c r="E35" s="108">
        <f ca="1">'forecast production'!AE36</f>
        <v>532.54741606406674</v>
      </c>
      <c r="F35" s="97">
        <f ca="1">'forecast production'!AF36</f>
        <v>2583.9560090764917</v>
      </c>
      <c r="G35" s="97">
        <f ca="1">'forecast production'!AG36</f>
        <v>225.80825902664037</v>
      </c>
      <c r="H35" s="98">
        <f ca="1">'forecast production'!AH36</f>
        <v>387.59340136147375</v>
      </c>
      <c r="I35" s="307">
        <f ca="1">IF('monthly calculations (1)'!AV34,WI_2_APO, WI_2)</f>
        <v>0</v>
      </c>
      <c r="J35" s="306">
        <f ca="1">IF('monthly calculations (1)'!AV34,NRI_2_APO, NRI_2)</f>
        <v>0.25</v>
      </c>
      <c r="K35" s="112">
        <f t="shared" ca="1" si="0"/>
        <v>133.13685401601668</v>
      </c>
      <c r="L35" s="98">
        <f t="shared" ca="1" si="1"/>
        <v>484.49175170184219</v>
      </c>
      <c r="M35" s="98">
        <f t="shared" ca="1" si="2"/>
        <v>56.452064756660093</v>
      </c>
      <c r="N35" s="98">
        <f t="shared" ca="1" si="3"/>
        <v>96.898350340368438</v>
      </c>
      <c r="O35" s="67">
        <f>assumptions!M39</f>
        <v>55</v>
      </c>
      <c r="P35" s="68">
        <f>assumptions!N39</f>
        <v>3</v>
      </c>
      <c r="Q35" s="68">
        <f>assumptions!O39</f>
        <v>22</v>
      </c>
      <c r="R35" s="67">
        <f t="shared" si="4"/>
        <v>52.5</v>
      </c>
      <c r="S35" s="68">
        <f t="shared" si="5"/>
        <v>2.3275000000000001</v>
      </c>
      <c r="T35" s="68">
        <f t="shared" si="6"/>
        <v>22</v>
      </c>
      <c r="U35" s="73">
        <f t="shared" ca="1" si="13"/>
        <v>6989.6848358408761</v>
      </c>
      <c r="V35" s="72">
        <f t="shared" ca="1" si="7"/>
        <v>1127.6545520860377</v>
      </c>
      <c r="W35" s="72">
        <f t="shared" ca="1" si="8"/>
        <v>2131.7637074881059</v>
      </c>
      <c r="X35" s="72">
        <f t="shared" ca="1" si="14"/>
        <v>10249.103095415019</v>
      </c>
      <c r="Y35" s="73">
        <f>mult_opex * fixed_month</f>
        <v>1000</v>
      </c>
      <c r="Z35" s="72">
        <f ca="1">mult_opex * fixed_well *D35</f>
        <v>5000</v>
      </c>
      <c r="AA35" s="72">
        <f ca="1">(Z35+Y35)*WI_current_2</f>
        <v>0</v>
      </c>
      <c r="AB35" s="72">
        <f ca="1">mult_opex * var_bo*E35</f>
        <v>0</v>
      </c>
      <c r="AC35" s="72">
        <f ca="1">mult_opex * var_mcf*F35</f>
        <v>0</v>
      </c>
      <c r="AD35" s="72">
        <f ca="1">mult_opex * var_bw * G35</f>
        <v>451.61651805328074</v>
      </c>
      <c r="AE35" s="72">
        <f ca="1">SUM(AB35:AD35)*WI_current_2</f>
        <v>0</v>
      </c>
      <c r="AF35" s="73">
        <f ca="1">mult_capex * IFERROR(OFFSET(assumptions!$F$39,MATCH(B35,assumptions!$E$39:$E$45,0)-1,0),0)</f>
        <v>0</v>
      </c>
      <c r="AG35" s="75">
        <f ca="1">mult_capex * capex_new*WI_current_2 *'forecast production'!I36</f>
        <v>0</v>
      </c>
      <c r="AH35" s="146">
        <f t="shared" ca="1" si="15"/>
        <v>0</v>
      </c>
      <c r="AI35" s="73">
        <f t="shared" ca="1" si="9"/>
        <v>565.98187191674106</v>
      </c>
      <c r="AJ35" s="72">
        <f t="shared" ca="1" si="10"/>
        <v>256.22757738537547</v>
      </c>
      <c r="AK35" s="72">
        <f t="shared" ca="1" si="16"/>
        <v>822.20944930211658</v>
      </c>
      <c r="AL35" s="73">
        <f t="shared" ca="1" si="11"/>
        <v>9426.8936461129033</v>
      </c>
      <c r="AM35" s="321">
        <f ca="1">'monthly calculations (1)'!AM35</f>
        <v>1</v>
      </c>
      <c r="AN35" s="73">
        <f t="shared" ca="1" si="17"/>
        <v>9426.8936461129033</v>
      </c>
      <c r="AO35" s="75">
        <f t="shared" ca="1" si="19"/>
        <v>372859.21954277257</v>
      </c>
      <c r="AP35" s="72">
        <f ca="1">AL35  /  ( 1 + disc_1/12)^(COUNT($AL$6:AL35)-1)</f>
        <v>7410.5254586042074</v>
      </c>
      <c r="AQ35" s="72">
        <f t="shared" ca="1" si="20"/>
        <v>335340.33040042879</v>
      </c>
      <c r="AS35" s="303"/>
      <c r="AT35" s="300"/>
      <c r="AU35" s="297"/>
      <c r="AV35" s="303"/>
    </row>
    <row r="36" spans="2:48" x14ac:dyDescent="0.25">
      <c r="B36" s="43">
        <f t="shared" si="18"/>
        <v>45108</v>
      </c>
      <c r="C36" s="79">
        <f t="shared" si="12"/>
        <v>2023</v>
      </c>
      <c r="D36" s="64">
        <f ca="1">wellcount_base  +  SUM('forecast production'!I$7:I37)</f>
        <v>1</v>
      </c>
      <c r="E36" s="108">
        <f ca="1">'forecast production'!AE37</f>
        <v>542.00268197094124</v>
      </c>
      <c r="F36" s="97">
        <f ca="1">'forecast production'!AF37</f>
        <v>2637.9090253933805</v>
      </c>
      <c r="G36" s="97">
        <f ca="1">'forecast production'!AG37</f>
        <v>225.2939398027188</v>
      </c>
      <c r="H36" s="98">
        <f ca="1">'forecast production'!AH37</f>
        <v>395.68635380900702</v>
      </c>
      <c r="I36" s="307">
        <f ca="1">IF('monthly calculations (1)'!AV35,WI_2_APO, WI_2)</f>
        <v>0</v>
      </c>
      <c r="J36" s="306">
        <f ca="1">IF('monthly calculations (1)'!AV35,NRI_2_APO, NRI_2)</f>
        <v>0.25</v>
      </c>
      <c r="K36" s="112">
        <f t="shared" ca="1" si="0"/>
        <v>135.50067049273531</v>
      </c>
      <c r="L36" s="98">
        <f t="shared" ca="1" si="1"/>
        <v>494.60794226125881</v>
      </c>
      <c r="M36" s="98">
        <f t="shared" ca="1" si="2"/>
        <v>56.323484950679699</v>
      </c>
      <c r="N36" s="98">
        <f t="shared" ca="1" si="3"/>
        <v>98.921588452251754</v>
      </c>
      <c r="O36" s="67">
        <f>assumptions!M40</f>
        <v>55</v>
      </c>
      <c r="P36" s="68">
        <f>assumptions!N40</f>
        <v>3</v>
      </c>
      <c r="Q36" s="68">
        <f>assumptions!O40</f>
        <v>22</v>
      </c>
      <c r="R36" s="67">
        <f t="shared" si="4"/>
        <v>52.5</v>
      </c>
      <c r="S36" s="68">
        <f t="shared" si="5"/>
        <v>2.3275000000000001</v>
      </c>
      <c r="T36" s="68">
        <f t="shared" si="6"/>
        <v>22</v>
      </c>
      <c r="U36" s="73">
        <f t="shared" ca="1" si="13"/>
        <v>7113.7852008686041</v>
      </c>
      <c r="V36" s="72">
        <f t="shared" ca="1" si="7"/>
        <v>1151.1999856130799</v>
      </c>
      <c r="W36" s="72">
        <f t="shared" ca="1" si="8"/>
        <v>2176.2749459495385</v>
      </c>
      <c r="X36" s="72">
        <f t="shared" ca="1" si="14"/>
        <v>10441.260132431224</v>
      </c>
      <c r="Y36" s="73">
        <f>mult_opex * fixed_month</f>
        <v>1000</v>
      </c>
      <c r="Z36" s="72">
        <f ca="1">mult_opex * fixed_well *D36</f>
        <v>5000</v>
      </c>
      <c r="AA36" s="72">
        <f ca="1">(Z36+Y36)*WI_current_2</f>
        <v>0</v>
      </c>
      <c r="AB36" s="72">
        <f ca="1">mult_opex * var_bo*E36</f>
        <v>0</v>
      </c>
      <c r="AC36" s="72">
        <f ca="1">mult_opex * var_mcf*F36</f>
        <v>0</v>
      </c>
      <c r="AD36" s="72">
        <f ca="1">mult_opex * var_bw * G36</f>
        <v>450.58787960543759</v>
      </c>
      <c r="AE36" s="72">
        <f ca="1">SUM(AB36:AD36)*WI_current_2</f>
        <v>0</v>
      </c>
      <c r="AF36" s="73">
        <f ca="1">mult_capex * IFERROR(OFFSET(assumptions!$F$39,MATCH(B36,assumptions!$E$39:$E$45,0)-1,0),0)</f>
        <v>0</v>
      </c>
      <c r="AG36" s="75">
        <f ca="1">mult_capex * capex_new*WI_current_2 *'forecast production'!I37</f>
        <v>0</v>
      </c>
      <c r="AH36" s="146">
        <f t="shared" ca="1" si="15"/>
        <v>0</v>
      </c>
      <c r="AI36" s="73">
        <f t="shared" ca="1" si="9"/>
        <v>576.79473910715205</v>
      </c>
      <c r="AJ36" s="72">
        <f t="shared" ca="1" si="10"/>
        <v>261.03150331078058</v>
      </c>
      <c r="AK36" s="72">
        <f t="shared" ca="1" si="16"/>
        <v>837.82624241793269</v>
      </c>
      <c r="AL36" s="73">
        <f t="shared" ca="1" si="11"/>
        <v>9603.4338900132916</v>
      </c>
      <c r="AM36" s="321">
        <f ca="1">'monthly calculations (1)'!AM36</f>
        <v>1</v>
      </c>
      <c r="AN36" s="73">
        <f t="shared" ca="1" si="17"/>
        <v>9603.4338900132916</v>
      </c>
      <c r="AO36" s="75">
        <f t="shared" ca="1" si="19"/>
        <v>382462.65343278588</v>
      </c>
      <c r="AP36" s="72">
        <f ca="1">AL36  /  ( 1 + disc_1/12)^(COUNT($AL$6:AL36)-1)</f>
        <v>7486.9136282388154</v>
      </c>
      <c r="AQ36" s="72">
        <f t="shared" ca="1" si="20"/>
        <v>342827.24402866763</v>
      </c>
      <c r="AS36" s="303"/>
      <c r="AT36" s="300"/>
      <c r="AU36" s="297"/>
      <c r="AV36" s="303"/>
    </row>
    <row r="37" spans="2:48" x14ac:dyDescent="0.25">
      <c r="B37" s="43">
        <f t="shared" si="18"/>
        <v>45139</v>
      </c>
      <c r="C37" s="79">
        <f t="shared" si="12"/>
        <v>2023</v>
      </c>
      <c r="D37" s="64">
        <f ca="1">wellcount_base  +  SUM('forecast production'!I$7:I38)</f>
        <v>1</v>
      </c>
      <c r="E37" s="108">
        <f ca="1">'forecast production'!AE38</f>
        <v>533.68858951873881</v>
      </c>
      <c r="F37" s="97">
        <f ca="1">'forecast production'!AF38</f>
        <v>2605.4623492417695</v>
      </c>
      <c r="G37" s="97">
        <f ca="1">'forecast production'!AG38</f>
        <v>217.27705769850982</v>
      </c>
      <c r="H37" s="98">
        <f ca="1">'forecast production'!AH38</f>
        <v>390.81935238626545</v>
      </c>
      <c r="I37" s="307">
        <f ca="1">IF('monthly calculations (1)'!AV36,WI_2_APO, WI_2)</f>
        <v>0</v>
      </c>
      <c r="J37" s="306">
        <f ca="1">IF('monthly calculations (1)'!AV36,NRI_2_APO, NRI_2)</f>
        <v>0.25</v>
      </c>
      <c r="K37" s="112">
        <f t="shared" ca="1" si="0"/>
        <v>133.4221473796847</v>
      </c>
      <c r="L37" s="98">
        <f t="shared" ca="1" si="1"/>
        <v>488.52419048283178</v>
      </c>
      <c r="M37" s="98">
        <f t="shared" ca="1" si="2"/>
        <v>54.319264424627455</v>
      </c>
      <c r="N37" s="98">
        <f t="shared" ca="1" si="3"/>
        <v>97.704838096566363</v>
      </c>
      <c r="O37" s="67">
        <f>assumptions!M41</f>
        <v>55</v>
      </c>
      <c r="P37" s="68">
        <f>assumptions!N41</f>
        <v>3</v>
      </c>
      <c r="Q37" s="68">
        <f>assumptions!O41</f>
        <v>22</v>
      </c>
      <c r="R37" s="67">
        <f t="shared" si="4"/>
        <v>52.5</v>
      </c>
      <c r="S37" s="68">
        <f t="shared" si="5"/>
        <v>2.3275000000000001</v>
      </c>
      <c r="T37" s="68">
        <f t="shared" si="6"/>
        <v>22</v>
      </c>
      <c r="U37" s="73">
        <f t="shared" ca="1" si="13"/>
        <v>7004.6627374334466</v>
      </c>
      <c r="V37" s="72">
        <f t="shared" ca="1" si="7"/>
        <v>1137.0400533487909</v>
      </c>
      <c r="W37" s="72">
        <f t="shared" ca="1" si="8"/>
        <v>2149.5064381244601</v>
      </c>
      <c r="X37" s="72">
        <f t="shared" ca="1" si="14"/>
        <v>10291.209228906697</v>
      </c>
      <c r="Y37" s="73">
        <f>mult_opex * fixed_month</f>
        <v>1000</v>
      </c>
      <c r="Z37" s="72">
        <f ca="1">mult_opex * fixed_well *D37</f>
        <v>5000</v>
      </c>
      <c r="AA37" s="72">
        <f ca="1">(Z37+Y37)*WI_current_2</f>
        <v>0</v>
      </c>
      <c r="AB37" s="72">
        <f ca="1">mult_opex * var_bo*E37</f>
        <v>0</v>
      </c>
      <c r="AC37" s="72">
        <f ca="1">mult_opex * var_mcf*F37</f>
        <v>0</v>
      </c>
      <c r="AD37" s="72">
        <f ca="1">mult_opex * var_bw * G37</f>
        <v>434.55411539701964</v>
      </c>
      <c r="AE37" s="72">
        <f ca="1">SUM(AB37:AD37)*WI_current_2</f>
        <v>0</v>
      </c>
      <c r="AF37" s="73">
        <f ca="1">mult_capex * IFERROR(OFFSET(assumptions!$F$39,MATCH(B37,assumptions!$E$39:$E$45,0)-1,0),0)</f>
        <v>0</v>
      </c>
      <c r="AG37" s="75">
        <f ca="1">mult_capex * capex_new*WI_current_2 *'forecast production'!I38</f>
        <v>0</v>
      </c>
      <c r="AH37" s="146">
        <f t="shared" ca="1" si="15"/>
        <v>0</v>
      </c>
      <c r="AI37" s="73">
        <f t="shared" ca="1" si="9"/>
        <v>568.70547278243237</v>
      </c>
      <c r="AJ37" s="72">
        <f t="shared" ca="1" si="10"/>
        <v>257.28023072266745</v>
      </c>
      <c r="AK37" s="72">
        <f t="shared" ca="1" si="16"/>
        <v>825.98570350509976</v>
      </c>
      <c r="AL37" s="73">
        <f t="shared" ca="1" si="11"/>
        <v>9465.2235254015977</v>
      </c>
      <c r="AM37" s="321">
        <f ca="1">'monthly calculations (1)'!AM37</f>
        <v>1</v>
      </c>
      <c r="AN37" s="73">
        <f t="shared" ca="1" si="17"/>
        <v>9465.2235254015977</v>
      </c>
      <c r="AO37" s="75">
        <f t="shared" ca="1" si="19"/>
        <v>391927.87695818749</v>
      </c>
      <c r="AP37" s="72">
        <f ca="1">AL37  /  ( 1 + disc_1/12)^(COUNT($AL$6:AL37)-1)</f>
        <v>7318.1789018626614</v>
      </c>
      <c r="AQ37" s="72">
        <f t="shared" ca="1" si="20"/>
        <v>350145.42293053027</v>
      </c>
      <c r="AS37" s="303"/>
      <c r="AT37" s="300"/>
      <c r="AU37" s="297"/>
      <c r="AV37" s="303"/>
    </row>
    <row r="38" spans="2:48" x14ac:dyDescent="0.25">
      <c r="B38" s="43">
        <f t="shared" si="18"/>
        <v>45170</v>
      </c>
      <c r="C38" s="79">
        <f t="shared" si="12"/>
        <v>2023</v>
      </c>
      <c r="D38" s="64">
        <f ca="1">wellcount_base  +  SUM('forecast production'!I$7:I39)</f>
        <v>1</v>
      </c>
      <c r="E38" s="108">
        <f ca="1">'forecast production'!AE39</f>
        <v>508.67004470580105</v>
      </c>
      <c r="F38" s="97">
        <f ca="1">'forecast production'!AF39</f>
        <v>2490.7782313399352</v>
      </c>
      <c r="G38" s="97">
        <f ca="1">'forecast production'!AG39</f>
        <v>202.78724936717524</v>
      </c>
      <c r="H38" s="98">
        <f ca="1">'forecast production'!AH39</f>
        <v>373.61673470099021</v>
      </c>
      <c r="I38" s="307">
        <f ca="1">IF('monthly calculations (1)'!AV37,WI_2_APO, WI_2)</f>
        <v>0</v>
      </c>
      <c r="J38" s="306">
        <f ca="1">IF('monthly calculations (1)'!AV37,NRI_2_APO, NRI_2)</f>
        <v>0.25</v>
      </c>
      <c r="K38" s="112">
        <f t="shared" ca="1" si="0"/>
        <v>127.16751117645026</v>
      </c>
      <c r="L38" s="98">
        <f t="shared" ca="1" si="1"/>
        <v>467.02091837623789</v>
      </c>
      <c r="M38" s="98">
        <f t="shared" ca="1" si="2"/>
        <v>50.696812341793809</v>
      </c>
      <c r="N38" s="98">
        <f t="shared" ca="1" si="3"/>
        <v>93.404183675247552</v>
      </c>
      <c r="O38" s="67">
        <f>assumptions!M42</f>
        <v>55</v>
      </c>
      <c r="P38" s="68">
        <f>assumptions!N42</f>
        <v>3</v>
      </c>
      <c r="Q38" s="68">
        <f>assumptions!O42</f>
        <v>22</v>
      </c>
      <c r="R38" s="67">
        <f t="shared" si="4"/>
        <v>52.5</v>
      </c>
      <c r="S38" s="68">
        <f t="shared" si="5"/>
        <v>2.3275000000000001</v>
      </c>
      <c r="T38" s="68">
        <f t="shared" si="6"/>
        <v>22</v>
      </c>
      <c r="U38" s="73">
        <f t="shared" ca="1" si="13"/>
        <v>6676.294336763639</v>
      </c>
      <c r="V38" s="72">
        <f t="shared" ca="1" si="7"/>
        <v>1086.9911875206938</v>
      </c>
      <c r="W38" s="72">
        <f t="shared" ca="1" si="8"/>
        <v>2054.8920408554463</v>
      </c>
      <c r="X38" s="72">
        <f t="shared" ca="1" si="14"/>
        <v>9818.1775651397784</v>
      </c>
      <c r="Y38" s="73">
        <f>mult_opex * fixed_month</f>
        <v>1000</v>
      </c>
      <c r="Z38" s="72">
        <f ca="1">mult_opex * fixed_well *D38</f>
        <v>5000</v>
      </c>
      <c r="AA38" s="72">
        <f ca="1">(Z38+Y38)*WI_current_2</f>
        <v>0</v>
      </c>
      <c r="AB38" s="72">
        <f ca="1">mult_opex * var_bo*E38</f>
        <v>0</v>
      </c>
      <c r="AC38" s="72">
        <f ca="1">mult_opex * var_mcf*F38</f>
        <v>0</v>
      </c>
      <c r="AD38" s="72">
        <f ca="1">mult_opex * var_bw * G38</f>
        <v>405.57449873435047</v>
      </c>
      <c r="AE38" s="72">
        <f ca="1">SUM(AB38:AD38)*WI_current_2</f>
        <v>0</v>
      </c>
      <c r="AF38" s="73">
        <f ca="1">mult_capex * IFERROR(OFFSET(assumptions!$F$39,MATCH(B38,assumptions!$E$39:$E$45,0)-1,0),0)</f>
        <v>0</v>
      </c>
      <c r="AG38" s="75">
        <f ca="1">mult_capex * capex_new*WI_current_2 *'forecast production'!I39</f>
        <v>0</v>
      </c>
      <c r="AH38" s="146">
        <f t="shared" ca="1" si="15"/>
        <v>0</v>
      </c>
      <c r="AI38" s="73">
        <f t="shared" ca="1" si="9"/>
        <v>542.75078161933789</v>
      </c>
      <c r="AJ38" s="72">
        <f t="shared" ca="1" si="10"/>
        <v>245.45443912849447</v>
      </c>
      <c r="AK38" s="72">
        <f t="shared" ca="1" si="16"/>
        <v>788.2052207478323</v>
      </c>
      <c r="AL38" s="73">
        <f t="shared" ca="1" si="11"/>
        <v>9029.9723443919465</v>
      </c>
      <c r="AM38" s="321">
        <f ca="1">'monthly calculations (1)'!AM38</f>
        <v>1</v>
      </c>
      <c r="AN38" s="73">
        <f t="shared" ca="1" si="17"/>
        <v>9029.9723443919465</v>
      </c>
      <c r="AO38" s="75">
        <f t="shared" ca="1" si="19"/>
        <v>400957.84930257942</v>
      </c>
      <c r="AP38" s="72">
        <f ca="1">AL38  /  ( 1 + disc_1/12)^(COUNT($AL$6:AL38)-1)</f>
        <v>6923.9582996670515</v>
      </c>
      <c r="AQ38" s="72">
        <f t="shared" ca="1" si="20"/>
        <v>357069.38123019732</v>
      </c>
      <c r="AS38" s="303"/>
      <c r="AT38" s="300"/>
      <c r="AU38" s="297"/>
      <c r="AV38" s="303"/>
    </row>
    <row r="39" spans="2:48" x14ac:dyDescent="0.25">
      <c r="B39" s="43">
        <f t="shared" si="18"/>
        <v>45200</v>
      </c>
      <c r="C39" s="79">
        <f t="shared" si="12"/>
        <v>2023</v>
      </c>
      <c r="D39" s="64">
        <f ca="1">wellcount_base  +  SUM('forecast production'!I$7:I40)</f>
        <v>1</v>
      </c>
      <c r="E39" s="108">
        <f ca="1">'forecast production'!AE40</f>
        <v>518.05155003988557</v>
      </c>
      <c r="F39" s="97">
        <f ca="1">'forecast production'!AF40</f>
        <v>2543.8912256600001</v>
      </c>
      <c r="G39" s="97">
        <f ca="1">'forecast production'!AG40</f>
        <v>202.32917823268625</v>
      </c>
      <c r="H39" s="98">
        <f ca="1">'forecast production'!AH40</f>
        <v>381.58368384899995</v>
      </c>
      <c r="I39" s="307">
        <f ca="1">IF('monthly calculations (1)'!AV38,WI_2_APO, WI_2)</f>
        <v>0</v>
      </c>
      <c r="J39" s="306">
        <f ca="1">IF('monthly calculations (1)'!AV38,NRI_2_APO, NRI_2)</f>
        <v>0.25</v>
      </c>
      <c r="K39" s="112">
        <f t="shared" ca="1" si="0"/>
        <v>129.51288750997139</v>
      </c>
      <c r="L39" s="98">
        <f t="shared" ca="1" si="1"/>
        <v>476.97960481125006</v>
      </c>
      <c r="M39" s="98">
        <f t="shared" ca="1" si="2"/>
        <v>50.582294558171562</v>
      </c>
      <c r="N39" s="98">
        <f t="shared" ca="1" si="3"/>
        <v>95.395920962249988</v>
      </c>
      <c r="O39" s="67">
        <f>assumptions!M43</f>
        <v>55</v>
      </c>
      <c r="P39" s="68">
        <f>assumptions!N43</f>
        <v>3</v>
      </c>
      <c r="Q39" s="68">
        <f>assumptions!O43</f>
        <v>22</v>
      </c>
      <c r="R39" s="67">
        <f t="shared" si="4"/>
        <v>52.5</v>
      </c>
      <c r="S39" s="68">
        <f t="shared" si="5"/>
        <v>2.3275000000000001</v>
      </c>
      <c r="T39" s="68">
        <f t="shared" si="6"/>
        <v>22</v>
      </c>
      <c r="U39" s="73">
        <f t="shared" ca="1" si="13"/>
        <v>6799.4265942734983</v>
      </c>
      <c r="V39" s="72">
        <f t="shared" ca="1" si="7"/>
        <v>1110.1700301981846</v>
      </c>
      <c r="W39" s="72">
        <f t="shared" ca="1" si="8"/>
        <v>2098.7102611695</v>
      </c>
      <c r="X39" s="72">
        <f t="shared" ca="1" si="14"/>
        <v>10008.306885641183</v>
      </c>
      <c r="Y39" s="73">
        <f>mult_opex * fixed_month</f>
        <v>1000</v>
      </c>
      <c r="Z39" s="72">
        <f ca="1">mult_opex * fixed_well *D39</f>
        <v>5000</v>
      </c>
      <c r="AA39" s="72">
        <f ca="1">(Z39+Y39)*WI_current_2</f>
        <v>0</v>
      </c>
      <c r="AB39" s="72">
        <f ca="1">mult_opex * var_bo*E39</f>
        <v>0</v>
      </c>
      <c r="AC39" s="72">
        <f ca="1">mult_opex * var_mcf*F39</f>
        <v>0</v>
      </c>
      <c r="AD39" s="72">
        <f ca="1">mult_opex * var_bw * G39</f>
        <v>404.65835646537249</v>
      </c>
      <c r="AE39" s="72">
        <f ca="1">SUM(AB39:AD39)*WI_current_2</f>
        <v>0</v>
      </c>
      <c r="AF39" s="73">
        <f ca="1">mult_capex * IFERROR(OFFSET(assumptions!$F$39,MATCH(B39,assumptions!$E$39:$E$45,0)-1,0),0)</f>
        <v>0</v>
      </c>
      <c r="AG39" s="75">
        <f ca="1">mult_capex * capex_new*WI_current_2 *'forecast production'!I40</f>
        <v>0</v>
      </c>
      <c r="AH39" s="146">
        <f t="shared" ca="1" si="15"/>
        <v>0</v>
      </c>
      <c r="AI39" s="73">
        <f t="shared" ca="1" si="9"/>
        <v>553.4396451891572</v>
      </c>
      <c r="AJ39" s="72">
        <f t="shared" ca="1" si="10"/>
        <v>250.20767214102958</v>
      </c>
      <c r="AK39" s="72">
        <f t="shared" ca="1" si="16"/>
        <v>803.64731733018675</v>
      </c>
      <c r="AL39" s="73">
        <f t="shared" ca="1" si="11"/>
        <v>9204.6595683109954</v>
      </c>
      <c r="AM39" s="321">
        <f ca="1">'monthly calculations (1)'!AM39</f>
        <v>1</v>
      </c>
      <c r="AN39" s="73">
        <f t="shared" ca="1" si="17"/>
        <v>9204.6595683109954</v>
      </c>
      <c r="AO39" s="75">
        <f t="shared" ca="1" si="19"/>
        <v>410162.50887089042</v>
      </c>
      <c r="AP39" s="72">
        <f ca="1">AL39  /  ( 1 + disc_1/12)^(COUNT($AL$6:AL39)-1)</f>
        <v>6999.574333955321</v>
      </c>
      <c r="AQ39" s="72">
        <f t="shared" ca="1" si="20"/>
        <v>364068.95556415262</v>
      </c>
      <c r="AS39" s="303"/>
      <c r="AT39" s="300"/>
      <c r="AU39" s="297"/>
      <c r="AV39" s="303"/>
    </row>
    <row r="40" spans="2:48" x14ac:dyDescent="0.25">
      <c r="B40" s="43">
        <f t="shared" si="18"/>
        <v>45231</v>
      </c>
      <c r="C40" s="79">
        <f t="shared" si="12"/>
        <v>2023</v>
      </c>
      <c r="D40" s="64">
        <f ca="1">wellcount_base  +  SUM('forecast production'!I$7:I41)</f>
        <v>1</v>
      </c>
      <c r="E40" s="108">
        <f ca="1">'forecast production'!AE41</f>
        <v>493.98471337801163</v>
      </c>
      <c r="F40" s="97">
        <f ca="1">'forecast production'!AF41</f>
        <v>2432.6157724349214</v>
      </c>
      <c r="G40" s="97">
        <f ca="1">'forecast production'!AG41</f>
        <v>188.83865388692729</v>
      </c>
      <c r="H40" s="98">
        <f ca="1">'forecast production'!AH41</f>
        <v>364.89236586523822</v>
      </c>
      <c r="I40" s="307">
        <f ca="1">IF('monthly calculations (1)'!AV39,WI_2_APO, WI_2)</f>
        <v>0</v>
      </c>
      <c r="J40" s="306">
        <f ca="1">IF('monthly calculations (1)'!AV39,NRI_2_APO, NRI_2)</f>
        <v>0.25</v>
      </c>
      <c r="K40" s="112">
        <f t="shared" ca="1" si="0"/>
        <v>123.49617834450291</v>
      </c>
      <c r="L40" s="98">
        <f t="shared" ca="1" si="1"/>
        <v>456.11545733154776</v>
      </c>
      <c r="M40" s="98">
        <f t="shared" ca="1" si="2"/>
        <v>47.209663471731822</v>
      </c>
      <c r="N40" s="98">
        <f t="shared" ca="1" si="3"/>
        <v>91.223091466309555</v>
      </c>
      <c r="O40" s="67">
        <f>assumptions!M44</f>
        <v>55</v>
      </c>
      <c r="P40" s="68">
        <f>assumptions!N44</f>
        <v>3</v>
      </c>
      <c r="Q40" s="68">
        <f>assumptions!O44</f>
        <v>22</v>
      </c>
      <c r="R40" s="67">
        <f t="shared" si="4"/>
        <v>52.5</v>
      </c>
      <c r="S40" s="68">
        <f t="shared" si="5"/>
        <v>2.3275000000000001</v>
      </c>
      <c r="T40" s="68">
        <f t="shared" si="6"/>
        <v>22</v>
      </c>
      <c r="U40" s="73">
        <f t="shared" ca="1" si="13"/>
        <v>6483.549363086403</v>
      </c>
      <c r="V40" s="72">
        <f t="shared" ca="1" si="7"/>
        <v>1061.6087269391774</v>
      </c>
      <c r="W40" s="72">
        <f t="shared" ca="1" si="8"/>
        <v>2006.9080122588102</v>
      </c>
      <c r="X40" s="72">
        <f t="shared" ca="1" si="14"/>
        <v>9552.0661022843906</v>
      </c>
      <c r="Y40" s="73">
        <f>mult_opex * fixed_month</f>
        <v>1000</v>
      </c>
      <c r="Z40" s="72">
        <f ca="1">mult_opex * fixed_well *D40</f>
        <v>5000</v>
      </c>
      <c r="AA40" s="72">
        <f ca="1">(Z40+Y40)*WI_current_2</f>
        <v>0</v>
      </c>
      <c r="AB40" s="72">
        <f ca="1">mult_opex * var_bo*E40</f>
        <v>0</v>
      </c>
      <c r="AC40" s="72">
        <f ca="1">mult_opex * var_mcf*F40</f>
        <v>0</v>
      </c>
      <c r="AD40" s="72">
        <f ca="1">mult_opex * var_bw * G40</f>
        <v>377.67730777385458</v>
      </c>
      <c r="AE40" s="72">
        <f ca="1">SUM(AB40:AD40)*WI_current_2</f>
        <v>0</v>
      </c>
      <c r="AF40" s="73">
        <f ca="1">mult_capex * IFERROR(OFFSET(assumptions!$F$39,MATCH(B40,assumptions!$E$39:$E$45,0)-1,0),0)</f>
        <v>0</v>
      </c>
      <c r="AG40" s="75">
        <f ca="1">mult_capex * capex_new*WI_current_2 *'forecast production'!I41</f>
        <v>0</v>
      </c>
      <c r="AH40" s="146">
        <f t="shared" ca="1" si="15"/>
        <v>0</v>
      </c>
      <c r="AI40" s="73">
        <f t="shared" ca="1" si="9"/>
        <v>528.38202614182364</v>
      </c>
      <c r="AJ40" s="72">
        <f t="shared" ca="1" si="10"/>
        <v>238.80165255710978</v>
      </c>
      <c r="AK40" s="72">
        <f t="shared" ca="1" si="16"/>
        <v>767.18367869893336</v>
      </c>
      <c r="AL40" s="73">
        <f t="shared" ca="1" si="11"/>
        <v>8784.8824235854572</v>
      </c>
      <c r="AM40" s="321">
        <f ca="1">'monthly calculations (1)'!AM40</f>
        <v>1</v>
      </c>
      <c r="AN40" s="73">
        <f t="shared" ca="1" si="17"/>
        <v>8784.8824235854572</v>
      </c>
      <c r="AO40" s="75">
        <f t="shared" ca="1" si="19"/>
        <v>418947.39129447588</v>
      </c>
      <c r="AP40" s="72">
        <f ca="1">AL40  /  ( 1 + disc_1/12)^(COUNT($AL$6:AL40)-1)</f>
        <v>6625.1501918313461</v>
      </c>
      <c r="AQ40" s="72">
        <f t="shared" ca="1" si="20"/>
        <v>370694.10575598397</v>
      </c>
      <c r="AS40" s="303"/>
      <c r="AT40" s="300"/>
      <c r="AU40" s="297"/>
      <c r="AV40" s="303"/>
    </row>
    <row r="41" spans="2:48" x14ac:dyDescent="0.25">
      <c r="B41" s="44">
        <f t="shared" si="18"/>
        <v>45261</v>
      </c>
      <c r="C41" s="100">
        <f t="shared" si="12"/>
        <v>2023</v>
      </c>
      <c r="D41" s="65">
        <f ca="1">wellcount_base  +  SUM('forecast production'!I$7:I42)</f>
        <v>1</v>
      </c>
      <c r="E41" s="109">
        <f ca="1">'forecast production'!AE42</f>
        <v>503.30475485605785</v>
      </c>
      <c r="F41" s="101">
        <f ca="1">'forecast production'!AF42</f>
        <v>2485.1629634804226</v>
      </c>
      <c r="G41" s="101">
        <f ca="1">'forecast production'!AG42</f>
        <v>188.41444346136191</v>
      </c>
      <c r="H41" s="102">
        <f ca="1">'forecast production'!AH42</f>
        <v>372.77444452206333</v>
      </c>
      <c r="I41" s="308">
        <f ca="1">IF('monthly calculations (1)'!AV40,WI_2_APO, WI_2)</f>
        <v>0</v>
      </c>
      <c r="J41" s="309">
        <f ca="1">IF('monthly calculations (1)'!AV40,NRI_2_APO, NRI_2)</f>
        <v>0.25</v>
      </c>
      <c r="K41" s="113">
        <f t="shared" ca="1" si="0"/>
        <v>125.82618871401446</v>
      </c>
      <c r="L41" s="102">
        <f t="shared" ca="1" si="1"/>
        <v>465.96805565257921</v>
      </c>
      <c r="M41" s="102">
        <f t="shared" ca="1" si="2"/>
        <v>47.103610865340478</v>
      </c>
      <c r="N41" s="102">
        <f t="shared" ca="1" si="3"/>
        <v>93.193611130515833</v>
      </c>
      <c r="O41" s="103">
        <f>assumptions!M45</f>
        <v>55</v>
      </c>
      <c r="P41" s="104">
        <f>assumptions!N45</f>
        <v>3</v>
      </c>
      <c r="Q41" s="104">
        <f>assumptions!O45</f>
        <v>22</v>
      </c>
      <c r="R41" s="103">
        <f t="shared" si="4"/>
        <v>52.5</v>
      </c>
      <c r="S41" s="104">
        <f t="shared" si="5"/>
        <v>2.3275000000000001</v>
      </c>
      <c r="T41" s="104">
        <f t="shared" si="6"/>
        <v>22</v>
      </c>
      <c r="U41" s="105">
        <f t="shared" ca="1" si="13"/>
        <v>6605.8749074857596</v>
      </c>
      <c r="V41" s="106">
        <f t="shared" ca="1" si="7"/>
        <v>1084.5406495313782</v>
      </c>
      <c r="W41" s="106">
        <f t="shared" ca="1" si="8"/>
        <v>2050.2594448713485</v>
      </c>
      <c r="X41" s="106">
        <f t="shared" ca="1" si="14"/>
        <v>9740.6750018884868</v>
      </c>
      <c r="Y41" s="105">
        <f>mult_opex * fixed_month</f>
        <v>1000</v>
      </c>
      <c r="Z41" s="106">
        <f ca="1">mult_opex * fixed_well *D41</f>
        <v>5000</v>
      </c>
      <c r="AA41" s="106">
        <f ca="1">(Z41+Y41)*WI_current_2</f>
        <v>0</v>
      </c>
      <c r="AB41" s="106">
        <f ca="1">mult_opex * var_bo*E41</f>
        <v>0</v>
      </c>
      <c r="AC41" s="106">
        <f ca="1">mult_opex * var_mcf*F41</f>
        <v>0</v>
      </c>
      <c r="AD41" s="106">
        <f ca="1">mult_opex * var_bw * G41</f>
        <v>376.82888692272383</v>
      </c>
      <c r="AE41" s="106">
        <f ca="1">SUM(AB41:AD41)*WI_current_2</f>
        <v>0</v>
      </c>
      <c r="AF41" s="105">
        <f ca="1">mult_capex * IFERROR(OFFSET(assumptions!$F$39,MATCH(B41,assumptions!$E$39:$E$45,0)-1,0),0)</f>
        <v>0</v>
      </c>
      <c r="AG41" s="106">
        <f ca="1">mult_capex * capex_new*WI_current_2 *'forecast production'!I42</f>
        <v>0</v>
      </c>
      <c r="AH41" s="147">
        <f t="shared" ca="1" si="15"/>
        <v>0</v>
      </c>
      <c r="AI41" s="105">
        <f t="shared" ca="1" si="9"/>
        <v>538.98025282454944</v>
      </c>
      <c r="AJ41" s="106">
        <f t="shared" ca="1" si="10"/>
        <v>243.51687504721218</v>
      </c>
      <c r="AK41" s="106">
        <f t="shared" ca="1" si="16"/>
        <v>782.49712787176168</v>
      </c>
      <c r="AL41" s="105">
        <f t="shared" ca="1" si="11"/>
        <v>8958.1778740167247</v>
      </c>
      <c r="AM41" s="322">
        <f ca="1">'monthly calculations (1)'!AM41</f>
        <v>1</v>
      </c>
      <c r="AN41" s="105">
        <f t="shared" ca="1" si="17"/>
        <v>8958.1778740167247</v>
      </c>
      <c r="AO41" s="106">
        <f t="shared" ca="1" si="19"/>
        <v>427905.56916849263</v>
      </c>
      <c r="AP41" s="106">
        <f ca="1">AL41  /  ( 1 + disc_1/12)^(COUNT($AL$6:AL41)-1)</f>
        <v>6700.0081681073807</v>
      </c>
      <c r="AQ41" s="106">
        <f t="shared" ca="1" si="20"/>
        <v>377394.11392409133</v>
      </c>
      <c r="AS41" s="304"/>
      <c r="AT41" s="301"/>
      <c r="AU41" s="298"/>
      <c r="AV41" s="304"/>
    </row>
    <row r="42" spans="2:48" x14ac:dyDescent="0.25">
      <c r="B42" s="43">
        <f t="shared" si="18"/>
        <v>45292</v>
      </c>
      <c r="C42" s="79">
        <f t="shared" si="12"/>
        <v>2024</v>
      </c>
      <c r="D42" s="64">
        <f ca="1">wellcount_base  +  SUM('forecast production'!I$7:I43)</f>
        <v>1</v>
      </c>
      <c r="E42" s="108">
        <f ca="1">'forecast production'!AE43</f>
        <v>496.12763908230022</v>
      </c>
      <c r="F42" s="97">
        <f ca="1">'forecast production'!AF43</f>
        <v>2456.3445704575838</v>
      </c>
      <c r="G42" s="97">
        <f ca="1">'forecast production'!AG43</f>
        <v>181.71576667068669</v>
      </c>
      <c r="H42" s="98">
        <f ca="1">'forecast production'!AH43</f>
        <v>368.45168556863757</v>
      </c>
      <c r="I42" s="307">
        <f ca="1">IF('monthly calculations (1)'!AV41,WI_2_APO, WI_2)</f>
        <v>0</v>
      </c>
      <c r="J42" s="306">
        <f ca="1">IF('monthly calculations (1)'!AV41,NRI_2_APO, NRI_2)</f>
        <v>0.25</v>
      </c>
      <c r="K42" s="112">
        <f t="shared" ca="1" si="0"/>
        <v>124.03190977057506</v>
      </c>
      <c r="L42" s="98">
        <f t="shared" ca="1" si="1"/>
        <v>460.56460696079694</v>
      </c>
      <c r="M42" s="98">
        <f t="shared" ca="1" si="2"/>
        <v>45.428941667671673</v>
      </c>
      <c r="N42" s="98">
        <f t="shared" ca="1" si="3"/>
        <v>92.112921392159393</v>
      </c>
      <c r="O42" s="67">
        <f>assumptions!M46</f>
        <v>55</v>
      </c>
      <c r="P42" s="68">
        <f>assumptions!N46</f>
        <v>3</v>
      </c>
      <c r="Q42" s="68">
        <f>assumptions!O46</f>
        <v>22</v>
      </c>
      <c r="R42" s="67">
        <f t="shared" si="4"/>
        <v>52.5</v>
      </c>
      <c r="S42" s="68">
        <f t="shared" si="5"/>
        <v>2.3275000000000001</v>
      </c>
      <c r="T42" s="68">
        <f t="shared" si="6"/>
        <v>22</v>
      </c>
      <c r="U42" s="73">
        <f t="shared" ca="1" si="13"/>
        <v>6511.6752629551902</v>
      </c>
      <c r="V42" s="72">
        <f t="shared" ca="1" si="7"/>
        <v>1071.9641227012548</v>
      </c>
      <c r="W42" s="72">
        <f t="shared" ca="1" si="8"/>
        <v>2026.4842706275067</v>
      </c>
      <c r="X42" s="72">
        <f t="shared" ca="1" si="14"/>
        <v>9610.1236562839513</v>
      </c>
      <c r="Y42" s="73">
        <f>mult_opex * fixed_month</f>
        <v>1000</v>
      </c>
      <c r="Z42" s="72">
        <f ca="1">mult_opex * fixed_well *D42</f>
        <v>5000</v>
      </c>
      <c r="AA42" s="72">
        <f ca="1">(Z42+Y42)*WI_current_2</f>
        <v>0</v>
      </c>
      <c r="AB42" s="72">
        <f ca="1">mult_opex * var_bo*E42</f>
        <v>0</v>
      </c>
      <c r="AC42" s="72">
        <f ca="1">mult_opex * var_mcf*F42</f>
        <v>0</v>
      </c>
      <c r="AD42" s="72">
        <f ca="1">mult_opex * var_bw * G42</f>
        <v>363.43153334137338</v>
      </c>
      <c r="AE42" s="72">
        <f ca="1">SUM(AB42:AD42)*WI_current_2</f>
        <v>0</v>
      </c>
      <c r="AF42" s="73">
        <f ca="1">mult_capex * IFERROR(OFFSET(assumptions!$F$39,MATCH(B42,assumptions!$E$39:$E$45,0)-1,0),0)</f>
        <v>0</v>
      </c>
      <c r="AG42" s="75">
        <f ca="1">mult_capex * capex_new*WI_current_2 *'forecast production'!I43</f>
        <v>0</v>
      </c>
      <c r="AH42" s="146">
        <f t="shared" ca="1" si="15"/>
        <v>0</v>
      </c>
      <c r="AI42" s="73">
        <f t="shared" ca="1" si="9"/>
        <v>531.92069159559583</v>
      </c>
      <c r="AJ42" s="72">
        <f t="shared" ca="1" si="10"/>
        <v>240.25309140709879</v>
      </c>
      <c r="AK42" s="72">
        <f t="shared" ca="1" si="16"/>
        <v>772.17378300269456</v>
      </c>
      <c r="AL42" s="73">
        <f t="shared" ca="1" si="11"/>
        <v>8837.9498732812572</v>
      </c>
      <c r="AM42" s="321">
        <f ca="1">'monthly calculations (1)'!AM42</f>
        <v>1</v>
      </c>
      <c r="AN42" s="73">
        <f t="shared" ca="1" si="17"/>
        <v>8837.9498732812572</v>
      </c>
      <c r="AO42" s="75">
        <f t="shared" ca="1" si="19"/>
        <v>436743.51904177386</v>
      </c>
      <c r="AP42" s="72">
        <f ca="1">AL42  /  ( 1 + disc_1/12)^(COUNT($AL$6:AL42)-1)</f>
        <v>6555.458318163327</v>
      </c>
      <c r="AQ42" s="72">
        <f t="shared" ca="1" si="20"/>
        <v>383949.57224225468</v>
      </c>
      <c r="AS42" s="303"/>
      <c r="AT42" s="300"/>
      <c r="AU42" s="297"/>
      <c r="AV42" s="303"/>
    </row>
    <row r="43" spans="2:48" x14ac:dyDescent="0.25">
      <c r="B43" s="43">
        <f t="shared" si="18"/>
        <v>45323</v>
      </c>
      <c r="C43" s="79">
        <f t="shared" si="12"/>
        <v>2024</v>
      </c>
      <c r="D43" s="64">
        <f ca="1">wellcount_base  +  SUM('forecast production'!I$7:I44)</f>
        <v>1</v>
      </c>
      <c r="E43" s="108">
        <f ca="1">'forecast production'!AE44</f>
        <v>457.59412125323661</v>
      </c>
      <c r="F43" s="97">
        <f ca="1">'forecast production'!AF44</f>
        <v>2271.5296640273486</v>
      </c>
      <c r="G43" s="97">
        <f ca="1">'forecast production'!AG44</f>
        <v>163.94953106628816</v>
      </c>
      <c r="H43" s="98">
        <f ca="1">'forecast production'!AH44</f>
        <v>340.72944960410234</v>
      </c>
      <c r="I43" s="307">
        <f ca="1">IF('monthly calculations (1)'!AV42,WI_2_APO, WI_2)</f>
        <v>0</v>
      </c>
      <c r="J43" s="306">
        <f ca="1">IF('monthly calculations (1)'!AV42,NRI_2_APO, NRI_2)</f>
        <v>0.25</v>
      </c>
      <c r="K43" s="112">
        <f t="shared" ca="1" si="0"/>
        <v>114.39853031330915</v>
      </c>
      <c r="L43" s="98">
        <f t="shared" ca="1" si="1"/>
        <v>425.9118120051279</v>
      </c>
      <c r="M43" s="98">
        <f t="shared" ca="1" si="2"/>
        <v>40.98738276657204</v>
      </c>
      <c r="N43" s="98">
        <f t="shared" ca="1" si="3"/>
        <v>85.182362401025586</v>
      </c>
      <c r="O43" s="67">
        <f>assumptions!M47</f>
        <v>55</v>
      </c>
      <c r="P43" s="68">
        <f>assumptions!N47</f>
        <v>3</v>
      </c>
      <c r="Q43" s="68">
        <f>assumptions!O47</f>
        <v>22</v>
      </c>
      <c r="R43" s="67">
        <f t="shared" si="4"/>
        <v>52.5</v>
      </c>
      <c r="S43" s="68">
        <f t="shared" si="5"/>
        <v>2.3275000000000001</v>
      </c>
      <c r="T43" s="68">
        <f t="shared" si="6"/>
        <v>22</v>
      </c>
      <c r="U43" s="73">
        <f t="shared" ca="1" si="13"/>
        <v>6005.9228414487307</v>
      </c>
      <c r="V43" s="72">
        <f t="shared" ca="1" si="7"/>
        <v>991.30974244193521</v>
      </c>
      <c r="W43" s="72">
        <f t="shared" ca="1" si="8"/>
        <v>1874.0119728225629</v>
      </c>
      <c r="X43" s="72">
        <f t="shared" ca="1" si="14"/>
        <v>8871.244556713229</v>
      </c>
      <c r="Y43" s="73">
        <f>mult_opex * fixed_month</f>
        <v>1000</v>
      </c>
      <c r="Z43" s="72">
        <f ca="1">mult_opex * fixed_well *D43</f>
        <v>5000</v>
      </c>
      <c r="AA43" s="72">
        <f ca="1">(Z43+Y43)*WI_current_2</f>
        <v>0</v>
      </c>
      <c r="AB43" s="72">
        <f ca="1">mult_opex * var_bo*E43</f>
        <v>0</v>
      </c>
      <c r="AC43" s="72">
        <f ca="1">mult_opex * var_mcf*F43</f>
        <v>0</v>
      </c>
      <c r="AD43" s="72">
        <f ca="1">mult_opex * var_bw * G43</f>
        <v>327.89906213257632</v>
      </c>
      <c r="AE43" s="72">
        <f ca="1">SUM(AB43:AD43)*WI_current_2</f>
        <v>0</v>
      </c>
      <c r="AF43" s="73">
        <f ca="1">mult_capex * IFERROR(OFFSET(assumptions!$F$39,MATCH(B43,assumptions!$E$39:$E$45,0)-1,0),0)</f>
        <v>0</v>
      </c>
      <c r="AG43" s="75">
        <f ca="1">mult_capex * capex_new*WI_current_2 *'forecast production'!I44</f>
        <v>0</v>
      </c>
      <c r="AH43" s="146">
        <f t="shared" ca="1" si="15"/>
        <v>0</v>
      </c>
      <c r="AI43" s="73">
        <f t="shared" ca="1" si="9"/>
        <v>491.17157935147895</v>
      </c>
      <c r="AJ43" s="72">
        <f t="shared" ca="1" si="10"/>
        <v>221.78111391783074</v>
      </c>
      <c r="AK43" s="72">
        <f t="shared" ca="1" si="16"/>
        <v>712.95269326930975</v>
      </c>
      <c r="AL43" s="73">
        <f t="shared" ca="1" si="11"/>
        <v>8158.2918634439193</v>
      </c>
      <c r="AM43" s="321">
        <f ca="1">'monthly calculations (1)'!AM43</f>
        <v>1</v>
      </c>
      <c r="AN43" s="73">
        <f t="shared" ca="1" si="17"/>
        <v>8158.2918634439193</v>
      </c>
      <c r="AO43" s="75">
        <f t="shared" ca="1" si="19"/>
        <v>444901.81090521778</v>
      </c>
      <c r="AP43" s="72">
        <f ca="1">AL43  /  ( 1 + disc_1/12)^(COUNT($AL$6:AL43)-1)</f>
        <v>6001.3180041276091</v>
      </c>
      <c r="AQ43" s="72">
        <f t="shared" ca="1" si="20"/>
        <v>389950.89024638227</v>
      </c>
      <c r="AS43" s="303"/>
      <c r="AT43" s="300"/>
      <c r="AU43" s="297"/>
      <c r="AV43" s="303"/>
    </row>
    <row r="44" spans="2:48" x14ac:dyDescent="0.25">
      <c r="B44" s="43">
        <f t="shared" si="18"/>
        <v>45352</v>
      </c>
      <c r="C44" s="79">
        <f t="shared" si="12"/>
        <v>2024</v>
      </c>
      <c r="D44" s="64">
        <f ca="1">wellcount_base  +  SUM('forecast production'!I$7:I45)</f>
        <v>1</v>
      </c>
      <c r="E44" s="108">
        <f ca="1">'forecast production'!AE45</f>
        <v>482.80231384324219</v>
      </c>
      <c r="F44" s="97">
        <f ca="1">'forecast production'!AF45</f>
        <v>2402.4240457340011</v>
      </c>
      <c r="G44" s="97">
        <f ca="1">'forecast production'!AG45</f>
        <v>169.42278854612087</v>
      </c>
      <c r="H44" s="98">
        <f ca="1">'forecast production'!AH45</f>
        <v>360.36360686010016</v>
      </c>
      <c r="I44" s="307">
        <f ca="1">IF('monthly calculations (1)'!AV43,WI_2_APO, WI_2)</f>
        <v>0</v>
      </c>
      <c r="J44" s="306">
        <f ca="1">IF('monthly calculations (1)'!AV43,NRI_2_APO, NRI_2)</f>
        <v>0.25</v>
      </c>
      <c r="K44" s="112">
        <f t="shared" ca="1" si="0"/>
        <v>120.70057846081055</v>
      </c>
      <c r="L44" s="98">
        <f t="shared" ca="1" si="1"/>
        <v>450.4545085751252</v>
      </c>
      <c r="M44" s="98">
        <f t="shared" ca="1" si="2"/>
        <v>42.355697136530218</v>
      </c>
      <c r="N44" s="98">
        <f t="shared" ca="1" si="3"/>
        <v>90.090901715025041</v>
      </c>
      <c r="O44" s="67">
        <f>assumptions!M48</f>
        <v>55</v>
      </c>
      <c r="P44" s="68">
        <f>assumptions!N48</f>
        <v>3</v>
      </c>
      <c r="Q44" s="68">
        <f>assumptions!O48</f>
        <v>22</v>
      </c>
      <c r="R44" s="67">
        <f t="shared" si="4"/>
        <v>52.5</v>
      </c>
      <c r="S44" s="68">
        <f t="shared" si="5"/>
        <v>2.3275000000000001</v>
      </c>
      <c r="T44" s="68">
        <f t="shared" si="6"/>
        <v>22</v>
      </c>
      <c r="U44" s="73">
        <f t="shared" ca="1" si="13"/>
        <v>6336.7803691925537</v>
      </c>
      <c r="V44" s="72">
        <f t="shared" ca="1" si="7"/>
        <v>1048.432868708604</v>
      </c>
      <c r="W44" s="72">
        <f t="shared" ca="1" si="8"/>
        <v>1981.999837730551</v>
      </c>
      <c r="X44" s="72">
        <f t="shared" ca="1" si="14"/>
        <v>9367.2130756317092</v>
      </c>
      <c r="Y44" s="73">
        <f>mult_opex * fixed_month</f>
        <v>1000</v>
      </c>
      <c r="Z44" s="72">
        <f ca="1">mult_opex * fixed_well *D44</f>
        <v>5000</v>
      </c>
      <c r="AA44" s="72">
        <f ca="1">(Z44+Y44)*WI_current_2</f>
        <v>0</v>
      </c>
      <c r="AB44" s="72">
        <f ca="1">mult_opex * var_bo*E44</f>
        <v>0</v>
      </c>
      <c r="AC44" s="72">
        <f ca="1">mult_opex * var_mcf*F44</f>
        <v>0</v>
      </c>
      <c r="AD44" s="72">
        <f ca="1">mult_opex * var_bw * G44</f>
        <v>338.84557709224174</v>
      </c>
      <c r="AE44" s="72">
        <f ca="1">SUM(AB44:AD44)*WI_current_2</f>
        <v>0</v>
      </c>
      <c r="AF44" s="73">
        <f ca="1">mult_capex * IFERROR(OFFSET(assumptions!$F$39,MATCH(B44,assumptions!$E$39:$E$45,0)-1,0),0)</f>
        <v>0</v>
      </c>
      <c r="AG44" s="75">
        <f ca="1">mult_capex * capex_new*WI_current_2 *'forecast production'!I45</f>
        <v>0</v>
      </c>
      <c r="AH44" s="146">
        <f t="shared" ca="1" si="15"/>
        <v>0</v>
      </c>
      <c r="AI44" s="73">
        <f t="shared" ca="1" si="9"/>
        <v>518.77434996579404</v>
      </c>
      <c r="AJ44" s="72">
        <f t="shared" ca="1" si="10"/>
        <v>234.18032689079274</v>
      </c>
      <c r="AK44" s="72">
        <f t="shared" ca="1" si="16"/>
        <v>752.95467685658673</v>
      </c>
      <c r="AL44" s="73">
        <f t="shared" ca="1" si="11"/>
        <v>8614.2583987751223</v>
      </c>
      <c r="AM44" s="321">
        <f ca="1">'monthly calculations (1)'!AM44</f>
        <v>1</v>
      </c>
      <c r="AN44" s="73">
        <f t="shared" ca="1" si="17"/>
        <v>8614.2583987751223</v>
      </c>
      <c r="AO44" s="75">
        <f t="shared" ca="1" si="19"/>
        <v>453516.0693039929</v>
      </c>
      <c r="AP44" s="72">
        <f ca="1">AL44  /  ( 1 + disc_1/12)^(COUNT($AL$6:AL44)-1)</f>
        <v>6284.361694614121</v>
      </c>
      <c r="AQ44" s="72">
        <f t="shared" ca="1" si="20"/>
        <v>396235.25194099639</v>
      </c>
      <c r="AS44" s="303"/>
      <c r="AT44" s="300"/>
      <c r="AU44" s="297"/>
      <c r="AV44" s="303"/>
    </row>
    <row r="45" spans="2:48" x14ac:dyDescent="0.25">
      <c r="B45" s="43">
        <f t="shared" si="18"/>
        <v>45383</v>
      </c>
      <c r="C45" s="79">
        <f t="shared" si="12"/>
        <v>2024</v>
      </c>
      <c r="D45" s="64">
        <f ca="1">wellcount_base  +  SUM('forecast production'!I$7:I46)</f>
        <v>1</v>
      </c>
      <c r="E45" s="108">
        <f ca="1">'forecast production'!AE46</f>
        <v>460.83307608720054</v>
      </c>
      <c r="F45" s="97">
        <f ca="1">'forecast production'!AF46</f>
        <v>2298.8537597360078</v>
      </c>
      <c r="G45" s="97">
        <f ca="1">'forecast production'!AG46</f>
        <v>158.13141393428572</v>
      </c>
      <c r="H45" s="98">
        <f ca="1">'forecast production'!AH46</f>
        <v>344.82806396040121</v>
      </c>
      <c r="I45" s="307">
        <f ca="1">IF('monthly calculations (1)'!AV44,WI_2_APO, WI_2)</f>
        <v>0</v>
      </c>
      <c r="J45" s="306">
        <f ca="1">IF('monthly calculations (1)'!AV44,NRI_2_APO, NRI_2)</f>
        <v>0.25</v>
      </c>
      <c r="K45" s="112">
        <f t="shared" ca="1" si="0"/>
        <v>115.20826902180013</v>
      </c>
      <c r="L45" s="98">
        <f t="shared" ca="1" si="1"/>
        <v>431.03507995050143</v>
      </c>
      <c r="M45" s="98">
        <f t="shared" ca="1" si="2"/>
        <v>39.532853483571429</v>
      </c>
      <c r="N45" s="98">
        <f t="shared" ca="1" si="3"/>
        <v>86.207015990100302</v>
      </c>
      <c r="O45" s="67">
        <f>assumptions!M49</f>
        <v>55</v>
      </c>
      <c r="P45" s="68">
        <f>assumptions!N49</f>
        <v>3</v>
      </c>
      <c r="Q45" s="68">
        <f>assumptions!O49</f>
        <v>22</v>
      </c>
      <c r="R45" s="67">
        <f t="shared" si="4"/>
        <v>52.5</v>
      </c>
      <c r="S45" s="68">
        <f t="shared" si="5"/>
        <v>2.3275000000000001</v>
      </c>
      <c r="T45" s="68">
        <f t="shared" si="6"/>
        <v>22</v>
      </c>
      <c r="U45" s="73">
        <f t="shared" ca="1" si="13"/>
        <v>6048.4341236445071</v>
      </c>
      <c r="V45" s="72">
        <f t="shared" ca="1" si="7"/>
        <v>1003.2341485847921</v>
      </c>
      <c r="W45" s="72">
        <f t="shared" ca="1" si="8"/>
        <v>1896.5543517822066</v>
      </c>
      <c r="X45" s="72">
        <f t="shared" ca="1" si="14"/>
        <v>8948.2226240115051</v>
      </c>
      <c r="Y45" s="73">
        <f>mult_opex * fixed_month</f>
        <v>1000</v>
      </c>
      <c r="Z45" s="72">
        <f ca="1">mult_opex * fixed_well *D45</f>
        <v>5000</v>
      </c>
      <c r="AA45" s="72">
        <f ca="1">(Z45+Y45)*WI_current_2</f>
        <v>0</v>
      </c>
      <c r="AB45" s="72">
        <f ca="1">mult_opex * var_bo*E45</f>
        <v>0</v>
      </c>
      <c r="AC45" s="72">
        <f ca="1">mult_opex * var_mcf*F45</f>
        <v>0</v>
      </c>
      <c r="AD45" s="72">
        <f ca="1">mult_opex * var_bw * G45</f>
        <v>316.26282786857143</v>
      </c>
      <c r="AE45" s="72">
        <f ca="1">SUM(AB45:AD45)*WI_current_2</f>
        <v>0</v>
      </c>
      <c r="AF45" s="73">
        <f ca="1">mult_capex * IFERROR(OFFSET(assumptions!$F$39,MATCH(B45,assumptions!$E$39:$E$45,0)-1,0),0)</f>
        <v>0</v>
      </c>
      <c r="AG45" s="75">
        <f ca="1">mult_capex * capex_new*WI_current_2 *'forecast production'!I46</f>
        <v>0</v>
      </c>
      <c r="AH45" s="146">
        <f t="shared" ca="1" si="15"/>
        <v>0</v>
      </c>
      <c r="AI45" s="73">
        <f t="shared" ca="1" si="9"/>
        <v>495.71210721517218</v>
      </c>
      <c r="AJ45" s="72">
        <f t="shared" ca="1" si="10"/>
        <v>223.70556560028763</v>
      </c>
      <c r="AK45" s="72">
        <f t="shared" ca="1" si="16"/>
        <v>719.41767281545981</v>
      </c>
      <c r="AL45" s="73">
        <f t="shared" ca="1" si="11"/>
        <v>8228.8049511960453</v>
      </c>
      <c r="AM45" s="321">
        <f ca="1">'monthly calculations (1)'!AM45</f>
        <v>1</v>
      </c>
      <c r="AN45" s="73">
        <f t="shared" ca="1" si="17"/>
        <v>8228.8049511960453</v>
      </c>
      <c r="AO45" s="75">
        <f t="shared" ca="1" si="19"/>
        <v>461744.87425518897</v>
      </c>
      <c r="AP45" s="72">
        <f ca="1">AL45  /  ( 1 + disc_1/12)^(COUNT($AL$6:AL45)-1)</f>
        <v>5953.5488549028923</v>
      </c>
      <c r="AQ45" s="72">
        <f t="shared" ca="1" si="20"/>
        <v>402188.8007958993</v>
      </c>
      <c r="AS45" s="303"/>
      <c r="AT45" s="300"/>
      <c r="AU45" s="297"/>
      <c r="AV45" s="303"/>
    </row>
    <row r="46" spans="2:48" x14ac:dyDescent="0.25">
      <c r="B46" s="43">
        <f t="shared" si="18"/>
        <v>45413</v>
      </c>
      <c r="C46" s="79">
        <f t="shared" si="12"/>
        <v>2024</v>
      </c>
      <c r="D46" s="64">
        <f ca="1">wellcount_base  +  SUM('forecast production'!I$7:I47)</f>
        <v>1</v>
      </c>
      <c r="E46" s="108">
        <f ca="1">'forecast production'!AE47</f>
        <v>469.96919049736346</v>
      </c>
      <c r="F46" s="97">
        <f ca="1">'forecast production'!AF47</f>
        <v>2349.9786552278056</v>
      </c>
      <c r="G46" s="97">
        <f ca="1">'forecast production'!AG47</f>
        <v>157.78108768263712</v>
      </c>
      <c r="H46" s="98">
        <f ca="1">'forecast production'!AH47</f>
        <v>352.49679828417078</v>
      </c>
      <c r="I46" s="307">
        <f ca="1">IF('monthly calculations (1)'!AV45,WI_2_APO, WI_2)</f>
        <v>0</v>
      </c>
      <c r="J46" s="306">
        <f ca="1">IF('monthly calculations (1)'!AV45,NRI_2_APO, NRI_2)</f>
        <v>0.25</v>
      </c>
      <c r="K46" s="112">
        <f t="shared" ca="1" si="0"/>
        <v>117.49229762434086</v>
      </c>
      <c r="L46" s="98">
        <f t="shared" ca="1" si="1"/>
        <v>440.62099785521355</v>
      </c>
      <c r="M46" s="98">
        <f t="shared" ca="1" si="2"/>
        <v>39.44527192065928</v>
      </c>
      <c r="N46" s="98">
        <f t="shared" ca="1" si="3"/>
        <v>88.124199571042695</v>
      </c>
      <c r="O46" s="67">
        <f>assumptions!M50</f>
        <v>55</v>
      </c>
      <c r="P46" s="68">
        <f>assumptions!N50</f>
        <v>3</v>
      </c>
      <c r="Q46" s="68">
        <f>assumptions!O50</f>
        <v>22</v>
      </c>
      <c r="R46" s="67">
        <f t="shared" si="4"/>
        <v>52.5</v>
      </c>
      <c r="S46" s="68">
        <f t="shared" si="5"/>
        <v>2.3275000000000001</v>
      </c>
      <c r="T46" s="68">
        <f t="shared" si="6"/>
        <v>22</v>
      </c>
      <c r="U46" s="73">
        <f t="shared" ca="1" si="13"/>
        <v>6168.3456252778951</v>
      </c>
      <c r="V46" s="72">
        <f t="shared" ca="1" si="7"/>
        <v>1025.5453725080097</v>
      </c>
      <c r="W46" s="72">
        <f t="shared" ca="1" si="8"/>
        <v>1938.7323905629394</v>
      </c>
      <c r="X46" s="72">
        <f t="shared" ca="1" si="14"/>
        <v>9132.6233883488439</v>
      </c>
      <c r="Y46" s="73">
        <f>mult_opex * fixed_month</f>
        <v>1000</v>
      </c>
      <c r="Z46" s="72">
        <f ca="1">mult_opex * fixed_well *D46</f>
        <v>5000</v>
      </c>
      <c r="AA46" s="72">
        <f ca="1">(Z46+Y46)*WI_current_2</f>
        <v>0</v>
      </c>
      <c r="AB46" s="72">
        <f ca="1">mult_opex * var_bo*E46</f>
        <v>0</v>
      </c>
      <c r="AC46" s="72">
        <f ca="1">mult_opex * var_mcf*F46</f>
        <v>0</v>
      </c>
      <c r="AD46" s="72">
        <f ca="1">mult_opex * var_bw * G46</f>
        <v>315.56217536527424</v>
      </c>
      <c r="AE46" s="72">
        <f ca="1">SUM(AB46:AD46)*WI_current_2</f>
        <v>0</v>
      </c>
      <c r="AF46" s="73">
        <f ca="1">mult_capex * IFERROR(OFFSET(assumptions!$F$39,MATCH(B46,assumptions!$E$39:$E$45,0)-1,0),0)</f>
        <v>0</v>
      </c>
      <c r="AG46" s="75">
        <f ca="1">mult_capex * capex_new*WI_current_2 *'forecast production'!I47</f>
        <v>0</v>
      </c>
      <c r="AH46" s="146">
        <f t="shared" ca="1" si="15"/>
        <v>0</v>
      </c>
      <c r="AI46" s="73">
        <f t="shared" ca="1" si="9"/>
        <v>506.06473099310432</v>
      </c>
      <c r="AJ46" s="72">
        <f t="shared" ca="1" si="10"/>
        <v>228.3155847087211</v>
      </c>
      <c r="AK46" s="72">
        <f t="shared" ca="1" si="16"/>
        <v>734.38031570182545</v>
      </c>
      <c r="AL46" s="73">
        <f t="shared" ca="1" si="11"/>
        <v>8398.2430726470193</v>
      </c>
      <c r="AM46" s="321">
        <f ca="1">'monthly calculations (1)'!AM46</f>
        <v>1</v>
      </c>
      <c r="AN46" s="73">
        <f t="shared" ca="1" si="17"/>
        <v>8398.2430726470193</v>
      </c>
      <c r="AO46" s="75">
        <f t="shared" ca="1" si="19"/>
        <v>470143.11732783599</v>
      </c>
      <c r="AP46" s="72">
        <f ca="1">AL46  /  ( 1 + disc_1/12)^(COUNT($AL$6:AL46)-1)</f>
        <v>6025.921497751794</v>
      </c>
      <c r="AQ46" s="72">
        <f t="shared" ca="1" si="20"/>
        <v>408214.72229365108</v>
      </c>
      <c r="AS46" s="303"/>
      <c r="AT46" s="300"/>
      <c r="AU46" s="297"/>
      <c r="AV46" s="303"/>
    </row>
    <row r="47" spans="2:48" x14ac:dyDescent="0.25">
      <c r="B47" s="43">
        <f t="shared" si="18"/>
        <v>45444</v>
      </c>
      <c r="C47" s="79">
        <f t="shared" si="12"/>
        <v>2024</v>
      </c>
      <c r="D47" s="64">
        <f ca="1">wellcount_base  +  SUM('forecast production'!I$7:I48)</f>
        <v>1</v>
      </c>
      <c r="E47" s="108">
        <f ca="1">'forecast production'!AE48</f>
        <v>448.74716384689077</v>
      </c>
      <c r="F47" s="97">
        <f ca="1">'forecast production'!AF48</f>
        <v>2249.2199679931246</v>
      </c>
      <c r="G47" s="97">
        <f ca="1">'forecast production'!AG48</f>
        <v>147.267483528936</v>
      </c>
      <c r="H47" s="98">
        <f ca="1">'forecast production'!AH48</f>
        <v>337.38299519896867</v>
      </c>
      <c r="I47" s="307">
        <f ca="1">IF('monthly calculations (1)'!AV46,WI_2_APO, WI_2)</f>
        <v>0</v>
      </c>
      <c r="J47" s="306">
        <f ca="1">IF('monthly calculations (1)'!AV46,NRI_2_APO, NRI_2)</f>
        <v>0.25</v>
      </c>
      <c r="K47" s="112">
        <f t="shared" ca="1" si="0"/>
        <v>112.18679096172269</v>
      </c>
      <c r="L47" s="98">
        <f t="shared" ca="1" si="1"/>
        <v>421.72874399871085</v>
      </c>
      <c r="M47" s="98">
        <f t="shared" ca="1" si="2"/>
        <v>36.816870882233999</v>
      </c>
      <c r="N47" s="98">
        <f t="shared" ca="1" si="3"/>
        <v>84.345748799742168</v>
      </c>
      <c r="O47" s="67">
        <f>assumptions!M51</f>
        <v>55</v>
      </c>
      <c r="P47" s="68">
        <f>assumptions!N51</f>
        <v>3</v>
      </c>
      <c r="Q47" s="68">
        <f>assumptions!O51</f>
        <v>22</v>
      </c>
      <c r="R47" s="67">
        <f t="shared" si="4"/>
        <v>52.5</v>
      </c>
      <c r="S47" s="68">
        <f t="shared" si="5"/>
        <v>2.3275000000000001</v>
      </c>
      <c r="T47" s="68">
        <f t="shared" si="6"/>
        <v>22</v>
      </c>
      <c r="U47" s="73">
        <f t="shared" ca="1" si="13"/>
        <v>5889.8065254904413</v>
      </c>
      <c r="V47" s="72">
        <f t="shared" ca="1" si="7"/>
        <v>981.57365165699957</v>
      </c>
      <c r="W47" s="72">
        <f t="shared" ca="1" si="8"/>
        <v>1855.6064735943278</v>
      </c>
      <c r="X47" s="72">
        <f t="shared" ca="1" si="14"/>
        <v>8726.9866507417682</v>
      </c>
      <c r="Y47" s="73">
        <f>mult_opex * fixed_month</f>
        <v>1000</v>
      </c>
      <c r="Z47" s="72">
        <f ca="1">mult_opex * fixed_well *D47</f>
        <v>5000</v>
      </c>
      <c r="AA47" s="72">
        <f ca="1">(Z47+Y47)*WI_current_2</f>
        <v>0</v>
      </c>
      <c r="AB47" s="72">
        <f ca="1">mult_opex * var_bo*E47</f>
        <v>0</v>
      </c>
      <c r="AC47" s="72">
        <f ca="1">mult_opex * var_mcf*F47</f>
        <v>0</v>
      </c>
      <c r="AD47" s="72">
        <f ca="1">mult_opex * var_bw * G47</f>
        <v>294.534967057872</v>
      </c>
      <c r="AE47" s="72">
        <f ca="1">SUM(AB47:AD47)*WI_current_2</f>
        <v>0</v>
      </c>
      <c r="AF47" s="73">
        <f ca="1">mult_capex * IFERROR(OFFSET(assumptions!$F$39,MATCH(B47,assumptions!$E$39:$E$45,0)-1,0),0)</f>
        <v>0</v>
      </c>
      <c r="AG47" s="75">
        <f ca="1">mult_capex * capex_new*WI_current_2 *'forecast production'!I48</f>
        <v>0</v>
      </c>
      <c r="AH47" s="146">
        <f t="shared" ca="1" si="15"/>
        <v>0</v>
      </c>
      <c r="AI47" s="73">
        <f t="shared" ca="1" si="9"/>
        <v>483.71960956640987</v>
      </c>
      <c r="AJ47" s="72">
        <f t="shared" ca="1" si="10"/>
        <v>218.17466626854423</v>
      </c>
      <c r="AK47" s="72">
        <f t="shared" ca="1" si="16"/>
        <v>701.8942758349541</v>
      </c>
      <c r="AL47" s="73">
        <f t="shared" ca="1" si="11"/>
        <v>8025.0923749068143</v>
      </c>
      <c r="AM47" s="321">
        <f ca="1">'monthly calculations (1)'!AM47</f>
        <v>1</v>
      </c>
      <c r="AN47" s="73">
        <f t="shared" ca="1" si="17"/>
        <v>8025.0923749068143</v>
      </c>
      <c r="AO47" s="75">
        <f t="shared" ca="1" si="19"/>
        <v>478168.20970274281</v>
      </c>
      <c r="AP47" s="72">
        <f ca="1">AL47  /  ( 1 + disc_1/12)^(COUNT($AL$6:AL47)-1)</f>
        <v>5710.5895352352272</v>
      </c>
      <c r="AQ47" s="72">
        <f t="shared" ca="1" si="20"/>
        <v>413925.31182888633</v>
      </c>
      <c r="AS47" s="303"/>
      <c r="AT47" s="300"/>
      <c r="AU47" s="297"/>
      <c r="AV47" s="303"/>
    </row>
    <row r="48" spans="2:48" x14ac:dyDescent="0.25">
      <c r="B48" s="43">
        <f t="shared" si="18"/>
        <v>45474</v>
      </c>
      <c r="C48" s="79">
        <f t="shared" si="12"/>
        <v>2024</v>
      </c>
      <c r="D48" s="64">
        <f ca="1">wellcount_base  +  SUM('forecast production'!I$7:I49)</f>
        <v>1</v>
      </c>
      <c r="E48" s="108">
        <f ca="1">'forecast production'!AE49</f>
        <v>457.80062437420685</v>
      </c>
      <c r="F48" s="97">
        <f ca="1">'forecast production'!AF49</f>
        <v>2299.774132561457</v>
      </c>
      <c r="G48" s="97">
        <f ca="1">'forecast production'!AG49</f>
        <v>146.94305555548669</v>
      </c>
      <c r="H48" s="98">
        <f ca="1">'forecast production'!AH49</f>
        <v>344.96611988421864</v>
      </c>
      <c r="I48" s="307">
        <f ca="1">IF('monthly calculations (1)'!AV47,WI_2_APO, WI_2)</f>
        <v>0</v>
      </c>
      <c r="J48" s="306">
        <f ca="1">IF('monthly calculations (1)'!AV47,NRI_2_APO, NRI_2)</f>
        <v>0.25</v>
      </c>
      <c r="K48" s="112">
        <f t="shared" ca="1" si="0"/>
        <v>114.45015609355171</v>
      </c>
      <c r="L48" s="98">
        <f t="shared" ca="1" si="1"/>
        <v>431.20764985527319</v>
      </c>
      <c r="M48" s="98">
        <f t="shared" ca="1" si="2"/>
        <v>36.735763888871674</v>
      </c>
      <c r="N48" s="98">
        <f t="shared" ca="1" si="3"/>
        <v>86.241529971054661</v>
      </c>
      <c r="O48" s="67">
        <f>assumptions!M52</f>
        <v>55</v>
      </c>
      <c r="P48" s="68">
        <f>assumptions!N52</f>
        <v>3</v>
      </c>
      <c r="Q48" s="68">
        <f>assumptions!O52</f>
        <v>22</v>
      </c>
      <c r="R48" s="67">
        <f t="shared" si="4"/>
        <v>52.5</v>
      </c>
      <c r="S48" s="68">
        <f t="shared" si="5"/>
        <v>2.3275000000000001</v>
      </c>
      <c r="T48" s="68">
        <f t="shared" si="6"/>
        <v>22</v>
      </c>
      <c r="U48" s="73">
        <f t="shared" ca="1" si="13"/>
        <v>6008.6331949114647</v>
      </c>
      <c r="V48" s="72">
        <f t="shared" ca="1" si="7"/>
        <v>1003.6358050381484</v>
      </c>
      <c r="W48" s="72">
        <f t="shared" ca="1" si="8"/>
        <v>1897.3136593632025</v>
      </c>
      <c r="X48" s="72">
        <f t="shared" ca="1" si="14"/>
        <v>8909.5826593128149</v>
      </c>
      <c r="Y48" s="73">
        <f>mult_opex * fixed_month</f>
        <v>1000</v>
      </c>
      <c r="Z48" s="72">
        <f ca="1">mult_opex * fixed_well *D48</f>
        <v>5000</v>
      </c>
      <c r="AA48" s="72">
        <f ca="1">(Z48+Y48)*WI_current_2</f>
        <v>0</v>
      </c>
      <c r="AB48" s="72">
        <f ca="1">mult_opex * var_bo*E48</f>
        <v>0</v>
      </c>
      <c r="AC48" s="72">
        <f ca="1">mult_opex * var_mcf*F48</f>
        <v>0</v>
      </c>
      <c r="AD48" s="72">
        <f ca="1">mult_opex * var_bw * G48</f>
        <v>293.88611111097339</v>
      </c>
      <c r="AE48" s="72">
        <f ca="1">SUM(AB48:AD48)*WI_current_2</f>
        <v>0</v>
      </c>
      <c r="AF48" s="73">
        <f ca="1">mult_capex * IFERROR(OFFSET(assumptions!$F$39,MATCH(B48,assumptions!$E$39:$E$45,0)-1,0),0)</f>
        <v>0</v>
      </c>
      <c r="AG48" s="75">
        <f ca="1">mult_capex * capex_new*WI_current_2 *'forecast production'!I49</f>
        <v>0</v>
      </c>
      <c r="AH48" s="146">
        <f t="shared" ca="1" si="15"/>
        <v>0</v>
      </c>
      <c r="AI48" s="73">
        <f t="shared" ca="1" si="9"/>
        <v>493.96833679602867</v>
      </c>
      <c r="AJ48" s="72">
        <f t="shared" ca="1" si="10"/>
        <v>222.73956648282038</v>
      </c>
      <c r="AK48" s="72">
        <f t="shared" ca="1" si="16"/>
        <v>716.70790327884902</v>
      </c>
      <c r="AL48" s="73">
        <f t="shared" ca="1" si="11"/>
        <v>8192.8747560339652</v>
      </c>
      <c r="AM48" s="321">
        <f ca="1">'monthly calculations (1)'!AM48</f>
        <v>1</v>
      </c>
      <c r="AN48" s="73">
        <f t="shared" ca="1" si="17"/>
        <v>8192.8747560339652</v>
      </c>
      <c r="AO48" s="75">
        <f t="shared" ca="1" si="19"/>
        <v>486361.08445877675</v>
      </c>
      <c r="AP48" s="72">
        <f ca="1">AL48  /  ( 1 + disc_1/12)^(COUNT($AL$6:AL48)-1)</f>
        <v>5781.8004234182808</v>
      </c>
      <c r="AQ48" s="72">
        <f t="shared" ca="1" si="20"/>
        <v>419707.11225230462</v>
      </c>
      <c r="AS48" s="303"/>
      <c r="AT48" s="300"/>
      <c r="AU48" s="297"/>
      <c r="AV48" s="303"/>
    </row>
    <row r="49" spans="2:48" x14ac:dyDescent="0.25">
      <c r="B49" s="43">
        <f t="shared" si="18"/>
        <v>45505</v>
      </c>
      <c r="C49" s="79">
        <f t="shared" si="12"/>
        <v>2024</v>
      </c>
      <c r="D49" s="64">
        <f ca="1">wellcount_base  +  SUM('forecast production'!I$7:I50)</f>
        <v>1</v>
      </c>
      <c r="E49" s="108">
        <f ca="1">'forecast production'!AE50</f>
        <v>451.85495269156212</v>
      </c>
      <c r="F49" s="97">
        <f ca="1">'forecast production'!AF50</f>
        <v>2275.0736046522884</v>
      </c>
      <c r="G49" s="97">
        <f ca="1">'forecast production'!AG50</f>
        <v>141.72517868542209</v>
      </c>
      <c r="H49" s="98">
        <f ca="1">'forecast production'!AH50</f>
        <v>341.26104069784327</v>
      </c>
      <c r="I49" s="307">
        <f ca="1">IF('monthly calculations (1)'!AV48,WI_2_APO, WI_2)</f>
        <v>0</v>
      </c>
      <c r="J49" s="306">
        <f ca="1">IF('monthly calculations (1)'!AV48,NRI_2_APO, NRI_2)</f>
        <v>0.25</v>
      </c>
      <c r="K49" s="112">
        <f t="shared" ca="1" si="0"/>
        <v>112.96373817289053</v>
      </c>
      <c r="L49" s="98">
        <f t="shared" ca="1" si="1"/>
        <v>426.57630087230405</v>
      </c>
      <c r="M49" s="98">
        <f t="shared" ca="1" si="2"/>
        <v>35.431294671355523</v>
      </c>
      <c r="N49" s="98">
        <f t="shared" ca="1" si="3"/>
        <v>85.315260174460818</v>
      </c>
      <c r="O49" s="67">
        <f>assumptions!M53</f>
        <v>55</v>
      </c>
      <c r="P49" s="68">
        <f>assumptions!N53</f>
        <v>3</v>
      </c>
      <c r="Q49" s="68">
        <f>assumptions!O53</f>
        <v>22</v>
      </c>
      <c r="R49" s="67">
        <f t="shared" si="4"/>
        <v>52.5</v>
      </c>
      <c r="S49" s="68">
        <f t="shared" si="5"/>
        <v>2.3275000000000001</v>
      </c>
      <c r="T49" s="68">
        <f t="shared" si="6"/>
        <v>22</v>
      </c>
      <c r="U49" s="73">
        <f t="shared" ca="1" si="13"/>
        <v>5930.5962540767532</v>
      </c>
      <c r="V49" s="72">
        <f t="shared" ca="1" si="7"/>
        <v>992.85634028028767</v>
      </c>
      <c r="W49" s="72">
        <f t="shared" ca="1" si="8"/>
        <v>1876.9357238381381</v>
      </c>
      <c r="X49" s="72">
        <f t="shared" ca="1" si="14"/>
        <v>8800.3883181951787</v>
      </c>
      <c r="Y49" s="73">
        <f>mult_opex * fixed_month</f>
        <v>1000</v>
      </c>
      <c r="Z49" s="72">
        <f ca="1">mult_opex * fixed_well *D49</f>
        <v>5000</v>
      </c>
      <c r="AA49" s="72">
        <f ca="1">(Z49+Y49)*WI_current_2</f>
        <v>0</v>
      </c>
      <c r="AB49" s="72">
        <f ca="1">mult_opex * var_bo*E49</f>
        <v>0</v>
      </c>
      <c r="AC49" s="72">
        <f ca="1">mult_opex * var_mcf*F49</f>
        <v>0</v>
      </c>
      <c r="AD49" s="72">
        <f ca="1">mult_opex * var_bw * G49</f>
        <v>283.45035737084419</v>
      </c>
      <c r="AE49" s="72">
        <f ca="1">SUM(AB49:AD49)*WI_current_2</f>
        <v>0</v>
      </c>
      <c r="AF49" s="73">
        <f ca="1">mult_capex * IFERROR(OFFSET(assumptions!$F$39,MATCH(B49,assumptions!$E$39:$E$45,0)-1,0),0)</f>
        <v>0</v>
      </c>
      <c r="AG49" s="75">
        <f ca="1">mult_capex * capex_new*WI_current_2 *'forecast production'!I50</f>
        <v>0</v>
      </c>
      <c r="AH49" s="146">
        <f t="shared" ca="1" si="15"/>
        <v>0</v>
      </c>
      <c r="AI49" s="73">
        <f t="shared" ca="1" si="9"/>
        <v>488.04183249641261</v>
      </c>
      <c r="AJ49" s="72">
        <f t="shared" ca="1" si="10"/>
        <v>220.00970795487947</v>
      </c>
      <c r="AK49" s="72">
        <f t="shared" ca="1" si="16"/>
        <v>708.05154045129211</v>
      </c>
      <c r="AL49" s="73">
        <f t="shared" ca="1" si="11"/>
        <v>8092.3367777438871</v>
      </c>
      <c r="AM49" s="321">
        <f ca="1">'monthly calculations (1)'!AM49</f>
        <v>1</v>
      </c>
      <c r="AN49" s="73">
        <f t="shared" ca="1" si="17"/>
        <v>8092.3367777438871</v>
      </c>
      <c r="AO49" s="75">
        <f t="shared" ca="1" si="19"/>
        <v>494453.42123652063</v>
      </c>
      <c r="AP49" s="72">
        <f ca="1">AL49  /  ( 1 + disc_1/12)^(COUNT($AL$6:AL49)-1)</f>
        <v>5663.6525787444116</v>
      </c>
      <c r="AQ49" s="72">
        <f t="shared" ca="1" si="20"/>
        <v>425370.76483104902</v>
      </c>
      <c r="AS49" s="303"/>
      <c r="AT49" s="300"/>
      <c r="AU49" s="297"/>
      <c r="AV49" s="303"/>
    </row>
    <row r="50" spans="2:48" x14ac:dyDescent="0.25">
      <c r="B50" s="43">
        <f t="shared" si="18"/>
        <v>45536</v>
      </c>
      <c r="C50" s="79">
        <f t="shared" si="12"/>
        <v>2024</v>
      </c>
      <c r="D50" s="64">
        <f ca="1">wellcount_base  +  SUM('forecast production'!I$7:I51)</f>
        <v>1</v>
      </c>
      <c r="E50" s="110">
        <f ca="1">'forecast production'!AE51</f>
        <v>431.67265105176585</v>
      </c>
      <c r="F50" s="98">
        <f ca="1">'forecast production'!AF51</f>
        <v>2178.2884126378935</v>
      </c>
      <c r="G50" s="98">
        <f ca="1">'forecast production'!AG51</f>
        <v>132.28401229299769</v>
      </c>
      <c r="H50" s="98">
        <f ca="1">'forecast production'!AH51</f>
        <v>326.7432618956841</v>
      </c>
      <c r="I50" s="307">
        <f ca="1">IF('monthly calculations (1)'!AV49,WI_2_APO, WI_2)</f>
        <v>0</v>
      </c>
      <c r="J50" s="306">
        <f ca="1">IF('monthly calculations (1)'!AV49,NRI_2_APO, NRI_2)</f>
        <v>0.25</v>
      </c>
      <c r="K50" s="112">
        <f t="shared" ca="1" si="0"/>
        <v>107.91816276294146</v>
      </c>
      <c r="L50" s="98">
        <f t="shared" ca="1" si="1"/>
        <v>408.42907736960501</v>
      </c>
      <c r="M50" s="98">
        <f t="shared" ca="1" si="2"/>
        <v>33.071003073249422</v>
      </c>
      <c r="N50" s="98">
        <f t="shared" ca="1" si="3"/>
        <v>81.685815473921025</v>
      </c>
      <c r="O50" s="67">
        <f>assumptions!M54</f>
        <v>55</v>
      </c>
      <c r="P50" s="68">
        <f>assumptions!N54</f>
        <v>3</v>
      </c>
      <c r="Q50" s="68">
        <f>assumptions!O54</f>
        <v>22</v>
      </c>
      <c r="R50" s="67">
        <f t="shared" si="4"/>
        <v>52.5</v>
      </c>
      <c r="S50" s="68">
        <f t="shared" si="5"/>
        <v>2.3275000000000001</v>
      </c>
      <c r="T50" s="68">
        <f t="shared" si="6"/>
        <v>22</v>
      </c>
      <c r="U50" s="73">
        <f t="shared" ca="1" si="13"/>
        <v>5665.7035450544272</v>
      </c>
      <c r="V50" s="72">
        <f t="shared" ca="1" si="7"/>
        <v>950.61867757775576</v>
      </c>
      <c r="W50" s="72">
        <f t="shared" ca="1" si="8"/>
        <v>1797.0879404262625</v>
      </c>
      <c r="X50" s="72">
        <f t="shared" ca="1" si="14"/>
        <v>8413.4101630584464</v>
      </c>
      <c r="Y50" s="73">
        <f>mult_opex * fixed_month</f>
        <v>1000</v>
      </c>
      <c r="Z50" s="72">
        <f ca="1">mult_opex * fixed_well *D50</f>
        <v>5000</v>
      </c>
      <c r="AA50" s="72">
        <f ca="1">(Z50+Y50)*WI_current_2</f>
        <v>0</v>
      </c>
      <c r="AB50" s="72">
        <f ca="1">mult_opex * var_bo*E50</f>
        <v>0</v>
      </c>
      <c r="AC50" s="72">
        <f ca="1">mult_opex * var_mcf*F50</f>
        <v>0</v>
      </c>
      <c r="AD50" s="72">
        <f ca="1">mult_opex * var_bw * G50</f>
        <v>264.56802458599537</v>
      </c>
      <c r="AE50" s="72">
        <f ca="1">SUM(AB50:AD50)*WI_current_2</f>
        <v>0</v>
      </c>
      <c r="AF50" s="73">
        <f ca="1">mult_capex * IFERROR(OFFSET(assumptions!$F$39,MATCH(B50,assumptions!$E$39:$E$45,0)-1,0),0)</f>
        <v>0</v>
      </c>
      <c r="AG50" s="75">
        <f ca="1">mult_capex * capex_new*WI_current_2 *'forecast production'!I51</f>
        <v>0</v>
      </c>
      <c r="AH50" s="146">
        <f t="shared" ca="1" si="15"/>
        <v>0</v>
      </c>
      <c r="AI50" s="73">
        <f t="shared" ca="1" si="9"/>
        <v>466.70035942280504</v>
      </c>
      <c r="AJ50" s="72">
        <f t="shared" ca="1" si="10"/>
        <v>210.33525407646118</v>
      </c>
      <c r="AK50" s="72">
        <f t="shared" ca="1" si="16"/>
        <v>677.03561349926622</v>
      </c>
      <c r="AL50" s="73">
        <f t="shared" ca="1" si="11"/>
        <v>7736.3745495591802</v>
      </c>
      <c r="AM50" s="321">
        <f ca="1">'monthly calculations (1)'!AM50</f>
        <v>1</v>
      </c>
      <c r="AN50" s="73">
        <f t="shared" ca="1" si="17"/>
        <v>7736.3745495591802</v>
      </c>
      <c r="AO50" s="75">
        <f t="shared" ca="1" si="19"/>
        <v>502189.79578607983</v>
      </c>
      <c r="AP50" s="72">
        <f ca="1">AL50  /  ( 1 + disc_1/12)^(COUNT($AL$6:AL50)-1)</f>
        <v>5369.7741481823268</v>
      </c>
      <c r="AQ50" s="72">
        <f t="shared" ca="1" si="20"/>
        <v>430740.53897923132</v>
      </c>
      <c r="AS50" s="303"/>
      <c r="AT50" s="300"/>
      <c r="AU50" s="297"/>
      <c r="AV50" s="303"/>
    </row>
    <row r="51" spans="2:48" x14ac:dyDescent="0.25">
      <c r="B51" s="43">
        <f t="shared" si="18"/>
        <v>45566</v>
      </c>
      <c r="C51" s="79">
        <f t="shared" si="12"/>
        <v>2024</v>
      </c>
      <c r="D51" s="64">
        <f ca="1">wellcount_base  +  SUM('forecast production'!I$7:I52)</f>
        <v>1</v>
      </c>
      <c r="E51" s="110">
        <f ca="1">'forecast production'!AE52</f>
        <v>440.59510913702076</v>
      </c>
      <c r="F51" s="98">
        <f ca="1">'forecast production'!AF52</f>
        <v>2227.9865255050181</v>
      </c>
      <c r="G51" s="98">
        <f ca="1">'forecast production'!AG52</f>
        <v>131.99506995356907</v>
      </c>
      <c r="H51" s="98">
        <f ca="1">'forecast production'!AH52</f>
        <v>334.19797882575273</v>
      </c>
      <c r="I51" s="307">
        <f ca="1">IF('monthly calculations (1)'!AV50,WI_2_APO, WI_2)</f>
        <v>0</v>
      </c>
      <c r="J51" s="306">
        <f ca="1">IF('monthly calculations (1)'!AV50,NRI_2_APO, NRI_2)</f>
        <v>0.25</v>
      </c>
      <c r="K51" s="112">
        <f t="shared" ca="1" si="0"/>
        <v>110.14877728425519</v>
      </c>
      <c r="L51" s="98">
        <f t="shared" ca="1" si="1"/>
        <v>417.7474735321909</v>
      </c>
      <c r="M51" s="98">
        <f t="shared" ca="1" si="2"/>
        <v>32.998767488392268</v>
      </c>
      <c r="N51" s="98">
        <f t="shared" ca="1" si="3"/>
        <v>83.549494706438182</v>
      </c>
      <c r="O51" s="67">
        <f>assumptions!M55</f>
        <v>55</v>
      </c>
      <c r="P51" s="68">
        <f>assumptions!N55</f>
        <v>3</v>
      </c>
      <c r="Q51" s="68">
        <f>assumptions!O55</f>
        <v>22</v>
      </c>
      <c r="R51" s="67">
        <f t="shared" si="4"/>
        <v>52.5</v>
      </c>
      <c r="S51" s="68">
        <f t="shared" si="5"/>
        <v>2.3275000000000001</v>
      </c>
      <c r="T51" s="68">
        <f t="shared" si="6"/>
        <v>22</v>
      </c>
      <c r="U51" s="73">
        <f t="shared" ca="1" si="13"/>
        <v>5782.8108074233978</v>
      </c>
      <c r="V51" s="72">
        <f t="shared" ca="1" si="7"/>
        <v>972.30724464617435</v>
      </c>
      <c r="W51" s="72">
        <f t="shared" ca="1" si="8"/>
        <v>1838.0888835416399</v>
      </c>
      <c r="X51" s="72">
        <f t="shared" ca="1" si="14"/>
        <v>8593.2069356112115</v>
      </c>
      <c r="Y51" s="73">
        <f>mult_opex * fixed_month</f>
        <v>1000</v>
      </c>
      <c r="Z51" s="72">
        <f ca="1">mult_opex * fixed_well *D51</f>
        <v>5000</v>
      </c>
      <c r="AA51" s="72">
        <f ca="1">(Z51+Y51)*WI_current_2</f>
        <v>0</v>
      </c>
      <c r="AB51" s="72">
        <f ca="1">mult_opex * var_bo*E51</f>
        <v>0</v>
      </c>
      <c r="AC51" s="72">
        <f ca="1">mult_opex * var_mcf*F51</f>
        <v>0</v>
      </c>
      <c r="AD51" s="72">
        <f ca="1">mult_opex * var_bw * G51</f>
        <v>263.99013990713814</v>
      </c>
      <c r="AE51" s="72">
        <f ca="1">SUM(AB51:AD51)*WI_current_2</f>
        <v>0</v>
      </c>
      <c r="AF51" s="73">
        <f ca="1">mult_capex * IFERROR(OFFSET(assumptions!$F$39,MATCH(B51,assumptions!$E$39:$E$45,0)-1,0),0)</f>
        <v>0</v>
      </c>
      <c r="AG51" s="75">
        <f ca="1">mult_capex * capex_new*WI_current_2 *'forecast production'!I52</f>
        <v>0</v>
      </c>
      <c r="AH51" s="146">
        <f t="shared" ca="1" si="15"/>
        <v>0</v>
      </c>
      <c r="AI51" s="73">
        <f t="shared" ca="1" si="9"/>
        <v>476.78900675556235</v>
      </c>
      <c r="AJ51" s="72">
        <f t="shared" ca="1" si="10"/>
        <v>214.83017339028029</v>
      </c>
      <c r="AK51" s="72">
        <f t="shared" ca="1" si="16"/>
        <v>691.61918014584262</v>
      </c>
      <c r="AL51" s="73">
        <f t="shared" ca="1" si="11"/>
        <v>7901.5877554653689</v>
      </c>
      <c r="AM51" s="321">
        <f ca="1">'monthly calculations (1)'!AM51</f>
        <v>1</v>
      </c>
      <c r="AN51" s="73">
        <f t="shared" ca="1" si="17"/>
        <v>7901.5877554653689</v>
      </c>
      <c r="AO51" s="75">
        <f t="shared" ca="1" si="19"/>
        <v>510091.38354154519</v>
      </c>
      <c r="AP51" s="72">
        <f ca="1">AL51  /  ( 1 + disc_1/12)^(COUNT($AL$6:AL51)-1)</f>
        <v>5439.1216929014026</v>
      </c>
      <c r="AQ51" s="72">
        <f t="shared" ca="1" si="20"/>
        <v>436179.66067213274</v>
      </c>
      <c r="AS51" s="303"/>
      <c r="AT51" s="300"/>
      <c r="AU51" s="297"/>
      <c r="AV51" s="303"/>
    </row>
    <row r="52" spans="2:48" x14ac:dyDescent="0.25">
      <c r="B52" s="43">
        <f t="shared" si="18"/>
        <v>45597</v>
      </c>
      <c r="C52" s="79">
        <f t="shared" si="12"/>
        <v>2024</v>
      </c>
      <c r="D52" s="64">
        <f ca="1">wellcount_base  +  SUM('forecast production'!I$7:I53)</f>
        <v>1</v>
      </c>
      <c r="E52" s="110">
        <f ca="1">'forecast production'!AE53</f>
        <v>421.05025366246844</v>
      </c>
      <c r="F52" s="98">
        <f ca="1">'forecast production'!AF53</f>
        <v>2133.6737539113074</v>
      </c>
      <c r="G52" s="98">
        <f ca="1">'forecast production'!AG53</f>
        <v>123.20366801842329</v>
      </c>
      <c r="H52" s="98">
        <f ca="1">'forecast production'!AH53</f>
        <v>320.0510630866961</v>
      </c>
      <c r="I52" s="307">
        <f ca="1">IF('monthly calculations (1)'!AV51,WI_2_APO, WI_2)</f>
        <v>0</v>
      </c>
      <c r="J52" s="306">
        <f ca="1">IF('monthly calculations (1)'!AV51,NRI_2_APO, NRI_2)</f>
        <v>0.25</v>
      </c>
      <c r="K52" s="112">
        <f t="shared" ca="1" si="0"/>
        <v>105.26256341561711</v>
      </c>
      <c r="L52" s="98">
        <f t="shared" ca="1" si="1"/>
        <v>400.06382885837013</v>
      </c>
      <c r="M52" s="98">
        <f t="shared" ca="1" si="2"/>
        <v>30.800917004605822</v>
      </c>
      <c r="N52" s="98">
        <f t="shared" ca="1" si="3"/>
        <v>80.012765771674026</v>
      </c>
      <c r="O52" s="67">
        <f>assumptions!M56</f>
        <v>55</v>
      </c>
      <c r="P52" s="68">
        <f>assumptions!N56</f>
        <v>3</v>
      </c>
      <c r="Q52" s="68">
        <f>assumptions!O56</f>
        <v>22</v>
      </c>
      <c r="R52" s="67">
        <f t="shared" si="4"/>
        <v>52.5</v>
      </c>
      <c r="S52" s="68">
        <f t="shared" si="5"/>
        <v>2.3275000000000001</v>
      </c>
      <c r="T52" s="68">
        <f t="shared" si="6"/>
        <v>22</v>
      </c>
      <c r="U52" s="73">
        <f t="shared" ca="1" si="13"/>
        <v>5526.2845793198985</v>
      </c>
      <c r="V52" s="72">
        <f t="shared" ca="1" si="7"/>
        <v>931.14856166785648</v>
      </c>
      <c r="W52" s="72">
        <f t="shared" ca="1" si="8"/>
        <v>1760.2808469768286</v>
      </c>
      <c r="X52" s="72">
        <f t="shared" ca="1" si="14"/>
        <v>8217.7139879645838</v>
      </c>
      <c r="Y52" s="73">
        <f>mult_opex * fixed_month</f>
        <v>1000</v>
      </c>
      <c r="Z52" s="72">
        <f ca="1">mult_opex * fixed_well *D52</f>
        <v>5000</v>
      </c>
      <c r="AA52" s="72">
        <f ca="1">(Z52+Y52)*WI_current_2</f>
        <v>0</v>
      </c>
      <c r="AB52" s="72">
        <f ca="1">mult_opex * var_bo*E52</f>
        <v>0</v>
      </c>
      <c r="AC52" s="72">
        <f ca="1">mult_opex * var_mcf*F52</f>
        <v>0</v>
      </c>
      <c r="AD52" s="72">
        <f ca="1">mult_opex * var_bw * G52</f>
        <v>246.40733603684657</v>
      </c>
      <c r="AE52" s="72">
        <f ca="1">SUM(AB52:AD52)*WI_current_2</f>
        <v>0</v>
      </c>
      <c r="AF52" s="73">
        <f ca="1">mult_capex * IFERROR(OFFSET(assumptions!$F$39,MATCH(B52,assumptions!$E$39:$E$45,0)-1,0),0)</f>
        <v>0</v>
      </c>
      <c r="AG52" s="75">
        <f ca="1">mult_capex * capex_new*WI_current_2 *'forecast production'!I53</f>
        <v>0</v>
      </c>
      <c r="AH52" s="146">
        <f t="shared" ca="1" si="15"/>
        <v>0</v>
      </c>
      <c r="AI52" s="73">
        <f t="shared" ca="1" si="9"/>
        <v>456.06629629706674</v>
      </c>
      <c r="AJ52" s="72">
        <f t="shared" ca="1" si="10"/>
        <v>205.44284969911462</v>
      </c>
      <c r="AK52" s="72">
        <f t="shared" ca="1" si="16"/>
        <v>661.50914599618136</v>
      </c>
      <c r="AL52" s="73">
        <f t="shared" ca="1" si="11"/>
        <v>7556.2048419684024</v>
      </c>
      <c r="AM52" s="321">
        <f ca="1">'monthly calculations (1)'!AM52</f>
        <v>1</v>
      </c>
      <c r="AN52" s="73">
        <f t="shared" ca="1" si="17"/>
        <v>7556.2048419684024</v>
      </c>
      <c r="AO52" s="75">
        <f t="shared" ca="1" si="19"/>
        <v>517647.58838351362</v>
      </c>
      <c r="AP52" s="72">
        <f ca="1">AL52  /  ( 1 + disc_1/12)^(COUNT($AL$6:AL52)-1)</f>
        <v>5158.3880105924463</v>
      </c>
      <c r="AQ52" s="72">
        <f t="shared" ca="1" si="20"/>
        <v>441338.04868272517</v>
      </c>
      <c r="AS52" s="303"/>
      <c r="AT52" s="300"/>
      <c r="AU52" s="297"/>
      <c r="AV52" s="303"/>
    </row>
    <row r="53" spans="2:48" x14ac:dyDescent="0.25">
      <c r="B53" s="44">
        <f t="shared" si="18"/>
        <v>45627</v>
      </c>
      <c r="C53" s="100">
        <f t="shared" si="12"/>
        <v>2024</v>
      </c>
      <c r="D53" s="65">
        <f ca="1">wellcount_base  +  SUM('forecast production'!I$7:I54)</f>
        <v>1</v>
      </c>
      <c r="E53" s="109">
        <f ca="1">'forecast production'!AE54</f>
        <v>429.88279322746251</v>
      </c>
      <c r="F53" s="101">
        <f ca="1">'forecast production'!AF54</f>
        <v>2182.8090411916364</v>
      </c>
      <c r="G53" s="101">
        <f ca="1">'forecast production'!AG54</f>
        <v>122.9360879441407</v>
      </c>
      <c r="H53" s="102">
        <f ca="1">'forecast production'!AH54</f>
        <v>327.42135617874544</v>
      </c>
      <c r="I53" s="308">
        <f ca="1">IF('monthly calculations (1)'!AV52,WI_2_APO, WI_2)</f>
        <v>0</v>
      </c>
      <c r="J53" s="309">
        <f ca="1">IF('monthly calculations (1)'!AV52,NRI_2_APO, NRI_2)</f>
        <v>0.25</v>
      </c>
      <c r="K53" s="113">
        <f t="shared" ca="1" si="0"/>
        <v>107.47069830686563</v>
      </c>
      <c r="L53" s="102">
        <f t="shared" ca="1" si="1"/>
        <v>409.27669522343183</v>
      </c>
      <c r="M53" s="102">
        <f t="shared" ca="1" si="2"/>
        <v>30.734021986035174</v>
      </c>
      <c r="N53" s="102">
        <f t="shared" ca="1" si="3"/>
        <v>81.85533904468636</v>
      </c>
      <c r="O53" s="103">
        <f>assumptions!M57</f>
        <v>55</v>
      </c>
      <c r="P53" s="104">
        <f>assumptions!N57</f>
        <v>3</v>
      </c>
      <c r="Q53" s="104">
        <f>assumptions!O57</f>
        <v>22</v>
      </c>
      <c r="R53" s="103">
        <f t="shared" si="4"/>
        <v>52.5</v>
      </c>
      <c r="S53" s="104">
        <f t="shared" si="5"/>
        <v>2.3275000000000001</v>
      </c>
      <c r="T53" s="104">
        <f t="shared" si="6"/>
        <v>22</v>
      </c>
      <c r="U53" s="105">
        <f t="shared" ca="1" si="13"/>
        <v>5642.2116611104457</v>
      </c>
      <c r="V53" s="106">
        <f t="shared" ca="1" si="7"/>
        <v>952.59150813253768</v>
      </c>
      <c r="W53" s="106">
        <f t="shared" ca="1" si="8"/>
        <v>1800.8174589830999</v>
      </c>
      <c r="X53" s="106">
        <f t="shared" ca="1" si="14"/>
        <v>8395.6206282260828</v>
      </c>
      <c r="Y53" s="105">
        <f>mult_opex * fixed_month</f>
        <v>1000</v>
      </c>
      <c r="Z53" s="106">
        <f ca="1">mult_opex * fixed_well *D53</f>
        <v>5000</v>
      </c>
      <c r="AA53" s="106">
        <f ca="1">(Z53+Y53)*WI_current_2</f>
        <v>0</v>
      </c>
      <c r="AB53" s="106">
        <f ca="1">mult_opex * var_bo*E53</f>
        <v>0</v>
      </c>
      <c r="AC53" s="106">
        <f ca="1">mult_opex * var_mcf*F53</f>
        <v>0</v>
      </c>
      <c r="AD53" s="106">
        <f ca="1">mult_opex * var_bw * G53</f>
        <v>245.87217588828139</v>
      </c>
      <c r="AE53" s="106">
        <f ca="1">SUM(AB53:AD53)*WI_current_2</f>
        <v>0</v>
      </c>
      <c r="AF53" s="105">
        <f ca="1">mult_capex * IFERROR(OFFSET(assumptions!$F$39,MATCH(B53,assumptions!$E$39:$E$45,0)-1,0),0)</f>
        <v>0</v>
      </c>
      <c r="AG53" s="106">
        <f ca="1">mult_capex * capex_new*WI_current_2 *'forecast production'!I54</f>
        <v>0</v>
      </c>
      <c r="AH53" s="147">
        <f t="shared" ca="1" si="15"/>
        <v>0</v>
      </c>
      <c r="AI53" s="105">
        <f t="shared" ca="1" si="9"/>
        <v>466.04740894475333</v>
      </c>
      <c r="AJ53" s="106">
        <f t="shared" ca="1" si="10"/>
        <v>209.89051570565209</v>
      </c>
      <c r="AK53" s="106">
        <f t="shared" ca="1" si="16"/>
        <v>675.93792465040542</v>
      </c>
      <c r="AL53" s="105">
        <f t="shared" ca="1" si="11"/>
        <v>7719.6827035756778</v>
      </c>
      <c r="AM53" s="322">
        <f ca="1">'monthly calculations (1)'!AM53</f>
        <v>1</v>
      </c>
      <c r="AN53" s="105">
        <f t="shared" ca="1" si="17"/>
        <v>7719.6827035756778</v>
      </c>
      <c r="AO53" s="106">
        <f t="shared" ca="1" si="19"/>
        <v>525367.27108708932</v>
      </c>
      <c r="AP53" s="106">
        <f ca="1">AL53  /  ( 1 + disc_1/12)^(COUNT($AL$6:AL53)-1)</f>
        <v>5226.4356743985354</v>
      </c>
      <c r="AQ53" s="106">
        <f t="shared" ca="1" si="20"/>
        <v>446564.48435712373</v>
      </c>
      <c r="AS53" s="304"/>
      <c r="AT53" s="301"/>
      <c r="AU53" s="298"/>
      <c r="AV53" s="304"/>
    </row>
    <row r="54" spans="2:48" x14ac:dyDescent="0.25">
      <c r="B54" s="43">
        <f t="shared" si="18"/>
        <v>45658</v>
      </c>
      <c r="C54" s="79">
        <f t="shared" si="12"/>
        <v>2025</v>
      </c>
      <c r="D54" s="64">
        <f ca="1">wellcount_base  +  SUM('forecast production'!I$7:I55)</f>
        <v>1</v>
      </c>
      <c r="E54" s="110">
        <f ca="1">'forecast production'!AE55</f>
        <v>424.63601886107489</v>
      </c>
      <c r="F54" s="98">
        <f ca="1">'forecast production'!AF55</f>
        <v>2160.5449664057537</v>
      </c>
      <c r="G54" s="98">
        <f ca="1">'forecast production'!AG55</f>
        <v>118.5745084519509</v>
      </c>
      <c r="H54" s="98">
        <f ca="1">'forecast production'!AH55</f>
        <v>324.08174496086303</v>
      </c>
      <c r="I54" s="307">
        <f ca="1">IF('monthly calculations (1)'!AV53,WI_2_APO, WI_2)</f>
        <v>0</v>
      </c>
      <c r="J54" s="306">
        <f ca="1">IF('monthly calculations (1)'!AV53,NRI_2_APO, NRI_2)</f>
        <v>0.25</v>
      </c>
      <c r="K54" s="112">
        <f t="shared" ca="1" si="0"/>
        <v>106.15900471526872</v>
      </c>
      <c r="L54" s="98">
        <f t="shared" ca="1" si="1"/>
        <v>405.10218120107879</v>
      </c>
      <c r="M54" s="98">
        <f t="shared" ca="1" si="2"/>
        <v>29.643627112987726</v>
      </c>
      <c r="N54" s="98">
        <f t="shared" ca="1" si="3"/>
        <v>81.020436240215759</v>
      </c>
      <c r="O54" s="67">
        <f>assumptions!M58</f>
        <v>55</v>
      </c>
      <c r="P54" s="68">
        <f>assumptions!N58</f>
        <v>3</v>
      </c>
      <c r="Q54" s="68">
        <f>assumptions!O58</f>
        <v>22</v>
      </c>
      <c r="R54" s="67">
        <f t="shared" si="4"/>
        <v>52.5</v>
      </c>
      <c r="S54" s="68">
        <f t="shared" si="5"/>
        <v>2.3275000000000001</v>
      </c>
      <c r="T54" s="68">
        <f t="shared" si="6"/>
        <v>22</v>
      </c>
      <c r="U54" s="73">
        <f t="shared" ca="1" si="13"/>
        <v>5573.3477475516083</v>
      </c>
      <c r="V54" s="72">
        <f t="shared" ca="1" si="7"/>
        <v>942.87532674551096</v>
      </c>
      <c r="W54" s="72">
        <f t="shared" ca="1" si="8"/>
        <v>1782.4495972847467</v>
      </c>
      <c r="X54" s="72">
        <f t="shared" ca="1" si="14"/>
        <v>8298.6726715818659</v>
      </c>
      <c r="Y54" s="73">
        <f>mult_opex * fixed_month</f>
        <v>1000</v>
      </c>
      <c r="Z54" s="72">
        <f ca="1">mult_opex * fixed_well *D54</f>
        <v>5000</v>
      </c>
      <c r="AA54" s="72">
        <f ca="1">(Z54+Y54)*WI_current_2</f>
        <v>0</v>
      </c>
      <c r="AB54" s="72">
        <f ca="1">mult_opex * var_bo*E54</f>
        <v>0</v>
      </c>
      <c r="AC54" s="72">
        <f ca="1">mult_opex * var_mcf*F54</f>
        <v>0</v>
      </c>
      <c r="AD54" s="72">
        <f ca="1">mult_opex * var_bw * G54</f>
        <v>237.14901690390181</v>
      </c>
      <c r="AE54" s="72">
        <f ca="1">SUM(AB54:AD54)*WI_current_2</f>
        <v>0</v>
      </c>
      <c r="AF54" s="73">
        <f ca="1">mult_capex * IFERROR(OFFSET(assumptions!$F$39,MATCH(B54,assumptions!$E$39:$E$45,0)-1,0),0)</f>
        <v>0</v>
      </c>
      <c r="AG54" s="75">
        <f ca="1">mult_capex * capex_new*WI_current_2 *'forecast production'!I55</f>
        <v>0</v>
      </c>
      <c r="AH54" s="146">
        <f t="shared" ca="1" si="15"/>
        <v>0</v>
      </c>
      <c r="AI54" s="73">
        <f t="shared" ca="1" si="9"/>
        <v>460.7733656896433</v>
      </c>
      <c r="AJ54" s="72">
        <f t="shared" ca="1" si="10"/>
        <v>207.46681678954667</v>
      </c>
      <c r="AK54" s="72">
        <f t="shared" ca="1" si="16"/>
        <v>668.24018247919003</v>
      </c>
      <c r="AL54" s="73">
        <f t="shared" ca="1" si="11"/>
        <v>7630.4324891026754</v>
      </c>
      <c r="AM54" s="321">
        <f ca="1">'monthly calculations (1)'!AM54</f>
        <v>1</v>
      </c>
      <c r="AN54" s="73">
        <f t="shared" ca="1" si="17"/>
        <v>7630.4324891026754</v>
      </c>
      <c r="AO54" s="75">
        <f t="shared" ca="1" si="19"/>
        <v>532997.70357619203</v>
      </c>
      <c r="AP54" s="72">
        <f ca="1">AL54  /  ( 1 + disc_1/12)^(COUNT($AL$6:AL54)-1)</f>
        <v>5123.3165412030821</v>
      </c>
      <c r="AQ54" s="72">
        <f t="shared" ca="1" si="20"/>
        <v>451687.80089832679</v>
      </c>
      <c r="AS54" s="303"/>
      <c r="AT54" s="300"/>
      <c r="AU54" s="297"/>
      <c r="AV54" s="303"/>
    </row>
    <row r="55" spans="2:48" x14ac:dyDescent="0.25">
      <c r="B55" s="43">
        <f t="shared" si="18"/>
        <v>45689</v>
      </c>
      <c r="C55" s="79">
        <f t="shared" si="12"/>
        <v>2025</v>
      </c>
      <c r="D55" s="64">
        <f ca="1">wellcount_base  +  SUM('forecast production'!I$7:I56)</f>
        <v>1</v>
      </c>
      <c r="E55" s="110">
        <f ca="1">'forecast production'!AE56</f>
        <v>378.91747443940062</v>
      </c>
      <c r="F55" s="98">
        <f ca="1">'forecast production'!AF56</f>
        <v>1931.7565637283244</v>
      </c>
      <c r="G55" s="98">
        <f ca="1">'forecast production'!AG56</f>
        <v>103.30050567975606</v>
      </c>
      <c r="H55" s="98">
        <f ca="1">'forecast production'!AH56</f>
        <v>289.76348455924864</v>
      </c>
      <c r="I55" s="307">
        <f ca="1">IF('monthly calculations (1)'!AV54,WI_2_APO, WI_2)</f>
        <v>0</v>
      </c>
      <c r="J55" s="306">
        <f ca="1">IF('monthly calculations (1)'!AV54,NRI_2_APO, NRI_2)</f>
        <v>0.25</v>
      </c>
      <c r="K55" s="112">
        <f t="shared" ca="1" si="0"/>
        <v>94.729368609850155</v>
      </c>
      <c r="L55" s="98">
        <f t="shared" ca="1" si="1"/>
        <v>362.20435569906084</v>
      </c>
      <c r="M55" s="98">
        <f t="shared" ca="1" si="2"/>
        <v>25.825126419939014</v>
      </c>
      <c r="N55" s="98">
        <f t="shared" ca="1" si="3"/>
        <v>72.44087113981216</v>
      </c>
      <c r="O55" s="67">
        <f>assumptions!M59</f>
        <v>55</v>
      </c>
      <c r="P55" s="68">
        <f>assumptions!N59</f>
        <v>3</v>
      </c>
      <c r="Q55" s="68">
        <f>assumptions!O59</f>
        <v>22</v>
      </c>
      <c r="R55" s="67">
        <f t="shared" si="4"/>
        <v>52.5</v>
      </c>
      <c r="S55" s="68">
        <f t="shared" si="5"/>
        <v>2.3275000000000001</v>
      </c>
      <c r="T55" s="68">
        <f t="shared" si="6"/>
        <v>22</v>
      </c>
      <c r="U55" s="73">
        <f t="shared" ca="1" si="13"/>
        <v>4973.2918520171334</v>
      </c>
      <c r="V55" s="72">
        <f t="shared" ca="1" si="7"/>
        <v>843.0306378895641</v>
      </c>
      <c r="W55" s="72">
        <f t="shared" ca="1" si="8"/>
        <v>1593.6991650758675</v>
      </c>
      <c r="X55" s="72">
        <f t="shared" ca="1" si="14"/>
        <v>7410.0216549825645</v>
      </c>
      <c r="Y55" s="73">
        <f>mult_opex * fixed_month</f>
        <v>1000</v>
      </c>
      <c r="Z55" s="72">
        <f ca="1">mult_opex * fixed_well *D55</f>
        <v>5000</v>
      </c>
      <c r="AA55" s="72">
        <f ca="1">(Z55+Y55)*WI_current_2</f>
        <v>0</v>
      </c>
      <c r="AB55" s="72">
        <f ca="1">mult_opex * var_bo*E55</f>
        <v>0</v>
      </c>
      <c r="AC55" s="72">
        <f ca="1">mult_opex * var_mcf*F55</f>
        <v>0</v>
      </c>
      <c r="AD55" s="72">
        <f ca="1">mult_opex * var_bw * G55</f>
        <v>206.60101135951211</v>
      </c>
      <c r="AE55" s="72">
        <f ca="1">SUM(AB55:AD55)*WI_current_2</f>
        <v>0</v>
      </c>
      <c r="AF55" s="73">
        <f ca="1">mult_capex * IFERROR(OFFSET(assumptions!$F$39,MATCH(B55,assumptions!$E$39:$E$45,0)-1,0),0)</f>
        <v>0</v>
      </c>
      <c r="AG55" s="75">
        <f ca="1">mult_capex * capex_new*WI_current_2 *'forecast production'!I56</f>
        <v>0</v>
      </c>
      <c r="AH55" s="146">
        <f t="shared" ca="1" si="15"/>
        <v>0</v>
      </c>
      <c r="AI55" s="73">
        <f t="shared" ca="1" si="9"/>
        <v>411.52616041519553</v>
      </c>
      <c r="AJ55" s="72">
        <f t="shared" ca="1" si="10"/>
        <v>185.25054137456414</v>
      </c>
      <c r="AK55" s="72">
        <f t="shared" ca="1" si="16"/>
        <v>596.77670178975973</v>
      </c>
      <c r="AL55" s="73">
        <f t="shared" ca="1" si="11"/>
        <v>6813.244953192805</v>
      </c>
      <c r="AM55" s="321">
        <f ca="1">'monthly calculations (1)'!AM55</f>
        <v>1</v>
      </c>
      <c r="AN55" s="73">
        <f t="shared" ca="1" si="17"/>
        <v>6813.244953192805</v>
      </c>
      <c r="AO55" s="75">
        <f t="shared" ca="1" si="19"/>
        <v>539810.9485293848</v>
      </c>
      <c r="AP55" s="72">
        <f ca="1">AL55  /  ( 1 + disc_1/12)^(COUNT($AL$6:AL55)-1)</f>
        <v>4536.8238150896086</v>
      </c>
      <c r="AQ55" s="72">
        <f t="shared" ca="1" si="20"/>
        <v>456224.62471341639</v>
      </c>
      <c r="AS55" s="303"/>
      <c r="AT55" s="300"/>
      <c r="AU55" s="297"/>
      <c r="AV55" s="303"/>
    </row>
    <row r="56" spans="2:48" x14ac:dyDescent="0.25">
      <c r="B56" s="43">
        <f t="shared" si="18"/>
        <v>45717</v>
      </c>
      <c r="C56" s="79">
        <f t="shared" si="12"/>
        <v>2025</v>
      </c>
      <c r="D56" s="64">
        <f ca="1">wellcount_base  +  SUM('forecast production'!I$7:I57)</f>
        <v>1</v>
      </c>
      <c r="E56" s="110">
        <f ca="1">'forecast production'!AE57</f>
        <v>414.9960288323241</v>
      </c>
      <c r="F56" s="98">
        <f ca="1">'forecast production'!AF57</f>
        <v>2119.4022820714945</v>
      </c>
      <c r="G56" s="98">
        <f ca="1">'forecast production'!AG57</f>
        <v>110.69837507442101</v>
      </c>
      <c r="H56" s="98">
        <f ca="1">'forecast production'!AH57</f>
        <v>317.91034231072416</v>
      </c>
      <c r="I56" s="307">
        <f ca="1">IF('monthly calculations (1)'!AV55,WI_2_APO, WI_2)</f>
        <v>0</v>
      </c>
      <c r="J56" s="306">
        <f ca="1">IF('monthly calculations (1)'!AV55,NRI_2_APO, NRI_2)</f>
        <v>0.25</v>
      </c>
      <c r="K56" s="112">
        <f t="shared" ca="1" si="0"/>
        <v>103.74900720808103</v>
      </c>
      <c r="L56" s="98">
        <f t="shared" ca="1" si="1"/>
        <v>397.38792788840522</v>
      </c>
      <c r="M56" s="98">
        <f t="shared" ca="1" si="2"/>
        <v>27.674593768605252</v>
      </c>
      <c r="N56" s="98">
        <f t="shared" ca="1" si="3"/>
        <v>79.47758557768104</v>
      </c>
      <c r="O56" s="67">
        <f>assumptions!M60</f>
        <v>55</v>
      </c>
      <c r="P56" s="68">
        <f>assumptions!N60</f>
        <v>3</v>
      </c>
      <c r="Q56" s="68">
        <f>assumptions!O60</f>
        <v>22</v>
      </c>
      <c r="R56" s="67">
        <f t="shared" si="4"/>
        <v>52.5</v>
      </c>
      <c r="S56" s="68">
        <f t="shared" si="5"/>
        <v>2.3275000000000001</v>
      </c>
      <c r="T56" s="68">
        <f t="shared" si="6"/>
        <v>22</v>
      </c>
      <c r="U56" s="73">
        <f t="shared" ca="1" si="13"/>
        <v>5446.8228784242538</v>
      </c>
      <c r="V56" s="72">
        <f t="shared" ca="1" si="7"/>
        <v>924.92040216026317</v>
      </c>
      <c r="W56" s="72">
        <f t="shared" ca="1" si="8"/>
        <v>1748.5068827089829</v>
      </c>
      <c r="X56" s="72">
        <f t="shared" ca="1" si="14"/>
        <v>8120.2501632934991</v>
      </c>
      <c r="Y56" s="73">
        <f>mult_opex * fixed_month</f>
        <v>1000</v>
      </c>
      <c r="Z56" s="72">
        <f ca="1">mult_opex * fixed_well *D56</f>
        <v>5000</v>
      </c>
      <c r="AA56" s="72">
        <f ca="1">(Z56+Y56)*WI_current_2</f>
        <v>0</v>
      </c>
      <c r="AB56" s="72">
        <f ca="1">mult_opex * var_bo*E56</f>
        <v>0</v>
      </c>
      <c r="AC56" s="72">
        <f ca="1">mult_opex * var_mcf*F56</f>
        <v>0</v>
      </c>
      <c r="AD56" s="72">
        <f ca="1">mult_opex * var_bw * G56</f>
        <v>221.39675014884202</v>
      </c>
      <c r="AE56" s="72">
        <f ca="1">SUM(AB56:AD56)*WI_current_2</f>
        <v>0</v>
      </c>
      <c r="AF56" s="73">
        <f ca="1">mult_capex * IFERROR(OFFSET(assumptions!$F$39,MATCH(B56,assumptions!$E$39:$E$45,0)-1,0),0)</f>
        <v>0</v>
      </c>
      <c r="AG56" s="75">
        <f ca="1">mult_capex * capex_new*WI_current_2 *'forecast production'!I57</f>
        <v>0</v>
      </c>
      <c r="AH56" s="146">
        <f t="shared" ca="1" si="15"/>
        <v>0</v>
      </c>
      <c r="AI56" s="73">
        <f t="shared" ca="1" si="9"/>
        <v>451.06089877270915</v>
      </c>
      <c r="AJ56" s="72">
        <f t="shared" ca="1" si="10"/>
        <v>203.00625408233748</v>
      </c>
      <c r="AK56" s="72">
        <f t="shared" ca="1" si="16"/>
        <v>654.06715285504663</v>
      </c>
      <c r="AL56" s="73">
        <f t="shared" ca="1" si="11"/>
        <v>7466.1830104384526</v>
      </c>
      <c r="AM56" s="321">
        <f ca="1">'monthly calculations (1)'!AM56</f>
        <v>1</v>
      </c>
      <c r="AN56" s="73">
        <f t="shared" ca="1" si="17"/>
        <v>7466.1830104384526</v>
      </c>
      <c r="AO56" s="75">
        <f t="shared" ca="1" si="19"/>
        <v>547277.13153982325</v>
      </c>
      <c r="AP56" s="72">
        <f ca="1">AL56  /  ( 1 + disc_1/12)^(COUNT($AL$6:AL56)-1)</f>
        <v>4930.5165131703006</v>
      </c>
      <c r="AQ56" s="72">
        <f t="shared" ca="1" si="20"/>
        <v>461155.14122658671</v>
      </c>
      <c r="AS56" s="303"/>
      <c r="AT56" s="300"/>
      <c r="AU56" s="297"/>
      <c r="AV56" s="303"/>
    </row>
    <row r="57" spans="2:48" x14ac:dyDescent="0.25">
      <c r="B57" s="43">
        <f t="shared" si="18"/>
        <v>45748</v>
      </c>
      <c r="C57" s="79">
        <f t="shared" si="12"/>
        <v>2025</v>
      </c>
      <c r="D57" s="64">
        <f ca="1">wellcount_base  +  SUM('forecast production'!I$7:I58)</f>
        <v>1</v>
      </c>
      <c r="E57" s="110">
        <f ca="1">'forecast production'!AE58</f>
        <v>396.87511410333855</v>
      </c>
      <c r="F57" s="98">
        <f ca="1">'forecast production'!AF58</f>
        <v>2030.7161269558108</v>
      </c>
      <c r="G57" s="98">
        <f ca="1">'forecast production'!AG58</f>
        <v>103.32870176288621</v>
      </c>
      <c r="H57" s="98">
        <f ca="1">'forecast production'!AH58</f>
        <v>304.60741904337164</v>
      </c>
      <c r="I57" s="307">
        <f ca="1">IF('monthly calculations (1)'!AV56,WI_2_APO, WI_2)</f>
        <v>0</v>
      </c>
      <c r="J57" s="306">
        <f ca="1">IF('monthly calculations (1)'!AV56,NRI_2_APO, NRI_2)</f>
        <v>0.25</v>
      </c>
      <c r="K57" s="112">
        <f t="shared" ca="1" si="0"/>
        <v>99.218778525834637</v>
      </c>
      <c r="L57" s="98">
        <f t="shared" ca="1" si="1"/>
        <v>380.7592738042145</v>
      </c>
      <c r="M57" s="98">
        <f t="shared" ca="1" si="2"/>
        <v>25.832175440721553</v>
      </c>
      <c r="N57" s="98">
        <f t="shared" ca="1" si="3"/>
        <v>76.151854760842909</v>
      </c>
      <c r="O57" s="67">
        <f>assumptions!M61</f>
        <v>55</v>
      </c>
      <c r="P57" s="68">
        <f>assumptions!N61</f>
        <v>3</v>
      </c>
      <c r="Q57" s="68">
        <f>assumptions!O61</f>
        <v>22</v>
      </c>
      <c r="R57" s="67">
        <f t="shared" si="4"/>
        <v>52.5</v>
      </c>
      <c r="S57" s="68">
        <f t="shared" si="5"/>
        <v>2.3275000000000001</v>
      </c>
      <c r="T57" s="68">
        <f t="shared" si="6"/>
        <v>22</v>
      </c>
      <c r="U57" s="73">
        <f t="shared" ca="1" si="13"/>
        <v>5208.9858726063185</v>
      </c>
      <c r="V57" s="72">
        <f t="shared" ca="1" si="7"/>
        <v>886.21720977930931</v>
      </c>
      <c r="W57" s="72">
        <f t="shared" ca="1" si="8"/>
        <v>1675.340804738544</v>
      </c>
      <c r="X57" s="72">
        <f t="shared" ca="1" si="14"/>
        <v>7770.5438871241713</v>
      </c>
      <c r="Y57" s="73">
        <f>mult_opex * fixed_month</f>
        <v>1000</v>
      </c>
      <c r="Z57" s="72">
        <f ca="1">mult_opex * fixed_well *D57</f>
        <v>5000</v>
      </c>
      <c r="AA57" s="72">
        <f ca="1">(Z57+Y57)*WI_current_2</f>
        <v>0</v>
      </c>
      <c r="AB57" s="72">
        <f ca="1">mult_opex * var_bo*E57</f>
        <v>0</v>
      </c>
      <c r="AC57" s="72">
        <f ca="1">mult_opex * var_mcf*F57</f>
        <v>0</v>
      </c>
      <c r="AD57" s="72">
        <f ca="1">mult_opex * var_bw * G57</f>
        <v>206.65740352577242</v>
      </c>
      <c r="AE57" s="72">
        <f ca="1">SUM(AB57:AD57)*WI_current_2</f>
        <v>0</v>
      </c>
      <c r="AF57" s="73">
        <f ca="1">mult_capex * IFERROR(OFFSET(assumptions!$F$39,MATCH(B57,assumptions!$E$39:$E$45,0)-1,0),0)</f>
        <v>0</v>
      </c>
      <c r="AG57" s="75">
        <f ca="1">mult_capex * capex_new*WI_current_2 *'forecast production'!I58</f>
        <v>0</v>
      </c>
      <c r="AH57" s="146">
        <f t="shared" ca="1" si="15"/>
        <v>0</v>
      </c>
      <c r="AI57" s="73">
        <f t="shared" ca="1" si="9"/>
        <v>431.73020122872964</v>
      </c>
      <c r="AJ57" s="72">
        <f t="shared" ca="1" si="10"/>
        <v>194.26359717810431</v>
      </c>
      <c r="AK57" s="72">
        <f t="shared" ca="1" si="16"/>
        <v>625.993798406834</v>
      </c>
      <c r="AL57" s="73">
        <f t="shared" ca="1" si="11"/>
        <v>7144.5500887173375</v>
      </c>
      <c r="AM57" s="321">
        <f ca="1">'monthly calculations (1)'!AM57</f>
        <v>1</v>
      </c>
      <c r="AN57" s="73">
        <f t="shared" ca="1" si="17"/>
        <v>7144.5500887173375</v>
      </c>
      <c r="AO57" s="75">
        <f t="shared" ca="1" si="19"/>
        <v>554421.68162854062</v>
      </c>
      <c r="AP57" s="72">
        <f ca="1">AL57  /  ( 1 + disc_1/12)^(COUNT($AL$6:AL57)-1)</f>
        <v>4679.1239262509062</v>
      </c>
      <c r="AQ57" s="72">
        <f t="shared" ca="1" si="20"/>
        <v>465834.26515283762</v>
      </c>
      <c r="AS57" s="303"/>
      <c r="AT57" s="300"/>
      <c r="AU57" s="297"/>
      <c r="AV57" s="303"/>
    </row>
    <row r="58" spans="2:48" x14ac:dyDescent="0.25">
      <c r="B58" s="43">
        <f t="shared" si="18"/>
        <v>45778</v>
      </c>
      <c r="C58" s="79">
        <f t="shared" si="12"/>
        <v>2025</v>
      </c>
      <c r="D58" s="64">
        <f ca="1">wellcount_base  +  SUM('forecast production'!I$7:I59)</f>
        <v>1</v>
      </c>
      <c r="E58" s="110">
        <f ca="1">'forecast production'!AE59</f>
        <v>405.47890235856971</v>
      </c>
      <c r="F58" s="98">
        <f ca="1">'forecast production'!AF59</f>
        <v>2078.4806336532147</v>
      </c>
      <c r="G58" s="98">
        <f ca="1">'forecast production'!AG59</f>
        <v>103.10745651465403</v>
      </c>
      <c r="H58" s="98">
        <f ca="1">'forecast production'!AH59</f>
        <v>311.77209504798219</v>
      </c>
      <c r="I58" s="307">
        <f ca="1">IF('monthly calculations (1)'!AV57,WI_2_APO, WI_2)</f>
        <v>0</v>
      </c>
      <c r="J58" s="306">
        <f ca="1">IF('monthly calculations (1)'!AV57,NRI_2_APO, NRI_2)</f>
        <v>0.25</v>
      </c>
      <c r="K58" s="112">
        <f t="shared" ca="1" si="0"/>
        <v>101.36972558964243</v>
      </c>
      <c r="L58" s="98">
        <f t="shared" ca="1" si="1"/>
        <v>389.71511880997775</v>
      </c>
      <c r="M58" s="98">
        <f t="shared" ca="1" si="2"/>
        <v>25.776864128663508</v>
      </c>
      <c r="N58" s="98">
        <f t="shared" ca="1" si="3"/>
        <v>77.943023761995548</v>
      </c>
      <c r="O58" s="67">
        <f>assumptions!M62</f>
        <v>55</v>
      </c>
      <c r="P58" s="68">
        <f>assumptions!N62</f>
        <v>3</v>
      </c>
      <c r="Q58" s="68">
        <f>assumptions!O62</f>
        <v>22</v>
      </c>
      <c r="R58" s="67">
        <f t="shared" si="4"/>
        <v>52.5</v>
      </c>
      <c r="S58" s="68">
        <f t="shared" si="5"/>
        <v>2.3275000000000001</v>
      </c>
      <c r="T58" s="68">
        <f t="shared" si="6"/>
        <v>22</v>
      </c>
      <c r="U58" s="73">
        <f t="shared" ca="1" si="13"/>
        <v>5321.9105934562276</v>
      </c>
      <c r="V58" s="72">
        <f t="shared" ca="1" si="7"/>
        <v>907.06193903022324</v>
      </c>
      <c r="W58" s="72">
        <f t="shared" ca="1" si="8"/>
        <v>1714.746522763902</v>
      </c>
      <c r="X58" s="72">
        <f t="shared" ca="1" si="14"/>
        <v>7943.7190552503534</v>
      </c>
      <c r="Y58" s="73">
        <f>mult_opex * fixed_month</f>
        <v>1000</v>
      </c>
      <c r="Z58" s="72">
        <f ca="1">mult_opex * fixed_well *D58</f>
        <v>5000</v>
      </c>
      <c r="AA58" s="72">
        <f ca="1">(Z58+Y58)*WI_current_2</f>
        <v>0</v>
      </c>
      <c r="AB58" s="72">
        <f ca="1">mult_opex * var_bo*E58</f>
        <v>0</v>
      </c>
      <c r="AC58" s="72">
        <f ca="1">mult_opex * var_mcf*F58</f>
        <v>0</v>
      </c>
      <c r="AD58" s="72">
        <f ca="1">mult_opex * var_bw * G58</f>
        <v>206.21491302930806</v>
      </c>
      <c r="AE58" s="72">
        <f ca="1">SUM(AB58:AD58)*WI_current_2</f>
        <v>0</v>
      </c>
      <c r="AF58" s="73">
        <f ca="1">mult_capex * IFERROR(OFFSET(assumptions!$F$39,MATCH(B58,assumptions!$E$39:$E$45,0)-1,0),0)</f>
        <v>0</v>
      </c>
      <c r="AG58" s="75">
        <f ca="1">mult_capex * capex_new*WI_current_2 *'forecast production'!I59</f>
        <v>0</v>
      </c>
      <c r="AH58" s="146">
        <f t="shared" ca="1" si="15"/>
        <v>0</v>
      </c>
      <c r="AI58" s="73">
        <f t="shared" ca="1" si="9"/>
        <v>441.44352193354587</v>
      </c>
      <c r="AJ58" s="72">
        <f t="shared" ca="1" si="10"/>
        <v>198.59297638125884</v>
      </c>
      <c r="AK58" s="72">
        <f t="shared" ca="1" si="16"/>
        <v>640.0364983148047</v>
      </c>
      <c r="AL58" s="73">
        <f t="shared" ca="1" si="11"/>
        <v>7303.6825569355487</v>
      </c>
      <c r="AM58" s="321">
        <f ca="1">'monthly calculations (1)'!AM58</f>
        <v>1</v>
      </c>
      <c r="AN58" s="73">
        <f t="shared" ca="1" si="17"/>
        <v>7303.6825569355487</v>
      </c>
      <c r="AO58" s="75">
        <f t="shared" ca="1" si="19"/>
        <v>561725.36418547621</v>
      </c>
      <c r="AP58" s="72">
        <f ca="1">AL58  /  ( 1 + disc_1/12)^(COUNT($AL$6:AL58)-1)</f>
        <v>4743.8115376784226</v>
      </c>
      <c r="AQ58" s="72">
        <f t="shared" ca="1" si="20"/>
        <v>470578.07669051603</v>
      </c>
      <c r="AS58" s="303"/>
      <c r="AT58" s="300"/>
      <c r="AU58" s="297"/>
      <c r="AV58" s="303"/>
    </row>
    <row r="59" spans="2:48" x14ac:dyDescent="0.25">
      <c r="B59" s="43">
        <f t="shared" si="18"/>
        <v>45809</v>
      </c>
      <c r="C59" s="79">
        <f t="shared" si="12"/>
        <v>2025</v>
      </c>
      <c r="D59" s="64">
        <f ca="1">wellcount_base  +  SUM('forecast production'!I$7:I60)</f>
        <v>1</v>
      </c>
      <c r="E59" s="110">
        <f ca="1">'forecast production'!AE60</f>
        <v>387.87840769347872</v>
      </c>
      <c r="F59" s="98">
        <f ca="1">'forecast production'!AF60</f>
        <v>1991.8878359191622</v>
      </c>
      <c r="G59" s="98">
        <f ca="1">'forecast production'!AG60</f>
        <v>96.244377610858137</v>
      </c>
      <c r="H59" s="98">
        <f ca="1">'forecast production'!AH60</f>
        <v>298.78317538787434</v>
      </c>
      <c r="I59" s="307">
        <f ca="1">IF('monthly calculations (1)'!AV58,WI_2_APO, WI_2)</f>
        <v>0</v>
      </c>
      <c r="J59" s="306">
        <f ca="1">IF('monthly calculations (1)'!AV58,NRI_2_APO, NRI_2)</f>
        <v>0.25</v>
      </c>
      <c r="K59" s="112">
        <f t="shared" ca="1" si="0"/>
        <v>96.96960192336968</v>
      </c>
      <c r="L59" s="98">
        <f t="shared" ca="1" si="1"/>
        <v>373.47896923484291</v>
      </c>
      <c r="M59" s="98">
        <f t="shared" ca="1" si="2"/>
        <v>24.061094402714534</v>
      </c>
      <c r="N59" s="98">
        <f t="shared" ca="1" si="3"/>
        <v>74.695793846968584</v>
      </c>
      <c r="O59" s="67">
        <f>assumptions!M63</f>
        <v>55</v>
      </c>
      <c r="P59" s="68">
        <f>assumptions!N63</f>
        <v>3</v>
      </c>
      <c r="Q59" s="68">
        <f>assumptions!O63</f>
        <v>22</v>
      </c>
      <c r="R59" s="67">
        <f t="shared" si="4"/>
        <v>52.5</v>
      </c>
      <c r="S59" s="68">
        <f t="shared" si="5"/>
        <v>2.3275000000000001</v>
      </c>
      <c r="T59" s="68">
        <f t="shared" si="6"/>
        <v>22</v>
      </c>
      <c r="U59" s="73">
        <f t="shared" ca="1" si="13"/>
        <v>5090.904100976908</v>
      </c>
      <c r="V59" s="72">
        <f t="shared" ca="1" si="7"/>
        <v>869.27230089409693</v>
      </c>
      <c r="W59" s="72">
        <f t="shared" ca="1" si="8"/>
        <v>1643.3074646333089</v>
      </c>
      <c r="X59" s="72">
        <f t="shared" ca="1" si="14"/>
        <v>7603.4838665043135</v>
      </c>
      <c r="Y59" s="73">
        <f>mult_opex * fixed_month</f>
        <v>1000</v>
      </c>
      <c r="Z59" s="72">
        <f ca="1">mult_opex * fixed_well *D59</f>
        <v>5000</v>
      </c>
      <c r="AA59" s="72">
        <f ca="1">(Z59+Y59)*WI_current_2</f>
        <v>0</v>
      </c>
      <c r="AB59" s="72">
        <f ca="1">mult_opex * var_bo*E59</f>
        <v>0</v>
      </c>
      <c r="AC59" s="72">
        <f ca="1">mult_opex * var_mcf*F59</f>
        <v>0</v>
      </c>
      <c r="AD59" s="72">
        <f ca="1">mult_opex * var_bw * G59</f>
        <v>192.48875522171627</v>
      </c>
      <c r="AE59" s="72">
        <f ca="1">SUM(AB59:AD59)*WI_current_2</f>
        <v>0</v>
      </c>
      <c r="AF59" s="73">
        <f ca="1">mult_capex * IFERROR(OFFSET(assumptions!$F$39,MATCH(B59,assumptions!$E$39:$E$45,0)-1,0),0)</f>
        <v>0</v>
      </c>
      <c r="AG59" s="75">
        <f ca="1">mult_capex * capex_new*WI_current_2 *'forecast production'!I60</f>
        <v>0</v>
      </c>
      <c r="AH59" s="146">
        <f t="shared" ca="1" si="15"/>
        <v>0</v>
      </c>
      <c r="AI59" s="73">
        <f t="shared" ca="1" si="9"/>
        <v>422.62507105949317</v>
      </c>
      <c r="AJ59" s="72">
        <f t="shared" ca="1" si="10"/>
        <v>190.08709666260785</v>
      </c>
      <c r="AK59" s="72">
        <f t="shared" ca="1" si="16"/>
        <v>612.71216772210096</v>
      </c>
      <c r="AL59" s="73">
        <f t="shared" ca="1" si="11"/>
        <v>6990.7716987822123</v>
      </c>
      <c r="AM59" s="321">
        <f ca="1">'monthly calculations (1)'!AM59</f>
        <v>1</v>
      </c>
      <c r="AN59" s="73">
        <f t="shared" ca="1" si="17"/>
        <v>6990.7716987822123</v>
      </c>
      <c r="AO59" s="75">
        <f t="shared" ca="1" si="19"/>
        <v>568716.13588425843</v>
      </c>
      <c r="AP59" s="72">
        <f ca="1">AL59  /  ( 1 + disc_1/12)^(COUNT($AL$6:AL59)-1)</f>
        <v>4503.0475521643248</v>
      </c>
      <c r="AQ59" s="72">
        <f t="shared" ca="1" si="20"/>
        <v>475081.12424268038</v>
      </c>
      <c r="AS59" s="303"/>
      <c r="AT59" s="300"/>
      <c r="AU59" s="297"/>
      <c r="AV59" s="303"/>
    </row>
    <row r="60" spans="2:48" x14ac:dyDescent="0.25">
      <c r="B60" s="43">
        <f t="shared" si="18"/>
        <v>45839</v>
      </c>
      <c r="C60" s="79">
        <f t="shared" si="12"/>
        <v>2025</v>
      </c>
      <c r="D60" s="64">
        <f ca="1">wellcount_base  +  SUM('forecast production'!I$7:I61)</f>
        <v>1</v>
      </c>
      <c r="E60" s="110">
        <f ca="1">'forecast production'!AE61</f>
        <v>396.3885032791743</v>
      </c>
      <c r="F60" s="98">
        <f ca="1">'forecast production'!AF61</f>
        <v>2039.1092909882855</v>
      </c>
      <c r="G60" s="98">
        <f ca="1">'forecast production'!AG61</f>
        <v>96.039492275645529</v>
      </c>
      <c r="H60" s="98">
        <f ca="1">'forecast production'!AH61</f>
        <v>305.86639364824282</v>
      </c>
      <c r="I60" s="307">
        <f ca="1">IF('monthly calculations (1)'!AV59,WI_2_APO, WI_2)</f>
        <v>0</v>
      </c>
      <c r="J60" s="306">
        <f ca="1">IF('monthly calculations (1)'!AV59,NRI_2_APO, NRI_2)</f>
        <v>0.25</v>
      </c>
      <c r="K60" s="112">
        <f t="shared" ca="1" si="0"/>
        <v>99.097125819793575</v>
      </c>
      <c r="L60" s="98">
        <f t="shared" ca="1" si="1"/>
        <v>382.33299206030352</v>
      </c>
      <c r="M60" s="98">
        <f t="shared" ca="1" si="2"/>
        <v>24.009873068911382</v>
      </c>
      <c r="N60" s="98">
        <f t="shared" ca="1" si="3"/>
        <v>76.466598412060705</v>
      </c>
      <c r="O60" s="67">
        <f>assumptions!M64</f>
        <v>55</v>
      </c>
      <c r="P60" s="68">
        <f>assumptions!N64</f>
        <v>3</v>
      </c>
      <c r="Q60" s="68">
        <f>assumptions!O64</f>
        <v>22</v>
      </c>
      <c r="R60" s="67">
        <f t="shared" si="4"/>
        <v>52.5</v>
      </c>
      <c r="S60" s="68">
        <f t="shared" si="5"/>
        <v>2.3275000000000001</v>
      </c>
      <c r="T60" s="68">
        <f t="shared" si="6"/>
        <v>22</v>
      </c>
      <c r="U60" s="73">
        <f t="shared" ca="1" si="13"/>
        <v>5202.5991055391623</v>
      </c>
      <c r="V60" s="72">
        <f t="shared" ca="1" si="7"/>
        <v>889.88003902035655</v>
      </c>
      <c r="W60" s="72">
        <f t="shared" ca="1" si="8"/>
        <v>1682.2651650653356</v>
      </c>
      <c r="X60" s="72">
        <f t="shared" ca="1" si="14"/>
        <v>7774.7443096248553</v>
      </c>
      <c r="Y60" s="73">
        <f>mult_opex * fixed_month</f>
        <v>1000</v>
      </c>
      <c r="Z60" s="72">
        <f ca="1">mult_opex * fixed_well *D60</f>
        <v>5000</v>
      </c>
      <c r="AA60" s="72">
        <f ca="1">(Z60+Y60)*WI_current_2</f>
        <v>0</v>
      </c>
      <c r="AB60" s="72">
        <f ca="1">mult_opex * var_bo*E60</f>
        <v>0</v>
      </c>
      <c r="AC60" s="72">
        <f ca="1">mult_opex * var_mcf*F60</f>
        <v>0</v>
      </c>
      <c r="AD60" s="72">
        <f ca="1">mult_opex * var_bw * G60</f>
        <v>192.07898455129106</v>
      </c>
      <c r="AE60" s="72">
        <f ca="1">SUM(AB60:AD60)*WI_current_2</f>
        <v>0</v>
      </c>
      <c r="AF60" s="73">
        <f ca="1">mult_capex * IFERROR(OFFSET(assumptions!$F$39,MATCH(B60,assumptions!$E$39:$E$45,0)-1,0),0)</f>
        <v>0</v>
      </c>
      <c r="AG60" s="75">
        <f ca="1">mult_capex * capex_new*WI_current_2 *'forecast production'!I61</f>
        <v>0</v>
      </c>
      <c r="AH60" s="146">
        <f t="shared" ca="1" si="15"/>
        <v>0</v>
      </c>
      <c r="AI60" s="73">
        <f t="shared" ca="1" si="9"/>
        <v>432.23044916122836</v>
      </c>
      <c r="AJ60" s="72">
        <f t="shared" ca="1" si="10"/>
        <v>194.3686077406214</v>
      </c>
      <c r="AK60" s="72">
        <f t="shared" ca="1" si="16"/>
        <v>626.59905690184974</v>
      </c>
      <c r="AL60" s="73">
        <f t="shared" ca="1" si="11"/>
        <v>7148.1452527230058</v>
      </c>
      <c r="AM60" s="321">
        <f ca="1">'monthly calculations (1)'!AM60</f>
        <v>1</v>
      </c>
      <c r="AN60" s="73">
        <f t="shared" ca="1" si="17"/>
        <v>7148.1452527230058</v>
      </c>
      <c r="AO60" s="75">
        <f t="shared" ca="1" si="19"/>
        <v>575864.28113698144</v>
      </c>
      <c r="AP60" s="72">
        <f ca="1">AL60  /  ( 1 + disc_1/12)^(COUNT($AL$6:AL60)-1)</f>
        <v>4566.3653756182784</v>
      </c>
      <c r="AQ60" s="72">
        <f t="shared" ca="1" si="20"/>
        <v>479647.48961829866</v>
      </c>
      <c r="AS60" s="303"/>
      <c r="AT60" s="300"/>
      <c r="AU60" s="297"/>
      <c r="AV60" s="303"/>
    </row>
    <row r="61" spans="2:48" x14ac:dyDescent="0.25">
      <c r="B61" s="43">
        <f t="shared" si="18"/>
        <v>45870</v>
      </c>
      <c r="C61" s="79">
        <f t="shared" si="12"/>
        <v>2025</v>
      </c>
      <c r="D61" s="64">
        <f ca="1">wellcount_base  +  SUM('forecast production'!I$7:I62)</f>
        <v>1</v>
      </c>
      <c r="E61" s="110">
        <f ca="1">'forecast production'!AE62</f>
        <v>391.9232349944586</v>
      </c>
      <c r="F61" s="98">
        <f ca="1">'forecast production'!AF62</f>
        <v>2019.6670694923553</v>
      </c>
      <c r="G61" s="98">
        <f ca="1">'forecast production'!AG62</f>
        <v>92.636289882631573</v>
      </c>
      <c r="H61" s="98">
        <f ca="1">'forecast production'!AH62</f>
        <v>302.9500604238533</v>
      </c>
      <c r="I61" s="307">
        <f ca="1">IF('monthly calculations (1)'!AV60,WI_2_APO, WI_2)</f>
        <v>0</v>
      </c>
      <c r="J61" s="306">
        <f ca="1">IF('monthly calculations (1)'!AV60,NRI_2_APO, NRI_2)</f>
        <v>0.25</v>
      </c>
      <c r="K61" s="112">
        <f t="shared" ca="1" si="0"/>
        <v>97.980808748614649</v>
      </c>
      <c r="L61" s="98">
        <f t="shared" ca="1" si="1"/>
        <v>378.68757552981663</v>
      </c>
      <c r="M61" s="98">
        <f t="shared" ca="1" si="2"/>
        <v>23.159072470657893</v>
      </c>
      <c r="N61" s="98">
        <f t="shared" ca="1" si="3"/>
        <v>75.737515105963325</v>
      </c>
      <c r="O61" s="67">
        <f>assumptions!M65</f>
        <v>55</v>
      </c>
      <c r="P61" s="68">
        <f>assumptions!N65</f>
        <v>3</v>
      </c>
      <c r="Q61" s="68">
        <f>assumptions!O65</f>
        <v>22</v>
      </c>
      <c r="R61" s="67">
        <f t="shared" si="4"/>
        <v>52.5</v>
      </c>
      <c r="S61" s="68">
        <f t="shared" si="5"/>
        <v>2.3275000000000001</v>
      </c>
      <c r="T61" s="68">
        <f t="shared" si="6"/>
        <v>22</v>
      </c>
      <c r="U61" s="73">
        <f t="shared" ca="1" si="13"/>
        <v>5143.9924593022688</v>
      </c>
      <c r="V61" s="72">
        <f t="shared" ca="1" si="7"/>
        <v>881.39533204564827</v>
      </c>
      <c r="W61" s="72">
        <f t="shared" ca="1" si="8"/>
        <v>1666.2253323311932</v>
      </c>
      <c r="X61" s="72">
        <f t="shared" ca="1" si="14"/>
        <v>7691.6131236791107</v>
      </c>
      <c r="Y61" s="73">
        <f>mult_opex * fixed_month</f>
        <v>1000</v>
      </c>
      <c r="Z61" s="72">
        <f ca="1">mult_opex * fixed_well *D61</f>
        <v>5000</v>
      </c>
      <c r="AA61" s="72">
        <f ca="1">(Z61+Y61)*WI_current_2</f>
        <v>0</v>
      </c>
      <c r="AB61" s="72">
        <f ca="1">mult_opex * var_bo*E61</f>
        <v>0</v>
      </c>
      <c r="AC61" s="72">
        <f ca="1">mult_opex * var_mcf*F61</f>
        <v>0</v>
      </c>
      <c r="AD61" s="72">
        <f ca="1">mult_opex * var_bw * G61</f>
        <v>185.27257976526315</v>
      </c>
      <c r="AE61" s="72">
        <f ca="1">SUM(AB61:AD61)*WI_current_2</f>
        <v>0</v>
      </c>
      <c r="AF61" s="73">
        <f ca="1">mult_capex * IFERROR(OFFSET(assumptions!$F$39,MATCH(B61,assumptions!$E$39:$E$45,0)-1,0),0)</f>
        <v>0</v>
      </c>
      <c r="AG61" s="75">
        <f ca="1">mult_capex * capex_new*WI_current_2 *'forecast production'!I62</f>
        <v>0</v>
      </c>
      <c r="AH61" s="146">
        <f t="shared" ca="1" si="15"/>
        <v>0</v>
      </c>
      <c r="AI61" s="73">
        <f t="shared" ca="1" si="9"/>
        <v>427.69520295616746</v>
      </c>
      <c r="AJ61" s="72">
        <f t="shared" ca="1" si="10"/>
        <v>192.29032809197778</v>
      </c>
      <c r="AK61" s="72">
        <f t="shared" ca="1" si="16"/>
        <v>619.98553104814528</v>
      </c>
      <c r="AL61" s="73">
        <f t="shared" ca="1" si="11"/>
        <v>7071.6275926309654</v>
      </c>
      <c r="AM61" s="321">
        <f ca="1">'monthly calculations (1)'!AM61</f>
        <v>1</v>
      </c>
      <c r="AN61" s="73">
        <f t="shared" ca="1" si="17"/>
        <v>7071.6275926309654</v>
      </c>
      <c r="AO61" s="75">
        <f t="shared" ca="1" si="19"/>
        <v>582935.90872961236</v>
      </c>
      <c r="AP61" s="72">
        <f ca="1">AL61  /  ( 1 + disc_1/12)^(COUNT($AL$6:AL61)-1)</f>
        <v>4480.1499180951532</v>
      </c>
      <c r="AQ61" s="72">
        <f t="shared" ca="1" si="20"/>
        <v>484127.63953639381</v>
      </c>
      <c r="AS61" s="303"/>
      <c r="AT61" s="300"/>
      <c r="AU61" s="297"/>
      <c r="AV61" s="303"/>
    </row>
    <row r="62" spans="2:48" x14ac:dyDescent="0.25">
      <c r="B62" s="43">
        <f t="shared" si="18"/>
        <v>45901</v>
      </c>
      <c r="C62" s="79">
        <f t="shared" si="12"/>
        <v>2025</v>
      </c>
      <c r="D62" s="64">
        <f ca="1">wellcount_base  +  SUM('forecast production'!I$7:I63)</f>
        <v>1</v>
      </c>
      <c r="E62" s="110">
        <f ca="1">'forecast production'!AE63</f>
        <v>375.05559433488833</v>
      </c>
      <c r="F62" s="98">
        <f ca="1">'forecast production'!AF63</f>
        <v>1936.0568675763673</v>
      </c>
      <c r="G62" s="98">
        <f ca="1">'forecast production'!AG63</f>
        <v>86.471867348706965</v>
      </c>
      <c r="H62" s="98">
        <f ca="1">'forecast production'!AH63</f>
        <v>290.40853013645511</v>
      </c>
      <c r="I62" s="307">
        <f ca="1">IF('monthly calculations (1)'!AV61,WI_2_APO, WI_2)</f>
        <v>0</v>
      </c>
      <c r="J62" s="306">
        <f ca="1">IF('monthly calculations (1)'!AV61,NRI_2_APO, NRI_2)</f>
        <v>0.25</v>
      </c>
      <c r="K62" s="112">
        <f t="shared" ca="1" si="0"/>
        <v>93.763898583722082</v>
      </c>
      <c r="L62" s="98">
        <f t="shared" ca="1" si="1"/>
        <v>363.01066267056888</v>
      </c>
      <c r="M62" s="98">
        <f t="shared" ca="1" si="2"/>
        <v>21.617966837176741</v>
      </c>
      <c r="N62" s="98">
        <f t="shared" ca="1" si="3"/>
        <v>72.602132534113778</v>
      </c>
      <c r="O62" s="67">
        <f>assumptions!M66</f>
        <v>55</v>
      </c>
      <c r="P62" s="68">
        <f>assumptions!N66</f>
        <v>3</v>
      </c>
      <c r="Q62" s="68">
        <f>assumptions!O66</f>
        <v>22</v>
      </c>
      <c r="R62" s="67">
        <f t="shared" si="4"/>
        <v>52.5</v>
      </c>
      <c r="S62" s="68">
        <f t="shared" si="5"/>
        <v>2.3275000000000001</v>
      </c>
      <c r="T62" s="68">
        <f t="shared" si="6"/>
        <v>22</v>
      </c>
      <c r="U62" s="73">
        <f t="shared" ca="1" si="13"/>
        <v>4922.6046756454089</v>
      </c>
      <c r="V62" s="72">
        <f t="shared" ca="1" si="7"/>
        <v>844.90731736574912</v>
      </c>
      <c r="W62" s="72">
        <f t="shared" ca="1" si="8"/>
        <v>1597.2469157505031</v>
      </c>
      <c r="X62" s="72">
        <f t="shared" ca="1" si="14"/>
        <v>7364.7589087616607</v>
      </c>
      <c r="Y62" s="73">
        <f>mult_opex * fixed_month</f>
        <v>1000</v>
      </c>
      <c r="Z62" s="72">
        <f ca="1">mult_opex * fixed_well *D62</f>
        <v>5000</v>
      </c>
      <c r="AA62" s="72">
        <f ca="1">(Z62+Y62)*WI_current_2</f>
        <v>0</v>
      </c>
      <c r="AB62" s="72">
        <f ca="1">mult_opex * var_bo*E62</f>
        <v>0</v>
      </c>
      <c r="AC62" s="72">
        <f ca="1">mult_opex * var_mcf*F62</f>
        <v>0</v>
      </c>
      <c r="AD62" s="72">
        <f ca="1">mult_opex * var_bw * G62</f>
        <v>172.94373469741393</v>
      </c>
      <c r="AE62" s="72">
        <f ca="1">SUM(AB62:AD62)*WI_current_2</f>
        <v>0</v>
      </c>
      <c r="AF62" s="73">
        <f ca="1">mult_capex * IFERROR(OFFSET(assumptions!$F$39,MATCH(B62,assumptions!$E$39:$E$45,0)-1,0),0)</f>
        <v>0</v>
      </c>
      <c r="AG62" s="75">
        <f ca="1">mult_capex * capex_new*WI_current_2 *'forecast production'!I63</f>
        <v>0</v>
      </c>
      <c r="AH62" s="146">
        <f t="shared" ca="1" si="15"/>
        <v>0</v>
      </c>
      <c r="AI62" s="73">
        <f t="shared" ca="1" si="9"/>
        <v>409.6013825634077</v>
      </c>
      <c r="AJ62" s="72">
        <f t="shared" ca="1" si="10"/>
        <v>184.11897271904152</v>
      </c>
      <c r="AK62" s="72">
        <f t="shared" ca="1" si="16"/>
        <v>593.72035528244919</v>
      </c>
      <c r="AL62" s="73">
        <f t="shared" ca="1" si="11"/>
        <v>6771.0385534792113</v>
      </c>
      <c r="AM62" s="321">
        <f ca="1">'monthly calculations (1)'!AM62</f>
        <v>1</v>
      </c>
      <c r="AN62" s="73">
        <f t="shared" ca="1" si="17"/>
        <v>6771.0385534792113</v>
      </c>
      <c r="AO62" s="75">
        <f t="shared" ca="1" si="19"/>
        <v>589706.94728309161</v>
      </c>
      <c r="AP62" s="72">
        <f ca="1">AL62  /  ( 1 + disc_1/12)^(COUNT($AL$6:AL62)-1)</f>
        <v>4254.2629308428268</v>
      </c>
      <c r="AQ62" s="72">
        <f t="shared" ca="1" si="20"/>
        <v>488381.90246723662</v>
      </c>
      <c r="AS62" s="303"/>
      <c r="AT62" s="300"/>
      <c r="AU62" s="297"/>
      <c r="AV62" s="303"/>
    </row>
    <row r="63" spans="2:48" x14ac:dyDescent="0.25">
      <c r="B63" s="43">
        <f t="shared" si="18"/>
        <v>45931</v>
      </c>
      <c r="C63" s="79">
        <f t="shared" si="12"/>
        <v>2025</v>
      </c>
      <c r="D63" s="64">
        <f ca="1">wellcount_base  +  SUM('forecast production'!I$7:I64)</f>
        <v>1</v>
      </c>
      <c r="E63" s="110">
        <f ca="1">'forecast production'!AE64</f>
        <v>383.42411285907036</v>
      </c>
      <c r="F63" s="98">
        <f ca="1">'forecast production'!AF64</f>
        <v>1982.4724025174178</v>
      </c>
      <c r="G63" s="98">
        <f ca="1">'forecast production'!AG64</f>
        <v>86.289398370003866</v>
      </c>
      <c r="H63" s="98">
        <f ca="1">'forecast production'!AH64</f>
        <v>297.37086037761264</v>
      </c>
      <c r="I63" s="307">
        <f ca="1">IF('monthly calculations (1)'!AV62,WI_2_APO, WI_2)</f>
        <v>0</v>
      </c>
      <c r="J63" s="306">
        <f ca="1">IF('monthly calculations (1)'!AV62,NRI_2_APO, NRI_2)</f>
        <v>0.25</v>
      </c>
      <c r="K63" s="112">
        <f t="shared" ca="1" si="0"/>
        <v>95.856028214767591</v>
      </c>
      <c r="L63" s="98">
        <f t="shared" ca="1" si="1"/>
        <v>371.7135754720158</v>
      </c>
      <c r="M63" s="98">
        <f t="shared" ca="1" si="2"/>
        <v>21.572349592500967</v>
      </c>
      <c r="N63" s="98">
        <f t="shared" ca="1" si="3"/>
        <v>74.342715094403161</v>
      </c>
      <c r="O63" s="67">
        <f>assumptions!M67</f>
        <v>55</v>
      </c>
      <c r="P63" s="68">
        <f>assumptions!N67</f>
        <v>3</v>
      </c>
      <c r="Q63" s="68">
        <f>assumptions!O67</f>
        <v>22</v>
      </c>
      <c r="R63" s="67">
        <f t="shared" si="4"/>
        <v>52.5</v>
      </c>
      <c r="S63" s="68">
        <f t="shared" si="5"/>
        <v>2.3275000000000001</v>
      </c>
      <c r="T63" s="68">
        <f t="shared" si="6"/>
        <v>22</v>
      </c>
      <c r="U63" s="73">
        <f t="shared" ca="1" si="13"/>
        <v>5032.4414812752984</v>
      </c>
      <c r="V63" s="72">
        <f t="shared" ca="1" si="7"/>
        <v>865.16334691111683</v>
      </c>
      <c r="W63" s="72">
        <f t="shared" ca="1" si="8"/>
        <v>1635.5397320768695</v>
      </c>
      <c r="X63" s="72">
        <f t="shared" ca="1" si="14"/>
        <v>7533.1445602632848</v>
      </c>
      <c r="Y63" s="73">
        <f>mult_opex * fixed_month</f>
        <v>1000</v>
      </c>
      <c r="Z63" s="72">
        <f ca="1">mult_opex * fixed_well *D63</f>
        <v>5000</v>
      </c>
      <c r="AA63" s="72">
        <f ca="1">(Z63+Y63)*WI_current_2</f>
        <v>0</v>
      </c>
      <c r="AB63" s="72">
        <f ca="1">mult_opex * var_bo*E63</f>
        <v>0</v>
      </c>
      <c r="AC63" s="72">
        <f ca="1">mult_opex * var_mcf*F63</f>
        <v>0</v>
      </c>
      <c r="AD63" s="72">
        <f ca="1">mult_opex * var_bw * G63</f>
        <v>172.57879674000773</v>
      </c>
      <c r="AE63" s="72">
        <f ca="1">SUM(AB63:AD63)*WI_current_2</f>
        <v>0</v>
      </c>
      <c r="AF63" s="73">
        <f ca="1">mult_capex * IFERROR(OFFSET(assumptions!$F$39,MATCH(B63,assumptions!$E$39:$E$45,0)-1,0),0)</f>
        <v>0</v>
      </c>
      <c r="AG63" s="75">
        <f ca="1">mult_capex * capex_new*WI_current_2 *'forecast production'!I64</f>
        <v>0</v>
      </c>
      <c r="AH63" s="146">
        <f t="shared" ca="1" si="15"/>
        <v>0</v>
      </c>
      <c r="AI63" s="73">
        <f t="shared" ca="1" si="9"/>
        <v>419.04503906276273</v>
      </c>
      <c r="AJ63" s="72">
        <f t="shared" ca="1" si="10"/>
        <v>188.32861400658214</v>
      </c>
      <c r="AK63" s="72">
        <f t="shared" ca="1" si="16"/>
        <v>607.37365306934487</v>
      </c>
      <c r="AL63" s="73">
        <f t="shared" ca="1" si="11"/>
        <v>6925.7709071939398</v>
      </c>
      <c r="AM63" s="321">
        <f ca="1">'monthly calculations (1)'!AM63</f>
        <v>1</v>
      </c>
      <c r="AN63" s="73">
        <f t="shared" ca="1" si="17"/>
        <v>6925.7709071939398</v>
      </c>
      <c r="AO63" s="75">
        <f t="shared" ca="1" si="19"/>
        <v>596632.71819028549</v>
      </c>
      <c r="AP63" s="72">
        <f ca="1">AL63  /  ( 1 + disc_1/12)^(COUNT($AL$6:AL63)-1)</f>
        <v>4315.5190534096164</v>
      </c>
      <c r="AQ63" s="72">
        <f t="shared" ca="1" si="20"/>
        <v>492697.42152064625</v>
      </c>
      <c r="AS63" s="303"/>
      <c r="AT63" s="300"/>
      <c r="AU63" s="297"/>
      <c r="AV63" s="303"/>
    </row>
    <row r="64" spans="2:48" x14ac:dyDescent="0.25">
      <c r="B64" s="43">
        <f t="shared" si="18"/>
        <v>45962</v>
      </c>
      <c r="C64" s="79">
        <f t="shared" si="12"/>
        <v>2025</v>
      </c>
      <c r="D64" s="64">
        <f ca="1">wellcount_base  +  SUM('forecast production'!I$7:I65)</f>
        <v>1</v>
      </c>
      <c r="E64" s="110">
        <f ca="1">'forecast production'!AE65</f>
        <v>367.01091558999372</v>
      </c>
      <c r="F64" s="98">
        <f ca="1">'forecast production'!AF65</f>
        <v>1900.7325883203571</v>
      </c>
      <c r="G64" s="98">
        <f ca="1">'forecast production'!AG65</f>
        <v>80.548356473884056</v>
      </c>
      <c r="H64" s="98">
        <f ca="1">'forecast production'!AH65</f>
        <v>285.10988824805355</v>
      </c>
      <c r="I64" s="307">
        <f ca="1">IF('monthly calculations (1)'!AV63,WI_2_APO, WI_2)</f>
        <v>0</v>
      </c>
      <c r="J64" s="306">
        <f ca="1">IF('monthly calculations (1)'!AV63,NRI_2_APO, NRI_2)</f>
        <v>0.25</v>
      </c>
      <c r="K64" s="112">
        <f t="shared" ca="1" si="0"/>
        <v>91.752728897498429</v>
      </c>
      <c r="L64" s="98">
        <f t="shared" ca="1" si="1"/>
        <v>356.38736031006692</v>
      </c>
      <c r="M64" s="98">
        <f t="shared" ca="1" si="2"/>
        <v>20.137089118471014</v>
      </c>
      <c r="N64" s="98">
        <f t="shared" ca="1" si="3"/>
        <v>71.277472062013388</v>
      </c>
      <c r="O64" s="67">
        <f>assumptions!M68</f>
        <v>55</v>
      </c>
      <c r="P64" s="68">
        <f>assumptions!N68</f>
        <v>3</v>
      </c>
      <c r="Q64" s="68">
        <f>assumptions!O68</f>
        <v>22</v>
      </c>
      <c r="R64" s="67">
        <f t="shared" si="4"/>
        <v>52.5</v>
      </c>
      <c r="S64" s="68">
        <f t="shared" si="5"/>
        <v>2.3275000000000001</v>
      </c>
      <c r="T64" s="68">
        <f t="shared" si="6"/>
        <v>22</v>
      </c>
      <c r="U64" s="73">
        <f t="shared" ca="1" si="13"/>
        <v>4817.0182671186676</v>
      </c>
      <c r="V64" s="72">
        <f t="shared" ca="1" si="7"/>
        <v>829.49158112168084</v>
      </c>
      <c r="W64" s="72">
        <f t="shared" ca="1" si="8"/>
        <v>1568.1043853642946</v>
      </c>
      <c r="X64" s="72">
        <f t="shared" ca="1" si="14"/>
        <v>7214.6142336046432</v>
      </c>
      <c r="Y64" s="73">
        <f>mult_opex * fixed_month</f>
        <v>1000</v>
      </c>
      <c r="Z64" s="72">
        <f ca="1">mult_opex * fixed_well *D64</f>
        <v>5000</v>
      </c>
      <c r="AA64" s="72">
        <f ca="1">(Z64+Y64)*WI_current_2</f>
        <v>0</v>
      </c>
      <c r="AB64" s="72">
        <f ca="1">mult_opex * var_bo*E64</f>
        <v>0</v>
      </c>
      <c r="AC64" s="72">
        <f ca="1">mult_opex * var_mcf*F64</f>
        <v>0</v>
      </c>
      <c r="AD64" s="72">
        <f ca="1">mult_opex * var_bw * G64</f>
        <v>161.09671294776811</v>
      </c>
      <c r="AE64" s="72">
        <f ca="1">SUM(AB64:AD64)*WI_current_2</f>
        <v>0</v>
      </c>
      <c r="AF64" s="73">
        <f ca="1">mult_capex * IFERROR(OFFSET(assumptions!$F$39,MATCH(B64,assumptions!$E$39:$E$45,0)-1,0),0)</f>
        <v>0</v>
      </c>
      <c r="AG64" s="75">
        <f ca="1">mult_capex * capex_new*WI_current_2 *'forecast production'!I65</f>
        <v>0</v>
      </c>
      <c r="AH64" s="146">
        <f t="shared" ca="1" si="15"/>
        <v>0</v>
      </c>
      <c r="AI64" s="73">
        <f t="shared" ca="1" si="9"/>
        <v>401.40253777390683</v>
      </c>
      <c r="AJ64" s="72">
        <f t="shared" ca="1" si="10"/>
        <v>180.36535584011608</v>
      </c>
      <c r="AK64" s="72">
        <f t="shared" ca="1" si="16"/>
        <v>581.76789361402291</v>
      </c>
      <c r="AL64" s="73">
        <f t="shared" ca="1" si="11"/>
        <v>6632.8463399906204</v>
      </c>
      <c r="AM64" s="321">
        <f ca="1">'monthly calculations (1)'!AM64</f>
        <v>1</v>
      </c>
      <c r="AN64" s="73">
        <f t="shared" ca="1" si="17"/>
        <v>6632.8463399906204</v>
      </c>
      <c r="AO64" s="75">
        <f t="shared" ca="1" si="19"/>
        <v>603265.56453027611</v>
      </c>
      <c r="AP64" s="72">
        <f ca="1">AL64  /  ( 1 + disc_1/12)^(COUNT($AL$6:AL64)-1)</f>
        <v>4098.8377627859754</v>
      </c>
      <c r="AQ64" s="72">
        <f t="shared" ca="1" si="20"/>
        <v>496796.25928343221</v>
      </c>
      <c r="AS64" s="303"/>
      <c r="AT64" s="300"/>
      <c r="AU64" s="297"/>
      <c r="AV64" s="303"/>
    </row>
    <row r="65" spans="2:48" x14ac:dyDescent="0.25">
      <c r="B65" s="44">
        <f t="shared" si="18"/>
        <v>45992</v>
      </c>
      <c r="C65" s="100">
        <f t="shared" si="12"/>
        <v>2025</v>
      </c>
      <c r="D65" s="65">
        <f ca="1">wellcount_base  +  SUM('forecast production'!I$7:I66)</f>
        <v>1</v>
      </c>
      <c r="E65" s="109">
        <f ca="1">'forecast production'!AE66</f>
        <v>375.28578514879877</v>
      </c>
      <c r="F65" s="101">
        <f ca="1">'forecast production'!AF66</f>
        <v>1946.6229336438876</v>
      </c>
      <c r="G65" s="101">
        <f ca="1">'forecast production'!AG66</f>
        <v>80.379382129511711</v>
      </c>
      <c r="H65" s="102">
        <f ca="1">'forecast production'!AH66</f>
        <v>291.99344004658315</v>
      </c>
      <c r="I65" s="308">
        <f ca="1">IF('monthly calculations (1)'!AV64,WI_2_APO, WI_2)</f>
        <v>0</v>
      </c>
      <c r="J65" s="309">
        <f ca="1">IF('monthly calculations (1)'!AV64,NRI_2_APO, NRI_2)</f>
        <v>0.25</v>
      </c>
      <c r="K65" s="113">
        <f t="shared" ca="1" si="0"/>
        <v>93.821446287199691</v>
      </c>
      <c r="L65" s="102">
        <f t="shared" ca="1" si="1"/>
        <v>364.99180005822893</v>
      </c>
      <c r="M65" s="102">
        <f t="shared" ca="1" si="2"/>
        <v>20.094845532377928</v>
      </c>
      <c r="N65" s="102">
        <f t="shared" ca="1" si="3"/>
        <v>72.998360011645786</v>
      </c>
      <c r="O65" s="103">
        <f>assumptions!M69</f>
        <v>55</v>
      </c>
      <c r="P65" s="104">
        <f>assumptions!N69</f>
        <v>3</v>
      </c>
      <c r="Q65" s="104">
        <f>assumptions!O69</f>
        <v>22</v>
      </c>
      <c r="R65" s="103">
        <f t="shared" si="4"/>
        <v>52.5</v>
      </c>
      <c r="S65" s="104">
        <f t="shared" si="5"/>
        <v>2.3275000000000001</v>
      </c>
      <c r="T65" s="104">
        <f t="shared" si="6"/>
        <v>22</v>
      </c>
      <c r="U65" s="105">
        <f t="shared" ca="1" si="13"/>
        <v>4925.6259300779839</v>
      </c>
      <c r="V65" s="106">
        <f t="shared" ca="1" si="7"/>
        <v>849.51841463552785</v>
      </c>
      <c r="W65" s="106">
        <f t="shared" ca="1" si="8"/>
        <v>1605.9639202562073</v>
      </c>
      <c r="X65" s="106">
        <f t="shared" ca="1" si="14"/>
        <v>7381.1082649697191</v>
      </c>
      <c r="Y65" s="105">
        <f>mult_opex * fixed_month</f>
        <v>1000</v>
      </c>
      <c r="Z65" s="106">
        <f ca="1">mult_opex * fixed_well *D65</f>
        <v>5000</v>
      </c>
      <c r="AA65" s="106">
        <f ca="1">(Z65+Y65)*WI_current_2</f>
        <v>0</v>
      </c>
      <c r="AB65" s="106">
        <f ca="1">mult_opex * var_bo*E65</f>
        <v>0</v>
      </c>
      <c r="AC65" s="106">
        <f ca="1">mult_opex * var_mcf*F65</f>
        <v>0</v>
      </c>
      <c r="AD65" s="106">
        <f ca="1">mult_opex * var_bw * G65</f>
        <v>160.75876425902342</v>
      </c>
      <c r="AE65" s="106">
        <f ca="1">SUM(AB65:AD65)*WI_current_2</f>
        <v>0</v>
      </c>
      <c r="AF65" s="105">
        <f ca="1">mult_capex * IFERROR(OFFSET(assumptions!$F$39,MATCH(B65,assumptions!$E$39:$E$45,0)-1,0),0)</f>
        <v>0</v>
      </c>
      <c r="AG65" s="106">
        <f ca="1">mult_capex * capex_new*WI_current_2 *'forecast production'!I66</f>
        <v>0</v>
      </c>
      <c r="AH65" s="147">
        <f t="shared" ca="1" si="15"/>
        <v>0</v>
      </c>
      <c r="AI65" s="105">
        <f t="shared" ca="1" si="9"/>
        <v>410.73996790046738</v>
      </c>
      <c r="AJ65" s="106">
        <f t="shared" ca="1" si="10"/>
        <v>184.527706624243</v>
      </c>
      <c r="AK65" s="106">
        <f t="shared" ca="1" si="16"/>
        <v>595.2676745247104</v>
      </c>
      <c r="AL65" s="105">
        <f t="shared" ca="1" si="11"/>
        <v>6785.8405904450083</v>
      </c>
      <c r="AM65" s="322">
        <f ca="1">'monthly calculations (1)'!AM65</f>
        <v>1</v>
      </c>
      <c r="AN65" s="105">
        <f t="shared" ca="1" si="17"/>
        <v>6785.8405904450083</v>
      </c>
      <c r="AO65" s="106">
        <f t="shared" ca="1" si="19"/>
        <v>610051.40512072109</v>
      </c>
      <c r="AP65" s="106">
        <f ca="1">AL65  /  ( 1 + disc_1/12)^(COUNT($AL$6:AL65)-1)</f>
        <v>4158.7261318512537</v>
      </c>
      <c r="AQ65" s="106">
        <f t="shared" ca="1" si="20"/>
        <v>500954.98541528347</v>
      </c>
      <c r="AS65" s="304"/>
      <c r="AT65" s="301"/>
      <c r="AU65" s="298"/>
      <c r="AV65" s="304"/>
    </row>
    <row r="66" spans="2:48" x14ac:dyDescent="0.25">
      <c r="B66" s="43">
        <f t="shared" si="18"/>
        <v>46023</v>
      </c>
      <c r="C66" s="79">
        <f t="shared" si="12"/>
        <v>2026</v>
      </c>
      <c r="D66" s="64">
        <f ca="1">wellcount_base  +  SUM('forecast production'!I$7:I67)</f>
        <v>1</v>
      </c>
      <c r="E66" s="110">
        <f ca="1">'forecast production'!AE67</f>
        <v>371.28089860042456</v>
      </c>
      <c r="F66" s="98">
        <f ca="1">'forecast production'!AF67</f>
        <v>1928.8967026266371</v>
      </c>
      <c r="G66" s="98">
        <f ca="1">'forecast production'!AG67</f>
        <v>77.533590996253267</v>
      </c>
      <c r="H66" s="98">
        <f ca="1">'forecast production'!AH67</f>
        <v>289.33450539399558</v>
      </c>
      <c r="I66" s="307">
        <f ca="1">IF('monthly calculations (1)'!AV65,WI_2_APO, WI_2)</f>
        <v>0</v>
      </c>
      <c r="J66" s="306">
        <f ca="1">IF('monthly calculations (1)'!AV65,NRI_2_APO, NRI_2)</f>
        <v>0.25</v>
      </c>
      <c r="K66" s="112">
        <f t="shared" ca="1" si="0"/>
        <v>92.820224650106141</v>
      </c>
      <c r="L66" s="98">
        <f t="shared" ca="1" si="1"/>
        <v>361.66813174249444</v>
      </c>
      <c r="M66" s="98">
        <f t="shared" ca="1" si="2"/>
        <v>19.383397749063317</v>
      </c>
      <c r="N66" s="98">
        <f t="shared" ca="1" si="3"/>
        <v>72.333626348498896</v>
      </c>
      <c r="O66" s="67">
        <f>assumptions!M70</f>
        <v>55</v>
      </c>
      <c r="P66" s="68">
        <f>assumptions!N70</f>
        <v>3</v>
      </c>
      <c r="Q66" s="68">
        <f>assumptions!O70</f>
        <v>22</v>
      </c>
      <c r="R66" s="67">
        <f t="shared" si="4"/>
        <v>52.5</v>
      </c>
      <c r="S66" s="68">
        <f t="shared" si="5"/>
        <v>2.3275000000000001</v>
      </c>
      <c r="T66" s="68">
        <f t="shared" si="6"/>
        <v>22</v>
      </c>
      <c r="U66" s="73">
        <f t="shared" ca="1" si="13"/>
        <v>4873.0617941305727</v>
      </c>
      <c r="V66" s="72">
        <f t="shared" ca="1" si="7"/>
        <v>841.78257663065585</v>
      </c>
      <c r="W66" s="72">
        <f t="shared" ca="1" si="8"/>
        <v>1591.3397796669758</v>
      </c>
      <c r="X66" s="72">
        <f t="shared" ca="1" si="14"/>
        <v>7306.1841504282047</v>
      </c>
      <c r="Y66" s="73">
        <f>mult_opex * fixed_month</f>
        <v>1000</v>
      </c>
      <c r="Z66" s="72">
        <f ca="1">mult_opex * fixed_well *D66</f>
        <v>5000</v>
      </c>
      <c r="AA66" s="72">
        <f ca="1">(Z66+Y66)*WI_current_2</f>
        <v>0</v>
      </c>
      <c r="AB66" s="72">
        <f ca="1">mult_opex * var_bo*E66</f>
        <v>0</v>
      </c>
      <c r="AC66" s="72">
        <f ca="1">mult_opex * var_mcf*F66</f>
        <v>0</v>
      </c>
      <c r="AD66" s="72">
        <f ca="1">mult_opex * var_bw * G66</f>
        <v>155.06718199250653</v>
      </c>
      <c r="AE66" s="72">
        <f ca="1">SUM(AB66:AD66)*WI_current_2</f>
        <v>0</v>
      </c>
      <c r="AF66" s="73">
        <f ca="1">mult_capex * IFERROR(OFFSET(assumptions!$F$39,MATCH(B66,assumptions!$E$39:$E$45,0)-1,0),0)</f>
        <v>0</v>
      </c>
      <c r="AG66" s="75">
        <f ca="1">mult_capex * capex_new*WI_current_2 *'forecast production'!I67</f>
        <v>0</v>
      </c>
      <c r="AH66" s="146">
        <f t="shared" ca="1" si="15"/>
        <v>0</v>
      </c>
      <c r="AI66" s="73">
        <f t="shared" ca="1" si="9"/>
        <v>406.64501925232867</v>
      </c>
      <c r="AJ66" s="72">
        <f t="shared" ca="1" si="10"/>
        <v>182.65460376070513</v>
      </c>
      <c r="AK66" s="72">
        <f t="shared" ca="1" si="16"/>
        <v>589.29962301303385</v>
      </c>
      <c r="AL66" s="73">
        <f t="shared" ca="1" si="11"/>
        <v>6716.8845274151709</v>
      </c>
      <c r="AM66" s="321">
        <f ca="1">'monthly calculations (1)'!AM66</f>
        <v>1</v>
      </c>
      <c r="AN66" s="73">
        <f t="shared" ca="1" si="17"/>
        <v>6716.8845274151709</v>
      </c>
      <c r="AO66" s="75">
        <f t="shared" ca="1" si="19"/>
        <v>616768.28964813624</v>
      </c>
      <c r="AP66" s="72">
        <f ca="1">AL66  /  ( 1 + disc_1/12)^(COUNT($AL$6:AL66)-1)</f>
        <v>4082.4457859758031</v>
      </c>
      <c r="AQ66" s="72">
        <f t="shared" ca="1" si="20"/>
        <v>505037.43120125926</v>
      </c>
      <c r="AS66" s="303"/>
      <c r="AT66" s="300"/>
      <c r="AU66" s="297"/>
      <c r="AV66" s="303"/>
    </row>
    <row r="67" spans="2:48" x14ac:dyDescent="0.25">
      <c r="B67" s="43">
        <f t="shared" si="18"/>
        <v>46054</v>
      </c>
      <c r="C67" s="79">
        <f t="shared" si="12"/>
        <v>2026</v>
      </c>
      <c r="D67" s="64">
        <f ca="1">wellcount_base  +  SUM('forecast production'!I$7:I68)</f>
        <v>1</v>
      </c>
      <c r="E67" s="110">
        <f ca="1">'forecast production'!AE68</f>
        <v>331.80956184130531</v>
      </c>
      <c r="F67" s="98">
        <f ca="1">'forecast production'!AF68</f>
        <v>1726.5074523009471</v>
      </c>
      <c r="G67" s="98">
        <f ca="1">'forecast production'!AG68</f>
        <v>67.551390466453611</v>
      </c>
      <c r="H67" s="98">
        <f ca="1">'forecast production'!AH68</f>
        <v>258.97611784514203</v>
      </c>
      <c r="I67" s="307">
        <f ca="1">IF('monthly calculations (1)'!AV66,WI_2_APO, WI_2)</f>
        <v>0</v>
      </c>
      <c r="J67" s="306">
        <f ca="1">IF('monthly calculations (1)'!AV66,NRI_2_APO, NRI_2)</f>
        <v>0.25</v>
      </c>
      <c r="K67" s="112">
        <f t="shared" ca="1" si="0"/>
        <v>82.952390460326328</v>
      </c>
      <c r="L67" s="98">
        <f t="shared" ca="1" si="1"/>
        <v>323.72014730642758</v>
      </c>
      <c r="M67" s="98">
        <f t="shared" ca="1" si="2"/>
        <v>16.887847616613403</v>
      </c>
      <c r="N67" s="98">
        <f t="shared" ca="1" si="3"/>
        <v>64.744029461285507</v>
      </c>
      <c r="O67" s="67">
        <f>assumptions!M71</f>
        <v>55</v>
      </c>
      <c r="P67" s="68">
        <f>assumptions!N71</f>
        <v>3</v>
      </c>
      <c r="Q67" s="68">
        <f>assumptions!O71</f>
        <v>22</v>
      </c>
      <c r="R67" s="67">
        <f t="shared" si="4"/>
        <v>52.5</v>
      </c>
      <c r="S67" s="68">
        <f t="shared" si="5"/>
        <v>2.3275000000000001</v>
      </c>
      <c r="T67" s="68">
        <f t="shared" si="6"/>
        <v>22</v>
      </c>
      <c r="U67" s="73">
        <f t="shared" ca="1" si="13"/>
        <v>4355.0004991671321</v>
      </c>
      <c r="V67" s="72">
        <f t="shared" ca="1" si="7"/>
        <v>753.4586428557102</v>
      </c>
      <c r="W67" s="72">
        <f t="shared" ca="1" si="8"/>
        <v>1424.3686481482812</v>
      </c>
      <c r="X67" s="72">
        <f t="shared" ca="1" si="14"/>
        <v>6532.8277901711235</v>
      </c>
      <c r="Y67" s="73">
        <f>mult_opex * fixed_month</f>
        <v>1000</v>
      </c>
      <c r="Z67" s="72">
        <f ca="1">mult_opex * fixed_well *D67</f>
        <v>5000</v>
      </c>
      <c r="AA67" s="72">
        <f ca="1">(Z67+Y67)*WI_current_2</f>
        <v>0</v>
      </c>
      <c r="AB67" s="72">
        <f ca="1">mult_opex * var_bo*E67</f>
        <v>0</v>
      </c>
      <c r="AC67" s="72">
        <f ca="1">mult_opex * var_mcf*F67</f>
        <v>0</v>
      </c>
      <c r="AD67" s="72">
        <f ca="1">mult_opex * var_bw * G67</f>
        <v>135.10278093290722</v>
      </c>
      <c r="AE67" s="72">
        <f ca="1">SUM(AB67:AD67)*WI_current_2</f>
        <v>0</v>
      </c>
      <c r="AF67" s="73">
        <f ca="1">mult_capex * IFERROR(OFFSET(assumptions!$F$39,MATCH(B67,assumptions!$E$39:$E$45,0)-1,0),0)</f>
        <v>0</v>
      </c>
      <c r="AG67" s="75">
        <f ca="1">mult_capex * capex_new*WI_current_2 *'forecast production'!I68</f>
        <v>0</v>
      </c>
      <c r="AH67" s="146">
        <f t="shared" ca="1" si="15"/>
        <v>0</v>
      </c>
      <c r="AI67" s="73">
        <f t="shared" ca="1" si="9"/>
        <v>363.66706978698744</v>
      </c>
      <c r="AJ67" s="72">
        <f t="shared" ca="1" si="10"/>
        <v>163.32069475427809</v>
      </c>
      <c r="AK67" s="72">
        <f t="shared" ca="1" si="16"/>
        <v>526.98776454126551</v>
      </c>
      <c r="AL67" s="73">
        <f t="shared" ca="1" si="11"/>
        <v>6005.8400256298582</v>
      </c>
      <c r="AM67" s="321">
        <f ca="1">'monthly calculations (1)'!AM67</f>
        <v>1</v>
      </c>
      <c r="AN67" s="73">
        <f t="shared" ca="1" si="17"/>
        <v>6005.8400256298582</v>
      </c>
      <c r="AO67" s="75">
        <f t="shared" ca="1" si="19"/>
        <v>622774.12967376609</v>
      </c>
      <c r="AP67" s="72">
        <f ca="1">AL67  /  ( 1 + disc_1/12)^(COUNT($AL$6:AL67)-1)</f>
        <v>3620.1134377825988</v>
      </c>
      <c r="AQ67" s="72">
        <f t="shared" ca="1" si="20"/>
        <v>508657.54463904188</v>
      </c>
      <c r="AS67" s="303"/>
      <c r="AT67" s="300"/>
      <c r="AU67" s="297"/>
      <c r="AV67" s="303"/>
    </row>
    <row r="68" spans="2:48" x14ac:dyDescent="0.25">
      <c r="B68" s="43">
        <f t="shared" si="18"/>
        <v>46082</v>
      </c>
      <c r="C68" s="79">
        <f t="shared" si="12"/>
        <v>2026</v>
      </c>
      <c r="D68" s="64">
        <f ca="1">wellcount_base  +  SUM('forecast production'!I$7:I69)</f>
        <v>1</v>
      </c>
      <c r="E68" s="110">
        <f ca="1">'forecast production'!AE69</f>
        <v>363.89014514659357</v>
      </c>
      <c r="F68" s="98">
        <f ca="1">'forecast production'!AF69</f>
        <v>1896.0364000703169</v>
      </c>
      <c r="G68" s="98">
        <f ca="1">'forecast production'!AG69</f>
        <v>72.394094422948768</v>
      </c>
      <c r="H68" s="98">
        <f ca="1">'forecast production'!AH69</f>
        <v>284.40546001054753</v>
      </c>
      <c r="I68" s="307">
        <f ca="1">IF('monthly calculations (1)'!AV67,WI_2_APO, WI_2)</f>
        <v>0</v>
      </c>
      <c r="J68" s="306">
        <f ca="1">IF('monthly calculations (1)'!AV67,NRI_2_APO, NRI_2)</f>
        <v>0.25</v>
      </c>
      <c r="K68" s="112">
        <f t="shared" ca="1" si="0"/>
        <v>90.972536286648392</v>
      </c>
      <c r="L68" s="98">
        <f t="shared" ca="1" si="1"/>
        <v>355.50682501318443</v>
      </c>
      <c r="M68" s="98">
        <f t="shared" ca="1" si="2"/>
        <v>18.098523605737192</v>
      </c>
      <c r="N68" s="98">
        <f t="shared" ca="1" si="3"/>
        <v>71.101365002636882</v>
      </c>
      <c r="O68" s="67">
        <f>assumptions!M72</f>
        <v>55</v>
      </c>
      <c r="P68" s="68">
        <f>assumptions!N72</f>
        <v>3</v>
      </c>
      <c r="Q68" s="68">
        <f>assumptions!O72</f>
        <v>22</v>
      </c>
      <c r="R68" s="67">
        <f t="shared" si="4"/>
        <v>52.5</v>
      </c>
      <c r="S68" s="68">
        <f t="shared" si="5"/>
        <v>2.3275000000000001</v>
      </c>
      <c r="T68" s="68">
        <f t="shared" si="6"/>
        <v>22</v>
      </c>
      <c r="U68" s="73">
        <f t="shared" ca="1" si="13"/>
        <v>4776.0581550490406</v>
      </c>
      <c r="V68" s="72">
        <f t="shared" ca="1" si="7"/>
        <v>827.44213521818676</v>
      </c>
      <c r="W68" s="72">
        <f t="shared" ca="1" si="8"/>
        <v>1564.2300300580114</v>
      </c>
      <c r="X68" s="72">
        <f t="shared" ca="1" si="14"/>
        <v>7167.7303203252395</v>
      </c>
      <c r="Y68" s="73">
        <f>mult_opex * fixed_month</f>
        <v>1000</v>
      </c>
      <c r="Z68" s="72">
        <f ca="1">mult_opex * fixed_well *D68</f>
        <v>5000</v>
      </c>
      <c r="AA68" s="72">
        <f ca="1">(Z68+Y68)*WI_current_2</f>
        <v>0</v>
      </c>
      <c r="AB68" s="72">
        <f ca="1">mult_opex * var_bo*E68</f>
        <v>0</v>
      </c>
      <c r="AC68" s="72">
        <f ca="1">mult_opex * var_mcf*F68</f>
        <v>0</v>
      </c>
      <c r="AD68" s="72">
        <f ca="1">mult_opex * var_bw * G68</f>
        <v>144.78818884589754</v>
      </c>
      <c r="AE68" s="72">
        <f ca="1">SUM(AB68:AD68)*WI_current_2</f>
        <v>0</v>
      </c>
      <c r="AF68" s="73">
        <f ca="1">mult_capex * IFERROR(OFFSET(assumptions!$F$39,MATCH(B68,assumptions!$E$39:$E$45,0)-1,0),0)</f>
        <v>0</v>
      </c>
      <c r="AG68" s="75">
        <f ca="1">mult_capex * capex_new*WI_current_2 *'forecast production'!I69</f>
        <v>0</v>
      </c>
      <c r="AH68" s="146">
        <f t="shared" ca="1" si="15"/>
        <v>0</v>
      </c>
      <c r="AI68" s="73">
        <f t="shared" ca="1" si="9"/>
        <v>399.07408752797073</v>
      </c>
      <c r="AJ68" s="72">
        <f t="shared" ca="1" si="10"/>
        <v>179.19325800813101</v>
      </c>
      <c r="AK68" s="72">
        <f t="shared" ca="1" si="16"/>
        <v>578.26734553610174</v>
      </c>
      <c r="AL68" s="73">
        <f t="shared" ca="1" si="11"/>
        <v>6589.4629747891377</v>
      </c>
      <c r="AM68" s="321">
        <f ca="1">'monthly calculations (1)'!AM68</f>
        <v>1</v>
      </c>
      <c r="AN68" s="73">
        <f t="shared" ca="1" si="17"/>
        <v>6589.4629747891377</v>
      </c>
      <c r="AO68" s="75">
        <f t="shared" ca="1" si="19"/>
        <v>629363.59264855518</v>
      </c>
      <c r="AP68" s="72">
        <f ca="1">AL68  /  ( 1 + disc_1/12)^(COUNT($AL$6:AL68)-1)</f>
        <v>3939.0756128507296</v>
      </c>
      <c r="AQ68" s="72">
        <f t="shared" ca="1" si="20"/>
        <v>512596.6202518926</v>
      </c>
      <c r="AS68" s="303"/>
      <c r="AT68" s="300"/>
      <c r="AU68" s="297"/>
      <c r="AV68" s="303"/>
    </row>
    <row r="69" spans="2:48" x14ac:dyDescent="0.25">
      <c r="B69" s="43">
        <f t="shared" si="18"/>
        <v>46113</v>
      </c>
      <c r="C69" s="79">
        <f t="shared" si="12"/>
        <v>2026</v>
      </c>
      <c r="D69" s="64">
        <f ca="1">wellcount_base  +  SUM('forecast production'!I$7:I70)</f>
        <v>1</v>
      </c>
      <c r="E69" s="108">
        <f ca="1">'forecast production'!AE70</f>
        <v>348.50667482232132</v>
      </c>
      <c r="F69" s="97">
        <f ca="1">'forecast production'!AF70</f>
        <v>1818.5956591124179</v>
      </c>
      <c r="G69" s="97">
        <f ca="1">'forecast production'!AG70</f>
        <v>67.579678816521962</v>
      </c>
      <c r="H69" s="98">
        <f ca="1">'forecast production'!AH70</f>
        <v>272.78934886686267</v>
      </c>
      <c r="I69" s="307">
        <f ca="1">IF('monthly calculations (1)'!AV68,WI_2_APO, WI_2)</f>
        <v>0</v>
      </c>
      <c r="J69" s="306">
        <f ca="1">IF('monthly calculations (1)'!AV68,NRI_2_APO, NRI_2)</f>
        <v>0.25</v>
      </c>
      <c r="K69" s="112">
        <f t="shared" ca="1" si="0"/>
        <v>87.126668705580329</v>
      </c>
      <c r="L69" s="98">
        <f t="shared" ca="1" si="1"/>
        <v>340.98668608357838</v>
      </c>
      <c r="M69" s="98">
        <f t="shared" ca="1" si="2"/>
        <v>16.894919704130491</v>
      </c>
      <c r="N69" s="98">
        <f t="shared" ca="1" si="3"/>
        <v>68.197337216715667</v>
      </c>
      <c r="O69" s="67">
        <f>assumptions!M73</f>
        <v>55</v>
      </c>
      <c r="P69" s="68">
        <f>assumptions!N73</f>
        <v>3</v>
      </c>
      <c r="Q69" s="68">
        <f>assumptions!O73</f>
        <v>22</v>
      </c>
      <c r="R69" s="67">
        <f t="shared" si="4"/>
        <v>52.5</v>
      </c>
      <c r="S69" s="68">
        <f t="shared" si="5"/>
        <v>2.3275000000000001</v>
      </c>
      <c r="T69" s="68">
        <f t="shared" si="6"/>
        <v>22</v>
      </c>
      <c r="U69" s="73">
        <f t="shared" ca="1" si="13"/>
        <v>4574.1501070429676</v>
      </c>
      <c r="V69" s="72">
        <f t="shared" ca="1" si="7"/>
        <v>793.64651185952869</v>
      </c>
      <c r="W69" s="72">
        <f t="shared" ca="1" si="8"/>
        <v>1500.3414187677447</v>
      </c>
      <c r="X69" s="72">
        <f t="shared" ca="1" si="14"/>
        <v>6868.1380376702409</v>
      </c>
      <c r="Y69" s="73">
        <f>mult_opex * fixed_month</f>
        <v>1000</v>
      </c>
      <c r="Z69" s="72">
        <f ca="1">mult_opex * fixed_well *D69</f>
        <v>5000</v>
      </c>
      <c r="AA69" s="72">
        <f ca="1">(Z69+Y69)*WI_current_2</f>
        <v>0</v>
      </c>
      <c r="AB69" s="72">
        <f ca="1">mult_opex * var_bo*E69</f>
        <v>0</v>
      </c>
      <c r="AC69" s="72">
        <f ca="1">mult_opex * var_mcf*F69</f>
        <v>0</v>
      </c>
      <c r="AD69" s="72">
        <f ca="1">mult_opex * var_bw * G69</f>
        <v>135.15935763304392</v>
      </c>
      <c r="AE69" s="72">
        <f ca="1">SUM(AB69:AD69)*WI_current_2</f>
        <v>0</v>
      </c>
      <c r="AF69" s="73">
        <f ca="1">mult_capex * IFERROR(OFFSET(assumptions!$F$39,MATCH(B69,assumptions!$E$39:$E$45,0)-1,0),0)</f>
        <v>0</v>
      </c>
      <c r="AG69" s="75">
        <f ca="1">mult_capex * capex_new*WI_current_2 *'forecast production'!I70</f>
        <v>0</v>
      </c>
      <c r="AH69" s="146">
        <f t="shared" ca="1" si="15"/>
        <v>0</v>
      </c>
      <c r="AI69" s="73">
        <f t="shared" ca="1" si="9"/>
        <v>382.45999972102197</v>
      </c>
      <c r="AJ69" s="72">
        <f t="shared" ca="1" si="10"/>
        <v>171.70345094175605</v>
      </c>
      <c r="AK69" s="72">
        <f t="shared" ca="1" si="16"/>
        <v>554.16345066277802</v>
      </c>
      <c r="AL69" s="73">
        <f t="shared" ca="1" si="11"/>
        <v>6313.974587007463</v>
      </c>
      <c r="AM69" s="321">
        <f ca="1">'monthly calculations (1)'!AM69</f>
        <v>1</v>
      </c>
      <c r="AN69" s="73">
        <f t="shared" ca="1" si="17"/>
        <v>6313.974587007463</v>
      </c>
      <c r="AO69" s="75">
        <f t="shared" ca="1" si="19"/>
        <v>635677.5672355626</v>
      </c>
      <c r="AP69" s="72">
        <f ca="1">AL69  /  ( 1 + disc_1/12)^(COUNT($AL$6:AL69)-1)</f>
        <v>3743.1997281233294</v>
      </c>
      <c r="AQ69" s="72">
        <f t="shared" ca="1" si="20"/>
        <v>516339.81998001592</v>
      </c>
      <c r="AS69" s="303"/>
      <c r="AT69" s="300"/>
      <c r="AU69" s="297"/>
      <c r="AV69" s="303"/>
    </row>
    <row r="70" spans="2:48" x14ac:dyDescent="0.25">
      <c r="B70" s="43">
        <f t="shared" si="18"/>
        <v>46143</v>
      </c>
      <c r="C70" s="79">
        <f t="shared" si="12"/>
        <v>2026</v>
      </c>
      <c r="D70" s="64">
        <f ca="1">wellcount_base  +  SUM('forecast production'!I$7:I71)</f>
        <v>1</v>
      </c>
      <c r="E70" s="110">
        <f ca="1">'forecast production'!AE71</f>
        <v>356.55199154012075</v>
      </c>
      <c r="F70" s="98">
        <f ca="1">'forecast production'!AF71</f>
        <v>1863.2189893626114</v>
      </c>
      <c r="G70" s="98">
        <f ca="1">'forecast production'!AG71</f>
        <v>67.439974369812774</v>
      </c>
      <c r="H70" s="98">
        <f ca="1">'forecast production'!AH71</f>
        <v>279.48284840439175</v>
      </c>
      <c r="I70" s="307">
        <f ca="1">IF('monthly calculations (1)'!AV69,WI_2_APO, WI_2)</f>
        <v>0</v>
      </c>
      <c r="J70" s="306">
        <f ca="1">IF('monthly calculations (1)'!AV69,NRI_2_APO, NRI_2)</f>
        <v>0.25</v>
      </c>
      <c r="K70" s="112">
        <f t="shared" ref="K70:K133" ca="1" si="21">E70*NRI_current</f>
        <v>89.137997885030188</v>
      </c>
      <c r="L70" s="98">
        <f t="shared" ref="L70:L133" ca="1" si="22">F70 * NRI_current * ( 1-shrink_ngl-shrink_leaseuse) - vol_leaseuse</f>
        <v>349.35356050548967</v>
      </c>
      <c r="M70" s="98">
        <f t="shared" ref="M70:M133" ca="1" si="23">G70*NRI_current</f>
        <v>16.859993592453193</v>
      </c>
      <c r="N70" s="98">
        <f t="shared" ref="N70:N133" ca="1" si="24">H70 * NRI_current</f>
        <v>69.870712101097936</v>
      </c>
      <c r="O70" s="67">
        <f>assumptions!M74</f>
        <v>55</v>
      </c>
      <c r="P70" s="68">
        <f>assumptions!N74</f>
        <v>3</v>
      </c>
      <c r="Q70" s="68">
        <f>assumptions!O74</f>
        <v>22</v>
      </c>
      <c r="R70" s="67">
        <f t="shared" ref="R70:R133" si="25" xml:space="preserve"> (O70*mult_oilprice )  *  (1+  pdiff_oil)   + diff_oil</f>
        <v>52.5</v>
      </c>
      <c r="S70" s="68">
        <f t="shared" ref="S70:S133" si="26">(  (P70*mult_gasprice )  * (1+   pdiff_gas)  +  diff_gas ) *  energy_residue/1000</f>
        <v>2.3275000000000001</v>
      </c>
      <c r="T70" s="68">
        <f t="shared" ref="T70:T133" si="27">mult_oilprice * (1+pdiff_ngl)*O70</f>
        <v>22</v>
      </c>
      <c r="U70" s="73">
        <f t="shared" ca="1" si="13"/>
        <v>4679.7448889640846</v>
      </c>
      <c r="V70" s="72">
        <f t="shared" ca="1" si="13"/>
        <v>813.12041207652726</v>
      </c>
      <c r="W70" s="72">
        <f t="shared" ref="W70:W133" ca="1" si="28">N70*T70</f>
        <v>1537.1556662241546</v>
      </c>
      <c r="X70" s="72">
        <f t="shared" ca="1" si="14"/>
        <v>7030.0209672647661</v>
      </c>
      <c r="Y70" s="73">
        <f>mult_opex * fixed_month</f>
        <v>1000</v>
      </c>
      <c r="Z70" s="72">
        <f ca="1">mult_opex * fixed_well *D70</f>
        <v>5000</v>
      </c>
      <c r="AA70" s="72">
        <f ca="1">(Z70+Y70)*WI_current_2</f>
        <v>0</v>
      </c>
      <c r="AB70" s="72">
        <f ca="1">mult_opex * var_bo*E70</f>
        <v>0</v>
      </c>
      <c r="AC70" s="72">
        <f ca="1">mult_opex * var_mcf*F70</f>
        <v>0</v>
      </c>
      <c r="AD70" s="72">
        <f ca="1">mult_opex * var_bw * G70</f>
        <v>134.87994873962555</v>
      </c>
      <c r="AE70" s="72">
        <f ca="1">SUM(AB70:AD70)*WI_current_2</f>
        <v>0</v>
      </c>
      <c r="AF70" s="73">
        <f ca="1">mult_capex * IFERROR(OFFSET(assumptions!$F$39,MATCH(B70,assumptions!$E$39:$E$45,0)-1,0),0)</f>
        <v>0</v>
      </c>
      <c r="AG70" s="75">
        <f ca="1">mult_capex * capex_new*WI_current_2 *'forecast production'!I71</f>
        <v>0</v>
      </c>
      <c r="AH70" s="146">
        <f t="shared" ca="1" si="15"/>
        <v>0</v>
      </c>
      <c r="AI70" s="73">
        <f t="shared" ref="AI70:AI133" ca="1" si="29">U70*sev_oil   +  V70*sev_gas  +  W70*sev_ngl</f>
        <v>391.53897076489898</v>
      </c>
      <c r="AJ70" s="72">
        <f t="shared" ref="AJ70:AJ133" ca="1" si="30">adval * X70</f>
        <v>175.75052418161917</v>
      </c>
      <c r="AK70" s="72">
        <f t="shared" ca="1" si="16"/>
        <v>567.28949494651818</v>
      </c>
      <c r="AL70" s="73">
        <f t="shared" ref="AL70:AL133" ca="1" si="31">X70-AE70-AH70-AK70-AA70</f>
        <v>6462.7314723182481</v>
      </c>
      <c r="AM70" s="321">
        <f ca="1">'monthly calculations (1)'!AM70</f>
        <v>1</v>
      </c>
      <c r="AN70" s="73">
        <f t="shared" ca="1" si="17"/>
        <v>6462.7314723182481</v>
      </c>
      <c r="AO70" s="75">
        <f t="shared" ca="1" si="19"/>
        <v>642140.29870788089</v>
      </c>
      <c r="AP70" s="72">
        <f ca="1">AL70  /  ( 1 + disc_1/12)^(COUNT($AL$6:AL70)-1)</f>
        <v>3799.7249282874222</v>
      </c>
      <c r="AQ70" s="72">
        <f t="shared" ca="1" si="20"/>
        <v>520139.54490830336</v>
      </c>
      <c r="AS70" s="303"/>
      <c r="AT70" s="300"/>
      <c r="AU70" s="297"/>
      <c r="AV70" s="303"/>
    </row>
    <row r="71" spans="2:48" x14ac:dyDescent="0.25">
      <c r="B71" s="43">
        <f t="shared" si="18"/>
        <v>46174</v>
      </c>
      <c r="C71" s="79">
        <f t="shared" ref="C71:C134" si="32">YEAR(B71)</f>
        <v>2026</v>
      </c>
      <c r="D71" s="64">
        <f ca="1">wellcount_base  +  SUM('forecast production'!I$7:I72)</f>
        <v>1</v>
      </c>
      <c r="E71" s="110">
        <f ca="1">'forecast production'!AE72</f>
        <v>341.55003511231195</v>
      </c>
      <c r="F71" s="98">
        <f ca="1">'forecast production'!AF72</f>
        <v>1787.393086476073</v>
      </c>
      <c r="G71" s="98">
        <f ca="1">'forecast production'!AG72</f>
        <v>62.955825691278456</v>
      </c>
      <c r="H71" s="98">
        <f ca="1">'forecast production'!AH72</f>
        <v>268.10896297141096</v>
      </c>
      <c r="I71" s="307">
        <f ca="1">IF('monthly calculations (1)'!AV70,WI_2_APO, WI_2)</f>
        <v>0</v>
      </c>
      <c r="J71" s="306">
        <f ca="1">IF('monthly calculations (1)'!AV70,NRI_2_APO, NRI_2)</f>
        <v>0.25</v>
      </c>
      <c r="K71" s="112">
        <f t="shared" ca="1" si="21"/>
        <v>85.387508778077986</v>
      </c>
      <c r="L71" s="98">
        <f t="shared" ca="1" si="22"/>
        <v>335.13620371426367</v>
      </c>
      <c r="M71" s="98">
        <f t="shared" ca="1" si="23"/>
        <v>15.738956422819614</v>
      </c>
      <c r="N71" s="98">
        <f t="shared" ca="1" si="24"/>
        <v>67.02724074285274</v>
      </c>
      <c r="O71" s="67">
        <f>assumptions!M75</f>
        <v>55</v>
      </c>
      <c r="P71" s="68">
        <f>assumptions!N75</f>
        <v>3</v>
      </c>
      <c r="Q71" s="68">
        <f>assumptions!O75</f>
        <v>22</v>
      </c>
      <c r="R71" s="67">
        <f t="shared" si="25"/>
        <v>52.5</v>
      </c>
      <c r="S71" s="68">
        <f t="shared" si="26"/>
        <v>2.3275000000000001</v>
      </c>
      <c r="T71" s="68">
        <f t="shared" si="27"/>
        <v>22</v>
      </c>
      <c r="U71" s="73">
        <f t="shared" ref="U71:V134" ca="1" si="33">K71*R71</f>
        <v>4482.8442108490945</v>
      </c>
      <c r="V71" s="72">
        <f t="shared" ca="1" si="33"/>
        <v>780.02951414494873</v>
      </c>
      <c r="W71" s="72">
        <f t="shared" ca="1" si="28"/>
        <v>1474.5992963427602</v>
      </c>
      <c r="X71" s="72">
        <f t="shared" ref="X71:X134" ca="1" si="34">SUM(U71:W71)</f>
        <v>6737.4730213368039</v>
      </c>
      <c r="Y71" s="73">
        <f>mult_opex * fixed_month</f>
        <v>1000</v>
      </c>
      <c r="Z71" s="72">
        <f ca="1">mult_opex * fixed_well *D71</f>
        <v>5000</v>
      </c>
      <c r="AA71" s="72">
        <f ca="1">(Z71+Y71)*WI_current_2</f>
        <v>0</v>
      </c>
      <c r="AB71" s="72">
        <f ca="1">mult_opex * var_bo*E71</f>
        <v>0</v>
      </c>
      <c r="AC71" s="72">
        <f ca="1">mult_opex * var_mcf*F71</f>
        <v>0</v>
      </c>
      <c r="AD71" s="72">
        <f ca="1">mult_opex * var_bw * G71</f>
        <v>125.91165138255691</v>
      </c>
      <c r="AE71" s="72">
        <f ca="1">SUM(AB71:AD71)*WI_current_2</f>
        <v>0</v>
      </c>
      <c r="AF71" s="73">
        <f ca="1">mult_capex * IFERROR(OFFSET(assumptions!$F$39,MATCH(B71,assumptions!$E$39:$E$45,0)-1,0),0)</f>
        <v>0</v>
      </c>
      <c r="AG71" s="75">
        <f ca="1">mult_capex * capex_new*WI_current_2 *'forecast production'!I72</f>
        <v>0</v>
      </c>
      <c r="AH71" s="146">
        <f t="shared" ref="AH71:AH134" ca="1" si="35">AG71+AF71</f>
        <v>0</v>
      </c>
      <c r="AI71" s="73">
        <f t="shared" ca="1" si="29"/>
        <v>375.30799448563653</v>
      </c>
      <c r="AJ71" s="72">
        <f t="shared" ca="1" si="30"/>
        <v>168.43682553342012</v>
      </c>
      <c r="AK71" s="72">
        <f t="shared" ref="AK71:AK134" ca="1" si="36">SUM(AI71:AJ71)</f>
        <v>543.74482001905665</v>
      </c>
      <c r="AL71" s="73">
        <f t="shared" ca="1" si="31"/>
        <v>6193.7282013177473</v>
      </c>
      <c r="AM71" s="321">
        <f ca="1">'monthly calculations (1)'!AM71</f>
        <v>1</v>
      </c>
      <c r="AN71" s="73">
        <f t="shared" ref="AN71:AN134" ca="1" si="37">AL71*AM71</f>
        <v>6193.7282013177473</v>
      </c>
      <c r="AO71" s="75">
        <f t="shared" ca="1" si="19"/>
        <v>648334.02690919861</v>
      </c>
      <c r="AP71" s="72">
        <f ca="1">AL71  /  ( 1 + disc_1/12)^(COUNT($AL$6:AL71)-1)</f>
        <v>3611.4704514118071</v>
      </c>
      <c r="AQ71" s="72">
        <f t="shared" ca="1" si="20"/>
        <v>523751.01535971515</v>
      </c>
      <c r="AS71" s="303"/>
      <c r="AT71" s="300"/>
      <c r="AU71" s="297"/>
      <c r="AV71" s="303"/>
    </row>
    <row r="72" spans="2:48" x14ac:dyDescent="0.25">
      <c r="B72" s="43">
        <f t="shared" ref="B72:B135" si="38">EOMONTH(B71,0)+1</f>
        <v>46204</v>
      </c>
      <c r="C72" s="79">
        <f t="shared" si="32"/>
        <v>2026</v>
      </c>
      <c r="D72" s="64">
        <f ca="1">wellcount_base  +  SUM('forecast production'!I$7:I73)</f>
        <v>1</v>
      </c>
      <c r="E72" s="110">
        <f ca="1">'forecast production'!AE73</f>
        <v>349.50394781230239</v>
      </c>
      <c r="F72" s="98">
        <f ca="1">'forecast production'!AF73</f>
        <v>1831.5182858304738</v>
      </c>
      <c r="G72" s="98">
        <f ca="1">'forecast production'!AG73</f>
        <v>62.826455818738864</v>
      </c>
      <c r="H72" s="98">
        <f ca="1">'forecast production'!AH73</f>
        <v>274.72774287457105</v>
      </c>
      <c r="I72" s="307">
        <f ca="1">IF('monthly calculations (1)'!AV71,WI_2_APO, WI_2)</f>
        <v>0</v>
      </c>
      <c r="J72" s="306">
        <f ca="1">IF('monthly calculations (1)'!AV71,NRI_2_APO, NRI_2)</f>
        <v>0.25</v>
      </c>
      <c r="K72" s="112">
        <f t="shared" ca="1" si="21"/>
        <v>87.375986953075596</v>
      </c>
      <c r="L72" s="98">
        <f t="shared" ca="1" si="22"/>
        <v>343.40967859321381</v>
      </c>
      <c r="M72" s="98">
        <f t="shared" ca="1" si="23"/>
        <v>15.706613954684716</v>
      </c>
      <c r="N72" s="98">
        <f t="shared" ca="1" si="24"/>
        <v>68.681935718642762</v>
      </c>
      <c r="O72" s="67">
        <f>assumptions!M76</f>
        <v>55</v>
      </c>
      <c r="P72" s="68">
        <f>assumptions!N76</f>
        <v>3</v>
      </c>
      <c r="Q72" s="68">
        <f>assumptions!O76</f>
        <v>22</v>
      </c>
      <c r="R72" s="67">
        <f t="shared" si="25"/>
        <v>52.5</v>
      </c>
      <c r="S72" s="68">
        <f t="shared" si="26"/>
        <v>2.3275000000000001</v>
      </c>
      <c r="T72" s="68">
        <f t="shared" si="27"/>
        <v>22</v>
      </c>
      <c r="U72" s="73">
        <f t="shared" ca="1" si="33"/>
        <v>4587.2393150364687</v>
      </c>
      <c r="V72" s="72">
        <f t="shared" ca="1" si="33"/>
        <v>799.28602692570519</v>
      </c>
      <c r="W72" s="72">
        <f t="shared" ca="1" si="28"/>
        <v>1511.0025858101408</v>
      </c>
      <c r="X72" s="72">
        <f t="shared" ca="1" si="34"/>
        <v>6897.5279277723148</v>
      </c>
      <c r="Y72" s="73">
        <f>mult_opex * fixed_month</f>
        <v>1000</v>
      </c>
      <c r="Z72" s="72">
        <f ca="1">mult_opex * fixed_well *D72</f>
        <v>5000</v>
      </c>
      <c r="AA72" s="72">
        <f ca="1">(Z72+Y72)*WI_current_2</f>
        <v>0</v>
      </c>
      <c r="AB72" s="72">
        <f ca="1">mult_opex * var_bo*E72</f>
        <v>0</v>
      </c>
      <c r="AC72" s="72">
        <f ca="1">mult_opex * var_mcf*F72</f>
        <v>0</v>
      </c>
      <c r="AD72" s="72">
        <f ca="1">mult_opex * var_bw * G72</f>
        <v>125.65291163747773</v>
      </c>
      <c r="AE72" s="72">
        <f ca="1">SUM(AB72:AD72)*WI_current_2</f>
        <v>0</v>
      </c>
      <c r="AF72" s="73">
        <f ca="1">mult_capex * IFERROR(OFFSET(assumptions!$F$39,MATCH(B72,assumptions!$E$39:$E$45,0)-1,0),0)</f>
        <v>0</v>
      </c>
      <c r="AG72" s="75">
        <f ca="1">mult_capex * capex_new*WI_current_2 *'forecast production'!I73</f>
        <v>0</v>
      </c>
      <c r="AH72" s="146">
        <f t="shared" ca="1" si="35"/>
        <v>0</v>
      </c>
      <c r="AI72" s="73">
        <f t="shared" ca="1" si="29"/>
        <v>384.28465444686606</v>
      </c>
      <c r="AJ72" s="72">
        <f t="shared" ca="1" si="30"/>
        <v>172.43819819430789</v>
      </c>
      <c r="AK72" s="72">
        <f t="shared" ca="1" si="36"/>
        <v>556.72285264117397</v>
      </c>
      <c r="AL72" s="73">
        <f t="shared" ca="1" si="31"/>
        <v>6340.8050751311412</v>
      </c>
      <c r="AM72" s="321">
        <f ca="1">'monthly calculations (1)'!AM72</f>
        <v>1</v>
      </c>
      <c r="AN72" s="73">
        <f t="shared" ca="1" si="37"/>
        <v>6340.8050751311412</v>
      </c>
      <c r="AO72" s="75">
        <f t="shared" ref="AO72:AO135" ca="1" si="39">AO71+AN72</f>
        <v>654674.83198432974</v>
      </c>
      <c r="AP72" s="72">
        <f ca="1">AL72  /  ( 1 + disc_1/12)^(COUNT($AL$6:AL72)-1)</f>
        <v>3666.6731711427656</v>
      </c>
      <c r="AQ72" s="72">
        <f t="shared" ref="AQ72:AQ135" ca="1" si="40">AQ71+AP72*AM72</f>
        <v>527417.68853085791</v>
      </c>
      <c r="AS72" s="303"/>
      <c r="AT72" s="300"/>
      <c r="AU72" s="297"/>
      <c r="AV72" s="303"/>
    </row>
    <row r="73" spans="2:48" x14ac:dyDescent="0.25">
      <c r="B73" s="43">
        <f t="shared" si="38"/>
        <v>46235</v>
      </c>
      <c r="C73" s="79">
        <f t="shared" si="32"/>
        <v>2026</v>
      </c>
      <c r="D73" s="64">
        <f ca="1">wellcount_base  +  SUM('forecast production'!I$7:I74)</f>
        <v>1</v>
      </c>
      <c r="E73" s="110">
        <f ca="1">'forecast production'!AE74</f>
        <v>346.02787656164611</v>
      </c>
      <c r="F73" s="98">
        <f ca="1">'forecast production'!AF74</f>
        <v>1815.8179420955526</v>
      </c>
      <c r="G73" s="98">
        <f ca="1">'forecast production'!AG74</f>
        <v>60.604806361408052</v>
      </c>
      <c r="H73" s="98">
        <f ca="1">'forecast production'!AH74</f>
        <v>272.37269131433288</v>
      </c>
      <c r="I73" s="307">
        <f ca="1">IF('monthly calculations (1)'!AV72,WI_2_APO, WI_2)</f>
        <v>0</v>
      </c>
      <c r="J73" s="306">
        <f ca="1">IF('monthly calculations (1)'!AV72,NRI_2_APO, NRI_2)</f>
        <v>0.25</v>
      </c>
      <c r="K73" s="112">
        <f t="shared" ca="1" si="21"/>
        <v>86.506969140411528</v>
      </c>
      <c r="L73" s="98">
        <f t="shared" ca="1" si="22"/>
        <v>340.46586414291608</v>
      </c>
      <c r="M73" s="98">
        <f t="shared" ca="1" si="23"/>
        <v>15.151201590352013</v>
      </c>
      <c r="N73" s="98">
        <f t="shared" ca="1" si="24"/>
        <v>68.093172828583221</v>
      </c>
      <c r="O73" s="67">
        <f>assumptions!M77</f>
        <v>55</v>
      </c>
      <c r="P73" s="68">
        <f>assumptions!N77</f>
        <v>3</v>
      </c>
      <c r="Q73" s="68">
        <f>assumptions!O77</f>
        <v>22</v>
      </c>
      <c r="R73" s="67">
        <f t="shared" si="25"/>
        <v>52.5</v>
      </c>
      <c r="S73" s="68">
        <f t="shared" si="26"/>
        <v>2.3275000000000001</v>
      </c>
      <c r="T73" s="68">
        <f t="shared" si="27"/>
        <v>22</v>
      </c>
      <c r="U73" s="73">
        <f t="shared" ca="1" si="33"/>
        <v>4541.6158798716051</v>
      </c>
      <c r="V73" s="72">
        <f t="shared" ca="1" si="33"/>
        <v>792.43429879263726</v>
      </c>
      <c r="W73" s="72">
        <f t="shared" ca="1" si="28"/>
        <v>1498.0498022288309</v>
      </c>
      <c r="X73" s="72">
        <f t="shared" ca="1" si="34"/>
        <v>6832.0999808930737</v>
      </c>
      <c r="Y73" s="73">
        <f>mult_opex * fixed_month</f>
        <v>1000</v>
      </c>
      <c r="Z73" s="72">
        <f ca="1">mult_opex * fixed_well *D73</f>
        <v>5000</v>
      </c>
      <c r="AA73" s="72">
        <f ca="1">(Z73+Y73)*WI_current_2</f>
        <v>0</v>
      </c>
      <c r="AB73" s="72">
        <f ca="1">mult_opex * var_bo*E73</f>
        <v>0</v>
      </c>
      <c r="AC73" s="72">
        <f ca="1">mult_opex * var_mcf*F73</f>
        <v>0</v>
      </c>
      <c r="AD73" s="72">
        <f ca="1">mult_opex * var_bw * G73</f>
        <v>121.2096127228161</v>
      </c>
      <c r="AE73" s="72">
        <f ca="1">SUM(AB73:AD73)*WI_current_2</f>
        <v>0</v>
      </c>
      <c r="AF73" s="73">
        <f ca="1">mult_capex * IFERROR(OFFSET(assumptions!$F$39,MATCH(B73,assumptions!$E$39:$E$45,0)-1,0),0)</f>
        <v>0</v>
      </c>
      <c r="AG73" s="75">
        <f ca="1">mult_capex * capex_new*WI_current_2 *'forecast production'!I74</f>
        <v>0</v>
      </c>
      <c r="AH73" s="146">
        <f t="shared" ca="1" si="35"/>
        <v>0</v>
      </c>
      <c r="AI73" s="73">
        <f t="shared" ca="1" si="29"/>
        <v>380.70063805070396</v>
      </c>
      <c r="AJ73" s="72">
        <f t="shared" ca="1" si="30"/>
        <v>170.80249952232685</v>
      </c>
      <c r="AK73" s="72">
        <f t="shared" ca="1" si="36"/>
        <v>551.50313757303081</v>
      </c>
      <c r="AL73" s="73">
        <f t="shared" ca="1" si="31"/>
        <v>6280.5968433200433</v>
      </c>
      <c r="AM73" s="321">
        <f ca="1">'monthly calculations (1)'!AM73</f>
        <v>1</v>
      </c>
      <c r="AN73" s="73">
        <f t="shared" ca="1" si="37"/>
        <v>6280.5968433200433</v>
      </c>
      <c r="AO73" s="75">
        <f t="shared" ca="1" si="39"/>
        <v>660955.4288276498</v>
      </c>
      <c r="AP73" s="72">
        <f ca="1">AL73  /  ( 1 + disc_1/12)^(COUNT($AL$6:AL73)-1)</f>
        <v>3601.8414411846884</v>
      </c>
      <c r="AQ73" s="72">
        <f t="shared" ca="1" si="40"/>
        <v>531019.52997204254</v>
      </c>
      <c r="AS73" s="303"/>
      <c r="AT73" s="300"/>
      <c r="AU73" s="297"/>
      <c r="AV73" s="303"/>
    </row>
    <row r="74" spans="2:48" x14ac:dyDescent="0.25">
      <c r="B74" s="43">
        <f t="shared" si="38"/>
        <v>46266</v>
      </c>
      <c r="C74" s="79">
        <f t="shared" si="32"/>
        <v>2026</v>
      </c>
      <c r="D74" s="64">
        <f ca="1">wellcount_base  +  SUM('forecast production'!I$7:I75)</f>
        <v>1</v>
      </c>
      <c r="E74" s="110">
        <f ca="1">'forecast production'!AE75</f>
        <v>331.56800178767514</v>
      </c>
      <c r="F74" s="98">
        <f ca="1">'forecast production'!AF75</f>
        <v>1742.3075680226725</v>
      </c>
      <c r="G74" s="98">
        <f ca="1">'forecast production'!AG75</f>
        <v>56.576222888407784</v>
      </c>
      <c r="H74" s="98">
        <f ca="1">'forecast production'!AH75</f>
        <v>261.34613520340093</v>
      </c>
      <c r="I74" s="307">
        <f ca="1">IF('monthly calculations (1)'!AV73,WI_2_APO, WI_2)</f>
        <v>0</v>
      </c>
      <c r="J74" s="306">
        <f ca="1">IF('monthly calculations (1)'!AV73,NRI_2_APO, NRI_2)</f>
        <v>0.25</v>
      </c>
      <c r="K74" s="112">
        <f t="shared" ca="1" si="21"/>
        <v>82.892000446918786</v>
      </c>
      <c r="L74" s="98">
        <f t="shared" ca="1" si="22"/>
        <v>326.68266900425112</v>
      </c>
      <c r="M74" s="98">
        <f t="shared" ca="1" si="23"/>
        <v>14.144055722101946</v>
      </c>
      <c r="N74" s="98">
        <f t="shared" ca="1" si="24"/>
        <v>65.336533800850233</v>
      </c>
      <c r="O74" s="67">
        <f>assumptions!M78</f>
        <v>55</v>
      </c>
      <c r="P74" s="68">
        <f>assumptions!N78</f>
        <v>3</v>
      </c>
      <c r="Q74" s="68">
        <f>assumptions!O78</f>
        <v>22</v>
      </c>
      <c r="R74" s="67">
        <f t="shared" si="25"/>
        <v>52.5</v>
      </c>
      <c r="S74" s="68">
        <f t="shared" si="26"/>
        <v>2.3275000000000001</v>
      </c>
      <c r="T74" s="68">
        <f t="shared" si="27"/>
        <v>22</v>
      </c>
      <c r="U74" s="73">
        <f t="shared" ca="1" si="33"/>
        <v>4351.8300234632361</v>
      </c>
      <c r="V74" s="72">
        <f t="shared" ca="1" si="33"/>
        <v>760.35391210739454</v>
      </c>
      <c r="W74" s="72">
        <f t="shared" ca="1" si="28"/>
        <v>1437.4037436187052</v>
      </c>
      <c r="X74" s="72">
        <f t="shared" ca="1" si="34"/>
        <v>6549.5876791893361</v>
      </c>
      <c r="Y74" s="73">
        <f>mult_opex * fixed_month</f>
        <v>1000</v>
      </c>
      <c r="Z74" s="72">
        <f ca="1">mult_opex * fixed_well *D74</f>
        <v>5000</v>
      </c>
      <c r="AA74" s="72">
        <f ca="1">(Z74+Y74)*WI_current_2</f>
        <v>0</v>
      </c>
      <c r="AB74" s="72">
        <f ca="1">mult_opex * var_bo*E74</f>
        <v>0</v>
      </c>
      <c r="AC74" s="72">
        <f ca="1">mult_opex * var_mcf*F74</f>
        <v>0</v>
      </c>
      <c r="AD74" s="72">
        <f ca="1">mult_opex * var_bw * G74</f>
        <v>113.15244577681557</v>
      </c>
      <c r="AE74" s="72">
        <f ca="1">SUM(AB74:AD74)*WI_current_2</f>
        <v>0</v>
      </c>
      <c r="AF74" s="73">
        <f ca="1">mult_capex * IFERROR(OFFSET(assumptions!$F$39,MATCH(B74,assumptions!$E$39:$E$45,0)-1,0),0)</f>
        <v>0</v>
      </c>
      <c r="AG74" s="75">
        <f ca="1">mult_capex * capex_new*WI_current_2 *'forecast production'!I75</f>
        <v>0</v>
      </c>
      <c r="AH74" s="146">
        <f t="shared" ca="1" si="35"/>
        <v>0</v>
      </c>
      <c r="AI74" s="73">
        <f t="shared" ca="1" si="29"/>
        <v>365.01600525876631</v>
      </c>
      <c r="AJ74" s="72">
        <f t="shared" ca="1" si="30"/>
        <v>163.73969197973341</v>
      </c>
      <c r="AK74" s="72">
        <f t="shared" ca="1" si="36"/>
        <v>528.75569723849969</v>
      </c>
      <c r="AL74" s="73">
        <f t="shared" ca="1" si="31"/>
        <v>6020.8319819508361</v>
      </c>
      <c r="AM74" s="321">
        <f ca="1">'monthly calculations (1)'!AM74</f>
        <v>1</v>
      </c>
      <c r="AN74" s="73">
        <f t="shared" ca="1" si="37"/>
        <v>6020.8319819508361</v>
      </c>
      <c r="AO74" s="75">
        <f t="shared" ca="1" si="39"/>
        <v>666976.26080960059</v>
      </c>
      <c r="AP74" s="72">
        <f ca="1">AL74  /  ( 1 + disc_1/12)^(COUNT($AL$6:AL74)-1)</f>
        <v>3424.3335243706051</v>
      </c>
      <c r="AQ74" s="72">
        <f t="shared" ca="1" si="40"/>
        <v>534443.86349641311</v>
      </c>
      <c r="AS74" s="303"/>
      <c r="AT74" s="300"/>
      <c r="AU74" s="297"/>
      <c r="AV74" s="303"/>
    </row>
    <row r="75" spans="2:48" x14ac:dyDescent="0.25">
      <c r="B75" s="43">
        <f t="shared" si="38"/>
        <v>46296</v>
      </c>
      <c r="C75" s="79">
        <f t="shared" si="32"/>
        <v>2026</v>
      </c>
      <c r="D75" s="64">
        <f ca="1">wellcount_base  +  SUM('forecast production'!I$7:I76)</f>
        <v>1</v>
      </c>
      <c r="E75" s="110">
        <f ca="1">'forecast production'!AE76</f>
        <v>339.38588227109619</v>
      </c>
      <c r="F75" s="98">
        <f ca="1">'forecast production'!AF76</f>
        <v>1785.6966411899234</v>
      </c>
      <c r="G75" s="98">
        <f ca="1">'forecast production'!AG76</f>
        <v>56.461013354019634</v>
      </c>
      <c r="H75" s="98">
        <f ca="1">'forecast production'!AH76</f>
        <v>267.85449617848855</v>
      </c>
      <c r="I75" s="307">
        <f ca="1">IF('monthly calculations (1)'!AV74,WI_2_APO, WI_2)</f>
        <v>0</v>
      </c>
      <c r="J75" s="306">
        <f ca="1">IF('monthly calculations (1)'!AV74,NRI_2_APO, NRI_2)</f>
        <v>0.25</v>
      </c>
      <c r="K75" s="112">
        <f t="shared" ca="1" si="21"/>
        <v>84.846470567774048</v>
      </c>
      <c r="L75" s="98">
        <f t="shared" ca="1" si="22"/>
        <v>334.81812022311067</v>
      </c>
      <c r="M75" s="98">
        <f t="shared" ca="1" si="23"/>
        <v>14.115253338504909</v>
      </c>
      <c r="N75" s="98">
        <f t="shared" ca="1" si="24"/>
        <v>66.963624044622136</v>
      </c>
      <c r="O75" s="67">
        <f>assumptions!M79</f>
        <v>55</v>
      </c>
      <c r="P75" s="68">
        <f>assumptions!N79</f>
        <v>3</v>
      </c>
      <c r="Q75" s="68">
        <f>assumptions!O79</f>
        <v>22</v>
      </c>
      <c r="R75" s="67">
        <f t="shared" si="25"/>
        <v>52.5</v>
      </c>
      <c r="S75" s="68">
        <f t="shared" si="26"/>
        <v>2.3275000000000001</v>
      </c>
      <c r="T75" s="68">
        <f t="shared" si="27"/>
        <v>22</v>
      </c>
      <c r="U75" s="73">
        <f t="shared" ca="1" si="33"/>
        <v>4454.4397048081373</v>
      </c>
      <c r="V75" s="72">
        <f t="shared" ca="1" si="33"/>
        <v>779.28917481929011</v>
      </c>
      <c r="W75" s="72">
        <f t="shared" ca="1" si="28"/>
        <v>1473.199728981687</v>
      </c>
      <c r="X75" s="72">
        <f t="shared" ca="1" si="34"/>
        <v>6706.9286086091151</v>
      </c>
      <c r="Y75" s="73">
        <f>mult_opex * fixed_month</f>
        <v>1000</v>
      </c>
      <c r="Z75" s="72">
        <f ca="1">mult_opex * fixed_well *D75</f>
        <v>5000</v>
      </c>
      <c r="AA75" s="72">
        <f ca="1">(Z75+Y75)*WI_current_2</f>
        <v>0</v>
      </c>
      <c r="AB75" s="72">
        <f ca="1">mult_opex * var_bo*E75</f>
        <v>0</v>
      </c>
      <c r="AC75" s="72">
        <f ca="1">mult_opex * var_mcf*F75</f>
        <v>0</v>
      </c>
      <c r="AD75" s="72">
        <f ca="1">mult_opex * var_bw * G75</f>
        <v>112.92202670803927</v>
      </c>
      <c r="AE75" s="72">
        <f ca="1">SUM(AB75:AD75)*WI_current_2</f>
        <v>0</v>
      </c>
      <c r="AF75" s="73">
        <f ca="1">mult_capex * IFERROR(OFFSET(assumptions!$F$39,MATCH(B75,assumptions!$E$39:$E$45,0)-1,0),0)</f>
        <v>0</v>
      </c>
      <c r="AG75" s="75">
        <f ca="1">mult_capex * capex_new*WI_current_2 *'forecast production'!I76</f>
        <v>0</v>
      </c>
      <c r="AH75" s="146">
        <f t="shared" ca="1" si="35"/>
        <v>0</v>
      </c>
      <c r="AI75" s="73">
        <f t="shared" ca="1" si="29"/>
        <v>373.84089420624758</v>
      </c>
      <c r="AJ75" s="72">
        <f t="shared" ca="1" si="30"/>
        <v>167.67321521522788</v>
      </c>
      <c r="AK75" s="72">
        <f t="shared" ca="1" si="36"/>
        <v>541.5141094214755</v>
      </c>
      <c r="AL75" s="73">
        <f t="shared" ca="1" si="31"/>
        <v>6165.4144991876401</v>
      </c>
      <c r="AM75" s="321">
        <f ca="1">'monthly calculations (1)'!AM75</f>
        <v>1</v>
      </c>
      <c r="AN75" s="73">
        <f t="shared" ca="1" si="37"/>
        <v>6165.4144991876401</v>
      </c>
      <c r="AO75" s="75">
        <f t="shared" ca="1" si="39"/>
        <v>673141.6753087882</v>
      </c>
      <c r="AP75" s="72">
        <f ca="1">AL75  /  ( 1 + disc_1/12)^(COUNT($AL$6:AL75)-1)</f>
        <v>3477.5846071529568</v>
      </c>
      <c r="AQ75" s="72">
        <f t="shared" ca="1" si="40"/>
        <v>537921.44810356607</v>
      </c>
      <c r="AS75" s="303"/>
      <c r="AT75" s="300"/>
      <c r="AU75" s="297"/>
      <c r="AV75" s="303"/>
    </row>
    <row r="76" spans="2:48" x14ac:dyDescent="0.25">
      <c r="B76" s="43">
        <f t="shared" si="38"/>
        <v>46327</v>
      </c>
      <c r="C76" s="79">
        <f t="shared" si="32"/>
        <v>2026</v>
      </c>
      <c r="D76" s="64">
        <f ca="1">wellcount_base  +  SUM('forecast production'!I$7:I77)</f>
        <v>1</v>
      </c>
      <c r="E76" s="110">
        <f ca="1">'forecast production'!AE77</f>
        <v>325.26504851799695</v>
      </c>
      <c r="F76" s="98">
        <f ca="1">'forecast production'!AF77</f>
        <v>1713.6472873060425</v>
      </c>
      <c r="G76" s="98">
        <f ca="1">'forecast production'!AG77</f>
        <v>52.708551923508736</v>
      </c>
      <c r="H76" s="98">
        <f ca="1">'forecast production'!AH77</f>
        <v>257.04709309590635</v>
      </c>
      <c r="I76" s="307">
        <f ca="1">IF('monthly calculations (1)'!AV75,WI_2_APO, WI_2)</f>
        <v>0</v>
      </c>
      <c r="J76" s="306">
        <f ca="1">IF('monthly calculations (1)'!AV75,NRI_2_APO, NRI_2)</f>
        <v>0.25</v>
      </c>
      <c r="K76" s="112">
        <f t="shared" ca="1" si="21"/>
        <v>81.316262129499236</v>
      </c>
      <c r="L76" s="98">
        <f t="shared" ca="1" si="22"/>
        <v>321.30886636988294</v>
      </c>
      <c r="M76" s="98">
        <f t="shared" ca="1" si="23"/>
        <v>13.177137980877184</v>
      </c>
      <c r="N76" s="98">
        <f t="shared" ca="1" si="24"/>
        <v>64.261773273976587</v>
      </c>
      <c r="O76" s="67">
        <f>assumptions!M80</f>
        <v>55</v>
      </c>
      <c r="P76" s="68">
        <f>assumptions!N80</f>
        <v>3</v>
      </c>
      <c r="Q76" s="68">
        <f>assumptions!O80</f>
        <v>22</v>
      </c>
      <c r="R76" s="67">
        <f t="shared" si="25"/>
        <v>52.5</v>
      </c>
      <c r="S76" s="68">
        <f t="shared" si="26"/>
        <v>2.3275000000000001</v>
      </c>
      <c r="T76" s="68">
        <f t="shared" si="27"/>
        <v>22</v>
      </c>
      <c r="U76" s="73">
        <f t="shared" ca="1" si="33"/>
        <v>4269.1037617987095</v>
      </c>
      <c r="V76" s="72">
        <f t="shared" ca="1" si="33"/>
        <v>747.84638647590259</v>
      </c>
      <c r="W76" s="72">
        <f t="shared" ca="1" si="28"/>
        <v>1413.7590120274849</v>
      </c>
      <c r="X76" s="72">
        <f t="shared" ca="1" si="34"/>
        <v>6430.7091603020963</v>
      </c>
      <c r="Y76" s="73">
        <f>mult_opex * fixed_month</f>
        <v>1000</v>
      </c>
      <c r="Z76" s="72">
        <f ca="1">mult_opex * fixed_well *D76</f>
        <v>5000</v>
      </c>
      <c r="AA76" s="72">
        <f ca="1">(Z76+Y76)*WI_current_2</f>
        <v>0</v>
      </c>
      <c r="AB76" s="72">
        <f ca="1">mult_opex * var_bo*E76</f>
        <v>0</v>
      </c>
      <c r="AC76" s="72">
        <f ca="1">mult_opex * var_mcf*F76</f>
        <v>0</v>
      </c>
      <c r="AD76" s="72">
        <f ca="1">mult_opex * var_bw * G76</f>
        <v>105.41710384701747</v>
      </c>
      <c r="AE76" s="72">
        <f ca="1">SUM(AB76:AD76)*WI_current_2</f>
        <v>0</v>
      </c>
      <c r="AF76" s="73">
        <f ca="1">mult_capex * IFERROR(OFFSET(assumptions!$F$39,MATCH(B76,assumptions!$E$39:$E$45,0)-1,0),0)</f>
        <v>0</v>
      </c>
      <c r="AG76" s="75">
        <f ca="1">mult_capex * capex_new*WI_current_2 *'forecast production'!I77</f>
        <v>0</v>
      </c>
      <c r="AH76" s="146">
        <f t="shared" ca="1" si="35"/>
        <v>0</v>
      </c>
      <c r="AI76" s="73">
        <f t="shared" ca="1" si="29"/>
        <v>358.49917793049468</v>
      </c>
      <c r="AJ76" s="72">
        <f t="shared" ca="1" si="30"/>
        <v>160.76772900755242</v>
      </c>
      <c r="AK76" s="72">
        <f t="shared" ca="1" si="36"/>
        <v>519.2669069380471</v>
      </c>
      <c r="AL76" s="73">
        <f t="shared" ca="1" si="31"/>
        <v>5911.4422533640491</v>
      </c>
      <c r="AM76" s="321">
        <f ca="1">'monthly calculations (1)'!AM76</f>
        <v>1</v>
      </c>
      <c r="AN76" s="73">
        <f t="shared" ca="1" si="37"/>
        <v>5911.4422533640491</v>
      </c>
      <c r="AO76" s="75">
        <f t="shared" ca="1" si="39"/>
        <v>679053.11756215221</v>
      </c>
      <c r="AP76" s="72">
        <f ca="1">AL76  /  ( 1 + disc_1/12)^(COUNT($AL$6:AL76)-1)</f>
        <v>3306.7758152220354</v>
      </c>
      <c r="AQ76" s="72">
        <f t="shared" ca="1" si="40"/>
        <v>541228.22391878814</v>
      </c>
      <c r="AS76" s="303"/>
      <c r="AT76" s="300"/>
      <c r="AU76" s="297"/>
      <c r="AV76" s="303"/>
    </row>
    <row r="77" spans="2:48" x14ac:dyDescent="0.25">
      <c r="B77" s="44">
        <f t="shared" si="38"/>
        <v>46357</v>
      </c>
      <c r="C77" s="100">
        <f t="shared" si="32"/>
        <v>2026</v>
      </c>
      <c r="D77" s="65">
        <f ca="1">wellcount_base  +  SUM('forecast production'!I$7:I78)</f>
        <v>1</v>
      </c>
      <c r="E77" s="109">
        <f ca="1">'forecast production'!AE78</f>
        <v>332.99407146261757</v>
      </c>
      <c r="F77" s="101">
        <f ca="1">'forecast production'!AF78</f>
        <v>1756.5583550521826</v>
      </c>
      <c r="G77" s="101">
        <f ca="1">'forecast production'!AG78</f>
        <v>52.601866823446663</v>
      </c>
      <c r="H77" s="102">
        <f ca="1">'forecast production'!AH78</f>
        <v>263.4837532578274</v>
      </c>
      <c r="I77" s="308">
        <f ca="1">IF('monthly calculations (1)'!AV76,WI_2_APO, WI_2)</f>
        <v>0</v>
      </c>
      <c r="J77" s="309">
        <f ca="1">IF('monthly calculations (1)'!AV76,NRI_2_APO, NRI_2)</f>
        <v>0.25</v>
      </c>
      <c r="K77" s="113">
        <f t="shared" ca="1" si="21"/>
        <v>83.248517865654392</v>
      </c>
      <c r="L77" s="102">
        <f t="shared" ca="1" si="22"/>
        <v>329.35469157228425</v>
      </c>
      <c r="M77" s="102">
        <f t="shared" ca="1" si="23"/>
        <v>13.150466705861666</v>
      </c>
      <c r="N77" s="102">
        <f t="shared" ca="1" si="24"/>
        <v>65.870938314456851</v>
      </c>
      <c r="O77" s="103">
        <f>assumptions!M81</f>
        <v>55</v>
      </c>
      <c r="P77" s="104">
        <f>assumptions!N81</f>
        <v>3</v>
      </c>
      <c r="Q77" s="104">
        <f>assumptions!O81</f>
        <v>22</v>
      </c>
      <c r="R77" s="103">
        <f t="shared" si="25"/>
        <v>52.5</v>
      </c>
      <c r="S77" s="104">
        <f t="shared" si="26"/>
        <v>2.3275000000000001</v>
      </c>
      <c r="T77" s="104">
        <f t="shared" si="27"/>
        <v>22</v>
      </c>
      <c r="U77" s="105">
        <f t="shared" ca="1" si="33"/>
        <v>4370.547187946856</v>
      </c>
      <c r="V77" s="106">
        <f t="shared" ca="1" si="33"/>
        <v>766.57304463449168</v>
      </c>
      <c r="W77" s="106">
        <f t="shared" ca="1" si="28"/>
        <v>1449.1606429180506</v>
      </c>
      <c r="X77" s="106">
        <f t="shared" ca="1" si="34"/>
        <v>6586.2808754993985</v>
      </c>
      <c r="Y77" s="105">
        <f>mult_opex * fixed_month</f>
        <v>1000</v>
      </c>
      <c r="Z77" s="106">
        <f ca="1">mult_opex * fixed_well *D77</f>
        <v>5000</v>
      </c>
      <c r="AA77" s="106">
        <f ca="1">(Z77+Y77)*WI_current_2</f>
        <v>0</v>
      </c>
      <c r="AB77" s="106">
        <f ca="1">mult_opex * var_bo*E77</f>
        <v>0</v>
      </c>
      <c r="AC77" s="106">
        <f ca="1">mult_opex * var_mcf*F77</f>
        <v>0</v>
      </c>
      <c r="AD77" s="106">
        <f ca="1">mult_opex * var_bw * G77</f>
        <v>105.20373364689333</v>
      </c>
      <c r="AE77" s="106">
        <f ca="1">SUM(AB77:AD77)*WI_current_2</f>
        <v>0</v>
      </c>
      <c r="AF77" s="105">
        <f ca="1">mult_capex * IFERROR(OFFSET(assumptions!$F$39,MATCH(B77,assumptions!$E$39:$E$45,0)-1,0),0)</f>
        <v>0</v>
      </c>
      <c r="AG77" s="106">
        <f ca="1">mult_capex * capex_new*WI_current_2 *'forecast production'!I78</f>
        <v>0</v>
      </c>
      <c r="AH77" s="147">
        <f t="shared" ca="1" si="35"/>
        <v>0</v>
      </c>
      <c r="AI77" s="105">
        <f t="shared" ca="1" si="29"/>
        <v>367.22519721199603</v>
      </c>
      <c r="AJ77" s="106">
        <f t="shared" ca="1" si="30"/>
        <v>164.65702188748497</v>
      </c>
      <c r="AK77" s="106">
        <f t="shared" ca="1" si="36"/>
        <v>531.88221909948106</v>
      </c>
      <c r="AL77" s="105">
        <f t="shared" ca="1" si="31"/>
        <v>6054.3986563999169</v>
      </c>
      <c r="AM77" s="322">
        <f ca="1">'monthly calculations (1)'!AM77</f>
        <v>1</v>
      </c>
      <c r="AN77" s="105">
        <f t="shared" ca="1" si="37"/>
        <v>6054.3986563999169</v>
      </c>
      <c r="AO77" s="106">
        <f t="shared" ca="1" si="39"/>
        <v>685107.51621855213</v>
      </c>
      <c r="AP77" s="106">
        <f ca="1">AL77  /  ( 1 + disc_1/12)^(COUNT($AL$6:AL77)-1)</f>
        <v>3358.753955680023</v>
      </c>
      <c r="AQ77" s="106">
        <f t="shared" ca="1" si="40"/>
        <v>544586.9778744682</v>
      </c>
      <c r="AS77" s="304"/>
      <c r="AT77" s="301"/>
      <c r="AU77" s="298"/>
      <c r="AV77" s="304"/>
    </row>
    <row r="78" spans="2:48" x14ac:dyDescent="0.25">
      <c r="B78" s="43">
        <f t="shared" si="38"/>
        <v>46388</v>
      </c>
      <c r="C78" s="79">
        <f t="shared" si="32"/>
        <v>2027</v>
      </c>
      <c r="D78" s="64">
        <f ca="1">wellcount_base  +  SUM('forecast production'!I$7:I79)</f>
        <v>1</v>
      </c>
      <c r="E78" s="110">
        <f ca="1">'forecast production'!AE79</f>
        <v>329.83716591595061</v>
      </c>
      <c r="F78" s="98">
        <f ca="1">'forecast production'!AF79</f>
        <v>1742.1118030898251</v>
      </c>
      <c r="G78" s="98">
        <f ca="1">'forecast production'!AG79</f>
        <v>50.743397671021533</v>
      </c>
      <c r="H78" s="98">
        <f ca="1">'forecast production'!AH79</f>
        <v>261.3167704634738</v>
      </c>
      <c r="I78" s="307">
        <f ca="1">IF('monthly calculations (1)'!AV77,WI_2_APO, WI_2)</f>
        <v>0</v>
      </c>
      <c r="J78" s="306">
        <f ca="1">IF('monthly calculations (1)'!AV77,NRI_2_APO, NRI_2)</f>
        <v>0.25</v>
      </c>
      <c r="K78" s="112">
        <f t="shared" ca="1" si="21"/>
        <v>82.459291478987652</v>
      </c>
      <c r="L78" s="98">
        <f t="shared" ca="1" si="22"/>
        <v>326.64596307934221</v>
      </c>
      <c r="M78" s="98">
        <f t="shared" ca="1" si="23"/>
        <v>12.685849417755383</v>
      </c>
      <c r="N78" s="98">
        <f t="shared" ca="1" si="24"/>
        <v>65.32919261586845</v>
      </c>
      <c r="O78" s="67">
        <f>assumptions!M82</f>
        <v>55</v>
      </c>
      <c r="P78" s="68">
        <f>assumptions!N82</f>
        <v>3</v>
      </c>
      <c r="Q78" s="68">
        <f>assumptions!O82</f>
        <v>22</v>
      </c>
      <c r="R78" s="67">
        <f t="shared" si="25"/>
        <v>52.5</v>
      </c>
      <c r="S78" s="68">
        <f t="shared" si="26"/>
        <v>2.3275000000000001</v>
      </c>
      <c r="T78" s="68">
        <f t="shared" si="27"/>
        <v>22</v>
      </c>
      <c r="U78" s="73">
        <f t="shared" ca="1" si="33"/>
        <v>4329.1128026468514</v>
      </c>
      <c r="V78" s="72">
        <f t="shared" ca="1" si="33"/>
        <v>760.26847906716898</v>
      </c>
      <c r="W78" s="72">
        <f t="shared" ca="1" si="28"/>
        <v>1437.242237549106</v>
      </c>
      <c r="X78" s="72">
        <f t="shared" ca="1" si="34"/>
        <v>6526.6235192631266</v>
      </c>
      <c r="Y78" s="73">
        <f>mult_opex * fixed_month</f>
        <v>1000</v>
      </c>
      <c r="Z78" s="72">
        <f ca="1">mult_opex * fixed_well *D78</f>
        <v>5000</v>
      </c>
      <c r="AA78" s="72">
        <f ca="1">(Z78+Y78)*WI_current_2</f>
        <v>0</v>
      </c>
      <c r="AB78" s="72">
        <f ca="1">mult_opex * var_bo*E78</f>
        <v>0</v>
      </c>
      <c r="AC78" s="72">
        <f ca="1">mult_opex * var_mcf*F78</f>
        <v>0</v>
      </c>
      <c r="AD78" s="72">
        <f ca="1">mult_opex * var_bw * G78</f>
        <v>101.48679534204307</v>
      </c>
      <c r="AE78" s="72">
        <f ca="1">SUM(AB78:AD78)*WI_current_2</f>
        <v>0</v>
      </c>
      <c r="AF78" s="73">
        <f ca="1">mult_capex * IFERROR(OFFSET(assumptions!$F$39,MATCH(B78,assumptions!$E$39:$E$45,0)-1,0),0)</f>
        <v>0</v>
      </c>
      <c r="AG78" s="75">
        <f ca="1">mult_capex * capex_new*WI_current_2 *'forecast production'!I79</f>
        <v>0</v>
      </c>
      <c r="AH78" s="146">
        <f t="shared" ca="1" si="35"/>
        <v>0</v>
      </c>
      <c r="AI78" s="73">
        <f t="shared" ca="1" si="29"/>
        <v>363.95249266797578</v>
      </c>
      <c r="AJ78" s="72">
        <f t="shared" ca="1" si="30"/>
        <v>163.16558798157817</v>
      </c>
      <c r="AK78" s="72">
        <f t="shared" ca="1" si="36"/>
        <v>527.11808064955392</v>
      </c>
      <c r="AL78" s="73">
        <f t="shared" ca="1" si="31"/>
        <v>5999.5054386135726</v>
      </c>
      <c r="AM78" s="321">
        <f ca="1">'monthly calculations (1)'!AM78</f>
        <v>1</v>
      </c>
      <c r="AN78" s="73">
        <f t="shared" ca="1" si="37"/>
        <v>5999.5054386135726</v>
      </c>
      <c r="AO78" s="75">
        <f t="shared" ca="1" si="39"/>
        <v>691107.02165716572</v>
      </c>
      <c r="AP78" s="72">
        <f ca="1">AL78  /  ( 1 + disc_1/12)^(COUNT($AL$6:AL78)-1)</f>
        <v>3300.7946294051808</v>
      </c>
      <c r="AQ78" s="72">
        <f t="shared" ca="1" si="40"/>
        <v>547887.77250387333</v>
      </c>
      <c r="AS78" s="303"/>
      <c r="AT78" s="300"/>
      <c r="AU78" s="297"/>
      <c r="AV78" s="303"/>
    </row>
    <row r="79" spans="2:48" x14ac:dyDescent="0.25">
      <c r="B79" s="43">
        <f t="shared" si="38"/>
        <v>46419</v>
      </c>
      <c r="C79" s="79">
        <f t="shared" si="32"/>
        <v>2027</v>
      </c>
      <c r="D79" s="64">
        <f ca="1">wellcount_base  +  SUM('forecast production'!I$7:I80)</f>
        <v>1</v>
      </c>
      <c r="E79" s="110">
        <f ca="1">'forecast production'!AE80</f>
        <v>295.11959848694585</v>
      </c>
      <c r="F79" s="98">
        <f ca="1">'forecast production'!AF80</f>
        <v>1560.6847197844806</v>
      </c>
      <c r="G79" s="98">
        <f ca="1">'forecast production'!AG80</f>
        <v>44.213721952816165</v>
      </c>
      <c r="H79" s="98">
        <f ca="1">'forecast production'!AH80</f>
        <v>234.1027079676721</v>
      </c>
      <c r="I79" s="307">
        <f ca="1">IF('monthly calculations (1)'!AV78,WI_2_APO, WI_2)</f>
        <v>0</v>
      </c>
      <c r="J79" s="306">
        <f ca="1">IF('monthly calculations (1)'!AV78,NRI_2_APO, NRI_2)</f>
        <v>0.25</v>
      </c>
      <c r="K79" s="112">
        <f t="shared" ca="1" si="21"/>
        <v>73.779899621736462</v>
      </c>
      <c r="L79" s="98">
        <f t="shared" ca="1" si="22"/>
        <v>292.62838495959011</v>
      </c>
      <c r="M79" s="98">
        <f t="shared" ca="1" si="23"/>
        <v>11.053430488204041</v>
      </c>
      <c r="N79" s="98">
        <f t="shared" ca="1" si="24"/>
        <v>58.525676991918026</v>
      </c>
      <c r="O79" s="67">
        <f>assumptions!M83</f>
        <v>55</v>
      </c>
      <c r="P79" s="68">
        <f>assumptions!N83</f>
        <v>3</v>
      </c>
      <c r="Q79" s="68">
        <f>assumptions!O83</f>
        <v>22</v>
      </c>
      <c r="R79" s="67">
        <f t="shared" si="25"/>
        <v>52.5</v>
      </c>
      <c r="S79" s="68">
        <f t="shared" si="26"/>
        <v>2.3275000000000001</v>
      </c>
      <c r="T79" s="68">
        <f t="shared" si="27"/>
        <v>22</v>
      </c>
      <c r="U79" s="73">
        <f t="shared" ca="1" si="33"/>
        <v>3873.4447301411642</v>
      </c>
      <c r="V79" s="72">
        <f t="shared" ca="1" si="33"/>
        <v>681.09256599344599</v>
      </c>
      <c r="W79" s="72">
        <f t="shared" ca="1" si="28"/>
        <v>1287.5648938221966</v>
      </c>
      <c r="X79" s="72">
        <f t="shared" ca="1" si="34"/>
        <v>5842.1021899568068</v>
      </c>
      <c r="Y79" s="73">
        <f>mult_opex * fixed_month</f>
        <v>1000</v>
      </c>
      <c r="Z79" s="72">
        <f ca="1">mult_opex * fixed_well *D79</f>
        <v>5000</v>
      </c>
      <c r="AA79" s="72">
        <f ca="1">(Z79+Y79)*WI_current_2</f>
        <v>0</v>
      </c>
      <c r="AB79" s="72">
        <f ca="1">mult_opex * var_bo*E79</f>
        <v>0</v>
      </c>
      <c r="AC79" s="72">
        <f ca="1">mult_opex * var_mcf*F79</f>
        <v>0</v>
      </c>
      <c r="AD79" s="72">
        <f ca="1">mult_opex * var_bw * G79</f>
        <v>88.42744390563233</v>
      </c>
      <c r="AE79" s="72">
        <f ca="1">SUM(AB79:AD79)*WI_current_2</f>
        <v>0</v>
      </c>
      <c r="AF79" s="73">
        <f ca="1">mult_capex * IFERROR(OFFSET(assumptions!$F$39,MATCH(B79,assumptions!$E$39:$E$45,0)-1,0),0)</f>
        <v>0</v>
      </c>
      <c r="AG79" s="75">
        <f ca="1">mult_capex * capex_new*WI_current_2 *'forecast production'!I80</f>
        <v>0</v>
      </c>
      <c r="AH79" s="146">
        <f t="shared" ca="1" si="35"/>
        <v>0</v>
      </c>
      <c r="AI79" s="73">
        <f t="shared" ca="1" si="29"/>
        <v>325.82776707266675</v>
      </c>
      <c r="AJ79" s="72">
        <f t="shared" ca="1" si="30"/>
        <v>146.05255474892019</v>
      </c>
      <c r="AK79" s="72">
        <f t="shared" ca="1" si="36"/>
        <v>471.8803218215869</v>
      </c>
      <c r="AL79" s="73">
        <f t="shared" ca="1" si="31"/>
        <v>5370.2218681352197</v>
      </c>
      <c r="AM79" s="321">
        <f ca="1">'monthly calculations (1)'!AM79</f>
        <v>1</v>
      </c>
      <c r="AN79" s="73">
        <f t="shared" ca="1" si="37"/>
        <v>5370.2218681352197</v>
      </c>
      <c r="AO79" s="75">
        <f t="shared" ca="1" si="39"/>
        <v>696477.24352530099</v>
      </c>
      <c r="AP79" s="72">
        <f ca="1">AL79  /  ( 1 + disc_1/12)^(COUNT($AL$6:AL79)-1)</f>
        <v>2930.1587968011518</v>
      </c>
      <c r="AQ79" s="72">
        <f t="shared" ca="1" si="40"/>
        <v>550817.93130067445</v>
      </c>
      <c r="AS79" s="303"/>
      <c r="AT79" s="300"/>
      <c r="AU79" s="297"/>
      <c r="AV79" s="303"/>
    </row>
    <row r="80" spans="2:48" x14ac:dyDescent="0.25">
      <c r="B80" s="43">
        <f t="shared" si="38"/>
        <v>46447</v>
      </c>
      <c r="C80" s="79">
        <f t="shared" si="32"/>
        <v>2027</v>
      </c>
      <c r="D80" s="64">
        <f ca="1">wellcount_base  +  SUM('forecast production'!I$7:I81)</f>
        <v>1</v>
      </c>
      <c r="E80" s="110">
        <f ca="1">'forecast production'!AE81</f>
        <v>323.99130128264562</v>
      </c>
      <c r="F80" s="98">
        <f ca="1">'forecast production'!AF81</f>
        <v>1715.2631382073876</v>
      </c>
      <c r="G80" s="98">
        <f ca="1">'forecast production'!AG81</f>
        <v>47.386632186439527</v>
      </c>
      <c r="H80" s="98">
        <f ca="1">'forecast production'!AH81</f>
        <v>257.28947073110811</v>
      </c>
      <c r="I80" s="307">
        <f ca="1">IF('monthly calculations (1)'!AV79,WI_2_APO, WI_2)</f>
        <v>0</v>
      </c>
      <c r="J80" s="306">
        <f ca="1">IF('monthly calculations (1)'!AV79,NRI_2_APO, NRI_2)</f>
        <v>0.25</v>
      </c>
      <c r="K80" s="112">
        <f t="shared" ca="1" si="21"/>
        <v>80.997825320661406</v>
      </c>
      <c r="L80" s="98">
        <f t="shared" ca="1" si="22"/>
        <v>321.61183841388515</v>
      </c>
      <c r="M80" s="98">
        <f t="shared" ca="1" si="23"/>
        <v>11.846658046609882</v>
      </c>
      <c r="N80" s="98">
        <f t="shared" ca="1" si="24"/>
        <v>64.322367682777028</v>
      </c>
      <c r="O80" s="67">
        <f>assumptions!M84</f>
        <v>55</v>
      </c>
      <c r="P80" s="68">
        <f>assumptions!N84</f>
        <v>3</v>
      </c>
      <c r="Q80" s="68">
        <f>assumptions!O84</f>
        <v>22</v>
      </c>
      <c r="R80" s="67">
        <f t="shared" si="25"/>
        <v>52.5</v>
      </c>
      <c r="S80" s="68">
        <f t="shared" si="26"/>
        <v>2.3275000000000001</v>
      </c>
      <c r="T80" s="68">
        <f t="shared" si="27"/>
        <v>22</v>
      </c>
      <c r="U80" s="73">
        <f t="shared" ca="1" si="33"/>
        <v>4252.3858293347239</v>
      </c>
      <c r="V80" s="72">
        <f t="shared" ca="1" si="33"/>
        <v>748.55155390831771</v>
      </c>
      <c r="W80" s="72">
        <f t="shared" ca="1" si="28"/>
        <v>1415.0920890210946</v>
      </c>
      <c r="X80" s="72">
        <f t="shared" ca="1" si="34"/>
        <v>6416.0294722641365</v>
      </c>
      <c r="Y80" s="73">
        <f>mult_opex * fixed_month</f>
        <v>1000</v>
      </c>
      <c r="Z80" s="72">
        <f ca="1">mult_opex * fixed_well *D80</f>
        <v>5000</v>
      </c>
      <c r="AA80" s="72">
        <f ca="1">(Z80+Y80)*WI_current_2</f>
        <v>0</v>
      </c>
      <c r="AB80" s="72">
        <f ca="1">mult_opex * var_bo*E80</f>
        <v>0</v>
      </c>
      <c r="AC80" s="72">
        <f ca="1">mult_opex * var_mcf*F80</f>
        <v>0</v>
      </c>
      <c r="AD80" s="72">
        <f ca="1">mult_opex * var_bw * G80</f>
        <v>94.773264372879055</v>
      </c>
      <c r="AE80" s="72">
        <f ca="1">SUM(AB80:AD80)*WI_current_2</f>
        <v>0</v>
      </c>
      <c r="AF80" s="73">
        <f ca="1">mult_capex * IFERROR(OFFSET(assumptions!$F$39,MATCH(B80,assumptions!$E$39:$E$45,0)-1,0),0)</f>
        <v>0</v>
      </c>
      <c r="AG80" s="75">
        <f ca="1">mult_capex * capex_new*WI_current_2 *'forecast production'!I81</f>
        <v>0</v>
      </c>
      <c r="AH80" s="146">
        <f t="shared" ca="1" si="35"/>
        <v>0</v>
      </c>
      <c r="AI80" s="73">
        <f t="shared" ca="1" si="29"/>
        <v>357.88302136910323</v>
      </c>
      <c r="AJ80" s="72">
        <f t="shared" ca="1" si="30"/>
        <v>160.40073680660342</v>
      </c>
      <c r="AK80" s="72">
        <f t="shared" ca="1" si="36"/>
        <v>518.28375817570668</v>
      </c>
      <c r="AL80" s="73">
        <f t="shared" ca="1" si="31"/>
        <v>5897.7457140884298</v>
      </c>
      <c r="AM80" s="321">
        <f ca="1">'monthly calculations (1)'!AM80</f>
        <v>1</v>
      </c>
      <c r="AN80" s="73">
        <f t="shared" ca="1" si="37"/>
        <v>5897.7457140884298</v>
      </c>
      <c r="AO80" s="75">
        <f t="shared" ca="1" si="39"/>
        <v>702374.98923938943</v>
      </c>
      <c r="AP80" s="72">
        <f ca="1">AL80  /  ( 1 + disc_1/12)^(COUNT($AL$6:AL80)-1)</f>
        <v>3191.3971126143701</v>
      </c>
      <c r="AQ80" s="72">
        <f t="shared" ca="1" si="40"/>
        <v>554009.32841328881</v>
      </c>
      <c r="AS80" s="303"/>
      <c r="AT80" s="300"/>
      <c r="AU80" s="297"/>
      <c r="AV80" s="303"/>
    </row>
    <row r="81" spans="2:48" x14ac:dyDescent="0.25">
      <c r="B81" s="43">
        <f t="shared" si="38"/>
        <v>46478</v>
      </c>
      <c r="C81" s="79">
        <f t="shared" si="32"/>
        <v>2027</v>
      </c>
      <c r="D81" s="64">
        <f ca="1">wellcount_base  +  SUM('forecast production'!I$7:I82)</f>
        <v>1</v>
      </c>
      <c r="E81" s="110">
        <f ca="1">'forecast production'!AE82</f>
        <v>310.64711725648465</v>
      </c>
      <c r="F81" s="98">
        <f ca="1">'forecast production'!AF82</f>
        <v>1646.5985716191017</v>
      </c>
      <c r="G81" s="98">
        <f ca="1">'forecast production'!AG82</f>
        <v>44.238657938803989</v>
      </c>
      <c r="H81" s="98">
        <f ca="1">'forecast production'!AH82</f>
        <v>246.98978574286525</v>
      </c>
      <c r="I81" s="307">
        <f ca="1">IF('monthly calculations (1)'!AV80,WI_2_APO, WI_2)</f>
        <v>0</v>
      </c>
      <c r="J81" s="306">
        <f ca="1">IF('monthly calculations (1)'!AV80,NRI_2_APO, NRI_2)</f>
        <v>0.25</v>
      </c>
      <c r="K81" s="112">
        <f t="shared" ca="1" si="21"/>
        <v>77.661779314121162</v>
      </c>
      <c r="L81" s="98">
        <f t="shared" ca="1" si="22"/>
        <v>308.73723217858156</v>
      </c>
      <c r="M81" s="98">
        <f t="shared" ca="1" si="23"/>
        <v>11.059664484700997</v>
      </c>
      <c r="N81" s="98">
        <f t="shared" ca="1" si="24"/>
        <v>61.747446435716313</v>
      </c>
      <c r="O81" s="67">
        <f>assumptions!M85</f>
        <v>55</v>
      </c>
      <c r="P81" s="68">
        <f>assumptions!N85</f>
        <v>3</v>
      </c>
      <c r="Q81" s="68">
        <f>assumptions!O85</f>
        <v>22</v>
      </c>
      <c r="R81" s="67">
        <f t="shared" si="25"/>
        <v>52.5</v>
      </c>
      <c r="S81" s="68">
        <f t="shared" si="26"/>
        <v>2.3275000000000001</v>
      </c>
      <c r="T81" s="68">
        <f t="shared" si="27"/>
        <v>22</v>
      </c>
      <c r="U81" s="73">
        <f t="shared" ca="1" si="33"/>
        <v>4077.2434139913612</v>
      </c>
      <c r="V81" s="72">
        <f t="shared" ca="1" si="33"/>
        <v>718.58590789564857</v>
      </c>
      <c r="W81" s="72">
        <f t="shared" ca="1" si="28"/>
        <v>1358.443821585759</v>
      </c>
      <c r="X81" s="72">
        <f t="shared" ca="1" si="34"/>
        <v>6154.2731434727684</v>
      </c>
      <c r="Y81" s="73">
        <f>mult_opex * fixed_month</f>
        <v>1000</v>
      </c>
      <c r="Z81" s="72">
        <f ca="1">mult_opex * fixed_well *D81</f>
        <v>5000</v>
      </c>
      <c r="AA81" s="72">
        <f ca="1">(Z81+Y81)*WI_current_2</f>
        <v>0</v>
      </c>
      <c r="AB81" s="72">
        <f ca="1">mult_opex * var_bo*E81</f>
        <v>0</v>
      </c>
      <c r="AC81" s="72">
        <f ca="1">mult_opex * var_mcf*F81</f>
        <v>0</v>
      </c>
      <c r="AD81" s="72">
        <f ca="1">mult_opex * var_bw * G81</f>
        <v>88.477315877607978</v>
      </c>
      <c r="AE81" s="72">
        <f ca="1">SUM(AB81:AD81)*WI_current_2</f>
        <v>0</v>
      </c>
      <c r="AF81" s="73">
        <f ca="1">mult_capex * IFERROR(OFFSET(assumptions!$F$39,MATCH(B81,assumptions!$E$39:$E$45,0)-1,0),0)</f>
        <v>0</v>
      </c>
      <c r="AG81" s="75">
        <f ca="1">mult_capex * capex_new*WI_current_2 *'forecast production'!I82</f>
        <v>0</v>
      </c>
      <c r="AH81" s="146">
        <f t="shared" ca="1" si="35"/>
        <v>0</v>
      </c>
      <c r="AI81" s="73">
        <f t="shared" ca="1" si="29"/>
        <v>343.33042675470813</v>
      </c>
      <c r="AJ81" s="72">
        <f t="shared" ca="1" si="30"/>
        <v>153.85682858681923</v>
      </c>
      <c r="AK81" s="72">
        <f t="shared" ca="1" si="36"/>
        <v>497.18725534152736</v>
      </c>
      <c r="AL81" s="73">
        <f t="shared" ca="1" si="31"/>
        <v>5657.0858881312415</v>
      </c>
      <c r="AM81" s="321">
        <f ca="1">'monthly calculations (1)'!AM81</f>
        <v>1</v>
      </c>
      <c r="AN81" s="73">
        <f t="shared" ca="1" si="37"/>
        <v>5657.0858881312415</v>
      </c>
      <c r="AO81" s="75">
        <f t="shared" ca="1" si="39"/>
        <v>708032.07512752071</v>
      </c>
      <c r="AP81" s="72">
        <f ca="1">AL81  /  ( 1 + disc_1/12)^(COUNT($AL$6:AL81)-1)</f>
        <v>3035.8719692334839</v>
      </c>
      <c r="AQ81" s="72">
        <f t="shared" ca="1" si="40"/>
        <v>557045.20038252231</v>
      </c>
      <c r="AS81" s="303"/>
      <c r="AT81" s="300"/>
      <c r="AU81" s="297"/>
      <c r="AV81" s="303"/>
    </row>
    <row r="82" spans="2:48" x14ac:dyDescent="0.25">
      <c r="B82" s="43">
        <f t="shared" si="38"/>
        <v>46508</v>
      </c>
      <c r="C82" s="79">
        <f t="shared" si="32"/>
        <v>2027</v>
      </c>
      <c r="D82" s="64">
        <f ca="1">wellcount_base  +  SUM('forecast production'!I$7:I83)</f>
        <v>1</v>
      </c>
      <c r="E82" s="110">
        <f ca="1">'forecast production'!AE83</f>
        <v>318.16122499104057</v>
      </c>
      <c r="F82" s="98">
        <f ca="1">'forecast production'!AF83</f>
        <v>1688.3608166810618</v>
      </c>
      <c r="G82" s="98">
        <f ca="1">'forecast production'!AG83</f>
        <v>44.150462028206505</v>
      </c>
      <c r="H82" s="98">
        <f ca="1">'forecast production'!AH83</f>
        <v>253.25412250215925</v>
      </c>
      <c r="I82" s="307">
        <f ca="1">IF('monthly calculations (1)'!AV81,WI_2_APO, WI_2)</f>
        <v>0</v>
      </c>
      <c r="J82" s="306">
        <f ca="1">IF('monthly calculations (1)'!AV81,NRI_2_APO, NRI_2)</f>
        <v>0.25</v>
      </c>
      <c r="K82" s="112">
        <f t="shared" ca="1" si="21"/>
        <v>79.540306247760142</v>
      </c>
      <c r="L82" s="98">
        <f t="shared" ca="1" si="22"/>
        <v>316.56765312769909</v>
      </c>
      <c r="M82" s="98">
        <f t="shared" ca="1" si="23"/>
        <v>11.037615507051626</v>
      </c>
      <c r="N82" s="98">
        <f t="shared" ca="1" si="24"/>
        <v>63.313530625539812</v>
      </c>
      <c r="O82" s="67">
        <f>assumptions!M86</f>
        <v>55</v>
      </c>
      <c r="P82" s="68">
        <f>assumptions!N86</f>
        <v>3</v>
      </c>
      <c r="Q82" s="68">
        <f>assumptions!O86</f>
        <v>22</v>
      </c>
      <c r="R82" s="67">
        <f t="shared" si="25"/>
        <v>52.5</v>
      </c>
      <c r="S82" s="68">
        <f t="shared" si="26"/>
        <v>2.3275000000000001</v>
      </c>
      <c r="T82" s="68">
        <f t="shared" si="27"/>
        <v>22</v>
      </c>
      <c r="U82" s="73">
        <f t="shared" ca="1" si="33"/>
        <v>4175.8660780074079</v>
      </c>
      <c r="V82" s="72">
        <f t="shared" ca="1" si="33"/>
        <v>736.81121265471961</v>
      </c>
      <c r="W82" s="72">
        <f t="shared" ca="1" si="28"/>
        <v>1392.8976737618759</v>
      </c>
      <c r="X82" s="72">
        <f t="shared" ca="1" si="34"/>
        <v>6305.5749644240032</v>
      </c>
      <c r="Y82" s="73">
        <f>mult_opex * fixed_month</f>
        <v>1000</v>
      </c>
      <c r="Z82" s="72">
        <f ca="1">mult_opex * fixed_well *D82</f>
        <v>5000</v>
      </c>
      <c r="AA82" s="72">
        <f ca="1">(Z82+Y82)*WI_current_2</f>
        <v>0</v>
      </c>
      <c r="AB82" s="72">
        <f ca="1">mult_opex * var_bo*E82</f>
        <v>0</v>
      </c>
      <c r="AC82" s="72">
        <f ca="1">mult_opex * var_mcf*F82</f>
        <v>0</v>
      </c>
      <c r="AD82" s="72">
        <f ca="1">mult_opex * var_bw * G82</f>
        <v>88.30092405641301</v>
      </c>
      <c r="AE82" s="72">
        <f ca="1">SUM(AB82:AD82)*WI_current_2</f>
        <v>0</v>
      </c>
      <c r="AF82" s="73">
        <f ca="1">mult_capex * IFERROR(OFFSET(assumptions!$F$39,MATCH(B82,assumptions!$E$39:$E$45,0)-1,0),0)</f>
        <v>0</v>
      </c>
      <c r="AG82" s="75">
        <f ca="1">mult_capex * capex_new*WI_current_2 *'forecast production'!I83</f>
        <v>0</v>
      </c>
      <c r="AH82" s="146">
        <f t="shared" ca="1" si="35"/>
        <v>0</v>
      </c>
      <c r="AI82" s="73">
        <f t="shared" ca="1" si="29"/>
        <v>351.81800606958541</v>
      </c>
      <c r="AJ82" s="72">
        <f t="shared" ca="1" si="30"/>
        <v>157.6393741106001</v>
      </c>
      <c r="AK82" s="72">
        <f t="shared" ca="1" si="36"/>
        <v>509.45738018018551</v>
      </c>
      <c r="AL82" s="73">
        <f t="shared" ca="1" si="31"/>
        <v>5796.1175842438179</v>
      </c>
      <c r="AM82" s="321">
        <f ca="1">'monthly calculations (1)'!AM82</f>
        <v>1</v>
      </c>
      <c r="AN82" s="73">
        <f t="shared" ca="1" si="37"/>
        <v>5796.1175842438179</v>
      </c>
      <c r="AO82" s="75">
        <f t="shared" ca="1" si="39"/>
        <v>713828.19271176448</v>
      </c>
      <c r="AP82" s="72">
        <f ca="1">AL82  /  ( 1 + disc_1/12)^(COUNT($AL$6:AL82)-1)</f>
        <v>3084.7767778313273</v>
      </c>
      <c r="AQ82" s="72">
        <f t="shared" ca="1" si="40"/>
        <v>560129.97716035368</v>
      </c>
      <c r="AS82" s="303"/>
      <c r="AT82" s="300"/>
      <c r="AU82" s="297"/>
      <c r="AV82" s="303"/>
    </row>
    <row r="83" spans="2:48" x14ac:dyDescent="0.25">
      <c r="B83" s="43">
        <f t="shared" si="38"/>
        <v>46539</v>
      </c>
      <c r="C83" s="79">
        <f t="shared" si="32"/>
        <v>2027</v>
      </c>
      <c r="D83" s="64">
        <f ca="1">wellcount_base  +  SUM('forecast production'!I$7:I84)</f>
        <v>1</v>
      </c>
      <c r="E83" s="110">
        <f ca="1">'forecast production'!AE84</f>
        <v>305.1078190976632</v>
      </c>
      <c r="F83" s="98">
        <f ca="1">'forecast production'!AF84</f>
        <v>1620.9774065252366</v>
      </c>
      <c r="G83" s="98">
        <f ca="1">'forecast production'!AG84</f>
        <v>41.21799600652983</v>
      </c>
      <c r="H83" s="98">
        <f ca="1">'forecast production'!AH84</f>
        <v>243.14661097878547</v>
      </c>
      <c r="I83" s="307">
        <f ca="1">IF('monthly calculations (1)'!AV82,WI_2_APO, WI_2)</f>
        <v>0</v>
      </c>
      <c r="J83" s="306">
        <f ca="1">IF('monthly calculations (1)'!AV82,NRI_2_APO, NRI_2)</f>
        <v>0.25</v>
      </c>
      <c r="K83" s="112">
        <f t="shared" ca="1" si="21"/>
        <v>76.276954774415799</v>
      </c>
      <c r="L83" s="98">
        <f t="shared" ca="1" si="22"/>
        <v>303.93326372348184</v>
      </c>
      <c r="M83" s="98">
        <f t="shared" ca="1" si="23"/>
        <v>10.304499001632458</v>
      </c>
      <c r="N83" s="98">
        <f t="shared" ca="1" si="24"/>
        <v>60.786652744696369</v>
      </c>
      <c r="O83" s="67">
        <f>assumptions!M87</f>
        <v>55</v>
      </c>
      <c r="P83" s="68">
        <f>assumptions!N87</f>
        <v>3</v>
      </c>
      <c r="Q83" s="68">
        <f>assumptions!O87</f>
        <v>22</v>
      </c>
      <c r="R83" s="67">
        <f t="shared" si="25"/>
        <v>52.5</v>
      </c>
      <c r="S83" s="68">
        <f t="shared" si="26"/>
        <v>2.3275000000000001</v>
      </c>
      <c r="T83" s="68">
        <f t="shared" si="27"/>
        <v>22</v>
      </c>
      <c r="U83" s="73">
        <f t="shared" ca="1" si="33"/>
        <v>4004.5401256568293</v>
      </c>
      <c r="V83" s="72">
        <f t="shared" ca="1" si="33"/>
        <v>707.40467131640401</v>
      </c>
      <c r="W83" s="72">
        <f t="shared" ca="1" si="28"/>
        <v>1337.3063603833202</v>
      </c>
      <c r="X83" s="72">
        <f t="shared" ca="1" si="34"/>
        <v>6049.2511573565534</v>
      </c>
      <c r="Y83" s="73">
        <f>mult_opex * fixed_month</f>
        <v>1000</v>
      </c>
      <c r="Z83" s="72">
        <f ca="1">mult_opex * fixed_well *D83</f>
        <v>5000</v>
      </c>
      <c r="AA83" s="72">
        <f ca="1">(Z83+Y83)*WI_current_2</f>
        <v>0</v>
      </c>
      <c r="AB83" s="72">
        <f ca="1">mult_opex * var_bo*E83</f>
        <v>0</v>
      </c>
      <c r="AC83" s="72">
        <f ca="1">mult_opex * var_mcf*F83</f>
        <v>0</v>
      </c>
      <c r="AD83" s="72">
        <f ca="1">mult_opex * var_bw * G83</f>
        <v>82.435992013059661</v>
      </c>
      <c r="AE83" s="72">
        <f ca="1">SUM(AB83:AD83)*WI_current_2</f>
        <v>0</v>
      </c>
      <c r="AF83" s="73">
        <f ca="1">mult_capex * IFERROR(OFFSET(assumptions!$F$39,MATCH(B83,assumptions!$E$39:$E$45,0)-1,0),0)</f>
        <v>0</v>
      </c>
      <c r="AG83" s="75">
        <f ca="1">mult_capex * capex_new*WI_current_2 *'forecast production'!I84</f>
        <v>0</v>
      </c>
      <c r="AH83" s="146">
        <f t="shared" ca="1" si="35"/>
        <v>0</v>
      </c>
      <c r="AI83" s="73">
        <f t="shared" ca="1" si="29"/>
        <v>337.56217315769345</v>
      </c>
      <c r="AJ83" s="72">
        <f t="shared" ca="1" si="30"/>
        <v>151.23127893391384</v>
      </c>
      <c r="AK83" s="72">
        <f t="shared" ca="1" si="36"/>
        <v>488.79345209160726</v>
      </c>
      <c r="AL83" s="73">
        <f t="shared" ca="1" si="31"/>
        <v>5560.4577052649465</v>
      </c>
      <c r="AM83" s="321">
        <f ca="1">'monthly calculations (1)'!AM83</f>
        <v>1</v>
      </c>
      <c r="AN83" s="73">
        <f t="shared" ca="1" si="37"/>
        <v>5560.4577052649465</v>
      </c>
      <c r="AO83" s="75">
        <f t="shared" ca="1" si="39"/>
        <v>719388.65041702939</v>
      </c>
      <c r="AP83" s="72">
        <f ca="1">AL83  /  ( 1 + disc_1/12)^(COUNT($AL$6:AL83)-1)</f>
        <v>2934.8977345053067</v>
      </c>
      <c r="AQ83" s="72">
        <f t="shared" ca="1" si="40"/>
        <v>563064.87489485904</v>
      </c>
      <c r="AS83" s="303"/>
      <c r="AT83" s="300"/>
      <c r="AU83" s="297"/>
      <c r="AV83" s="303"/>
    </row>
    <row r="84" spans="2:48" x14ac:dyDescent="0.25">
      <c r="B84" s="43">
        <f t="shared" si="38"/>
        <v>46569</v>
      </c>
      <c r="C84" s="79">
        <f t="shared" si="32"/>
        <v>2027</v>
      </c>
      <c r="D84" s="64">
        <f ca="1">wellcount_base  +  SUM('forecast production'!I$7:I85)</f>
        <v>1</v>
      </c>
      <c r="E84" s="110">
        <f ca="1">'forecast production'!AE85</f>
        <v>312.53725898747035</v>
      </c>
      <c r="F84" s="98">
        <f ca="1">'forecast production'!AF85</f>
        <v>1662.2893403531209</v>
      </c>
      <c r="G84" s="98">
        <f ca="1">'forecast production'!AG85</f>
        <v>41.136328080095417</v>
      </c>
      <c r="H84" s="98">
        <f ca="1">'forecast production'!AH85</f>
        <v>249.34340105296812</v>
      </c>
      <c r="I84" s="307">
        <f ca="1">IF('monthly calculations (1)'!AV83,WI_2_APO, WI_2)</f>
        <v>0</v>
      </c>
      <c r="J84" s="306">
        <f ca="1">IF('monthly calculations (1)'!AV83,NRI_2_APO, NRI_2)</f>
        <v>0.25</v>
      </c>
      <c r="K84" s="112">
        <f t="shared" ca="1" si="21"/>
        <v>78.134314746867588</v>
      </c>
      <c r="L84" s="98">
        <f t="shared" ca="1" si="22"/>
        <v>311.67925131621018</v>
      </c>
      <c r="M84" s="98">
        <f t="shared" ca="1" si="23"/>
        <v>10.284082020023854</v>
      </c>
      <c r="N84" s="98">
        <f t="shared" ca="1" si="24"/>
        <v>62.33585026324203</v>
      </c>
      <c r="O84" s="67">
        <f>assumptions!M88</f>
        <v>55</v>
      </c>
      <c r="P84" s="68">
        <f>assumptions!N88</f>
        <v>3</v>
      </c>
      <c r="Q84" s="68">
        <f>assumptions!O88</f>
        <v>22</v>
      </c>
      <c r="R84" s="67">
        <f t="shared" si="25"/>
        <v>52.5</v>
      </c>
      <c r="S84" s="68">
        <f t="shared" si="26"/>
        <v>2.3275000000000001</v>
      </c>
      <c r="T84" s="68">
        <f t="shared" si="27"/>
        <v>22</v>
      </c>
      <c r="U84" s="73">
        <f t="shared" ca="1" si="33"/>
        <v>4102.0515242105485</v>
      </c>
      <c r="V84" s="72">
        <f t="shared" ca="1" si="33"/>
        <v>725.43345743847919</v>
      </c>
      <c r="W84" s="72">
        <f t="shared" ca="1" si="28"/>
        <v>1371.3887057913246</v>
      </c>
      <c r="X84" s="72">
        <f t="shared" ca="1" si="34"/>
        <v>6198.8736874403521</v>
      </c>
      <c r="Y84" s="73">
        <f>mult_opex * fixed_month</f>
        <v>1000</v>
      </c>
      <c r="Z84" s="72">
        <f ca="1">mult_opex * fixed_well *D84</f>
        <v>5000</v>
      </c>
      <c r="AA84" s="72">
        <f ca="1">(Z84+Y84)*WI_current_2</f>
        <v>0</v>
      </c>
      <c r="AB84" s="72">
        <f ca="1">mult_opex * var_bo*E84</f>
        <v>0</v>
      </c>
      <c r="AC84" s="72">
        <f ca="1">mult_opex * var_mcf*F84</f>
        <v>0</v>
      </c>
      <c r="AD84" s="72">
        <f ca="1">mult_opex * var_bw * G84</f>
        <v>82.272656160190834</v>
      </c>
      <c r="AE84" s="72">
        <f ca="1">SUM(AB84:AD84)*WI_current_2</f>
        <v>0</v>
      </c>
      <c r="AF84" s="73">
        <f ca="1">mult_capex * IFERROR(OFFSET(assumptions!$F$39,MATCH(B84,assumptions!$E$39:$E$45,0)-1,0),0)</f>
        <v>0</v>
      </c>
      <c r="AG84" s="75">
        <f ca="1">mult_capex * capex_new*WI_current_2 *'forecast production'!I85</f>
        <v>0</v>
      </c>
      <c r="AH84" s="146">
        <f t="shared" ca="1" si="35"/>
        <v>0</v>
      </c>
      <c r="AI84" s="73">
        <f t="shared" ca="1" si="29"/>
        <v>345.95603235592051</v>
      </c>
      <c r="AJ84" s="72">
        <f t="shared" ca="1" si="30"/>
        <v>154.97184218600881</v>
      </c>
      <c r="AK84" s="72">
        <f t="shared" ca="1" si="36"/>
        <v>500.92787454192933</v>
      </c>
      <c r="AL84" s="73">
        <f t="shared" ca="1" si="31"/>
        <v>5697.9458128984224</v>
      </c>
      <c r="AM84" s="321">
        <f ca="1">'monthly calculations (1)'!AM84</f>
        <v>1</v>
      </c>
      <c r="AN84" s="73">
        <f t="shared" ca="1" si="37"/>
        <v>5697.9458128984224</v>
      </c>
      <c r="AO84" s="75">
        <f t="shared" ca="1" si="39"/>
        <v>725086.59622992785</v>
      </c>
      <c r="AP84" s="72">
        <f ca="1">AL84  /  ( 1 + disc_1/12)^(COUNT($AL$6:AL84)-1)</f>
        <v>2982.6110454588784</v>
      </c>
      <c r="AQ84" s="72">
        <f t="shared" ca="1" si="40"/>
        <v>566047.48594031797</v>
      </c>
      <c r="AS84" s="303"/>
      <c r="AT84" s="300"/>
      <c r="AU84" s="297"/>
      <c r="AV84" s="303"/>
    </row>
    <row r="85" spans="2:48" x14ac:dyDescent="0.25">
      <c r="B85" s="43">
        <f t="shared" si="38"/>
        <v>46600</v>
      </c>
      <c r="C85" s="79">
        <f t="shared" si="32"/>
        <v>2027</v>
      </c>
      <c r="D85" s="64">
        <f ca="1">wellcount_base  +  SUM('forecast production'!I$7:I86)</f>
        <v>1</v>
      </c>
      <c r="E85" s="108">
        <f ca="1">'forecast production'!AE86</f>
        <v>309.7546947896621</v>
      </c>
      <c r="F85" s="97">
        <f ca="1">'forecast production'!AF86</f>
        <v>1649.3460704152367</v>
      </c>
      <c r="G85" s="97">
        <f ca="1">'forecast production'!AG86</f>
        <v>39.684699768207032</v>
      </c>
      <c r="H85" s="98">
        <f ca="1">'forecast production'!AH86</f>
        <v>247.40191056228548</v>
      </c>
      <c r="I85" s="307">
        <f ca="1">IF('monthly calculations (1)'!AV84,WI_2_APO, WI_2)</f>
        <v>0</v>
      </c>
      <c r="J85" s="306">
        <f ca="1">IF('monthly calculations (1)'!AV84,NRI_2_APO, NRI_2)</f>
        <v>0.25</v>
      </c>
      <c r="K85" s="112">
        <f t="shared" ca="1" si="21"/>
        <v>77.438673697415524</v>
      </c>
      <c r="L85" s="98">
        <f t="shared" ca="1" si="22"/>
        <v>309.25238820285688</v>
      </c>
      <c r="M85" s="98">
        <f t="shared" ca="1" si="23"/>
        <v>9.9211749420517581</v>
      </c>
      <c r="N85" s="98">
        <f t="shared" ca="1" si="24"/>
        <v>61.85047764057137</v>
      </c>
      <c r="O85" s="67">
        <f>assumptions!M89</f>
        <v>55</v>
      </c>
      <c r="P85" s="68">
        <f>assumptions!N89</f>
        <v>3</v>
      </c>
      <c r="Q85" s="68">
        <f>assumptions!O89</f>
        <v>22</v>
      </c>
      <c r="R85" s="67">
        <f t="shared" si="25"/>
        <v>52.5</v>
      </c>
      <c r="S85" s="68">
        <f t="shared" si="26"/>
        <v>2.3275000000000001</v>
      </c>
      <c r="T85" s="68">
        <f t="shared" si="27"/>
        <v>22</v>
      </c>
      <c r="U85" s="73">
        <f t="shared" ca="1" si="33"/>
        <v>4065.5303691143149</v>
      </c>
      <c r="V85" s="72">
        <f t="shared" ca="1" si="33"/>
        <v>719.78493354214947</v>
      </c>
      <c r="W85" s="72">
        <f t="shared" ca="1" si="28"/>
        <v>1360.7105080925701</v>
      </c>
      <c r="X85" s="72">
        <f t="shared" ca="1" si="34"/>
        <v>6146.0258107490345</v>
      </c>
      <c r="Y85" s="73">
        <f>mult_opex * fixed_month</f>
        <v>1000</v>
      </c>
      <c r="Z85" s="72">
        <f ca="1">mult_opex * fixed_well *D85</f>
        <v>5000</v>
      </c>
      <c r="AA85" s="72">
        <f ca="1">(Z85+Y85)*WI_current_2</f>
        <v>0</v>
      </c>
      <c r="AB85" s="72">
        <f ca="1">mult_opex * var_bo*E85</f>
        <v>0</v>
      </c>
      <c r="AC85" s="72">
        <f ca="1">mult_opex * var_mcf*F85</f>
        <v>0</v>
      </c>
      <c r="AD85" s="72">
        <f ca="1">mult_opex * var_bw * G85</f>
        <v>79.369399536414065</v>
      </c>
      <c r="AE85" s="72">
        <f ca="1">SUM(AB85:AD85)*WI_current_2</f>
        <v>0</v>
      </c>
      <c r="AF85" s="73">
        <f ca="1">mult_capex * IFERROR(OFFSET(assumptions!$F$39,MATCH(B85,assumptions!$E$39:$E$45,0)-1,0),0)</f>
        <v>0</v>
      </c>
      <c r="AG85" s="75">
        <f ca="1">mult_capex * capex_new*WI_current_2 *'forecast production'!I86</f>
        <v>0</v>
      </c>
      <c r="AH85" s="146">
        <f t="shared" ca="1" si="35"/>
        <v>0</v>
      </c>
      <c r="AI85" s="73">
        <f t="shared" ca="1" si="29"/>
        <v>343.05155510186245</v>
      </c>
      <c r="AJ85" s="72">
        <f t="shared" ca="1" si="30"/>
        <v>153.65064526872587</v>
      </c>
      <c r="AK85" s="72">
        <f t="shared" ca="1" si="36"/>
        <v>496.70220037058834</v>
      </c>
      <c r="AL85" s="73">
        <f t="shared" ca="1" si="31"/>
        <v>5649.3236103784457</v>
      </c>
      <c r="AM85" s="321">
        <f ca="1">'monthly calculations (1)'!AM85</f>
        <v>1</v>
      </c>
      <c r="AN85" s="73">
        <f t="shared" ca="1" si="37"/>
        <v>5649.3236103784457</v>
      </c>
      <c r="AO85" s="75">
        <f t="shared" ca="1" si="39"/>
        <v>730735.91984030628</v>
      </c>
      <c r="AP85" s="72">
        <f ca="1">AL85  /  ( 1 + disc_1/12)^(COUNT($AL$6:AL85)-1)</f>
        <v>2932.7202364046789</v>
      </c>
      <c r="AQ85" s="72">
        <f t="shared" ca="1" si="40"/>
        <v>568980.20617672266</v>
      </c>
      <c r="AS85" s="303"/>
      <c r="AT85" s="300"/>
      <c r="AU85" s="297"/>
      <c r="AV85" s="303"/>
    </row>
    <row r="86" spans="2:48" x14ac:dyDescent="0.25">
      <c r="B86" s="43">
        <f t="shared" si="38"/>
        <v>46631</v>
      </c>
      <c r="C86" s="79">
        <f t="shared" si="32"/>
        <v>2027</v>
      </c>
      <c r="D86" s="64">
        <f ca="1">wellcount_base  +  SUM('forecast production'!I$7:I87)</f>
        <v>1</v>
      </c>
      <c r="E86" s="110">
        <f ca="1">'forecast production'!AE87</f>
        <v>297.11732951452262</v>
      </c>
      <c r="F86" s="98">
        <f ca="1">'forecast production'!AF87</f>
        <v>1583.8091675009125</v>
      </c>
      <c r="G86" s="98">
        <f ca="1">'forecast production'!AG87</f>
        <v>37.049558586144649</v>
      </c>
      <c r="H86" s="98">
        <f ca="1">'forecast production'!AH87</f>
        <v>237.57137512513685</v>
      </c>
      <c r="I86" s="307">
        <f ca="1">IF('monthly calculations (1)'!AV85,WI_2_APO, WI_2)</f>
        <v>0</v>
      </c>
      <c r="J86" s="306">
        <f ca="1">IF('monthly calculations (1)'!AV85,NRI_2_APO, NRI_2)</f>
        <v>0.25</v>
      </c>
      <c r="K86" s="112">
        <f t="shared" ca="1" si="21"/>
        <v>74.279332378630656</v>
      </c>
      <c r="L86" s="98">
        <f t="shared" ca="1" si="22"/>
        <v>296.96421890642108</v>
      </c>
      <c r="M86" s="98">
        <f t="shared" ca="1" si="23"/>
        <v>9.2623896465361621</v>
      </c>
      <c r="N86" s="98">
        <f t="shared" ca="1" si="24"/>
        <v>59.392843781284213</v>
      </c>
      <c r="O86" s="67">
        <f>assumptions!M90</f>
        <v>55</v>
      </c>
      <c r="P86" s="68">
        <f>assumptions!N90</f>
        <v>3</v>
      </c>
      <c r="Q86" s="68">
        <f>assumptions!O90</f>
        <v>22</v>
      </c>
      <c r="R86" s="67">
        <f t="shared" si="25"/>
        <v>52.5</v>
      </c>
      <c r="S86" s="68">
        <f t="shared" si="26"/>
        <v>2.3275000000000001</v>
      </c>
      <c r="T86" s="68">
        <f t="shared" si="27"/>
        <v>22</v>
      </c>
      <c r="U86" s="73">
        <f t="shared" ca="1" si="33"/>
        <v>3899.6649498781094</v>
      </c>
      <c r="V86" s="72">
        <f t="shared" ca="1" si="33"/>
        <v>691.18421950469508</v>
      </c>
      <c r="W86" s="72">
        <f t="shared" ca="1" si="28"/>
        <v>1306.6425631882528</v>
      </c>
      <c r="X86" s="72">
        <f t="shared" ca="1" si="34"/>
        <v>5897.4917325710576</v>
      </c>
      <c r="Y86" s="73">
        <f>mult_opex * fixed_month</f>
        <v>1000</v>
      </c>
      <c r="Z86" s="72">
        <f ca="1">mult_opex * fixed_well *D86</f>
        <v>5000</v>
      </c>
      <c r="AA86" s="72">
        <f ca="1">(Z86+Y86)*WI_current_2</f>
        <v>0</v>
      </c>
      <c r="AB86" s="72">
        <f ca="1">mult_opex * var_bo*E86</f>
        <v>0</v>
      </c>
      <c r="AC86" s="72">
        <f ca="1">mult_opex * var_mcf*F86</f>
        <v>0</v>
      </c>
      <c r="AD86" s="72">
        <f ca="1">mult_opex * var_bw * G86</f>
        <v>74.099117172289297</v>
      </c>
      <c r="AE86" s="72">
        <f ca="1">SUM(AB86:AD86)*WI_current_2</f>
        <v>0</v>
      </c>
      <c r="AF86" s="73">
        <f ca="1">mult_capex * IFERROR(OFFSET(assumptions!$F$39,MATCH(B86,assumptions!$E$39:$E$45,0)-1,0),0)</f>
        <v>0</v>
      </c>
      <c r="AG86" s="75">
        <f ca="1">mult_capex * capex_new*WI_current_2 *'forecast production'!I87</f>
        <v>0</v>
      </c>
      <c r="AH86" s="146">
        <f t="shared" ca="1" si="35"/>
        <v>0</v>
      </c>
      <c r="AI86" s="73">
        <f t="shared" ca="1" si="29"/>
        <v>329.22159639636408</v>
      </c>
      <c r="AJ86" s="72">
        <f t="shared" ca="1" si="30"/>
        <v>147.43729331427645</v>
      </c>
      <c r="AK86" s="72">
        <f t="shared" ca="1" si="36"/>
        <v>476.65888971064055</v>
      </c>
      <c r="AL86" s="73">
        <f t="shared" ca="1" si="31"/>
        <v>5420.8328428604173</v>
      </c>
      <c r="AM86" s="321">
        <f ca="1">'monthly calculations (1)'!AM86</f>
        <v>1</v>
      </c>
      <c r="AN86" s="73">
        <f t="shared" ca="1" si="37"/>
        <v>5420.8328428604173</v>
      </c>
      <c r="AO86" s="75">
        <f t="shared" ca="1" si="39"/>
        <v>736156.75268316665</v>
      </c>
      <c r="AP86" s="72">
        <f ca="1">AL86  /  ( 1 + disc_1/12)^(COUNT($AL$6:AL86)-1)</f>
        <v>2790.8472945051549</v>
      </c>
      <c r="AQ86" s="72">
        <f t="shared" ca="1" si="40"/>
        <v>571771.05347122776</v>
      </c>
      <c r="AS86" s="303"/>
      <c r="AT86" s="300"/>
      <c r="AU86" s="297"/>
      <c r="AV86" s="303"/>
    </row>
    <row r="87" spans="2:48" x14ac:dyDescent="0.25">
      <c r="B87" s="43">
        <f t="shared" si="38"/>
        <v>46661</v>
      </c>
      <c r="C87" s="79">
        <f t="shared" si="32"/>
        <v>2027</v>
      </c>
      <c r="D87" s="64">
        <f ca="1">wellcount_base  +  SUM('forecast production'!I$7:I88)</f>
        <v>1</v>
      </c>
      <c r="E87" s="110">
        <f ca="1">'forecast production'!AE88</f>
        <v>304.42150711413188</v>
      </c>
      <c r="F87" s="98">
        <f ca="1">'forecast production'!AF88</f>
        <v>1624.4567136315388</v>
      </c>
      <c r="G87" s="98">
        <f ca="1">'forecast production'!AG88</f>
        <v>36.976835061468726</v>
      </c>
      <c r="H87" s="98">
        <f ca="1">'forecast production'!AH88</f>
        <v>243.66850704473083</v>
      </c>
      <c r="I87" s="307">
        <f ca="1">IF('monthly calculations (1)'!AV86,WI_2_APO, WI_2)</f>
        <v>0</v>
      </c>
      <c r="J87" s="306">
        <f ca="1">IF('monthly calculations (1)'!AV86,NRI_2_APO, NRI_2)</f>
        <v>0.25</v>
      </c>
      <c r="K87" s="112">
        <f t="shared" ca="1" si="21"/>
        <v>76.105376778532971</v>
      </c>
      <c r="L87" s="98">
        <f t="shared" ca="1" si="22"/>
        <v>304.58563380591352</v>
      </c>
      <c r="M87" s="98">
        <f t="shared" ca="1" si="23"/>
        <v>9.2442087653671816</v>
      </c>
      <c r="N87" s="98">
        <f t="shared" ca="1" si="24"/>
        <v>60.917126761182708</v>
      </c>
      <c r="O87" s="67">
        <f>assumptions!M91</f>
        <v>55</v>
      </c>
      <c r="P87" s="68">
        <f>assumptions!N91</f>
        <v>3</v>
      </c>
      <c r="Q87" s="68">
        <f>assumptions!O91</f>
        <v>22</v>
      </c>
      <c r="R87" s="67">
        <f t="shared" si="25"/>
        <v>52.5</v>
      </c>
      <c r="S87" s="68">
        <f t="shared" si="26"/>
        <v>2.3275000000000001</v>
      </c>
      <c r="T87" s="68">
        <f t="shared" si="27"/>
        <v>22</v>
      </c>
      <c r="U87" s="73">
        <f t="shared" ca="1" si="33"/>
        <v>3995.5322808729811</v>
      </c>
      <c r="V87" s="72">
        <f t="shared" ca="1" si="33"/>
        <v>708.92306268326377</v>
      </c>
      <c r="W87" s="72">
        <f t="shared" ca="1" si="28"/>
        <v>1340.1767887460196</v>
      </c>
      <c r="X87" s="72">
        <f t="shared" ca="1" si="34"/>
        <v>6044.6321323022639</v>
      </c>
      <c r="Y87" s="73">
        <f>mult_opex * fixed_month</f>
        <v>1000</v>
      </c>
      <c r="Z87" s="72">
        <f ca="1">mult_opex * fixed_well *D87</f>
        <v>5000</v>
      </c>
      <c r="AA87" s="72">
        <f ca="1">(Z87+Y87)*WI_current_2</f>
        <v>0</v>
      </c>
      <c r="AB87" s="72">
        <f ca="1">mult_opex * var_bo*E87</f>
        <v>0</v>
      </c>
      <c r="AC87" s="72">
        <f ca="1">mult_opex * var_mcf*F87</f>
        <v>0</v>
      </c>
      <c r="AD87" s="72">
        <f ca="1">mult_opex * var_bw * G87</f>
        <v>73.953670122937453</v>
      </c>
      <c r="AE87" s="72">
        <f ca="1">SUM(AB87:AD87)*WI_current_2</f>
        <v>0</v>
      </c>
      <c r="AF87" s="73">
        <f ca="1">mult_capex * IFERROR(OFFSET(assumptions!$F$39,MATCH(B87,assumptions!$E$39:$E$45,0)-1,0),0)</f>
        <v>0</v>
      </c>
      <c r="AG87" s="75">
        <f ca="1">mult_capex * capex_new*WI_current_2 *'forecast production'!I88</f>
        <v>0</v>
      </c>
      <c r="AH87" s="146">
        <f t="shared" ca="1" si="35"/>
        <v>0</v>
      </c>
      <c r="AI87" s="73">
        <f t="shared" ca="1" si="29"/>
        <v>337.47697377735335</v>
      </c>
      <c r="AJ87" s="72">
        <f t="shared" ca="1" si="30"/>
        <v>151.1158033075566</v>
      </c>
      <c r="AK87" s="72">
        <f t="shared" ca="1" si="36"/>
        <v>488.59277708490993</v>
      </c>
      <c r="AL87" s="73">
        <f t="shared" ca="1" si="31"/>
        <v>5556.0393552173537</v>
      </c>
      <c r="AM87" s="321">
        <f ca="1">'monthly calculations (1)'!AM87</f>
        <v>1</v>
      </c>
      <c r="AN87" s="73">
        <f t="shared" ca="1" si="37"/>
        <v>5556.0393552173537</v>
      </c>
      <c r="AO87" s="75">
        <f t="shared" ca="1" si="39"/>
        <v>741712.79203838401</v>
      </c>
      <c r="AP87" s="72">
        <f ca="1">AL87  /  ( 1 + disc_1/12)^(COUNT($AL$6:AL87)-1)</f>
        <v>2836.8165213198508</v>
      </c>
      <c r="AQ87" s="72">
        <f t="shared" ca="1" si="40"/>
        <v>574607.86999254755</v>
      </c>
      <c r="AS87" s="303"/>
      <c r="AT87" s="300"/>
      <c r="AU87" s="297"/>
      <c r="AV87" s="303"/>
    </row>
    <row r="88" spans="2:48" x14ac:dyDescent="0.25">
      <c r="B88" s="43">
        <f t="shared" si="38"/>
        <v>46692</v>
      </c>
      <c r="C88" s="79">
        <f t="shared" si="32"/>
        <v>2027</v>
      </c>
      <c r="D88" s="64">
        <f ca="1">wellcount_base  +  SUM('forecast production'!I$7:I89)</f>
        <v>1</v>
      </c>
      <c r="E88" s="110">
        <f ca="1">'forecast production'!AE89</f>
        <v>292.04609765393951</v>
      </c>
      <c r="F88" s="98">
        <f ca="1">'forecast production'!AF89</f>
        <v>1560.0906863133282</v>
      </c>
      <c r="G88" s="98">
        <f ca="1">'forecast production'!AG89</f>
        <v>34.521939421070044</v>
      </c>
      <c r="H88" s="98">
        <f ca="1">'forecast production'!AH89</f>
        <v>234.01360294699924</v>
      </c>
      <c r="I88" s="307">
        <f ca="1">IF('monthly calculations (1)'!AV87,WI_2_APO, WI_2)</f>
        <v>0</v>
      </c>
      <c r="J88" s="306">
        <f ca="1">IF('monthly calculations (1)'!AV87,NRI_2_APO, NRI_2)</f>
        <v>0.25</v>
      </c>
      <c r="K88" s="112">
        <f t="shared" ca="1" si="21"/>
        <v>73.011524413484878</v>
      </c>
      <c r="L88" s="98">
        <f t="shared" ca="1" si="22"/>
        <v>292.51700368374907</v>
      </c>
      <c r="M88" s="98">
        <f t="shared" ca="1" si="23"/>
        <v>8.6304848552675111</v>
      </c>
      <c r="N88" s="98">
        <f t="shared" ca="1" si="24"/>
        <v>58.503400736749811</v>
      </c>
      <c r="O88" s="67">
        <f>assumptions!M92</f>
        <v>55</v>
      </c>
      <c r="P88" s="68">
        <f>assumptions!N92</f>
        <v>3</v>
      </c>
      <c r="Q88" s="68">
        <f>assumptions!O92</f>
        <v>22</v>
      </c>
      <c r="R88" s="67">
        <f t="shared" si="25"/>
        <v>52.5</v>
      </c>
      <c r="S88" s="68">
        <f t="shared" si="26"/>
        <v>2.3275000000000001</v>
      </c>
      <c r="T88" s="68">
        <f t="shared" si="27"/>
        <v>22</v>
      </c>
      <c r="U88" s="73">
        <f t="shared" ca="1" si="33"/>
        <v>3833.1050317079562</v>
      </c>
      <c r="V88" s="72">
        <f t="shared" ca="1" si="33"/>
        <v>680.83332607392595</v>
      </c>
      <c r="W88" s="72">
        <f t="shared" ca="1" si="28"/>
        <v>1287.0748162084958</v>
      </c>
      <c r="X88" s="72">
        <f t="shared" ca="1" si="34"/>
        <v>5801.0131739903782</v>
      </c>
      <c r="Y88" s="73">
        <f>mult_opex * fixed_month</f>
        <v>1000</v>
      </c>
      <c r="Z88" s="72">
        <f ca="1">mult_opex * fixed_well *D88</f>
        <v>5000</v>
      </c>
      <c r="AA88" s="72">
        <f ca="1">(Z88+Y88)*WI_current_2</f>
        <v>0</v>
      </c>
      <c r="AB88" s="72">
        <f ca="1">mult_opex * var_bo*E88</f>
        <v>0</v>
      </c>
      <c r="AC88" s="72">
        <f ca="1">mult_opex * var_mcf*F88</f>
        <v>0</v>
      </c>
      <c r="AD88" s="72">
        <f ca="1">mult_opex * var_bw * G88</f>
        <v>69.043878842140089</v>
      </c>
      <c r="AE88" s="72">
        <f ca="1">SUM(AB88:AD88)*WI_current_2</f>
        <v>0</v>
      </c>
      <c r="AF88" s="73">
        <f ca="1">mult_capex * IFERROR(OFFSET(assumptions!$F$39,MATCH(B88,assumptions!$E$39:$E$45,0)-1,0),0)</f>
        <v>0</v>
      </c>
      <c r="AG88" s="75">
        <f ca="1">mult_capex * capex_new*WI_current_2 *'forecast production'!I89</f>
        <v>0</v>
      </c>
      <c r="AH88" s="146">
        <f t="shared" ca="1" si="35"/>
        <v>0</v>
      </c>
      <c r="AI88" s="73">
        <f t="shared" ca="1" si="29"/>
        <v>323.91594212974758</v>
      </c>
      <c r="AJ88" s="72">
        <f t="shared" ca="1" si="30"/>
        <v>145.02532934975946</v>
      </c>
      <c r="AK88" s="72">
        <f t="shared" ca="1" si="36"/>
        <v>468.94127147950701</v>
      </c>
      <c r="AL88" s="73">
        <f t="shared" ca="1" si="31"/>
        <v>5332.071902510871</v>
      </c>
      <c r="AM88" s="321">
        <f ca="1">'monthly calculations (1)'!AM88</f>
        <v>1</v>
      </c>
      <c r="AN88" s="73">
        <f t="shared" ca="1" si="37"/>
        <v>5332.071902510871</v>
      </c>
      <c r="AO88" s="75">
        <f t="shared" ca="1" si="39"/>
        <v>747044.86394089484</v>
      </c>
      <c r="AP88" s="72">
        <f ca="1">AL88  /  ( 1 + disc_1/12)^(COUNT($AL$6:AL88)-1)</f>
        <v>2699.9629657102619</v>
      </c>
      <c r="AQ88" s="72">
        <f t="shared" ca="1" si="40"/>
        <v>577307.83295825776</v>
      </c>
      <c r="AS88" s="303"/>
      <c r="AT88" s="300"/>
      <c r="AU88" s="297"/>
      <c r="AV88" s="303"/>
    </row>
    <row r="89" spans="2:48" x14ac:dyDescent="0.25">
      <c r="B89" s="44">
        <f t="shared" si="38"/>
        <v>46722</v>
      </c>
      <c r="C89" s="100">
        <f t="shared" si="32"/>
        <v>2027</v>
      </c>
      <c r="D89" s="65">
        <f ca="1">wellcount_base  +  SUM('forecast production'!I$7:I90)</f>
        <v>1</v>
      </c>
      <c r="E89" s="109">
        <f ca="1">'forecast production'!AE90</f>
        <v>299.26885885230371</v>
      </c>
      <c r="F89" s="101">
        <f ca="1">'forecast production'!AF90</f>
        <v>1600.3073723451148</v>
      </c>
      <c r="G89" s="101">
        <f ca="1">'forecast production'!AG90</f>
        <v>34.454600243854998</v>
      </c>
      <c r="H89" s="102">
        <f ca="1">'forecast production'!AH90</f>
        <v>240.04610585176724</v>
      </c>
      <c r="I89" s="308">
        <f ca="1">IF('monthly calculations (1)'!AV88,WI_2_APO, WI_2)</f>
        <v>0</v>
      </c>
      <c r="J89" s="309">
        <f ca="1">IF('monthly calculations (1)'!AV88,NRI_2_APO, NRI_2)</f>
        <v>0.25</v>
      </c>
      <c r="K89" s="113">
        <f t="shared" ca="1" si="21"/>
        <v>74.817214713075927</v>
      </c>
      <c r="L89" s="102">
        <f t="shared" ca="1" si="22"/>
        <v>300.05763231470905</v>
      </c>
      <c r="M89" s="102">
        <f t="shared" ca="1" si="23"/>
        <v>8.6136500609637494</v>
      </c>
      <c r="N89" s="102">
        <f t="shared" ca="1" si="24"/>
        <v>60.011526462941809</v>
      </c>
      <c r="O89" s="103">
        <f>assumptions!M93</f>
        <v>55</v>
      </c>
      <c r="P89" s="104">
        <f>assumptions!N93</f>
        <v>3</v>
      </c>
      <c r="Q89" s="104">
        <f>assumptions!O93</f>
        <v>22</v>
      </c>
      <c r="R89" s="103">
        <f t="shared" si="25"/>
        <v>52.5</v>
      </c>
      <c r="S89" s="104">
        <f t="shared" si="26"/>
        <v>2.3275000000000001</v>
      </c>
      <c r="T89" s="104">
        <f t="shared" si="27"/>
        <v>22</v>
      </c>
      <c r="U89" s="105">
        <f t="shared" ca="1" si="33"/>
        <v>3927.9037724364862</v>
      </c>
      <c r="V89" s="106">
        <f t="shared" ca="1" si="33"/>
        <v>698.38413921248537</v>
      </c>
      <c r="W89" s="106">
        <f t="shared" ca="1" si="28"/>
        <v>1320.2535821847198</v>
      </c>
      <c r="X89" s="106">
        <f t="shared" ca="1" si="34"/>
        <v>5946.5414938336908</v>
      </c>
      <c r="Y89" s="105">
        <f>mult_opex * fixed_month</f>
        <v>1000</v>
      </c>
      <c r="Z89" s="106">
        <f ca="1">mult_opex * fixed_well *D89</f>
        <v>5000</v>
      </c>
      <c r="AA89" s="106">
        <f ca="1">(Z89+Y89)*WI_current_2</f>
        <v>0</v>
      </c>
      <c r="AB89" s="106">
        <f ca="1">mult_opex * var_bo*E89</f>
        <v>0</v>
      </c>
      <c r="AC89" s="106">
        <f ca="1">mult_opex * var_mcf*F89</f>
        <v>0</v>
      </c>
      <c r="AD89" s="106">
        <f ca="1">mult_opex * var_bw * G89</f>
        <v>68.909200487709995</v>
      </c>
      <c r="AE89" s="106">
        <f ca="1">SUM(AB89:AD89)*WI_current_2</f>
        <v>0</v>
      </c>
      <c r="AF89" s="105">
        <f ca="1">mult_capex * IFERROR(OFFSET(assumptions!$F$39,MATCH(B89,assumptions!$E$39:$E$45,0)-1,0),0)</f>
        <v>0</v>
      </c>
      <c r="AG89" s="106">
        <f ca="1">mult_capex * capex_new*WI_current_2 *'forecast production'!I90</f>
        <v>0</v>
      </c>
      <c r="AH89" s="147">
        <f t="shared" ca="1" si="35"/>
        <v>0</v>
      </c>
      <c r="AI89" s="105">
        <f t="shared" ca="1" si="29"/>
        <v>332.08140263686875</v>
      </c>
      <c r="AJ89" s="106">
        <f t="shared" ca="1" si="30"/>
        <v>148.66353734584229</v>
      </c>
      <c r="AK89" s="106">
        <f t="shared" ca="1" si="36"/>
        <v>480.744939982711</v>
      </c>
      <c r="AL89" s="105">
        <f t="shared" ca="1" si="31"/>
        <v>5465.7965538509798</v>
      </c>
      <c r="AM89" s="322">
        <f ca="1">'monthly calculations (1)'!AM89</f>
        <v>1</v>
      </c>
      <c r="AN89" s="105">
        <f t="shared" ca="1" si="37"/>
        <v>5465.7965538509798</v>
      </c>
      <c r="AO89" s="106">
        <f t="shared" ca="1" si="39"/>
        <v>752510.66049474583</v>
      </c>
      <c r="AP89" s="106">
        <f ca="1">AL89  /  ( 1 + disc_1/12)^(COUNT($AL$6:AL89)-1)</f>
        <v>2744.8028006124446</v>
      </c>
      <c r="AQ89" s="106">
        <f t="shared" ca="1" si="40"/>
        <v>580052.63575887016</v>
      </c>
      <c r="AS89" s="304"/>
      <c r="AT89" s="301"/>
      <c r="AU89" s="298"/>
      <c r="AV89" s="304"/>
    </row>
    <row r="90" spans="2:48" x14ac:dyDescent="0.25">
      <c r="B90" s="43">
        <f t="shared" si="38"/>
        <v>46753</v>
      </c>
      <c r="C90" s="79">
        <f t="shared" si="32"/>
        <v>2028</v>
      </c>
      <c r="D90" s="64">
        <f ca="1">wellcount_base  +  SUM('forecast production'!I$7:I91)</f>
        <v>1</v>
      </c>
      <c r="E90" s="110">
        <f ca="1">'forecast production'!AE91</f>
        <v>296.71657582403259</v>
      </c>
      <c r="F90" s="98">
        <f ca="1">'forecast production'!AF91</f>
        <v>1588.307857453922</v>
      </c>
      <c r="G90" s="98">
        <f ca="1">'forecast production'!AG91</f>
        <v>33.239816045503758</v>
      </c>
      <c r="H90" s="98">
        <f ca="1">'forecast production'!AH91</f>
        <v>238.24617861808832</v>
      </c>
      <c r="I90" s="307">
        <f ca="1">IF('monthly calculations (1)'!AV89,WI_2_APO, WI_2)</f>
        <v>0</v>
      </c>
      <c r="J90" s="306">
        <f ca="1">IF('monthly calculations (1)'!AV89,NRI_2_APO, NRI_2)</f>
        <v>0.25</v>
      </c>
      <c r="K90" s="112">
        <f t="shared" ca="1" si="21"/>
        <v>74.179143956008147</v>
      </c>
      <c r="L90" s="98">
        <f t="shared" ca="1" si="22"/>
        <v>297.80772327261036</v>
      </c>
      <c r="M90" s="98">
        <f t="shared" ca="1" si="23"/>
        <v>8.3099540113759396</v>
      </c>
      <c r="N90" s="98">
        <f t="shared" ca="1" si="24"/>
        <v>59.561544654522081</v>
      </c>
      <c r="O90" s="67">
        <f>assumptions!M94</f>
        <v>55</v>
      </c>
      <c r="P90" s="68">
        <f>assumptions!N94</f>
        <v>3</v>
      </c>
      <c r="Q90" s="68">
        <f>assumptions!O94</f>
        <v>22</v>
      </c>
      <c r="R90" s="67">
        <f t="shared" si="25"/>
        <v>52.5</v>
      </c>
      <c r="S90" s="68">
        <f t="shared" si="26"/>
        <v>2.3275000000000001</v>
      </c>
      <c r="T90" s="68">
        <f t="shared" si="27"/>
        <v>22</v>
      </c>
      <c r="U90" s="73">
        <f t="shared" ca="1" si="33"/>
        <v>3894.4050576904278</v>
      </c>
      <c r="V90" s="72">
        <f t="shared" ca="1" si="33"/>
        <v>693.14747591700063</v>
      </c>
      <c r="W90" s="72">
        <f t="shared" ca="1" si="28"/>
        <v>1310.3539823994859</v>
      </c>
      <c r="X90" s="72">
        <f t="shared" ca="1" si="34"/>
        <v>5897.9065160069149</v>
      </c>
      <c r="Y90" s="73">
        <f>mult_opex * fixed_month</f>
        <v>1000</v>
      </c>
      <c r="Z90" s="72">
        <f ca="1">mult_opex * fixed_well *D90</f>
        <v>5000</v>
      </c>
      <c r="AA90" s="72">
        <f ca="1">(Z90+Y90)*WI_current_2</f>
        <v>0</v>
      </c>
      <c r="AB90" s="72">
        <f ca="1">mult_opex * var_bo*E90</f>
        <v>0</v>
      </c>
      <c r="AC90" s="72">
        <f ca="1">mult_opex * var_mcf*F90</f>
        <v>0</v>
      </c>
      <c r="AD90" s="72">
        <f ca="1">mult_opex * var_bw * G90</f>
        <v>66.479632091007517</v>
      </c>
      <c r="AE90" s="72">
        <f ca="1">SUM(AB90:AD90)*WI_current_2</f>
        <v>0</v>
      </c>
      <c r="AF90" s="73">
        <f ca="1">mult_capex * IFERROR(OFFSET(assumptions!$F$39,MATCH(B90,assumptions!$E$39:$E$45,0)-1,0),0)</f>
        <v>0</v>
      </c>
      <c r="AG90" s="75">
        <f ca="1">mult_capex * capex_new*WI_current_2 *'forecast production'!I91</f>
        <v>0</v>
      </c>
      <c r="AH90" s="146">
        <f t="shared" ca="1" si="35"/>
        <v>0</v>
      </c>
      <c r="AI90" s="73">
        <f t="shared" ca="1" si="29"/>
        <v>329.40524202749617</v>
      </c>
      <c r="AJ90" s="72">
        <f t="shared" ca="1" si="30"/>
        <v>147.44766290017287</v>
      </c>
      <c r="AK90" s="72">
        <f t="shared" ca="1" si="36"/>
        <v>476.85290492766904</v>
      </c>
      <c r="AL90" s="73">
        <f t="shared" ca="1" si="31"/>
        <v>5421.0536110792455</v>
      </c>
      <c r="AM90" s="321">
        <f ca="1">'monthly calculations (1)'!AM90</f>
        <v>1</v>
      </c>
      <c r="AN90" s="73">
        <f t="shared" ca="1" si="37"/>
        <v>5421.0536110792455</v>
      </c>
      <c r="AO90" s="75">
        <f t="shared" ca="1" si="39"/>
        <v>757931.71410582506</v>
      </c>
      <c r="AP90" s="72">
        <f ca="1">AL90  /  ( 1 + disc_1/12)^(COUNT($AL$6:AL90)-1)</f>
        <v>2699.8352518446786</v>
      </c>
      <c r="AQ90" s="72">
        <f t="shared" ca="1" si="40"/>
        <v>582752.47101071489</v>
      </c>
      <c r="AS90" s="303"/>
      <c r="AT90" s="300"/>
      <c r="AU90" s="297"/>
      <c r="AV90" s="303"/>
    </row>
    <row r="91" spans="2:48" x14ac:dyDescent="0.25">
      <c r="B91" s="43">
        <f t="shared" si="38"/>
        <v>46784</v>
      </c>
      <c r="C91" s="79">
        <f t="shared" si="32"/>
        <v>2028</v>
      </c>
      <c r="D91" s="64">
        <f ca="1">wellcount_base  +  SUM('forecast production'!I$7:I92)</f>
        <v>1</v>
      </c>
      <c r="E91" s="110">
        <f ca="1">'forecast production'!AE92</f>
        <v>275.22633206819989</v>
      </c>
      <c r="F91" s="98">
        <f ca="1">'forecast production'!AF92</f>
        <v>1474.7781184117041</v>
      </c>
      <c r="G91" s="98">
        <f ca="1">'forecast production'!AG92</f>
        <v>29.999161026323641</v>
      </c>
      <c r="H91" s="98">
        <f ca="1">'forecast production'!AH92</f>
        <v>221.2167177617556</v>
      </c>
      <c r="I91" s="307">
        <f ca="1">IF('monthly calculations (1)'!AV90,WI_2_APO, WI_2)</f>
        <v>0</v>
      </c>
      <c r="J91" s="306">
        <f ca="1">IF('monthly calculations (1)'!AV90,NRI_2_APO, NRI_2)</f>
        <v>0.25</v>
      </c>
      <c r="K91" s="112">
        <f t="shared" ca="1" si="21"/>
        <v>68.806583017049974</v>
      </c>
      <c r="L91" s="98">
        <f t="shared" ca="1" si="22"/>
        <v>276.52089720219453</v>
      </c>
      <c r="M91" s="98">
        <f t="shared" ca="1" si="23"/>
        <v>7.4997902565809103</v>
      </c>
      <c r="N91" s="98">
        <f t="shared" ca="1" si="24"/>
        <v>55.304179440438901</v>
      </c>
      <c r="O91" s="67">
        <f>assumptions!M95</f>
        <v>55</v>
      </c>
      <c r="P91" s="68">
        <f>assumptions!N95</f>
        <v>3</v>
      </c>
      <c r="Q91" s="68">
        <f>assumptions!O95</f>
        <v>22</v>
      </c>
      <c r="R91" s="67">
        <f t="shared" si="25"/>
        <v>52.5</v>
      </c>
      <c r="S91" s="68">
        <f t="shared" si="26"/>
        <v>2.3275000000000001</v>
      </c>
      <c r="T91" s="68">
        <f t="shared" si="27"/>
        <v>22</v>
      </c>
      <c r="U91" s="73">
        <f t="shared" ca="1" si="33"/>
        <v>3612.3456083951237</v>
      </c>
      <c r="V91" s="72">
        <f t="shared" ca="1" si="33"/>
        <v>643.60238823810778</v>
      </c>
      <c r="W91" s="72">
        <f t="shared" ca="1" si="28"/>
        <v>1216.6919476896558</v>
      </c>
      <c r="X91" s="72">
        <f t="shared" ca="1" si="34"/>
        <v>5472.6399443228865</v>
      </c>
      <c r="Y91" s="73">
        <f>mult_opex * fixed_month</f>
        <v>1000</v>
      </c>
      <c r="Z91" s="72">
        <f ca="1">mult_opex * fixed_well *D91</f>
        <v>5000</v>
      </c>
      <c r="AA91" s="72">
        <f ca="1">(Z91+Y91)*WI_current_2</f>
        <v>0</v>
      </c>
      <c r="AB91" s="72">
        <f ca="1">mult_opex * var_bo*E91</f>
        <v>0</v>
      </c>
      <c r="AC91" s="72">
        <f ca="1">mult_opex * var_mcf*F91</f>
        <v>0</v>
      </c>
      <c r="AD91" s="72">
        <f ca="1">mult_opex * var_bw * G91</f>
        <v>59.998322052647282</v>
      </c>
      <c r="AE91" s="72">
        <f ca="1">SUM(AB91:AD91)*WI_current_2</f>
        <v>0</v>
      </c>
      <c r="AF91" s="73">
        <f ca="1">mult_capex * IFERROR(OFFSET(assumptions!$F$39,MATCH(B91,assumptions!$E$39:$E$45,0)-1,0),0)</f>
        <v>0</v>
      </c>
      <c r="AG91" s="75">
        <f ca="1">mult_capex * capex_new*WI_current_2 *'forecast production'!I92</f>
        <v>0</v>
      </c>
      <c r="AH91" s="146">
        <f t="shared" ca="1" si="35"/>
        <v>0</v>
      </c>
      <c r="AI91" s="73">
        <f t="shared" ca="1" si="29"/>
        <v>305.68997318075793</v>
      </c>
      <c r="AJ91" s="72">
        <f t="shared" ca="1" si="30"/>
        <v>136.81599860807216</v>
      </c>
      <c r="AK91" s="72">
        <f t="shared" ca="1" si="36"/>
        <v>442.5059717888301</v>
      </c>
      <c r="AL91" s="73">
        <f t="shared" ca="1" si="31"/>
        <v>5030.1339725340567</v>
      </c>
      <c r="AM91" s="321">
        <f ca="1">'monthly calculations (1)'!AM91</f>
        <v>1</v>
      </c>
      <c r="AN91" s="73">
        <f t="shared" ca="1" si="37"/>
        <v>5030.1339725340567</v>
      </c>
      <c r="AO91" s="75">
        <f t="shared" ca="1" si="39"/>
        <v>762961.84807835915</v>
      </c>
      <c r="AP91" s="72">
        <f ca="1">AL91  /  ( 1 + disc_1/12)^(COUNT($AL$6:AL91)-1)</f>
        <v>2484.4427258450328</v>
      </c>
      <c r="AQ91" s="72">
        <f t="shared" ca="1" si="40"/>
        <v>585236.91373655992</v>
      </c>
      <c r="AS91" s="303"/>
      <c r="AT91" s="300"/>
      <c r="AU91" s="297"/>
      <c r="AV91" s="303"/>
    </row>
    <row r="92" spans="2:48" x14ac:dyDescent="0.25">
      <c r="B92" s="43">
        <f t="shared" si="38"/>
        <v>46813</v>
      </c>
      <c r="C92" s="79">
        <f t="shared" si="32"/>
        <v>2028</v>
      </c>
      <c r="D92" s="64">
        <f ca="1">wellcount_base  +  SUM('forecast production'!I$7:I93)</f>
        <v>1</v>
      </c>
      <c r="E92" s="110">
        <f ca="1">'forecast production'!AE93</f>
        <v>291.89833525889827</v>
      </c>
      <c r="F92" s="98">
        <f ca="1">'forecast production'!AF93</f>
        <v>1565.5868798950401</v>
      </c>
      <c r="G92" s="98">
        <f ca="1">'forecast production'!AG93</f>
        <v>31.009521576022461</v>
      </c>
      <c r="H92" s="98">
        <f ca="1">'forecast production'!AH93</f>
        <v>234.83803198425599</v>
      </c>
      <c r="I92" s="307">
        <f ca="1">IF('monthly calculations (1)'!AV91,WI_2_APO, WI_2)</f>
        <v>0</v>
      </c>
      <c r="J92" s="306">
        <f ca="1">IF('monthly calculations (1)'!AV91,NRI_2_APO, NRI_2)</f>
        <v>0.25</v>
      </c>
      <c r="K92" s="112">
        <f t="shared" ca="1" si="21"/>
        <v>72.974583814724568</v>
      </c>
      <c r="L92" s="98">
        <f t="shared" ca="1" si="22"/>
        <v>293.54753998032004</v>
      </c>
      <c r="M92" s="98">
        <f t="shared" ca="1" si="23"/>
        <v>7.7523803940056153</v>
      </c>
      <c r="N92" s="98">
        <f t="shared" ca="1" si="24"/>
        <v>58.709507996063998</v>
      </c>
      <c r="O92" s="67">
        <f>assumptions!M96</f>
        <v>55</v>
      </c>
      <c r="P92" s="68">
        <f>assumptions!N96</f>
        <v>3</v>
      </c>
      <c r="Q92" s="68">
        <f>assumptions!O96</f>
        <v>22</v>
      </c>
      <c r="R92" s="67">
        <f t="shared" si="25"/>
        <v>52.5</v>
      </c>
      <c r="S92" s="68">
        <f t="shared" si="26"/>
        <v>2.3275000000000001</v>
      </c>
      <c r="T92" s="68">
        <f t="shared" si="27"/>
        <v>22</v>
      </c>
      <c r="U92" s="73">
        <f t="shared" ca="1" si="33"/>
        <v>3831.1656502730398</v>
      </c>
      <c r="V92" s="72">
        <f t="shared" ca="1" si="33"/>
        <v>683.23189930419494</v>
      </c>
      <c r="W92" s="72">
        <f t="shared" ca="1" si="28"/>
        <v>1291.6091759134079</v>
      </c>
      <c r="X92" s="72">
        <f t="shared" ca="1" si="34"/>
        <v>5806.0067254906426</v>
      </c>
      <c r="Y92" s="73">
        <f>mult_opex * fixed_month</f>
        <v>1000</v>
      </c>
      <c r="Z92" s="72">
        <f ca="1">mult_opex * fixed_well *D92</f>
        <v>5000</v>
      </c>
      <c r="AA92" s="72">
        <f ca="1">(Z92+Y92)*WI_current_2</f>
        <v>0</v>
      </c>
      <c r="AB92" s="72">
        <f ca="1">mult_opex * var_bo*E92</f>
        <v>0</v>
      </c>
      <c r="AC92" s="72">
        <f ca="1">mult_opex * var_mcf*F92</f>
        <v>0</v>
      </c>
      <c r="AD92" s="72">
        <f ca="1">mult_opex * var_bw * G92</f>
        <v>62.019043152044922</v>
      </c>
      <c r="AE92" s="72">
        <f ca="1">SUM(AB92:AD92)*WI_current_2</f>
        <v>0</v>
      </c>
      <c r="AF92" s="73">
        <f ca="1">mult_capex * IFERROR(OFFSET(assumptions!$F$39,MATCH(B92,assumptions!$E$39:$E$45,0)-1,0),0)</f>
        <v>0</v>
      </c>
      <c r="AG92" s="75">
        <f ca="1">mult_capex * capex_new*WI_current_2 *'forecast production'!I93</f>
        <v>0</v>
      </c>
      <c r="AH92" s="146">
        <f t="shared" ca="1" si="35"/>
        <v>0</v>
      </c>
      <c r="AI92" s="73">
        <f t="shared" ca="1" si="29"/>
        <v>324.34670055388</v>
      </c>
      <c r="AJ92" s="72">
        <f t="shared" ca="1" si="30"/>
        <v>145.15016813726606</v>
      </c>
      <c r="AK92" s="72">
        <f t="shared" ca="1" si="36"/>
        <v>469.49686869114606</v>
      </c>
      <c r="AL92" s="73">
        <f t="shared" ca="1" si="31"/>
        <v>5336.5098567994964</v>
      </c>
      <c r="AM92" s="321">
        <f ca="1">'monthly calculations (1)'!AM92</f>
        <v>1</v>
      </c>
      <c r="AN92" s="73">
        <f t="shared" ca="1" si="37"/>
        <v>5336.5098567994964</v>
      </c>
      <c r="AO92" s="75">
        <f t="shared" ca="1" si="39"/>
        <v>768298.35793515865</v>
      </c>
      <c r="AP92" s="72">
        <f ca="1">AL92  /  ( 1 + disc_1/12)^(COUNT($AL$6:AL92)-1)</f>
        <v>2613.9822174304245</v>
      </c>
      <c r="AQ92" s="72">
        <f t="shared" ca="1" si="40"/>
        <v>587850.89595399029</v>
      </c>
      <c r="AS92" s="303"/>
      <c r="AT92" s="300"/>
      <c r="AU92" s="297"/>
      <c r="AV92" s="303"/>
    </row>
    <row r="93" spans="2:48" x14ac:dyDescent="0.25">
      <c r="B93" s="43">
        <f t="shared" si="38"/>
        <v>46844</v>
      </c>
      <c r="C93" s="79">
        <f t="shared" si="32"/>
        <v>2028</v>
      </c>
      <c r="D93" s="64">
        <f ca="1">wellcount_base  +  SUM('forecast production'!I$7:I94)</f>
        <v>1</v>
      </c>
      <c r="E93" s="110">
        <f ca="1">'forecast production'!AE94</f>
        <v>280.13197885189419</v>
      </c>
      <c r="F93" s="98">
        <f ca="1">'forecast production'!AF94</f>
        <v>1503.968258933829</v>
      </c>
      <c r="G93" s="98">
        <f ca="1">'forecast production'!AG94</f>
        <v>28.951710754702091</v>
      </c>
      <c r="H93" s="98">
        <f ca="1">'forecast production'!AH94</f>
        <v>225.59523884007433</v>
      </c>
      <c r="I93" s="307">
        <f ca="1">IF('monthly calculations (1)'!AV92,WI_2_APO, WI_2)</f>
        <v>0</v>
      </c>
      <c r="J93" s="306">
        <f ca="1">IF('monthly calculations (1)'!AV92,NRI_2_APO, NRI_2)</f>
        <v>0.25</v>
      </c>
      <c r="K93" s="112">
        <f t="shared" ca="1" si="21"/>
        <v>70.032994712973547</v>
      </c>
      <c r="L93" s="98">
        <f t="shared" ca="1" si="22"/>
        <v>281.99404855009294</v>
      </c>
      <c r="M93" s="98">
        <f t="shared" ca="1" si="23"/>
        <v>7.2379276886755228</v>
      </c>
      <c r="N93" s="98">
        <f t="shared" ca="1" si="24"/>
        <v>56.398809710018583</v>
      </c>
      <c r="O93" s="67">
        <f>assumptions!M97</f>
        <v>55</v>
      </c>
      <c r="P93" s="68">
        <f>assumptions!N97</f>
        <v>3</v>
      </c>
      <c r="Q93" s="68">
        <f>assumptions!O97</f>
        <v>22</v>
      </c>
      <c r="R93" s="67">
        <f t="shared" si="25"/>
        <v>52.5</v>
      </c>
      <c r="S93" s="68">
        <f t="shared" si="26"/>
        <v>2.3275000000000001</v>
      </c>
      <c r="T93" s="68">
        <f t="shared" si="27"/>
        <v>22</v>
      </c>
      <c r="U93" s="73">
        <f t="shared" ca="1" si="33"/>
        <v>3676.732222431111</v>
      </c>
      <c r="V93" s="72">
        <f t="shared" ca="1" si="33"/>
        <v>656.34114800034138</v>
      </c>
      <c r="W93" s="72">
        <f t="shared" ca="1" si="28"/>
        <v>1240.7738136204089</v>
      </c>
      <c r="X93" s="72">
        <f t="shared" ca="1" si="34"/>
        <v>5573.8471840518614</v>
      </c>
      <c r="Y93" s="73">
        <f>mult_opex * fixed_month</f>
        <v>1000</v>
      </c>
      <c r="Z93" s="72">
        <f ca="1">mult_opex * fixed_well *D93</f>
        <v>5000</v>
      </c>
      <c r="AA93" s="72">
        <f ca="1">(Z93+Y93)*WI_current_2</f>
        <v>0</v>
      </c>
      <c r="AB93" s="72">
        <f ca="1">mult_opex * var_bo*E93</f>
        <v>0</v>
      </c>
      <c r="AC93" s="72">
        <f ca="1">mult_opex * var_mcf*F93</f>
        <v>0</v>
      </c>
      <c r="AD93" s="72">
        <f ca="1">mult_opex * var_bw * G93</f>
        <v>57.903421509404183</v>
      </c>
      <c r="AE93" s="72">
        <f ca="1">SUM(AB93:AD93)*WI_current_2</f>
        <v>0</v>
      </c>
      <c r="AF93" s="73">
        <f ca="1">mult_capex * IFERROR(OFFSET(assumptions!$F$39,MATCH(B93,assumptions!$E$39:$E$45,0)-1,0),0)</f>
        <v>0</v>
      </c>
      <c r="AG93" s="75">
        <f ca="1">mult_capex * capex_new*WI_current_2 *'forecast production'!I94</f>
        <v>0</v>
      </c>
      <c r="AH93" s="146">
        <f t="shared" ca="1" si="35"/>
        <v>0</v>
      </c>
      <c r="AI93" s="73">
        <f t="shared" ca="1" si="29"/>
        <v>311.41330435338739</v>
      </c>
      <c r="AJ93" s="72">
        <f t="shared" ca="1" si="30"/>
        <v>139.34617960129654</v>
      </c>
      <c r="AK93" s="72">
        <f t="shared" ca="1" si="36"/>
        <v>450.7594839546839</v>
      </c>
      <c r="AL93" s="73">
        <f t="shared" ca="1" si="31"/>
        <v>5123.0877000971777</v>
      </c>
      <c r="AM93" s="321">
        <f ca="1">'monthly calculations (1)'!AM93</f>
        <v>1</v>
      </c>
      <c r="AN93" s="73">
        <f t="shared" ca="1" si="37"/>
        <v>5123.0877000971777</v>
      </c>
      <c r="AO93" s="75">
        <f t="shared" ca="1" si="39"/>
        <v>773421.44563525578</v>
      </c>
      <c r="AP93" s="72">
        <f ca="1">AL93  /  ( 1 + disc_1/12)^(COUNT($AL$6:AL93)-1)</f>
        <v>2488.7024713775686</v>
      </c>
      <c r="AQ93" s="72">
        <f t="shared" ca="1" si="40"/>
        <v>590339.59842536785</v>
      </c>
      <c r="AS93" s="303"/>
      <c r="AT93" s="300"/>
      <c r="AU93" s="297"/>
      <c r="AV93" s="303"/>
    </row>
    <row r="94" spans="2:48" x14ac:dyDescent="0.25">
      <c r="B94" s="43">
        <f t="shared" si="38"/>
        <v>46874</v>
      </c>
      <c r="C94" s="79">
        <f t="shared" si="32"/>
        <v>2028</v>
      </c>
      <c r="D94" s="64">
        <f ca="1">wellcount_base  +  SUM('forecast production'!I$7:I95)</f>
        <v>1</v>
      </c>
      <c r="E94" s="110">
        <f ca="1">'forecast production'!AE95</f>
        <v>287.1576014236249</v>
      </c>
      <c r="F94" s="98">
        <f ca="1">'forecast production'!AF95</f>
        <v>1543.1440620268268</v>
      </c>
      <c r="G94" s="98">
        <f ca="1">'forecast production'!AG95</f>
        <v>28.89611977388202</v>
      </c>
      <c r="H94" s="98">
        <f ca="1">'forecast production'!AH95</f>
        <v>231.47160930402401</v>
      </c>
      <c r="I94" s="307">
        <f ca="1">IF('monthly calculations (1)'!AV93,WI_2_APO, WI_2)</f>
        <v>0</v>
      </c>
      <c r="J94" s="306">
        <f ca="1">IF('monthly calculations (1)'!AV93,NRI_2_APO, NRI_2)</f>
        <v>0.25</v>
      </c>
      <c r="K94" s="112">
        <f t="shared" ca="1" si="21"/>
        <v>71.789400355906224</v>
      </c>
      <c r="L94" s="98">
        <f t="shared" ca="1" si="22"/>
        <v>289.33951163003002</v>
      </c>
      <c r="M94" s="98">
        <f t="shared" ca="1" si="23"/>
        <v>7.2240299434705051</v>
      </c>
      <c r="N94" s="98">
        <f t="shared" ca="1" si="24"/>
        <v>57.867902326006003</v>
      </c>
      <c r="O94" s="67">
        <f>assumptions!M98</f>
        <v>55</v>
      </c>
      <c r="P94" s="68">
        <f>assumptions!N98</f>
        <v>3</v>
      </c>
      <c r="Q94" s="68">
        <f>assumptions!O98</f>
        <v>22</v>
      </c>
      <c r="R94" s="67">
        <f t="shared" si="25"/>
        <v>52.5</v>
      </c>
      <c r="S94" s="68">
        <f t="shared" si="26"/>
        <v>2.3275000000000001</v>
      </c>
      <c r="T94" s="68">
        <f t="shared" si="27"/>
        <v>22</v>
      </c>
      <c r="U94" s="73">
        <f t="shared" ca="1" si="33"/>
        <v>3768.9435186850769</v>
      </c>
      <c r="V94" s="72">
        <f t="shared" ca="1" si="33"/>
        <v>673.43771331889491</v>
      </c>
      <c r="W94" s="72">
        <f t="shared" ca="1" si="28"/>
        <v>1273.093851172132</v>
      </c>
      <c r="X94" s="72">
        <f t="shared" ca="1" si="34"/>
        <v>5715.475083176103</v>
      </c>
      <c r="Y94" s="73">
        <f>mult_opex * fixed_month</f>
        <v>1000</v>
      </c>
      <c r="Z94" s="72">
        <f ca="1">mult_opex * fixed_well *D94</f>
        <v>5000</v>
      </c>
      <c r="AA94" s="72">
        <f ca="1">(Z94+Y94)*WI_current_2</f>
        <v>0</v>
      </c>
      <c r="AB94" s="72">
        <f ca="1">mult_opex * var_bo*E94</f>
        <v>0</v>
      </c>
      <c r="AC94" s="72">
        <f ca="1">mult_opex * var_mcf*F94</f>
        <v>0</v>
      </c>
      <c r="AD94" s="72">
        <f ca="1">mult_opex * var_bw * G94</f>
        <v>57.792239547764041</v>
      </c>
      <c r="AE94" s="72">
        <f ca="1">SUM(AB94:AD94)*WI_current_2</f>
        <v>0</v>
      </c>
      <c r="AF94" s="73">
        <f ca="1">mult_capex * IFERROR(OFFSET(assumptions!$F$39,MATCH(B94,assumptions!$E$39:$E$45,0)-1,0),0)</f>
        <v>0</v>
      </c>
      <c r="AG94" s="75">
        <f ca="1">mult_capex * capex_new*WI_current_2 *'forecast production'!I95</f>
        <v>0</v>
      </c>
      <c r="AH94" s="146">
        <f t="shared" ca="1" si="35"/>
        <v>0</v>
      </c>
      <c r="AI94" s="73">
        <f t="shared" ca="1" si="29"/>
        <v>319.36126919634057</v>
      </c>
      <c r="AJ94" s="72">
        <f t="shared" ca="1" si="30"/>
        <v>142.88687707940258</v>
      </c>
      <c r="AK94" s="72">
        <f t="shared" ca="1" si="36"/>
        <v>462.24814627574312</v>
      </c>
      <c r="AL94" s="73">
        <f t="shared" ca="1" si="31"/>
        <v>5253.2269369003598</v>
      </c>
      <c r="AM94" s="321">
        <f ca="1">'monthly calculations (1)'!AM94</f>
        <v>1</v>
      </c>
      <c r="AN94" s="73">
        <f t="shared" ca="1" si="37"/>
        <v>5253.2269369003598</v>
      </c>
      <c r="AO94" s="75">
        <f t="shared" ca="1" si="39"/>
        <v>778674.67257215618</v>
      </c>
      <c r="AP94" s="72">
        <f ca="1">AL94  /  ( 1 + disc_1/12)^(COUNT($AL$6:AL94)-1)</f>
        <v>2530.8314743498722</v>
      </c>
      <c r="AQ94" s="72">
        <f t="shared" ca="1" si="40"/>
        <v>592870.42989971768</v>
      </c>
      <c r="AS94" s="303"/>
      <c r="AT94" s="300"/>
      <c r="AU94" s="297"/>
      <c r="AV94" s="303"/>
    </row>
    <row r="95" spans="2:48" x14ac:dyDescent="0.25">
      <c r="B95" s="43">
        <f t="shared" si="38"/>
        <v>46905</v>
      </c>
      <c r="C95" s="79">
        <f t="shared" si="32"/>
        <v>2028</v>
      </c>
      <c r="D95" s="64">
        <f ca="1">wellcount_base  +  SUM('forecast production'!I$7:I96)</f>
        <v>1</v>
      </c>
      <c r="E95" s="110">
        <f ca="1">'forecast production'!AE96</f>
        <v>275.61958661993964</v>
      </c>
      <c r="F95" s="98">
        <f ca="1">'forecast production'!AF96</f>
        <v>1482.5646751223726</v>
      </c>
      <c r="G95" s="98">
        <f ca="1">'forecast production'!AG96</f>
        <v>26.97889709209511</v>
      </c>
      <c r="H95" s="98">
        <f ca="1">'forecast production'!AH96</f>
        <v>222.38470126835588</v>
      </c>
      <c r="I95" s="307">
        <f ca="1">IF('monthly calculations (1)'!AV94,WI_2_APO, WI_2)</f>
        <v>0</v>
      </c>
      <c r="J95" s="306">
        <f ca="1">IF('monthly calculations (1)'!AV94,NRI_2_APO, NRI_2)</f>
        <v>0.25</v>
      </c>
      <c r="K95" s="112">
        <f t="shared" ca="1" si="21"/>
        <v>68.90489665498491</v>
      </c>
      <c r="L95" s="98">
        <f t="shared" ca="1" si="22"/>
        <v>277.98087658544489</v>
      </c>
      <c r="M95" s="98">
        <f t="shared" ca="1" si="23"/>
        <v>6.7447242730237775</v>
      </c>
      <c r="N95" s="98">
        <f t="shared" ca="1" si="24"/>
        <v>55.596175317088971</v>
      </c>
      <c r="O95" s="67">
        <f>assumptions!M99</f>
        <v>55</v>
      </c>
      <c r="P95" s="68">
        <f>assumptions!N99</f>
        <v>3</v>
      </c>
      <c r="Q95" s="68">
        <f>assumptions!O99</f>
        <v>22</v>
      </c>
      <c r="R95" s="67">
        <f t="shared" si="25"/>
        <v>52.5</v>
      </c>
      <c r="S95" s="68">
        <f t="shared" si="26"/>
        <v>2.3275000000000001</v>
      </c>
      <c r="T95" s="68">
        <f t="shared" si="27"/>
        <v>22</v>
      </c>
      <c r="U95" s="73">
        <f t="shared" ca="1" si="33"/>
        <v>3617.5070743867077</v>
      </c>
      <c r="V95" s="72">
        <f t="shared" ca="1" si="33"/>
        <v>647.00049025262297</v>
      </c>
      <c r="W95" s="72">
        <f t="shared" ca="1" si="28"/>
        <v>1223.1158569759573</v>
      </c>
      <c r="X95" s="72">
        <f t="shared" ca="1" si="34"/>
        <v>5487.623421615288</v>
      </c>
      <c r="Y95" s="73">
        <f>mult_opex * fixed_month</f>
        <v>1000</v>
      </c>
      <c r="Z95" s="72">
        <f ca="1">mult_opex * fixed_well *D95</f>
        <v>5000</v>
      </c>
      <c r="AA95" s="72">
        <f ca="1">(Z95+Y95)*WI_current_2</f>
        <v>0</v>
      </c>
      <c r="AB95" s="72">
        <f ca="1">mult_opex * var_bo*E95</f>
        <v>0</v>
      </c>
      <c r="AC95" s="72">
        <f ca="1">mult_opex * var_mcf*F95</f>
        <v>0</v>
      </c>
      <c r="AD95" s="72">
        <f ca="1">mult_opex * var_bw * G95</f>
        <v>53.95779418419022</v>
      </c>
      <c r="AE95" s="72">
        <f ca="1">SUM(AB95:AD95)*WI_current_2</f>
        <v>0</v>
      </c>
      <c r="AF95" s="73">
        <f ca="1">mult_capex * IFERROR(OFFSET(assumptions!$F$39,MATCH(B95,assumptions!$E$39:$E$45,0)-1,0),0)</f>
        <v>0</v>
      </c>
      <c r="AG95" s="75">
        <f ca="1">mult_capex * capex_new*WI_current_2 *'forecast production'!I96</f>
        <v>0</v>
      </c>
      <c r="AH95" s="146">
        <f t="shared" ca="1" si="35"/>
        <v>0</v>
      </c>
      <c r="AI95" s="73">
        <f t="shared" ca="1" si="29"/>
        <v>306.66405146393203</v>
      </c>
      <c r="AJ95" s="72">
        <f t="shared" ca="1" si="30"/>
        <v>137.19058554038222</v>
      </c>
      <c r="AK95" s="72">
        <f t="shared" ca="1" si="36"/>
        <v>443.85463700431421</v>
      </c>
      <c r="AL95" s="73">
        <f t="shared" ca="1" si="31"/>
        <v>5043.7687846109739</v>
      </c>
      <c r="AM95" s="321">
        <f ca="1">'monthly calculations (1)'!AM95</f>
        <v>1</v>
      </c>
      <c r="AN95" s="73">
        <f t="shared" ca="1" si="37"/>
        <v>5043.7687846109739</v>
      </c>
      <c r="AO95" s="75">
        <f t="shared" ca="1" si="39"/>
        <v>783718.4413567672</v>
      </c>
      <c r="AP95" s="72">
        <f ca="1">AL95  /  ( 1 + disc_1/12)^(COUNT($AL$6:AL95)-1)</f>
        <v>2409.8394495888551</v>
      </c>
      <c r="AQ95" s="72">
        <f t="shared" ca="1" si="40"/>
        <v>595280.26934930659</v>
      </c>
      <c r="AS95" s="303"/>
      <c r="AT95" s="300"/>
      <c r="AU95" s="297"/>
      <c r="AV95" s="303"/>
    </row>
    <row r="96" spans="2:48" x14ac:dyDescent="0.25">
      <c r="B96" s="43">
        <f t="shared" si="38"/>
        <v>46935</v>
      </c>
      <c r="C96" s="79">
        <f t="shared" si="32"/>
        <v>2028</v>
      </c>
      <c r="D96" s="64">
        <f ca="1">wellcount_base  +  SUM('forecast production'!I$7:I97)</f>
        <v>1</v>
      </c>
      <c r="E96" s="110">
        <f ca="1">'forecast production'!AE97</f>
        <v>282.5683955537375</v>
      </c>
      <c r="F96" s="98">
        <f ca="1">'forecast production'!AF97</f>
        <v>1521.3355900711304</v>
      </c>
      <c r="G96" s="98">
        <f ca="1">'forecast production'!AG97</f>
        <v>26.9274239054009</v>
      </c>
      <c r="H96" s="98">
        <f ca="1">'forecast production'!AH97</f>
        <v>228.20033851066952</v>
      </c>
      <c r="I96" s="307">
        <f ca="1">IF('monthly calculations (1)'!AV95,WI_2_APO, WI_2)</f>
        <v>0</v>
      </c>
      <c r="J96" s="306">
        <f ca="1">IF('monthly calculations (1)'!AV95,NRI_2_APO, NRI_2)</f>
        <v>0.25</v>
      </c>
      <c r="K96" s="112">
        <f t="shared" ca="1" si="21"/>
        <v>70.642098888434376</v>
      </c>
      <c r="L96" s="98">
        <f t="shared" ca="1" si="22"/>
        <v>285.25042313833694</v>
      </c>
      <c r="M96" s="98">
        <f t="shared" ca="1" si="23"/>
        <v>6.731855976350225</v>
      </c>
      <c r="N96" s="98">
        <f t="shared" ca="1" si="24"/>
        <v>57.050084627667381</v>
      </c>
      <c r="O96" s="67">
        <f>assumptions!M100</f>
        <v>55</v>
      </c>
      <c r="P96" s="68">
        <f>assumptions!N100</f>
        <v>3</v>
      </c>
      <c r="Q96" s="68">
        <f>assumptions!O100</f>
        <v>22</v>
      </c>
      <c r="R96" s="67">
        <f t="shared" si="25"/>
        <v>52.5</v>
      </c>
      <c r="S96" s="68">
        <f t="shared" si="26"/>
        <v>2.3275000000000001</v>
      </c>
      <c r="T96" s="68">
        <f t="shared" si="27"/>
        <v>22</v>
      </c>
      <c r="U96" s="73">
        <f t="shared" ca="1" si="33"/>
        <v>3708.7101916428046</v>
      </c>
      <c r="V96" s="72">
        <f t="shared" ca="1" si="33"/>
        <v>663.92035985447922</v>
      </c>
      <c r="W96" s="72">
        <f t="shared" ca="1" si="28"/>
        <v>1255.1018618086823</v>
      </c>
      <c r="X96" s="72">
        <f t="shared" ca="1" si="34"/>
        <v>5627.7324133059665</v>
      </c>
      <c r="Y96" s="73">
        <f>mult_opex * fixed_month</f>
        <v>1000</v>
      </c>
      <c r="Z96" s="72">
        <f ca="1">mult_opex * fixed_well *D96</f>
        <v>5000</v>
      </c>
      <c r="AA96" s="72">
        <f ca="1">(Z96+Y96)*WI_current_2</f>
        <v>0</v>
      </c>
      <c r="AB96" s="72">
        <f ca="1">mult_opex * var_bo*E96</f>
        <v>0</v>
      </c>
      <c r="AC96" s="72">
        <f ca="1">mult_opex * var_mcf*F96</f>
        <v>0</v>
      </c>
      <c r="AD96" s="72">
        <f ca="1">mult_opex * var_bw * G96</f>
        <v>53.8548478108018</v>
      </c>
      <c r="AE96" s="72">
        <f ca="1">SUM(AB96:AD96)*WI_current_2</f>
        <v>0</v>
      </c>
      <c r="AF96" s="73">
        <f ca="1">mult_capex * IFERROR(OFFSET(assumptions!$F$39,MATCH(B96,assumptions!$E$39:$E$45,0)-1,0),0)</f>
        <v>0</v>
      </c>
      <c r="AG96" s="75">
        <f ca="1">mult_capex * capex_new*WI_current_2 *'forecast production'!I97</f>
        <v>0</v>
      </c>
      <c r="AH96" s="146">
        <f t="shared" ca="1" si="35"/>
        <v>0</v>
      </c>
      <c r="AI96" s="73">
        <f t="shared" ca="1" si="29"/>
        <v>314.52733544030616</v>
      </c>
      <c r="AJ96" s="72">
        <f t="shared" ca="1" si="30"/>
        <v>140.69331033264916</v>
      </c>
      <c r="AK96" s="72">
        <f t="shared" ca="1" si="36"/>
        <v>455.22064577295532</v>
      </c>
      <c r="AL96" s="73">
        <f t="shared" ca="1" si="31"/>
        <v>5172.5117675330112</v>
      </c>
      <c r="AM96" s="321">
        <f ca="1">'monthly calculations (1)'!AM96</f>
        <v>1</v>
      </c>
      <c r="AN96" s="73">
        <f t="shared" ca="1" si="37"/>
        <v>5172.5117675330112</v>
      </c>
      <c r="AO96" s="75">
        <f t="shared" ca="1" si="39"/>
        <v>788890.95312430023</v>
      </c>
      <c r="AP96" s="72">
        <f ca="1">AL96  /  ( 1 + disc_1/12)^(COUNT($AL$6:AL96)-1)</f>
        <v>2450.9265882202376</v>
      </c>
      <c r="AQ96" s="72">
        <f t="shared" ca="1" si="40"/>
        <v>597731.19593752688</v>
      </c>
      <c r="AS96" s="303"/>
      <c r="AT96" s="300"/>
      <c r="AU96" s="297"/>
      <c r="AV96" s="303"/>
    </row>
    <row r="97" spans="2:48" x14ac:dyDescent="0.25">
      <c r="B97" s="43">
        <f t="shared" si="38"/>
        <v>46966</v>
      </c>
      <c r="C97" s="79">
        <f t="shared" si="32"/>
        <v>2028</v>
      </c>
      <c r="D97" s="64">
        <f ca="1">wellcount_base  +  SUM('forecast production'!I$7:I98)</f>
        <v>1</v>
      </c>
      <c r="E97" s="110">
        <f ca="1">'forecast production'!AE98</f>
        <v>280.29193731601595</v>
      </c>
      <c r="F97" s="98">
        <f ca="1">'forecast production'!AF98</f>
        <v>1510.4871409543614</v>
      </c>
      <c r="G97" s="98">
        <f ca="1">'forecast production'!AG98</f>
        <v>25.979177829611725</v>
      </c>
      <c r="H97" s="98">
        <f ca="1">'forecast production'!AH98</f>
        <v>226.57307114315424</v>
      </c>
      <c r="I97" s="307">
        <f ca="1">IF('monthly calculations (1)'!AV96,WI_2_APO, WI_2)</f>
        <v>0</v>
      </c>
      <c r="J97" s="306">
        <f ca="1">IF('monthly calculations (1)'!AV96,NRI_2_APO, NRI_2)</f>
        <v>0.25</v>
      </c>
      <c r="K97" s="112">
        <f t="shared" ca="1" si="21"/>
        <v>70.072984329003987</v>
      </c>
      <c r="L97" s="98">
        <f t="shared" ca="1" si="22"/>
        <v>283.21633892894278</v>
      </c>
      <c r="M97" s="98">
        <f t="shared" ca="1" si="23"/>
        <v>6.4947944574029313</v>
      </c>
      <c r="N97" s="98">
        <f t="shared" ca="1" si="24"/>
        <v>56.643267785788559</v>
      </c>
      <c r="O97" s="67">
        <f>assumptions!M101</f>
        <v>55</v>
      </c>
      <c r="P97" s="68">
        <f>assumptions!N101</f>
        <v>3</v>
      </c>
      <c r="Q97" s="68">
        <f>assumptions!O101</f>
        <v>22</v>
      </c>
      <c r="R97" s="67">
        <f t="shared" si="25"/>
        <v>52.5</v>
      </c>
      <c r="S97" s="68">
        <f t="shared" si="26"/>
        <v>2.3275000000000001</v>
      </c>
      <c r="T97" s="68">
        <f t="shared" si="27"/>
        <v>22</v>
      </c>
      <c r="U97" s="73">
        <f t="shared" ca="1" si="33"/>
        <v>3678.8316772727094</v>
      </c>
      <c r="V97" s="72">
        <f t="shared" ca="1" si="33"/>
        <v>659.18602885711437</v>
      </c>
      <c r="W97" s="72">
        <f t="shared" ca="1" si="28"/>
        <v>1246.1518912873482</v>
      </c>
      <c r="X97" s="72">
        <f t="shared" ca="1" si="34"/>
        <v>5584.1695974171716</v>
      </c>
      <c r="Y97" s="73">
        <f>mult_opex * fixed_month</f>
        <v>1000</v>
      </c>
      <c r="Z97" s="72">
        <f ca="1">mult_opex * fixed_well *D97</f>
        <v>5000</v>
      </c>
      <c r="AA97" s="72">
        <f ca="1">(Z97+Y97)*WI_current_2</f>
        <v>0</v>
      </c>
      <c r="AB97" s="72">
        <f ca="1">mult_opex * var_bo*E97</f>
        <v>0</v>
      </c>
      <c r="AC97" s="72">
        <f ca="1">mult_opex * var_mcf*F97</f>
        <v>0</v>
      </c>
      <c r="AD97" s="72">
        <f ca="1">mult_opex * var_bw * G97</f>
        <v>51.95835565922345</v>
      </c>
      <c r="AE97" s="72">
        <f ca="1">SUM(AB97:AD97)*WI_current_2</f>
        <v>0</v>
      </c>
      <c r="AF97" s="73">
        <f ca="1">mult_capex * IFERROR(OFFSET(assumptions!$F$39,MATCH(B97,assumptions!$E$39:$E$45,0)-1,0),0)</f>
        <v>0</v>
      </c>
      <c r="AG97" s="75">
        <f ca="1">mult_capex * capex_new*WI_current_2 *'forecast production'!I98</f>
        <v>0</v>
      </c>
      <c r="AH97" s="146">
        <f t="shared" ca="1" si="35"/>
        <v>0</v>
      </c>
      <c r="AI97" s="73">
        <f t="shared" ca="1" si="29"/>
        <v>312.12660116537933</v>
      </c>
      <c r="AJ97" s="72">
        <f t="shared" ca="1" si="30"/>
        <v>139.60423993542929</v>
      </c>
      <c r="AK97" s="72">
        <f t="shared" ca="1" si="36"/>
        <v>451.73084110080862</v>
      </c>
      <c r="AL97" s="73">
        <f t="shared" ca="1" si="31"/>
        <v>5132.4387563163627</v>
      </c>
      <c r="AM97" s="321">
        <f ca="1">'monthly calculations (1)'!AM97</f>
        <v>1</v>
      </c>
      <c r="AN97" s="73">
        <f t="shared" ca="1" si="37"/>
        <v>5132.4387563163627</v>
      </c>
      <c r="AO97" s="75">
        <f t="shared" ca="1" si="39"/>
        <v>794023.39188061655</v>
      </c>
      <c r="AP97" s="72">
        <f ca="1">AL97  /  ( 1 + disc_1/12)^(COUNT($AL$6:AL97)-1)</f>
        <v>2411.8398540950698</v>
      </c>
      <c r="AQ97" s="72">
        <f t="shared" ca="1" si="40"/>
        <v>600143.03579162189</v>
      </c>
      <c r="AS97" s="303"/>
      <c r="AT97" s="300"/>
      <c r="AU97" s="297"/>
      <c r="AV97" s="303"/>
    </row>
    <row r="98" spans="2:48" x14ac:dyDescent="0.25">
      <c r="B98" s="43">
        <f t="shared" si="38"/>
        <v>46997</v>
      </c>
      <c r="C98" s="79">
        <f t="shared" si="32"/>
        <v>2028</v>
      </c>
      <c r="D98" s="64">
        <f ca="1">wellcount_base  +  SUM('forecast production'!I$7:I99)</f>
        <v>1</v>
      </c>
      <c r="E98" s="110">
        <f ca="1">'forecast production'!AE99</f>
        <v>269.08245061720481</v>
      </c>
      <c r="F98" s="98">
        <f ca="1">'forecast production'!AF99</f>
        <v>1451.4119169454686</v>
      </c>
      <c r="G98" s="98">
        <f ca="1">'forecast production'!AG99</f>
        <v>24.25595338542152</v>
      </c>
      <c r="H98" s="98">
        <f ca="1">'forecast production'!AH99</f>
        <v>217.71178754182031</v>
      </c>
      <c r="I98" s="307">
        <f ca="1">IF('monthly calculations (1)'!AV97,WI_2_APO, WI_2)</f>
        <v>0</v>
      </c>
      <c r="J98" s="306">
        <f ca="1">IF('monthly calculations (1)'!AV97,NRI_2_APO, NRI_2)</f>
        <v>0.25</v>
      </c>
      <c r="K98" s="112">
        <f t="shared" ca="1" si="21"/>
        <v>67.270612654301203</v>
      </c>
      <c r="L98" s="98">
        <f t="shared" ca="1" si="22"/>
        <v>272.13973442727536</v>
      </c>
      <c r="M98" s="98">
        <f t="shared" ca="1" si="23"/>
        <v>6.0639883463553801</v>
      </c>
      <c r="N98" s="98">
        <f t="shared" ca="1" si="24"/>
        <v>54.427946885455079</v>
      </c>
      <c r="O98" s="67">
        <f>assumptions!M102</f>
        <v>55</v>
      </c>
      <c r="P98" s="68">
        <f>assumptions!N102</f>
        <v>3</v>
      </c>
      <c r="Q98" s="68">
        <f>assumptions!O102</f>
        <v>22</v>
      </c>
      <c r="R98" s="67">
        <f t="shared" si="25"/>
        <v>52.5</v>
      </c>
      <c r="S98" s="68">
        <f t="shared" si="26"/>
        <v>2.3275000000000001</v>
      </c>
      <c r="T98" s="68">
        <f t="shared" si="27"/>
        <v>22</v>
      </c>
      <c r="U98" s="73">
        <f t="shared" ca="1" si="33"/>
        <v>3531.7071643508134</v>
      </c>
      <c r="V98" s="72">
        <f t="shared" ca="1" si="33"/>
        <v>633.40523187948338</v>
      </c>
      <c r="W98" s="72">
        <f t="shared" ca="1" si="28"/>
        <v>1197.4148314800118</v>
      </c>
      <c r="X98" s="72">
        <f t="shared" ca="1" si="34"/>
        <v>5362.5272277103086</v>
      </c>
      <c r="Y98" s="73">
        <f>mult_opex * fixed_month</f>
        <v>1000</v>
      </c>
      <c r="Z98" s="72">
        <f ca="1">mult_opex * fixed_well *D98</f>
        <v>5000</v>
      </c>
      <c r="AA98" s="72">
        <f ca="1">(Z98+Y98)*WI_current_2</f>
        <v>0</v>
      </c>
      <c r="AB98" s="72">
        <f ca="1">mult_opex * var_bo*E98</f>
        <v>0</v>
      </c>
      <c r="AC98" s="72">
        <f ca="1">mult_opex * var_mcf*F98</f>
        <v>0</v>
      </c>
      <c r="AD98" s="72">
        <f ca="1">mult_opex * var_bw * G98</f>
        <v>48.511906770843041</v>
      </c>
      <c r="AE98" s="72">
        <f ca="1">SUM(AB98:AD98)*WI_current_2</f>
        <v>0</v>
      </c>
      <c r="AF98" s="73">
        <f ca="1">mult_capex * IFERROR(OFFSET(assumptions!$F$39,MATCH(B98,assumptions!$E$39:$E$45,0)-1,0),0)</f>
        <v>0</v>
      </c>
      <c r="AG98" s="75">
        <f ca="1">mult_capex * capex_new*WI_current_2 *'forecast production'!I99</f>
        <v>0</v>
      </c>
      <c r="AH98" s="146">
        <f t="shared" ca="1" si="35"/>
        <v>0</v>
      </c>
      <c r="AI98" s="73">
        <f t="shared" ca="1" si="29"/>
        <v>299.77003431209954</v>
      </c>
      <c r="AJ98" s="72">
        <f t="shared" ca="1" si="30"/>
        <v>134.06318069275773</v>
      </c>
      <c r="AK98" s="72">
        <f t="shared" ca="1" si="36"/>
        <v>433.83321500485727</v>
      </c>
      <c r="AL98" s="73">
        <f t="shared" ca="1" si="31"/>
        <v>4928.6940127054513</v>
      </c>
      <c r="AM98" s="321">
        <f ca="1">'monthly calculations (1)'!AM98</f>
        <v>1</v>
      </c>
      <c r="AN98" s="73">
        <f t="shared" ca="1" si="37"/>
        <v>4928.6940127054513</v>
      </c>
      <c r="AO98" s="75">
        <f t="shared" ca="1" si="39"/>
        <v>798952.08589332202</v>
      </c>
      <c r="AP98" s="72">
        <f ca="1">AL98  /  ( 1 + disc_1/12)^(COUNT($AL$6:AL98)-1)</f>
        <v>2296.9546672157935</v>
      </c>
      <c r="AQ98" s="72">
        <f t="shared" ca="1" si="40"/>
        <v>602439.99045883771</v>
      </c>
      <c r="AS98" s="303"/>
      <c r="AT98" s="300"/>
      <c r="AU98" s="297"/>
      <c r="AV98" s="303"/>
    </row>
    <row r="99" spans="2:48" x14ac:dyDescent="0.25">
      <c r="B99" s="43">
        <f t="shared" si="38"/>
        <v>47027</v>
      </c>
      <c r="C99" s="79">
        <f t="shared" si="32"/>
        <v>2028</v>
      </c>
      <c r="D99" s="64">
        <f ca="1">wellcount_base  +  SUM('forecast production'!I$7:I100)</f>
        <v>1</v>
      </c>
      <c r="E99" s="110">
        <f ca="1">'forecast production'!AE100</f>
        <v>275.91788378836952</v>
      </c>
      <c r="F99" s="98">
        <f ca="1">'forecast production'!AF100</f>
        <v>1489.5856981447141</v>
      </c>
      <c r="G99" s="98">
        <f ca="1">'forecast production'!AG100</f>
        <v>24.210122049215904</v>
      </c>
      <c r="H99" s="98">
        <f ca="1">'forecast production'!AH100</f>
        <v>223.43785472170711</v>
      </c>
      <c r="I99" s="307">
        <f ca="1">IF('monthly calculations (1)'!AV98,WI_2_APO, WI_2)</f>
        <v>0</v>
      </c>
      <c r="J99" s="306">
        <f ca="1">IF('monthly calculations (1)'!AV98,NRI_2_APO, NRI_2)</f>
        <v>0.25</v>
      </c>
      <c r="K99" s="112">
        <f t="shared" ca="1" si="21"/>
        <v>68.979470947092381</v>
      </c>
      <c r="L99" s="98">
        <f t="shared" ca="1" si="22"/>
        <v>279.2973184021339</v>
      </c>
      <c r="M99" s="98">
        <f t="shared" ca="1" si="23"/>
        <v>6.0525305123039761</v>
      </c>
      <c r="N99" s="98">
        <f t="shared" ca="1" si="24"/>
        <v>55.859463680426778</v>
      </c>
      <c r="O99" s="67">
        <f>assumptions!M103</f>
        <v>55</v>
      </c>
      <c r="P99" s="68">
        <f>assumptions!N103</f>
        <v>3</v>
      </c>
      <c r="Q99" s="68">
        <f>assumptions!O103</f>
        <v>22</v>
      </c>
      <c r="R99" s="67">
        <f t="shared" si="25"/>
        <v>52.5</v>
      </c>
      <c r="S99" s="68">
        <f t="shared" si="26"/>
        <v>2.3275000000000001</v>
      </c>
      <c r="T99" s="68">
        <f t="shared" si="27"/>
        <v>22</v>
      </c>
      <c r="U99" s="73">
        <f t="shared" ca="1" si="33"/>
        <v>3621.4222247223502</v>
      </c>
      <c r="V99" s="72">
        <f t="shared" ca="1" si="33"/>
        <v>650.06450858096673</v>
      </c>
      <c r="W99" s="72">
        <f t="shared" ca="1" si="28"/>
        <v>1228.9082009693891</v>
      </c>
      <c r="X99" s="72">
        <f t="shared" ca="1" si="34"/>
        <v>5500.3949342727065</v>
      </c>
      <c r="Y99" s="73">
        <f>mult_opex * fixed_month</f>
        <v>1000</v>
      </c>
      <c r="Z99" s="72">
        <f ca="1">mult_opex * fixed_well *D99</f>
        <v>5000</v>
      </c>
      <c r="AA99" s="72">
        <f ca="1">(Z99+Y99)*WI_current_2</f>
        <v>0</v>
      </c>
      <c r="AB99" s="72">
        <f ca="1">mult_opex * var_bo*E99</f>
        <v>0</v>
      </c>
      <c r="AC99" s="72">
        <f ca="1">mult_opex * var_mcf*F99</f>
        <v>0</v>
      </c>
      <c r="AD99" s="72">
        <f ca="1">mult_opex * var_bw * G99</f>
        <v>48.420244098431809</v>
      </c>
      <c r="AE99" s="72">
        <f ca="1">SUM(AB99:AD99)*WI_current_2</f>
        <v>0</v>
      </c>
      <c r="AF99" s="73">
        <f ca="1">mult_capex * IFERROR(OFFSET(assumptions!$F$39,MATCH(B99,assumptions!$E$39:$E$45,0)-1,0),0)</f>
        <v>0</v>
      </c>
      <c r="AG99" s="75">
        <f ca="1">mult_capex * capex_new*WI_current_2 *'forecast production'!I100</f>
        <v>0</v>
      </c>
      <c r="AH99" s="146">
        <f t="shared" ca="1" si="35"/>
        <v>0</v>
      </c>
      <c r="AI99" s="73">
        <f t="shared" ca="1" si="29"/>
        <v>307.50837555350478</v>
      </c>
      <c r="AJ99" s="72">
        <f t="shared" ca="1" si="30"/>
        <v>137.50987335681768</v>
      </c>
      <c r="AK99" s="72">
        <f t="shared" ca="1" si="36"/>
        <v>445.01824891032243</v>
      </c>
      <c r="AL99" s="73">
        <f t="shared" ca="1" si="31"/>
        <v>5055.3766853623838</v>
      </c>
      <c r="AM99" s="321">
        <f ca="1">'monthly calculations (1)'!AM99</f>
        <v>1</v>
      </c>
      <c r="AN99" s="73">
        <f t="shared" ca="1" si="37"/>
        <v>5055.3766853623838</v>
      </c>
      <c r="AO99" s="75">
        <f t="shared" ca="1" si="39"/>
        <v>804007.46257868444</v>
      </c>
      <c r="AP99" s="72">
        <f ca="1">AL99  /  ( 1 + disc_1/12)^(COUNT($AL$6:AL99)-1)</f>
        <v>2336.5224822673663</v>
      </c>
      <c r="AQ99" s="72">
        <f t="shared" ca="1" si="40"/>
        <v>604776.51294110506</v>
      </c>
      <c r="AS99" s="303"/>
      <c r="AT99" s="300"/>
      <c r="AU99" s="297"/>
      <c r="AV99" s="303"/>
    </row>
    <row r="100" spans="2:48" x14ac:dyDescent="0.25">
      <c r="B100" s="43">
        <f t="shared" si="38"/>
        <v>47058</v>
      </c>
      <c r="C100" s="79">
        <f t="shared" si="32"/>
        <v>2028</v>
      </c>
      <c r="D100" s="64">
        <f ca="1">wellcount_base  +  SUM('forecast production'!I$7:I101)</f>
        <v>1</v>
      </c>
      <c r="E100" s="110">
        <f ca="1">'forecast production'!AE101</f>
        <v>264.91636455155532</v>
      </c>
      <c r="F100" s="98">
        <f ca="1">'forecast production'!AF101</f>
        <v>1431.4681788750843</v>
      </c>
      <c r="G100" s="98">
        <f ca="1">'forecast production'!AG101</f>
        <v>22.604526442501076</v>
      </c>
      <c r="H100" s="98">
        <f ca="1">'forecast production'!AH101</f>
        <v>214.72022683126264</v>
      </c>
      <c r="I100" s="307">
        <f ca="1">IF('monthly calculations (1)'!AV99,WI_2_APO, WI_2)</f>
        <v>0</v>
      </c>
      <c r="J100" s="306">
        <f ca="1">IF('monthly calculations (1)'!AV99,NRI_2_APO, NRI_2)</f>
        <v>0.25</v>
      </c>
      <c r="K100" s="112">
        <f t="shared" ca="1" si="21"/>
        <v>66.22909113788883</v>
      </c>
      <c r="L100" s="98">
        <f t="shared" ca="1" si="22"/>
        <v>268.40028353907832</v>
      </c>
      <c r="M100" s="98">
        <f t="shared" ca="1" si="23"/>
        <v>5.6511316106252689</v>
      </c>
      <c r="N100" s="98">
        <f t="shared" ca="1" si="24"/>
        <v>53.680056707815659</v>
      </c>
      <c r="O100" s="67">
        <f>assumptions!M104</f>
        <v>55</v>
      </c>
      <c r="P100" s="68">
        <f>assumptions!N104</f>
        <v>3</v>
      </c>
      <c r="Q100" s="68">
        <f>assumptions!O104</f>
        <v>22</v>
      </c>
      <c r="R100" s="67">
        <f t="shared" si="25"/>
        <v>52.5</v>
      </c>
      <c r="S100" s="68">
        <f t="shared" si="26"/>
        <v>2.3275000000000001</v>
      </c>
      <c r="T100" s="68">
        <f t="shared" si="27"/>
        <v>22</v>
      </c>
      <c r="U100" s="73">
        <f t="shared" ca="1" si="33"/>
        <v>3477.0272847391634</v>
      </c>
      <c r="V100" s="72">
        <f t="shared" ca="1" si="33"/>
        <v>624.70165993720479</v>
      </c>
      <c r="W100" s="72">
        <f t="shared" ca="1" si="28"/>
        <v>1180.9612475719446</v>
      </c>
      <c r="X100" s="72">
        <f t="shared" ca="1" si="34"/>
        <v>5282.6901922483121</v>
      </c>
      <c r="Y100" s="73">
        <f>mult_opex * fixed_month</f>
        <v>1000</v>
      </c>
      <c r="Z100" s="72">
        <f ca="1">mult_opex * fixed_well *D100</f>
        <v>5000</v>
      </c>
      <c r="AA100" s="72">
        <f ca="1">(Z100+Y100)*WI_current_2</f>
        <v>0</v>
      </c>
      <c r="AB100" s="72">
        <f ca="1">mult_opex * var_bo*E100</f>
        <v>0</v>
      </c>
      <c r="AC100" s="72">
        <f ca="1">mult_opex * var_mcf*F100</f>
        <v>0</v>
      </c>
      <c r="AD100" s="72">
        <f ca="1">mult_opex * var_bw * G100</f>
        <v>45.209052885002151</v>
      </c>
      <c r="AE100" s="72">
        <f ca="1">SUM(AB100:AD100)*WI_current_2</f>
        <v>0</v>
      </c>
      <c r="AF100" s="73">
        <f ca="1">mult_capex * IFERROR(OFFSET(assumptions!$F$39,MATCH(B100,assumptions!$E$39:$E$45,0)-1,0),0)</f>
        <v>0</v>
      </c>
      <c r="AG100" s="75">
        <f ca="1">mult_capex * capex_new*WI_current_2 *'forecast production'!I101</f>
        <v>0</v>
      </c>
      <c r="AH100" s="146">
        <f t="shared" ca="1" si="35"/>
        <v>0</v>
      </c>
      <c r="AI100" s="73">
        <f t="shared" ca="1" si="29"/>
        <v>295.36797316118771</v>
      </c>
      <c r="AJ100" s="72">
        <f t="shared" ca="1" si="30"/>
        <v>132.06725480620781</v>
      </c>
      <c r="AK100" s="72">
        <f t="shared" ca="1" si="36"/>
        <v>427.43522796739552</v>
      </c>
      <c r="AL100" s="73">
        <f t="shared" ca="1" si="31"/>
        <v>4855.2549642809163</v>
      </c>
      <c r="AM100" s="321">
        <f ca="1">'monthly calculations (1)'!AM100</f>
        <v>1</v>
      </c>
      <c r="AN100" s="73">
        <f t="shared" ca="1" si="37"/>
        <v>4855.2549642809163</v>
      </c>
      <c r="AO100" s="75">
        <f t="shared" ca="1" si="39"/>
        <v>808862.71754296531</v>
      </c>
      <c r="AP100" s="72">
        <f ca="1">AL100  /  ( 1 + disc_1/12)^(COUNT($AL$6:AL100)-1)</f>
        <v>2225.4834025590462</v>
      </c>
      <c r="AQ100" s="72">
        <f t="shared" ca="1" si="40"/>
        <v>607001.99634366413</v>
      </c>
      <c r="AS100" s="303"/>
      <c r="AT100" s="300"/>
      <c r="AU100" s="297"/>
      <c r="AV100" s="303"/>
    </row>
    <row r="101" spans="2:48" x14ac:dyDescent="0.25">
      <c r="B101" s="44">
        <f t="shared" si="38"/>
        <v>47088</v>
      </c>
      <c r="C101" s="100">
        <f t="shared" si="32"/>
        <v>2028</v>
      </c>
      <c r="D101" s="65">
        <f ca="1">wellcount_base  +  SUM('forecast production'!I$7:I102)</f>
        <v>1</v>
      </c>
      <c r="E101" s="109">
        <f ca="1">'forecast production'!AE102</f>
        <v>271.67824986038119</v>
      </c>
      <c r="F101" s="101">
        <f ca="1">'forecast production'!AF102</f>
        <v>1469.2548098189598</v>
      </c>
      <c r="G101" s="101">
        <f ca="1">'forecast production'!AG102</f>
        <v>22.562091253853215</v>
      </c>
      <c r="H101" s="102">
        <f ca="1">'forecast production'!AH102</f>
        <v>220.38822147284398</v>
      </c>
      <c r="I101" s="308">
        <f ca="1">IF('monthly calculations (1)'!AV100,WI_2_APO, WI_2)</f>
        <v>0</v>
      </c>
      <c r="J101" s="309">
        <f ca="1">IF('monthly calculations (1)'!AV100,NRI_2_APO, NRI_2)</f>
        <v>0.25</v>
      </c>
      <c r="K101" s="113">
        <f t="shared" ca="1" si="21"/>
        <v>67.919562465095296</v>
      </c>
      <c r="L101" s="102">
        <f t="shared" ca="1" si="22"/>
        <v>275.48527684105494</v>
      </c>
      <c r="M101" s="102">
        <f t="shared" ca="1" si="23"/>
        <v>5.6405228134633036</v>
      </c>
      <c r="N101" s="102">
        <f t="shared" ca="1" si="24"/>
        <v>55.097055368210995</v>
      </c>
      <c r="O101" s="103">
        <f>assumptions!M105</f>
        <v>55</v>
      </c>
      <c r="P101" s="104">
        <f>assumptions!N105</f>
        <v>3</v>
      </c>
      <c r="Q101" s="104">
        <f>assumptions!O105</f>
        <v>22</v>
      </c>
      <c r="R101" s="103">
        <f t="shared" si="25"/>
        <v>52.5</v>
      </c>
      <c r="S101" s="104">
        <f t="shared" si="26"/>
        <v>2.3275000000000001</v>
      </c>
      <c r="T101" s="104">
        <f t="shared" si="27"/>
        <v>22</v>
      </c>
      <c r="U101" s="105">
        <f t="shared" ca="1" si="33"/>
        <v>3565.7770294175029</v>
      </c>
      <c r="V101" s="106">
        <f t="shared" ca="1" si="33"/>
        <v>641.19198184755544</v>
      </c>
      <c r="W101" s="106">
        <f t="shared" ca="1" si="28"/>
        <v>1212.1352181006419</v>
      </c>
      <c r="X101" s="106">
        <f t="shared" ca="1" si="34"/>
        <v>5419.104229365701</v>
      </c>
      <c r="Y101" s="105">
        <f>mult_opex * fixed_month</f>
        <v>1000</v>
      </c>
      <c r="Z101" s="106">
        <f ca="1">mult_opex * fixed_well *D101</f>
        <v>5000</v>
      </c>
      <c r="AA101" s="106">
        <f ca="1">(Z101+Y101)*WI_current_2</f>
        <v>0</v>
      </c>
      <c r="AB101" s="106">
        <f ca="1">mult_opex * var_bo*E101</f>
        <v>0</v>
      </c>
      <c r="AC101" s="106">
        <f ca="1">mult_opex * var_mcf*F101</f>
        <v>0</v>
      </c>
      <c r="AD101" s="106">
        <f ca="1">mult_opex * var_bw * G101</f>
        <v>45.124182507706429</v>
      </c>
      <c r="AE101" s="106">
        <f ca="1">SUM(AB101:AD101)*WI_current_2</f>
        <v>0</v>
      </c>
      <c r="AF101" s="105">
        <f ca="1">mult_capex * IFERROR(OFFSET(assumptions!$F$39,MATCH(B101,assumptions!$E$39:$E$45,0)-1,0),0)</f>
        <v>0</v>
      </c>
      <c r="AG101" s="106">
        <f ca="1">mult_capex * capex_new*WI_current_2 *'forecast production'!I102</f>
        <v>0</v>
      </c>
      <c r="AH101" s="147">
        <f t="shared" ca="1" si="35"/>
        <v>0</v>
      </c>
      <c r="AI101" s="105">
        <f t="shared" ca="1" si="29"/>
        <v>303.02528334931992</v>
      </c>
      <c r="AJ101" s="106">
        <f t="shared" ca="1" si="30"/>
        <v>135.47760573414254</v>
      </c>
      <c r="AK101" s="106">
        <f t="shared" ca="1" si="36"/>
        <v>438.50288908346249</v>
      </c>
      <c r="AL101" s="105">
        <f t="shared" ca="1" si="31"/>
        <v>4980.6013402822382</v>
      </c>
      <c r="AM101" s="322">
        <f ca="1">'monthly calculations (1)'!AM101</f>
        <v>1</v>
      </c>
      <c r="AN101" s="105">
        <f t="shared" ca="1" si="37"/>
        <v>4980.6013402822382</v>
      </c>
      <c r="AO101" s="106">
        <f t="shared" ca="1" si="39"/>
        <v>813843.31888324756</v>
      </c>
      <c r="AP101" s="106">
        <f ca="1">AL101  /  ( 1 + disc_1/12)^(COUNT($AL$6:AL101)-1)</f>
        <v>2264.0706539099724</v>
      </c>
      <c r="AQ101" s="106">
        <f t="shared" ca="1" si="40"/>
        <v>609266.06699757406</v>
      </c>
      <c r="AS101" s="304"/>
      <c r="AT101" s="301"/>
      <c r="AU101" s="298"/>
      <c r="AV101" s="304"/>
    </row>
    <row r="102" spans="2:48" x14ac:dyDescent="0.25">
      <c r="B102" s="43">
        <f t="shared" si="38"/>
        <v>47119</v>
      </c>
      <c r="C102" s="79">
        <f t="shared" si="32"/>
        <v>2029</v>
      </c>
      <c r="D102" s="64">
        <f ca="1">wellcount_base  +  SUM('forecast production'!I$7:I103)</f>
        <v>1</v>
      </c>
      <c r="E102" s="110">
        <f ca="1">'forecast production'!AE103</f>
        <v>269.573225517514</v>
      </c>
      <c r="F102" s="98">
        <f ca="1">'forecast production'!AF103</f>
        <v>1459.1339390629144</v>
      </c>
      <c r="G102" s="98">
        <f ca="1">'forecast production'!AG103</f>
        <v>21.768259631319502</v>
      </c>
      <c r="H102" s="98">
        <f ca="1">'forecast production'!AH103</f>
        <v>218.87009085943717</v>
      </c>
      <c r="I102" s="307">
        <f ca="1">IF('monthly calculations (1)'!AV101,WI_2_APO, WI_2)</f>
        <v>0</v>
      </c>
      <c r="J102" s="306">
        <f ca="1">IF('monthly calculations (1)'!AV101,NRI_2_APO, NRI_2)</f>
        <v>0.25</v>
      </c>
      <c r="K102" s="112">
        <f t="shared" ca="1" si="21"/>
        <v>67.393306379378501</v>
      </c>
      <c r="L102" s="98">
        <f t="shared" ca="1" si="22"/>
        <v>273.58761357429643</v>
      </c>
      <c r="M102" s="98">
        <f t="shared" ca="1" si="23"/>
        <v>5.4420649078298755</v>
      </c>
      <c r="N102" s="98">
        <f t="shared" ca="1" si="24"/>
        <v>54.717522714859292</v>
      </c>
      <c r="O102" s="67">
        <f>assumptions!M106</f>
        <v>55</v>
      </c>
      <c r="P102" s="68">
        <f>assumptions!N106</f>
        <v>3</v>
      </c>
      <c r="Q102" s="68">
        <f>assumptions!O106</f>
        <v>22</v>
      </c>
      <c r="R102" s="67">
        <f t="shared" si="25"/>
        <v>52.5</v>
      </c>
      <c r="S102" s="68">
        <f t="shared" si="26"/>
        <v>2.3275000000000001</v>
      </c>
      <c r="T102" s="68">
        <f t="shared" si="27"/>
        <v>22</v>
      </c>
      <c r="U102" s="73">
        <f t="shared" ca="1" si="33"/>
        <v>3538.1485849173714</v>
      </c>
      <c r="V102" s="72">
        <f t="shared" ca="1" si="33"/>
        <v>636.77517059417494</v>
      </c>
      <c r="W102" s="72">
        <f t="shared" ca="1" si="28"/>
        <v>1203.7854997269044</v>
      </c>
      <c r="X102" s="72">
        <f t="shared" ca="1" si="34"/>
        <v>5378.7092552384502</v>
      </c>
      <c r="Y102" s="73">
        <f>mult_opex * fixed_month</f>
        <v>1000</v>
      </c>
      <c r="Z102" s="72">
        <f ca="1">mult_opex * fixed_well *D102</f>
        <v>5000</v>
      </c>
      <c r="AA102" s="72">
        <f ca="1">(Z102+Y102)*WI_current_2</f>
        <v>0</v>
      </c>
      <c r="AB102" s="72">
        <f ca="1">mult_opex * var_bo*E102</f>
        <v>0</v>
      </c>
      <c r="AC102" s="72">
        <f ca="1">mult_opex * var_mcf*F102</f>
        <v>0</v>
      </c>
      <c r="AD102" s="72">
        <f ca="1">mult_opex * var_bw * G102</f>
        <v>43.536519262639004</v>
      </c>
      <c r="AE102" s="72">
        <f ca="1">SUM(AB102:AD102)*WI_current_2</f>
        <v>0</v>
      </c>
      <c r="AF102" s="73">
        <f ca="1">mult_capex * IFERROR(OFFSET(assumptions!$F$39,MATCH(B102,assumptions!$E$39:$E$45,0)-1,0),0)</f>
        <v>0</v>
      </c>
      <c r="AG102" s="75">
        <f ca="1">mult_capex * capex_new*WI_current_2 *'forecast production'!I103</f>
        <v>0</v>
      </c>
      <c r="AH102" s="146">
        <f t="shared" ca="1" si="35"/>
        <v>0</v>
      </c>
      <c r="AI102" s="73">
        <f t="shared" ca="1" si="29"/>
        <v>300.79688518028001</v>
      </c>
      <c r="AJ102" s="72">
        <f t="shared" ca="1" si="30"/>
        <v>134.46773138096125</v>
      </c>
      <c r="AK102" s="72">
        <f t="shared" ca="1" si="36"/>
        <v>435.26461656124127</v>
      </c>
      <c r="AL102" s="73">
        <f t="shared" ca="1" si="31"/>
        <v>4943.4446386772088</v>
      </c>
      <c r="AM102" s="321">
        <f ca="1">'monthly calculations (1)'!AM102</f>
        <v>1</v>
      </c>
      <c r="AN102" s="73">
        <f t="shared" ca="1" si="37"/>
        <v>4943.4446386772088</v>
      </c>
      <c r="AO102" s="75">
        <f t="shared" ca="1" si="39"/>
        <v>818786.76352192473</v>
      </c>
      <c r="AP102" s="72">
        <f ca="1">AL102  /  ( 1 + disc_1/12)^(COUNT($AL$6:AL102)-1)</f>
        <v>2228.6083074332691</v>
      </c>
      <c r="AQ102" s="72">
        <f t="shared" ca="1" si="40"/>
        <v>611494.67530500737</v>
      </c>
      <c r="AS102" s="303"/>
      <c r="AT102" s="300"/>
      <c r="AU102" s="297"/>
      <c r="AV102" s="303"/>
    </row>
    <row r="103" spans="2:48" x14ac:dyDescent="0.25">
      <c r="B103" s="43">
        <f t="shared" si="38"/>
        <v>47150</v>
      </c>
      <c r="C103" s="79">
        <f t="shared" si="32"/>
        <v>2029</v>
      </c>
      <c r="D103" s="64">
        <f ca="1">wellcount_base  +  SUM('forecast production'!I$7:I104)</f>
        <v>1</v>
      </c>
      <c r="E103" s="110">
        <f ca="1">'forecast production'!AE104</f>
        <v>241.61341876385234</v>
      </c>
      <c r="F103" s="98">
        <f ca="1">'forecast production'!AF104</f>
        <v>1308.9110759544722</v>
      </c>
      <c r="G103" s="98">
        <f ca="1">'forecast production'!AG104</f>
        <v>18.969993792538688</v>
      </c>
      <c r="H103" s="98">
        <f ca="1">'forecast production'!AH104</f>
        <v>196.33666139317083</v>
      </c>
      <c r="I103" s="307">
        <f ca="1">IF('monthly calculations (1)'!AV102,WI_2_APO, WI_2)</f>
        <v>0</v>
      </c>
      <c r="J103" s="306">
        <f ca="1">IF('monthly calculations (1)'!AV102,NRI_2_APO, NRI_2)</f>
        <v>0.25</v>
      </c>
      <c r="K103" s="112">
        <f t="shared" ca="1" si="21"/>
        <v>60.403354690963084</v>
      </c>
      <c r="L103" s="98">
        <f t="shared" ca="1" si="22"/>
        <v>245.42082674146354</v>
      </c>
      <c r="M103" s="98">
        <f t="shared" ca="1" si="23"/>
        <v>4.7424984481346719</v>
      </c>
      <c r="N103" s="98">
        <f t="shared" ca="1" si="24"/>
        <v>49.084165348292707</v>
      </c>
      <c r="O103" s="67">
        <f>assumptions!M107</f>
        <v>55</v>
      </c>
      <c r="P103" s="68">
        <f>assumptions!N107</f>
        <v>3</v>
      </c>
      <c r="Q103" s="68">
        <f>assumptions!O107</f>
        <v>22</v>
      </c>
      <c r="R103" s="67">
        <f t="shared" si="25"/>
        <v>52.5</v>
      </c>
      <c r="S103" s="68">
        <f t="shared" si="26"/>
        <v>2.3275000000000001</v>
      </c>
      <c r="T103" s="68">
        <f t="shared" si="27"/>
        <v>22</v>
      </c>
      <c r="U103" s="73">
        <f t="shared" ca="1" si="33"/>
        <v>3171.1761212755619</v>
      </c>
      <c r="V103" s="72">
        <f t="shared" ca="1" si="33"/>
        <v>571.21697424075637</v>
      </c>
      <c r="W103" s="72">
        <f t="shared" ca="1" si="28"/>
        <v>1079.8516376624395</v>
      </c>
      <c r="X103" s="72">
        <f t="shared" ca="1" si="34"/>
        <v>4822.244733178758</v>
      </c>
      <c r="Y103" s="73">
        <f>mult_opex * fixed_month</f>
        <v>1000</v>
      </c>
      <c r="Z103" s="72">
        <f ca="1">mult_opex * fixed_well *D103</f>
        <v>5000</v>
      </c>
      <c r="AA103" s="72">
        <f ca="1">(Z103+Y103)*WI_current_2</f>
        <v>0</v>
      </c>
      <c r="AB103" s="72">
        <f ca="1">mult_opex * var_bo*E103</f>
        <v>0</v>
      </c>
      <c r="AC103" s="72">
        <f ca="1">mult_opex * var_mcf*F103</f>
        <v>0</v>
      </c>
      <c r="AD103" s="72">
        <f ca="1">mult_opex * var_bw * G103</f>
        <v>37.939987585077375</v>
      </c>
      <c r="AE103" s="72">
        <f ca="1">SUM(AB103:AD103)*WI_current_2</f>
        <v>0</v>
      </c>
      <c r="AF103" s="73">
        <f ca="1">mult_capex * IFERROR(OFFSET(assumptions!$F$39,MATCH(B103,assumptions!$E$39:$E$45,0)-1,0),0)</f>
        <v>0</v>
      </c>
      <c r="AG103" s="75">
        <f ca="1">mult_capex * capex_new*WI_current_2 *'forecast production'!I104</f>
        <v>0</v>
      </c>
      <c r="AH103" s="146">
        <f t="shared" ca="1" si="35"/>
        <v>0</v>
      </c>
      <c r="AI103" s="73">
        <f t="shared" ca="1" si="29"/>
        <v>269.7042474714155</v>
      </c>
      <c r="AJ103" s="72">
        <f t="shared" ca="1" si="30"/>
        <v>120.55611832946896</v>
      </c>
      <c r="AK103" s="72">
        <f t="shared" ca="1" si="36"/>
        <v>390.26036580088447</v>
      </c>
      <c r="AL103" s="73">
        <f t="shared" ca="1" si="31"/>
        <v>4431.9843673778732</v>
      </c>
      <c r="AM103" s="321">
        <f ca="1">'monthly calculations (1)'!AM103</f>
        <v>1</v>
      </c>
      <c r="AN103" s="73">
        <f t="shared" ca="1" si="37"/>
        <v>4431.9843673778732</v>
      </c>
      <c r="AO103" s="75">
        <f t="shared" ca="1" si="39"/>
        <v>823218.74788930255</v>
      </c>
      <c r="AP103" s="72">
        <f ca="1">AL103  /  ( 1 + disc_1/12)^(COUNT($AL$6:AL103)-1)</f>
        <v>1981.5186569977902</v>
      </c>
      <c r="AQ103" s="72">
        <f t="shared" ca="1" si="40"/>
        <v>613476.1939620052</v>
      </c>
      <c r="AS103" s="303"/>
      <c r="AT103" s="300"/>
      <c r="AU103" s="297"/>
      <c r="AV103" s="303"/>
    </row>
    <row r="104" spans="2:48" x14ac:dyDescent="0.25">
      <c r="B104" s="43">
        <f t="shared" si="38"/>
        <v>47178</v>
      </c>
      <c r="C104" s="79">
        <f t="shared" si="32"/>
        <v>2029</v>
      </c>
      <c r="D104" s="64">
        <f ca="1">wellcount_base  +  SUM('forecast production'!I$7:I105)</f>
        <v>1</v>
      </c>
      <c r="E104" s="110">
        <f ca="1">'forecast production'!AE105</f>
        <v>265.65570111907527</v>
      </c>
      <c r="F104" s="98">
        <f ca="1">'forecast production'!AF105</f>
        <v>1440.2518725047157</v>
      </c>
      <c r="G104" s="98">
        <f ca="1">'forecast production'!AG105</f>
        <v>20.334125627501145</v>
      </c>
      <c r="H104" s="98">
        <f ca="1">'forecast production'!AH105</f>
        <v>216.03778087570734</v>
      </c>
      <c r="I104" s="307">
        <f ca="1">IF('monthly calculations (1)'!AV103,WI_2_APO, WI_2)</f>
        <v>0</v>
      </c>
      <c r="J104" s="306">
        <f ca="1">IF('monthly calculations (1)'!AV103,NRI_2_APO, NRI_2)</f>
        <v>0.25</v>
      </c>
      <c r="K104" s="112">
        <f t="shared" ca="1" si="21"/>
        <v>66.413925279768819</v>
      </c>
      <c r="L104" s="98">
        <f t="shared" ca="1" si="22"/>
        <v>270.0472260946342</v>
      </c>
      <c r="M104" s="98">
        <f t="shared" ca="1" si="23"/>
        <v>5.0835314068752862</v>
      </c>
      <c r="N104" s="98">
        <f t="shared" ca="1" si="24"/>
        <v>54.009445218926835</v>
      </c>
      <c r="O104" s="67">
        <f>assumptions!M108</f>
        <v>55</v>
      </c>
      <c r="P104" s="68">
        <f>assumptions!N108</f>
        <v>3</v>
      </c>
      <c r="Q104" s="68">
        <f>assumptions!O108</f>
        <v>22</v>
      </c>
      <c r="R104" s="67">
        <f t="shared" si="25"/>
        <v>52.5</v>
      </c>
      <c r="S104" s="68">
        <f t="shared" si="26"/>
        <v>2.3275000000000001</v>
      </c>
      <c r="T104" s="68">
        <f t="shared" si="27"/>
        <v>22</v>
      </c>
      <c r="U104" s="73">
        <f t="shared" ca="1" si="33"/>
        <v>3486.7310771878629</v>
      </c>
      <c r="V104" s="72">
        <f t="shared" ca="1" si="33"/>
        <v>628.53491873526116</v>
      </c>
      <c r="W104" s="72">
        <f t="shared" ca="1" si="28"/>
        <v>1188.2077948163903</v>
      </c>
      <c r="X104" s="72">
        <f t="shared" ca="1" si="34"/>
        <v>5303.4737907395147</v>
      </c>
      <c r="Y104" s="73">
        <f>mult_opex * fixed_month</f>
        <v>1000</v>
      </c>
      <c r="Z104" s="72">
        <f ca="1">mult_opex * fixed_well *D104</f>
        <v>5000</v>
      </c>
      <c r="AA104" s="72">
        <f ca="1">(Z104+Y104)*WI_current_2</f>
        <v>0</v>
      </c>
      <c r="AB104" s="72">
        <f ca="1">mult_opex * var_bo*E104</f>
        <v>0</v>
      </c>
      <c r="AC104" s="72">
        <f ca="1">mult_opex * var_mcf*F104</f>
        <v>0</v>
      </c>
      <c r="AD104" s="72">
        <f ca="1">mult_opex * var_bw * G104</f>
        <v>40.668251255002289</v>
      </c>
      <c r="AE104" s="72">
        <f ca="1">SUM(AB104:AD104)*WI_current_2</f>
        <v>0</v>
      </c>
      <c r="AF104" s="73">
        <f ca="1">mult_capex * IFERROR(OFFSET(assumptions!$F$39,MATCH(B104,assumptions!$E$39:$E$45,0)-1,0),0)</f>
        <v>0</v>
      </c>
      <c r="AG104" s="75">
        <f ca="1">mult_capex * capex_new*WI_current_2 *'forecast production'!I105</f>
        <v>0</v>
      </c>
      <c r="AH104" s="146">
        <f t="shared" ca="1" si="35"/>
        <v>0</v>
      </c>
      <c r="AI104" s="73">
        <f t="shared" ca="1" si="29"/>
        <v>296.64533306701554</v>
      </c>
      <c r="AJ104" s="72">
        <f t="shared" ca="1" si="30"/>
        <v>132.58684476848788</v>
      </c>
      <c r="AK104" s="72">
        <f t="shared" ca="1" si="36"/>
        <v>429.23217783550342</v>
      </c>
      <c r="AL104" s="73">
        <f t="shared" ca="1" si="31"/>
        <v>4874.2416129040112</v>
      </c>
      <c r="AM104" s="321">
        <f ca="1">'monthly calculations (1)'!AM104</f>
        <v>1</v>
      </c>
      <c r="AN104" s="73">
        <f t="shared" ca="1" si="37"/>
        <v>4874.2416129040112</v>
      </c>
      <c r="AO104" s="75">
        <f t="shared" ca="1" si="39"/>
        <v>828092.98950220656</v>
      </c>
      <c r="AP104" s="72">
        <f ca="1">AL104  /  ( 1 + disc_1/12)^(COUNT($AL$6:AL104)-1)</f>
        <v>2161.2393924139319</v>
      </c>
      <c r="AQ104" s="72">
        <f t="shared" ca="1" si="40"/>
        <v>615637.43335441907</v>
      </c>
      <c r="AS104" s="303"/>
      <c r="AT104" s="300"/>
      <c r="AU104" s="297"/>
      <c r="AV104" s="303"/>
    </row>
    <row r="105" spans="2:48" x14ac:dyDescent="0.25">
      <c r="B105" s="43">
        <f t="shared" si="38"/>
        <v>47209</v>
      </c>
      <c r="C105" s="79">
        <f t="shared" si="32"/>
        <v>2029</v>
      </c>
      <c r="D105" s="64">
        <f ca="1">wellcount_base  +  SUM('forecast production'!I$7:I106)</f>
        <v>1</v>
      </c>
      <c r="E105" s="110">
        <f ca="1">'forecast production'!AE106</f>
        <v>255.13802389417097</v>
      </c>
      <c r="F105" s="98">
        <f ca="1">'forecast production'!AF106</f>
        <v>1384.3793277091854</v>
      </c>
      <c r="G105" s="98">
        <f ca="1">'forecast production'!AG106</f>
        <v>18.98617608250315</v>
      </c>
      <c r="H105" s="98">
        <f ca="1">'forecast production'!AH106</f>
        <v>207.65689915637782</v>
      </c>
      <c r="I105" s="307">
        <f ca="1">IF('monthly calculations (1)'!AV104,WI_2_APO, WI_2)</f>
        <v>0</v>
      </c>
      <c r="J105" s="306">
        <f ca="1">IF('monthly calculations (1)'!AV104,NRI_2_APO, NRI_2)</f>
        <v>0.25</v>
      </c>
      <c r="K105" s="112">
        <f t="shared" ca="1" si="21"/>
        <v>63.784505973542743</v>
      </c>
      <c r="L105" s="98">
        <f t="shared" ca="1" si="22"/>
        <v>259.57112394547227</v>
      </c>
      <c r="M105" s="98">
        <f t="shared" ca="1" si="23"/>
        <v>4.7465440206257874</v>
      </c>
      <c r="N105" s="98">
        <f t="shared" ca="1" si="24"/>
        <v>51.914224789094455</v>
      </c>
      <c r="O105" s="67">
        <f>assumptions!M109</f>
        <v>55</v>
      </c>
      <c r="P105" s="68">
        <f>assumptions!N109</f>
        <v>3</v>
      </c>
      <c r="Q105" s="68">
        <f>assumptions!O109</f>
        <v>22</v>
      </c>
      <c r="R105" s="67">
        <f t="shared" si="25"/>
        <v>52.5</v>
      </c>
      <c r="S105" s="68">
        <f t="shared" si="26"/>
        <v>2.3275000000000001</v>
      </c>
      <c r="T105" s="68">
        <f t="shared" si="27"/>
        <v>22</v>
      </c>
      <c r="U105" s="73">
        <f t="shared" ca="1" si="33"/>
        <v>3348.6865636109942</v>
      </c>
      <c r="V105" s="72">
        <f t="shared" ca="1" si="33"/>
        <v>604.1517909830867</v>
      </c>
      <c r="W105" s="72">
        <f t="shared" ca="1" si="28"/>
        <v>1142.1129453600779</v>
      </c>
      <c r="X105" s="72">
        <f t="shared" ca="1" si="34"/>
        <v>5094.9512999541585</v>
      </c>
      <c r="Y105" s="73">
        <f>mult_opex * fixed_month</f>
        <v>1000</v>
      </c>
      <c r="Z105" s="72">
        <f ca="1">mult_opex * fixed_well *D105</f>
        <v>5000</v>
      </c>
      <c r="AA105" s="72">
        <f ca="1">(Z105+Y105)*WI_current_2</f>
        <v>0</v>
      </c>
      <c r="AB105" s="72">
        <f ca="1">mult_opex * var_bo*E105</f>
        <v>0</v>
      </c>
      <c r="AC105" s="72">
        <f ca="1">mult_opex * var_mcf*F105</f>
        <v>0</v>
      </c>
      <c r="AD105" s="72">
        <f ca="1">mult_opex * var_bw * G105</f>
        <v>37.972352165006299</v>
      </c>
      <c r="AE105" s="72">
        <f ca="1">SUM(AB105:AD105)*WI_current_2</f>
        <v>0</v>
      </c>
      <c r="AF105" s="73">
        <f ca="1">mult_capex * IFERROR(OFFSET(assumptions!$F$39,MATCH(B105,assumptions!$E$39:$E$45,0)-1,0),0)</f>
        <v>0</v>
      </c>
      <c r="AG105" s="75">
        <f ca="1">mult_capex * capex_new*WI_current_2 *'forecast production'!I106</f>
        <v>0</v>
      </c>
      <c r="AH105" s="146">
        <f t="shared" ca="1" si="35"/>
        <v>0</v>
      </c>
      <c r="AI105" s="73">
        <f t="shared" ca="1" si="29"/>
        <v>285.00943715184309</v>
      </c>
      <c r="AJ105" s="72">
        <f t="shared" ca="1" si="30"/>
        <v>127.37378249885397</v>
      </c>
      <c r="AK105" s="72">
        <f t="shared" ca="1" si="36"/>
        <v>412.38321965069707</v>
      </c>
      <c r="AL105" s="73">
        <f t="shared" ca="1" si="31"/>
        <v>4682.5680803034611</v>
      </c>
      <c r="AM105" s="321">
        <f ca="1">'monthly calculations (1)'!AM105</f>
        <v>1</v>
      </c>
      <c r="AN105" s="73">
        <f t="shared" ca="1" si="37"/>
        <v>4682.5680803034611</v>
      </c>
      <c r="AO105" s="75">
        <f t="shared" ca="1" si="39"/>
        <v>832775.55758251005</v>
      </c>
      <c r="AP105" s="72">
        <f ca="1">AL105  /  ( 1 + disc_1/12)^(COUNT($AL$6:AL105)-1)</f>
        <v>2059.0922202207457</v>
      </c>
      <c r="AQ105" s="72">
        <f t="shared" ca="1" si="40"/>
        <v>617696.52557463979</v>
      </c>
      <c r="AS105" s="303"/>
      <c r="AT105" s="300"/>
      <c r="AU105" s="297"/>
      <c r="AV105" s="303"/>
    </row>
    <row r="106" spans="2:48" x14ac:dyDescent="0.25">
      <c r="B106" s="43">
        <f t="shared" si="38"/>
        <v>47239</v>
      </c>
      <c r="C106" s="79">
        <f t="shared" si="32"/>
        <v>2029</v>
      </c>
      <c r="D106" s="64">
        <f ca="1">wellcount_base  +  SUM('forecast production'!I$7:I107)</f>
        <v>1</v>
      </c>
      <c r="E106" s="110">
        <f ca="1">'forecast production'!AE107</f>
        <v>261.7233235973959</v>
      </c>
      <c r="F106" s="98">
        <f ca="1">'forecast production'!AF107</f>
        <v>1421.236772055142</v>
      </c>
      <c r="G106" s="98">
        <f ca="1">'forecast production'!AG107</f>
        <v>18.951106312679496</v>
      </c>
      <c r="H106" s="98">
        <f ca="1">'forecast production'!AH107</f>
        <v>213.18551580827128</v>
      </c>
      <c r="I106" s="307">
        <f ca="1">IF('monthly calculations (1)'!AV105,WI_2_APO, WI_2)</f>
        <v>0</v>
      </c>
      <c r="J106" s="306">
        <f ca="1">IF('monthly calculations (1)'!AV105,NRI_2_APO, NRI_2)</f>
        <v>0.25</v>
      </c>
      <c r="K106" s="112">
        <f t="shared" ca="1" si="21"/>
        <v>65.430830899348976</v>
      </c>
      <c r="L106" s="98">
        <f t="shared" ca="1" si="22"/>
        <v>266.48189476033912</v>
      </c>
      <c r="M106" s="98">
        <f t="shared" ca="1" si="23"/>
        <v>4.737776578169874</v>
      </c>
      <c r="N106" s="98">
        <f t="shared" ca="1" si="24"/>
        <v>53.296378952067819</v>
      </c>
      <c r="O106" s="67">
        <f>assumptions!M110</f>
        <v>55</v>
      </c>
      <c r="P106" s="68">
        <f>assumptions!N110</f>
        <v>3</v>
      </c>
      <c r="Q106" s="68">
        <f>assumptions!O110</f>
        <v>22</v>
      </c>
      <c r="R106" s="67">
        <f t="shared" si="25"/>
        <v>52.5</v>
      </c>
      <c r="S106" s="68">
        <f t="shared" si="26"/>
        <v>2.3275000000000001</v>
      </c>
      <c r="T106" s="68">
        <f t="shared" si="27"/>
        <v>22</v>
      </c>
      <c r="U106" s="73">
        <f t="shared" ca="1" si="33"/>
        <v>3435.1186222158212</v>
      </c>
      <c r="V106" s="72">
        <f t="shared" ca="1" si="33"/>
        <v>620.23661005468932</v>
      </c>
      <c r="W106" s="72">
        <f t="shared" ca="1" si="28"/>
        <v>1172.5203369454921</v>
      </c>
      <c r="X106" s="72">
        <f t="shared" ca="1" si="34"/>
        <v>5227.875569216003</v>
      </c>
      <c r="Y106" s="73">
        <f>mult_opex * fixed_month</f>
        <v>1000</v>
      </c>
      <c r="Z106" s="72">
        <f ca="1">mult_opex * fixed_well *D106</f>
        <v>5000</v>
      </c>
      <c r="AA106" s="72">
        <f ca="1">(Z106+Y106)*WI_current_2</f>
        <v>0</v>
      </c>
      <c r="AB106" s="72">
        <f ca="1">mult_opex * var_bo*E106</f>
        <v>0</v>
      </c>
      <c r="AC106" s="72">
        <f ca="1">mult_opex * var_mcf*F106</f>
        <v>0</v>
      </c>
      <c r="AD106" s="72">
        <f ca="1">mult_opex * var_bw * G106</f>
        <v>37.902212625358992</v>
      </c>
      <c r="AE106" s="72">
        <f ca="1">SUM(AB106:AD106)*WI_current_2</f>
        <v>0</v>
      </c>
      <c r="AF106" s="73">
        <f ca="1">mult_capex * IFERROR(OFFSET(assumptions!$F$39,MATCH(B106,assumptions!$E$39:$E$45,0)-1,0),0)</f>
        <v>0</v>
      </c>
      <c r="AG106" s="75">
        <f ca="1">mult_capex * capex_new*WI_current_2 *'forecast production'!I107</f>
        <v>0</v>
      </c>
      <c r="AH106" s="146">
        <f t="shared" ca="1" si="35"/>
        <v>0</v>
      </c>
      <c r="AI106" s="73">
        <f t="shared" ca="1" si="29"/>
        <v>292.47222764694135</v>
      </c>
      <c r="AJ106" s="72">
        <f t="shared" ca="1" si="30"/>
        <v>130.69688923040007</v>
      </c>
      <c r="AK106" s="72">
        <f t="shared" ca="1" si="36"/>
        <v>423.16911687734142</v>
      </c>
      <c r="AL106" s="73">
        <f t="shared" ca="1" si="31"/>
        <v>4804.7064523386616</v>
      </c>
      <c r="AM106" s="321">
        <f ca="1">'monthly calculations (1)'!AM106</f>
        <v>1</v>
      </c>
      <c r="AN106" s="73">
        <f t="shared" ca="1" si="37"/>
        <v>4804.7064523386616</v>
      </c>
      <c r="AO106" s="75">
        <f t="shared" ca="1" si="39"/>
        <v>837580.26403484866</v>
      </c>
      <c r="AP106" s="72">
        <f ca="1">AL106  /  ( 1 + disc_1/12)^(COUNT($AL$6:AL106)-1)</f>
        <v>2095.3396554960373</v>
      </c>
      <c r="AQ106" s="72">
        <f t="shared" ca="1" si="40"/>
        <v>619791.86523013585</v>
      </c>
      <c r="AS106" s="303"/>
      <c r="AT106" s="300"/>
      <c r="AU106" s="297"/>
      <c r="AV106" s="303"/>
    </row>
    <row r="107" spans="2:48" x14ac:dyDescent="0.25">
      <c r="B107" s="43">
        <f t="shared" si="38"/>
        <v>47270</v>
      </c>
      <c r="C107" s="79">
        <f t="shared" si="32"/>
        <v>2029</v>
      </c>
      <c r="D107" s="64">
        <f ca="1">wellcount_base  +  SUM('forecast production'!I$7:I108)</f>
        <v>1</v>
      </c>
      <c r="E107" s="110">
        <f ca="1">'forecast production'!AE108</f>
        <v>251.38953304044782</v>
      </c>
      <c r="F107" s="98">
        <f ca="1">'forecast production'!AF108</f>
        <v>1366.2237069888531</v>
      </c>
      <c r="G107" s="98">
        <f ca="1">'forecast production'!AG108</f>
        <v>17.695060186233455</v>
      </c>
      <c r="H107" s="98">
        <f ca="1">'forecast production'!AH108</f>
        <v>204.93355604832794</v>
      </c>
      <c r="I107" s="307">
        <f ca="1">IF('monthly calculations (1)'!AV106,WI_2_APO, WI_2)</f>
        <v>0</v>
      </c>
      <c r="J107" s="306">
        <f ca="1">IF('monthly calculations (1)'!AV106,NRI_2_APO, NRI_2)</f>
        <v>0.25</v>
      </c>
      <c r="K107" s="112">
        <f t="shared" ca="1" si="21"/>
        <v>62.847383260111954</v>
      </c>
      <c r="L107" s="98">
        <f t="shared" ca="1" si="22"/>
        <v>256.16694506040994</v>
      </c>
      <c r="M107" s="98">
        <f t="shared" ca="1" si="23"/>
        <v>4.4237650465583638</v>
      </c>
      <c r="N107" s="98">
        <f t="shared" ca="1" si="24"/>
        <v>51.233389012081986</v>
      </c>
      <c r="O107" s="67">
        <f>assumptions!M111</f>
        <v>55</v>
      </c>
      <c r="P107" s="68">
        <f>assumptions!N111</f>
        <v>3</v>
      </c>
      <c r="Q107" s="68">
        <f>assumptions!O111</f>
        <v>22</v>
      </c>
      <c r="R107" s="67">
        <f t="shared" si="25"/>
        <v>52.5</v>
      </c>
      <c r="S107" s="68">
        <f t="shared" si="26"/>
        <v>2.3275000000000001</v>
      </c>
      <c r="T107" s="68">
        <f t="shared" si="27"/>
        <v>22</v>
      </c>
      <c r="U107" s="73">
        <f t="shared" ca="1" si="33"/>
        <v>3299.4876211558776</v>
      </c>
      <c r="V107" s="72">
        <f t="shared" ca="1" si="33"/>
        <v>596.22856462810421</v>
      </c>
      <c r="W107" s="72">
        <f t="shared" ca="1" si="28"/>
        <v>1127.1345582658037</v>
      </c>
      <c r="X107" s="72">
        <f t="shared" ca="1" si="34"/>
        <v>5022.8507440497851</v>
      </c>
      <c r="Y107" s="73">
        <f>mult_opex * fixed_month</f>
        <v>1000</v>
      </c>
      <c r="Z107" s="72">
        <f ca="1">mult_opex * fixed_well *D107</f>
        <v>5000</v>
      </c>
      <c r="AA107" s="72">
        <f ca="1">(Z107+Y107)*WI_current_2</f>
        <v>0</v>
      </c>
      <c r="AB107" s="72">
        <f ca="1">mult_opex * var_bo*E107</f>
        <v>0</v>
      </c>
      <c r="AC107" s="72">
        <f ca="1">mult_opex * var_mcf*F107</f>
        <v>0</v>
      </c>
      <c r="AD107" s="72">
        <f ca="1">mult_opex * var_bw * G107</f>
        <v>35.39012037246691</v>
      </c>
      <c r="AE107" s="72">
        <f ca="1">SUM(AB107:AD107)*WI_current_2</f>
        <v>0</v>
      </c>
      <c r="AF107" s="73">
        <f ca="1">mult_capex * IFERROR(OFFSET(assumptions!$F$39,MATCH(B107,assumptions!$E$39:$E$45,0)-1,0),0)</f>
        <v>0</v>
      </c>
      <c r="AG107" s="75">
        <f ca="1">mult_capex * capex_new*WI_current_2 *'forecast production'!I108</f>
        <v>0</v>
      </c>
      <c r="AH107" s="146">
        <f t="shared" ca="1" si="35"/>
        <v>0</v>
      </c>
      <c r="AI107" s="73">
        <f t="shared" ca="1" si="29"/>
        <v>281.02866479021344</v>
      </c>
      <c r="AJ107" s="72">
        <f t="shared" ca="1" si="30"/>
        <v>125.57126860124464</v>
      </c>
      <c r="AK107" s="72">
        <f t="shared" ca="1" si="36"/>
        <v>406.59993339145808</v>
      </c>
      <c r="AL107" s="73">
        <f t="shared" ca="1" si="31"/>
        <v>4616.2508106583273</v>
      </c>
      <c r="AM107" s="321">
        <f ca="1">'monthly calculations (1)'!AM107</f>
        <v>1</v>
      </c>
      <c r="AN107" s="73">
        <f t="shared" ca="1" si="37"/>
        <v>4616.2508106583273</v>
      </c>
      <c r="AO107" s="75">
        <f t="shared" ca="1" si="39"/>
        <v>842196.51484550699</v>
      </c>
      <c r="AP107" s="72">
        <f ca="1">AL107  /  ( 1 + disc_1/12)^(COUNT($AL$6:AL107)-1)</f>
        <v>1996.5162335855196</v>
      </c>
      <c r="AQ107" s="72">
        <f t="shared" ca="1" si="40"/>
        <v>621788.38146372139</v>
      </c>
      <c r="AS107" s="303"/>
      <c r="AT107" s="300"/>
      <c r="AU107" s="297"/>
      <c r="AV107" s="303"/>
    </row>
    <row r="108" spans="2:48" x14ac:dyDescent="0.25">
      <c r="B108" s="43">
        <f t="shared" si="38"/>
        <v>47300</v>
      </c>
      <c r="C108" s="79">
        <f t="shared" si="32"/>
        <v>2029</v>
      </c>
      <c r="D108" s="64">
        <f ca="1">wellcount_base  +  SUM('forecast production'!I$7:I109)</f>
        <v>1</v>
      </c>
      <c r="E108" s="110">
        <f ca="1">'forecast production'!AE109</f>
        <v>257.90566622989377</v>
      </c>
      <c r="F108" s="98">
        <f ca="1">'forecast production'!AF109</f>
        <v>1402.7172273219769</v>
      </c>
      <c r="G108" s="98">
        <f ca="1">'forecast production'!AG109</f>
        <v>17.662590641089778</v>
      </c>
      <c r="H108" s="98">
        <f ca="1">'forecast production'!AH109</f>
        <v>210.40758409829655</v>
      </c>
      <c r="I108" s="307">
        <f ca="1">IF('monthly calculations (1)'!AV107,WI_2_APO, WI_2)</f>
        <v>0</v>
      </c>
      <c r="J108" s="306">
        <f ca="1">IF('monthly calculations (1)'!AV107,NRI_2_APO, NRI_2)</f>
        <v>0.25</v>
      </c>
      <c r="K108" s="112">
        <f t="shared" ca="1" si="21"/>
        <v>64.476416557473442</v>
      </c>
      <c r="L108" s="98">
        <f t="shared" ca="1" si="22"/>
        <v>263.00948012287068</v>
      </c>
      <c r="M108" s="98">
        <f t="shared" ca="1" si="23"/>
        <v>4.4156476602724446</v>
      </c>
      <c r="N108" s="98">
        <f t="shared" ca="1" si="24"/>
        <v>52.601896024574138</v>
      </c>
      <c r="O108" s="67">
        <f>assumptions!M112</f>
        <v>55</v>
      </c>
      <c r="P108" s="68">
        <f>assumptions!N112</f>
        <v>3</v>
      </c>
      <c r="Q108" s="68">
        <f>assumptions!O112</f>
        <v>22</v>
      </c>
      <c r="R108" s="67">
        <f t="shared" si="25"/>
        <v>52.5</v>
      </c>
      <c r="S108" s="68">
        <f t="shared" si="26"/>
        <v>2.3275000000000001</v>
      </c>
      <c r="T108" s="68">
        <f t="shared" si="27"/>
        <v>22</v>
      </c>
      <c r="U108" s="73">
        <f t="shared" ca="1" si="33"/>
        <v>3385.0118692673559</v>
      </c>
      <c r="V108" s="72">
        <f t="shared" ca="1" si="33"/>
        <v>612.15456498598155</v>
      </c>
      <c r="W108" s="72">
        <f t="shared" ca="1" si="28"/>
        <v>1157.2417125406309</v>
      </c>
      <c r="X108" s="72">
        <f t="shared" ca="1" si="34"/>
        <v>5154.4081467939686</v>
      </c>
      <c r="Y108" s="73">
        <f>mult_opex * fixed_month</f>
        <v>1000</v>
      </c>
      <c r="Z108" s="72">
        <f ca="1">mult_opex * fixed_well *D108</f>
        <v>5000</v>
      </c>
      <c r="AA108" s="72">
        <f ca="1">(Z108+Y108)*WI_current_2</f>
        <v>0</v>
      </c>
      <c r="AB108" s="72">
        <f ca="1">mult_opex * var_bo*E108</f>
        <v>0</v>
      </c>
      <c r="AC108" s="72">
        <f ca="1">mult_opex * var_mcf*F108</f>
        <v>0</v>
      </c>
      <c r="AD108" s="72">
        <f ca="1">mult_opex * var_bw * G108</f>
        <v>35.325181282179557</v>
      </c>
      <c r="AE108" s="72">
        <f ca="1">SUM(AB108:AD108)*WI_current_2</f>
        <v>0</v>
      </c>
      <c r="AF108" s="73">
        <f ca="1">mult_capex * IFERROR(OFFSET(assumptions!$F$39,MATCH(B108,assumptions!$E$39:$E$45,0)-1,0),0)</f>
        <v>0</v>
      </c>
      <c r="AG108" s="75">
        <f ca="1">mult_capex * capex_new*WI_current_2 *'forecast production'!I109</f>
        <v>0</v>
      </c>
      <c r="AH108" s="146">
        <f t="shared" ca="1" si="35"/>
        <v>0</v>
      </c>
      <c r="AI108" s="73">
        <f t="shared" ca="1" si="29"/>
        <v>288.41526680079431</v>
      </c>
      <c r="AJ108" s="72">
        <f t="shared" ca="1" si="30"/>
        <v>128.86020366984923</v>
      </c>
      <c r="AK108" s="72">
        <f t="shared" ca="1" si="36"/>
        <v>417.27547047064354</v>
      </c>
      <c r="AL108" s="73">
        <f t="shared" ca="1" si="31"/>
        <v>4737.1326763233246</v>
      </c>
      <c r="AM108" s="321">
        <f ca="1">'monthly calculations (1)'!AM108</f>
        <v>1</v>
      </c>
      <c r="AN108" s="73">
        <f t="shared" ca="1" si="37"/>
        <v>4737.1326763233246</v>
      </c>
      <c r="AO108" s="75">
        <f t="shared" ca="1" si="39"/>
        <v>846933.64752183028</v>
      </c>
      <c r="AP108" s="72">
        <f ca="1">AL108  /  ( 1 + disc_1/12)^(COUNT($AL$6:AL108)-1)</f>
        <v>2031.8651106585821</v>
      </c>
      <c r="AQ108" s="72">
        <f t="shared" ca="1" si="40"/>
        <v>623820.24657437997</v>
      </c>
      <c r="AS108" s="303"/>
      <c r="AT108" s="300"/>
      <c r="AU108" s="297"/>
      <c r="AV108" s="303"/>
    </row>
    <row r="109" spans="2:48" x14ac:dyDescent="0.25">
      <c r="B109" s="43">
        <f t="shared" si="38"/>
        <v>47331</v>
      </c>
      <c r="C109" s="79">
        <f t="shared" si="32"/>
        <v>2029</v>
      </c>
      <c r="D109" s="64">
        <f ca="1">wellcount_base  +  SUM('forecast production'!I$7:I110)</f>
        <v>1</v>
      </c>
      <c r="E109" s="110">
        <f ca="1">'forecast production'!AE110</f>
        <v>256.00791286900352</v>
      </c>
      <c r="F109" s="98">
        <f ca="1">'forecast production'!AF110</f>
        <v>1393.4894012702377</v>
      </c>
      <c r="G109" s="98">
        <f ca="1">'forecast production'!AG110</f>
        <v>17.04189123813287</v>
      </c>
      <c r="H109" s="98">
        <f ca="1">'forecast production'!AH110</f>
        <v>209.02341019053566</v>
      </c>
      <c r="I109" s="307">
        <f ca="1">IF('monthly calculations (1)'!AV108,WI_2_APO, WI_2)</f>
        <v>0</v>
      </c>
      <c r="J109" s="306">
        <f ca="1">IF('monthly calculations (1)'!AV108,NRI_2_APO, NRI_2)</f>
        <v>0.25</v>
      </c>
      <c r="K109" s="112">
        <f t="shared" ca="1" si="21"/>
        <v>64.00197821725088</v>
      </c>
      <c r="L109" s="98">
        <f t="shared" ca="1" si="22"/>
        <v>261.27926273816956</v>
      </c>
      <c r="M109" s="98">
        <f t="shared" ca="1" si="23"/>
        <v>4.2604728095332174</v>
      </c>
      <c r="N109" s="98">
        <f t="shared" ca="1" si="24"/>
        <v>52.255852547633914</v>
      </c>
      <c r="O109" s="67">
        <f>assumptions!M113</f>
        <v>55</v>
      </c>
      <c r="P109" s="68">
        <f>assumptions!N113</f>
        <v>3</v>
      </c>
      <c r="Q109" s="68">
        <f>assumptions!O113</f>
        <v>22</v>
      </c>
      <c r="R109" s="67">
        <f t="shared" si="25"/>
        <v>52.5</v>
      </c>
      <c r="S109" s="68">
        <f t="shared" si="26"/>
        <v>2.3275000000000001</v>
      </c>
      <c r="T109" s="68">
        <f t="shared" si="27"/>
        <v>22</v>
      </c>
      <c r="U109" s="73">
        <f t="shared" ca="1" si="33"/>
        <v>3360.1038564056712</v>
      </c>
      <c r="V109" s="72">
        <f t="shared" ca="1" si="33"/>
        <v>608.12748402308966</v>
      </c>
      <c r="W109" s="72">
        <f t="shared" ca="1" si="28"/>
        <v>1149.6287560479461</v>
      </c>
      <c r="X109" s="72">
        <f t="shared" ca="1" si="34"/>
        <v>5117.8600964767065</v>
      </c>
      <c r="Y109" s="73">
        <f>mult_opex * fixed_month</f>
        <v>1000</v>
      </c>
      <c r="Z109" s="72">
        <f ca="1">mult_opex * fixed_well *D109</f>
        <v>5000</v>
      </c>
      <c r="AA109" s="72">
        <f ca="1">(Z109+Y109)*WI_current_2</f>
        <v>0</v>
      </c>
      <c r="AB109" s="72">
        <f ca="1">mult_opex * var_bo*E109</f>
        <v>0</v>
      </c>
      <c r="AC109" s="72">
        <f ca="1">mult_opex * var_mcf*F109</f>
        <v>0</v>
      </c>
      <c r="AD109" s="72">
        <f ca="1">mult_opex * var_bw * G109</f>
        <v>34.083782476265739</v>
      </c>
      <c r="AE109" s="72">
        <f ca="1">SUM(AB109:AD109)*WI_current_2</f>
        <v>0</v>
      </c>
      <c r="AF109" s="73">
        <f ca="1">mult_capex * IFERROR(OFFSET(assumptions!$F$39,MATCH(B109,assumptions!$E$39:$E$45,0)-1,0),0)</f>
        <v>0</v>
      </c>
      <c r="AG109" s="75">
        <f ca="1">mult_capex * capex_new*WI_current_2 *'forecast production'!I110</f>
        <v>0</v>
      </c>
      <c r="AH109" s="146">
        <f t="shared" ca="1" si="35"/>
        <v>0</v>
      </c>
      <c r="AI109" s="73">
        <f t="shared" ca="1" si="29"/>
        <v>286.39649539998857</v>
      </c>
      <c r="AJ109" s="72">
        <f t="shared" ca="1" si="30"/>
        <v>127.94650241191766</v>
      </c>
      <c r="AK109" s="72">
        <f t="shared" ca="1" si="36"/>
        <v>414.34299781190623</v>
      </c>
      <c r="AL109" s="73">
        <f t="shared" ca="1" si="31"/>
        <v>4703.5170986648</v>
      </c>
      <c r="AM109" s="321">
        <f ca="1">'monthly calculations (1)'!AM109</f>
        <v>1</v>
      </c>
      <c r="AN109" s="73">
        <f t="shared" ca="1" si="37"/>
        <v>4703.5170986648</v>
      </c>
      <c r="AO109" s="75">
        <f t="shared" ca="1" si="39"/>
        <v>851637.16462049505</v>
      </c>
      <c r="AP109" s="72">
        <f ca="1">AL109  /  ( 1 + disc_1/12)^(COUNT($AL$6:AL109)-1)</f>
        <v>2000.7735040513135</v>
      </c>
      <c r="AQ109" s="72">
        <f t="shared" ca="1" si="40"/>
        <v>625821.02007843123</v>
      </c>
      <c r="AS109" s="303"/>
      <c r="AT109" s="300"/>
      <c r="AU109" s="297"/>
      <c r="AV109" s="303"/>
    </row>
    <row r="110" spans="2:48" x14ac:dyDescent="0.25">
      <c r="B110" s="43">
        <f t="shared" si="38"/>
        <v>47362</v>
      </c>
      <c r="C110" s="79">
        <f t="shared" si="32"/>
        <v>2029</v>
      </c>
      <c r="D110" s="64">
        <f ca="1">wellcount_base  +  SUM('forecast production'!I$7:I111)</f>
        <v>1</v>
      </c>
      <c r="E110" s="110">
        <f ca="1">'forecast production'!AE111</f>
        <v>245.93988780838384</v>
      </c>
      <c r="F110" s="98">
        <f ca="1">'forecast production'!AF111</f>
        <v>1339.7247028123029</v>
      </c>
      <c r="G110" s="98">
        <f ca="1">'forecast production'!AG111</f>
        <v>15.912686784171699</v>
      </c>
      <c r="H110" s="98">
        <f ca="1">'forecast production'!AH111</f>
        <v>200.95870542184545</v>
      </c>
      <c r="I110" s="307">
        <f ca="1">IF('monthly calculations (1)'!AV109,WI_2_APO, WI_2)</f>
        <v>0</v>
      </c>
      <c r="J110" s="306">
        <f ca="1">IF('monthly calculations (1)'!AV109,NRI_2_APO, NRI_2)</f>
        <v>0.25</v>
      </c>
      <c r="K110" s="112">
        <f t="shared" ca="1" si="21"/>
        <v>61.484971952095961</v>
      </c>
      <c r="L110" s="98">
        <f t="shared" ca="1" si="22"/>
        <v>251.19838177730679</v>
      </c>
      <c r="M110" s="98">
        <f t="shared" ca="1" si="23"/>
        <v>3.9781716960429248</v>
      </c>
      <c r="N110" s="98">
        <f t="shared" ca="1" si="24"/>
        <v>50.239676355461363</v>
      </c>
      <c r="O110" s="67">
        <f>assumptions!M114</f>
        <v>55</v>
      </c>
      <c r="P110" s="68">
        <f>assumptions!N114</f>
        <v>3</v>
      </c>
      <c r="Q110" s="68">
        <f>assumptions!O114</f>
        <v>22</v>
      </c>
      <c r="R110" s="67">
        <f t="shared" si="25"/>
        <v>52.5</v>
      </c>
      <c r="S110" s="68">
        <f t="shared" si="26"/>
        <v>2.3275000000000001</v>
      </c>
      <c r="T110" s="68">
        <f t="shared" si="27"/>
        <v>22</v>
      </c>
      <c r="U110" s="73">
        <f t="shared" ca="1" si="33"/>
        <v>3227.9610274850379</v>
      </c>
      <c r="V110" s="72">
        <f t="shared" ca="1" si="33"/>
        <v>584.66423358668158</v>
      </c>
      <c r="W110" s="72">
        <f t="shared" ca="1" si="28"/>
        <v>1105.2728798201499</v>
      </c>
      <c r="X110" s="72">
        <f t="shared" ca="1" si="34"/>
        <v>4917.8981408918689</v>
      </c>
      <c r="Y110" s="73">
        <f>mult_opex * fixed_month</f>
        <v>1000</v>
      </c>
      <c r="Z110" s="72">
        <f ca="1">mult_opex * fixed_well *D110</f>
        <v>5000</v>
      </c>
      <c r="AA110" s="72">
        <f ca="1">(Z110+Y110)*WI_current_2</f>
        <v>0</v>
      </c>
      <c r="AB110" s="72">
        <f ca="1">mult_opex * var_bo*E110</f>
        <v>0</v>
      </c>
      <c r="AC110" s="72">
        <f ca="1">mult_opex * var_mcf*F110</f>
        <v>0</v>
      </c>
      <c r="AD110" s="72">
        <f ca="1">mult_opex * var_bw * G110</f>
        <v>31.825373568343398</v>
      </c>
      <c r="AE110" s="72">
        <f ca="1">SUM(AB110:AD110)*WI_current_2</f>
        <v>0</v>
      </c>
      <c r="AF110" s="73">
        <f ca="1">mult_capex * IFERROR(OFFSET(assumptions!$F$39,MATCH(B110,assumptions!$E$39:$E$45,0)-1,0),0)</f>
        <v>0</v>
      </c>
      <c r="AG110" s="75">
        <f ca="1">mult_capex * capex_new*WI_current_2 *'forecast production'!I111</f>
        <v>0</v>
      </c>
      <c r="AH110" s="146">
        <f t="shared" ca="1" si="35"/>
        <v>0</v>
      </c>
      <c r="AI110" s="73">
        <f t="shared" ca="1" si="29"/>
        <v>275.23149076982406</v>
      </c>
      <c r="AJ110" s="72">
        <f t="shared" ca="1" si="30"/>
        <v>122.94745352229673</v>
      </c>
      <c r="AK110" s="72">
        <f t="shared" ca="1" si="36"/>
        <v>398.17894429212078</v>
      </c>
      <c r="AL110" s="73">
        <f t="shared" ca="1" si="31"/>
        <v>4519.7191965997481</v>
      </c>
      <c r="AM110" s="321">
        <f ca="1">'monthly calculations (1)'!AM110</f>
        <v>1</v>
      </c>
      <c r="AN110" s="73">
        <f t="shared" ca="1" si="37"/>
        <v>4519.7191965997481</v>
      </c>
      <c r="AO110" s="75">
        <f t="shared" ca="1" si="39"/>
        <v>856156.88381709484</v>
      </c>
      <c r="AP110" s="72">
        <f ca="1">AL110  /  ( 1 + disc_1/12)^(COUNT($AL$6:AL110)-1)</f>
        <v>1906.7007158738963</v>
      </c>
      <c r="AQ110" s="72">
        <f t="shared" ca="1" si="40"/>
        <v>627727.72079430509</v>
      </c>
      <c r="AS110" s="303"/>
      <c r="AT110" s="300"/>
      <c r="AU110" s="297"/>
      <c r="AV110" s="303"/>
    </row>
    <row r="111" spans="2:48" x14ac:dyDescent="0.25">
      <c r="B111" s="43">
        <f t="shared" si="38"/>
        <v>47392</v>
      </c>
      <c r="C111" s="79">
        <f t="shared" si="32"/>
        <v>2029</v>
      </c>
      <c r="D111" s="64">
        <f ca="1">wellcount_base  +  SUM('forecast production'!I$7:I112)</f>
        <v>1</v>
      </c>
      <c r="E111" s="110">
        <f ca="1">'forecast production'!AE112</f>
        <v>252.35400802234398</v>
      </c>
      <c r="F111" s="98">
        <f ca="1">'forecast production'!AF112</f>
        <v>1375.6813960672439</v>
      </c>
      <c r="G111" s="98">
        <f ca="1">'forecast production'!AG112</f>
        <v>15.88377966285179</v>
      </c>
      <c r="H111" s="98">
        <f ca="1">'forecast production'!AH112</f>
        <v>206.35220941008657</v>
      </c>
      <c r="I111" s="307">
        <f ca="1">IF('monthly calculations (1)'!AV110,WI_2_APO, WI_2)</f>
        <v>0</v>
      </c>
      <c r="J111" s="306">
        <f ca="1">IF('monthly calculations (1)'!AV110,NRI_2_APO, NRI_2)</f>
        <v>0.25</v>
      </c>
      <c r="K111" s="112">
        <f t="shared" ca="1" si="21"/>
        <v>63.088502005585994</v>
      </c>
      <c r="L111" s="98">
        <f t="shared" ca="1" si="22"/>
        <v>257.9402617626082</v>
      </c>
      <c r="M111" s="98">
        <f t="shared" ca="1" si="23"/>
        <v>3.9709449157129475</v>
      </c>
      <c r="N111" s="98">
        <f t="shared" ca="1" si="24"/>
        <v>51.588052352521643</v>
      </c>
      <c r="O111" s="67">
        <f>assumptions!M115</f>
        <v>55</v>
      </c>
      <c r="P111" s="68">
        <f>assumptions!N115</f>
        <v>3</v>
      </c>
      <c r="Q111" s="68">
        <f>assumptions!O115</f>
        <v>22</v>
      </c>
      <c r="R111" s="67">
        <f t="shared" si="25"/>
        <v>52.5</v>
      </c>
      <c r="S111" s="68">
        <f t="shared" si="26"/>
        <v>2.3275000000000001</v>
      </c>
      <c r="T111" s="68">
        <f t="shared" si="27"/>
        <v>22</v>
      </c>
      <c r="U111" s="73">
        <f t="shared" ca="1" si="33"/>
        <v>3312.1463552932646</v>
      </c>
      <c r="V111" s="72">
        <f t="shared" ca="1" si="33"/>
        <v>600.3559592524706</v>
      </c>
      <c r="W111" s="72">
        <f t="shared" ca="1" si="28"/>
        <v>1134.9371517554762</v>
      </c>
      <c r="X111" s="72">
        <f t="shared" ca="1" si="34"/>
        <v>5047.4394663012117</v>
      </c>
      <c r="Y111" s="73">
        <f>mult_opex * fixed_month</f>
        <v>1000</v>
      </c>
      <c r="Z111" s="72">
        <f ca="1">mult_opex * fixed_well *D111</f>
        <v>5000</v>
      </c>
      <c r="AA111" s="72">
        <f ca="1">(Z111+Y111)*WI_current_2</f>
        <v>0</v>
      </c>
      <c r="AB111" s="72">
        <f ca="1">mult_opex * var_bo*E111</f>
        <v>0</v>
      </c>
      <c r="AC111" s="72">
        <f ca="1">mult_opex * var_mcf*F111</f>
        <v>0</v>
      </c>
      <c r="AD111" s="72">
        <f ca="1">mult_opex * var_bw * G111</f>
        <v>31.76755932570358</v>
      </c>
      <c r="AE111" s="72">
        <f ca="1">SUM(AB111:AD111)*WI_current_2</f>
        <v>0</v>
      </c>
      <c r="AF111" s="73">
        <f ca="1">mult_capex * IFERROR(OFFSET(assumptions!$F$39,MATCH(B111,assumptions!$E$39:$E$45,0)-1,0),0)</f>
        <v>0</v>
      </c>
      <c r="AG111" s="75">
        <f ca="1">mult_capex * capex_new*WI_current_2 *'forecast production'!I112</f>
        <v>0</v>
      </c>
      <c r="AH111" s="146">
        <f t="shared" ca="1" si="35"/>
        <v>0</v>
      </c>
      <c r="AI111" s="73">
        <f t="shared" ca="1" si="29"/>
        <v>282.50571566908616</v>
      </c>
      <c r="AJ111" s="72">
        <f t="shared" ca="1" si="30"/>
        <v>126.18598665753029</v>
      </c>
      <c r="AK111" s="72">
        <f t="shared" ca="1" si="36"/>
        <v>408.69170232661645</v>
      </c>
      <c r="AL111" s="73">
        <f t="shared" ca="1" si="31"/>
        <v>4638.7477639745957</v>
      </c>
      <c r="AM111" s="321">
        <f ca="1">'monthly calculations (1)'!AM111</f>
        <v>1</v>
      </c>
      <c r="AN111" s="73">
        <f t="shared" ca="1" si="37"/>
        <v>4638.7477639745957</v>
      </c>
      <c r="AO111" s="75">
        <f t="shared" ca="1" si="39"/>
        <v>860795.63158106944</v>
      </c>
      <c r="AP111" s="72">
        <f ca="1">AL111  /  ( 1 + disc_1/12)^(COUNT($AL$6:AL111)-1)</f>
        <v>1940.7415762201474</v>
      </c>
      <c r="AQ111" s="72">
        <f t="shared" ca="1" si="40"/>
        <v>629668.46237052523</v>
      </c>
      <c r="AS111" s="303"/>
      <c r="AT111" s="300"/>
      <c r="AU111" s="297"/>
      <c r="AV111" s="303"/>
    </row>
    <row r="112" spans="2:48" x14ac:dyDescent="0.25">
      <c r="B112" s="43">
        <f t="shared" si="38"/>
        <v>47423</v>
      </c>
      <c r="C112" s="79">
        <f t="shared" si="32"/>
        <v>2029</v>
      </c>
      <c r="D112" s="64">
        <f ca="1">wellcount_base  +  SUM('forecast production'!I$7:I113)</f>
        <v>1</v>
      </c>
      <c r="E112" s="110">
        <f ca="1">'forecast production'!AE113</f>
        <v>242.4549573540574</v>
      </c>
      <c r="F112" s="98">
        <f ca="1">'forecast production'!AF113</f>
        <v>1322.7142537872021</v>
      </c>
      <c r="G112" s="98">
        <f ca="1">'forecast production'!AG113</f>
        <v>14.831498895098479</v>
      </c>
      <c r="H112" s="98">
        <f ca="1">'forecast production'!AH113</f>
        <v>198.40713806808031</v>
      </c>
      <c r="I112" s="307">
        <f ca="1">IF('monthly calculations (1)'!AV111,WI_2_APO, WI_2)</f>
        <v>0</v>
      </c>
      <c r="J112" s="306">
        <f ca="1">IF('monthly calculations (1)'!AV111,NRI_2_APO, NRI_2)</f>
        <v>0.25</v>
      </c>
      <c r="K112" s="112">
        <f t="shared" ca="1" si="21"/>
        <v>60.61373933851435</v>
      </c>
      <c r="L112" s="98">
        <f t="shared" ca="1" si="22"/>
        <v>248.00892258510038</v>
      </c>
      <c r="M112" s="98">
        <f t="shared" ca="1" si="23"/>
        <v>3.7078747237746197</v>
      </c>
      <c r="N112" s="98">
        <f t="shared" ca="1" si="24"/>
        <v>49.601784517020079</v>
      </c>
      <c r="O112" s="67">
        <f>assumptions!M116</f>
        <v>55</v>
      </c>
      <c r="P112" s="68">
        <f>assumptions!N116</f>
        <v>3</v>
      </c>
      <c r="Q112" s="68">
        <f>assumptions!O116</f>
        <v>22</v>
      </c>
      <c r="R112" s="67">
        <f t="shared" si="25"/>
        <v>52.5</v>
      </c>
      <c r="S112" s="68">
        <f t="shared" si="26"/>
        <v>2.3275000000000001</v>
      </c>
      <c r="T112" s="68">
        <f t="shared" si="27"/>
        <v>22</v>
      </c>
      <c r="U112" s="73">
        <f t="shared" ca="1" si="33"/>
        <v>3182.2213152720033</v>
      </c>
      <c r="V112" s="72">
        <f t="shared" ca="1" si="33"/>
        <v>577.24076731682112</v>
      </c>
      <c r="W112" s="72">
        <f t="shared" ca="1" si="28"/>
        <v>1091.2392593744416</v>
      </c>
      <c r="X112" s="72">
        <f t="shared" ca="1" si="34"/>
        <v>4850.7013419632658</v>
      </c>
      <c r="Y112" s="73">
        <f>mult_opex * fixed_month</f>
        <v>1000</v>
      </c>
      <c r="Z112" s="72">
        <f ca="1">mult_opex * fixed_well *D112</f>
        <v>5000</v>
      </c>
      <c r="AA112" s="72">
        <f ca="1">(Z112+Y112)*WI_current_2</f>
        <v>0</v>
      </c>
      <c r="AB112" s="72">
        <f ca="1">mult_opex * var_bo*E112</f>
        <v>0</v>
      </c>
      <c r="AC112" s="72">
        <f ca="1">mult_opex * var_mcf*F112</f>
        <v>0</v>
      </c>
      <c r="AD112" s="72">
        <f ca="1">mult_opex * var_bw * G112</f>
        <v>29.662997790196957</v>
      </c>
      <c r="AE112" s="72">
        <f ca="1">SUM(AB112:AD112)*WI_current_2</f>
        <v>0</v>
      </c>
      <c r="AF112" s="73">
        <f ca="1">mult_capex * IFERROR(OFFSET(assumptions!$F$39,MATCH(B112,assumptions!$E$39:$E$45,0)-1,0),0)</f>
        <v>0</v>
      </c>
      <c r="AG112" s="75">
        <f ca="1">mult_capex * capex_new*WI_current_2 *'forecast production'!I113</f>
        <v>0</v>
      </c>
      <c r="AH112" s="146">
        <f t="shared" ca="1" si="35"/>
        <v>0</v>
      </c>
      <c r="AI112" s="73">
        <f t="shared" ca="1" si="29"/>
        <v>271.51818250435684</v>
      </c>
      <c r="AJ112" s="72">
        <f t="shared" ca="1" si="30"/>
        <v>121.26753354908165</v>
      </c>
      <c r="AK112" s="72">
        <f t="shared" ca="1" si="36"/>
        <v>392.78571605343848</v>
      </c>
      <c r="AL112" s="73">
        <f t="shared" ca="1" si="31"/>
        <v>4457.9156259098272</v>
      </c>
      <c r="AM112" s="321">
        <f ca="1">'monthly calculations (1)'!AM112</f>
        <v>1</v>
      </c>
      <c r="AN112" s="73">
        <f t="shared" ca="1" si="37"/>
        <v>4457.9156259098272</v>
      </c>
      <c r="AO112" s="75">
        <f t="shared" ca="1" si="39"/>
        <v>865253.54720697924</v>
      </c>
      <c r="AP112" s="72">
        <f ca="1">AL112  /  ( 1 + disc_1/12)^(COUNT($AL$6:AL112)-1)</f>
        <v>1849.6717852685356</v>
      </c>
      <c r="AQ112" s="72">
        <f t="shared" ca="1" si="40"/>
        <v>631518.13415579381</v>
      </c>
      <c r="AS112" s="303"/>
      <c r="AT112" s="300"/>
      <c r="AU112" s="297"/>
      <c r="AV112" s="303"/>
    </row>
    <row r="113" spans="2:48" x14ac:dyDescent="0.25">
      <c r="B113" s="44">
        <f t="shared" si="38"/>
        <v>47453</v>
      </c>
      <c r="C113" s="100">
        <f t="shared" si="32"/>
        <v>2029</v>
      </c>
      <c r="D113" s="65">
        <f ca="1">wellcount_base  +  SUM('forecast production'!I$7:I114)</f>
        <v>1</v>
      </c>
      <c r="E113" s="109">
        <f ca="1">'forecast production'!AE114</f>
        <v>248.80293709055019</v>
      </c>
      <c r="F113" s="101">
        <f ca="1">'forecast production'!AF114</f>
        <v>1358.3228001069158</v>
      </c>
      <c r="G113" s="101">
        <f ca="1">'forecast production'!AG114</f>
        <v>14.804736078854248</v>
      </c>
      <c r="H113" s="102">
        <f ca="1">'forecast production'!AH114</f>
        <v>203.74842001603736</v>
      </c>
      <c r="I113" s="308">
        <f ca="1">IF('monthly calculations (1)'!AV112,WI_2_APO, WI_2)</f>
        <v>0</v>
      </c>
      <c r="J113" s="309">
        <f ca="1">IF('monthly calculations (1)'!AV112,NRI_2_APO, NRI_2)</f>
        <v>0.25</v>
      </c>
      <c r="K113" s="113">
        <f t="shared" ca="1" si="21"/>
        <v>62.200734272637547</v>
      </c>
      <c r="L113" s="102">
        <f t="shared" ca="1" si="22"/>
        <v>254.68552502004673</v>
      </c>
      <c r="M113" s="102">
        <f t="shared" ca="1" si="23"/>
        <v>3.7011840197135619</v>
      </c>
      <c r="N113" s="102">
        <f t="shared" ca="1" si="24"/>
        <v>50.937105004009339</v>
      </c>
      <c r="O113" s="103">
        <f>assumptions!M117</f>
        <v>55</v>
      </c>
      <c r="P113" s="104">
        <f>assumptions!N117</f>
        <v>3</v>
      </c>
      <c r="Q113" s="104">
        <f>assumptions!O117</f>
        <v>22</v>
      </c>
      <c r="R113" s="103">
        <f t="shared" si="25"/>
        <v>52.5</v>
      </c>
      <c r="S113" s="104">
        <f t="shared" si="26"/>
        <v>2.3275000000000001</v>
      </c>
      <c r="T113" s="104">
        <f t="shared" si="27"/>
        <v>22</v>
      </c>
      <c r="U113" s="105">
        <f t="shared" ca="1" si="33"/>
        <v>3265.5385493134713</v>
      </c>
      <c r="V113" s="106">
        <f t="shared" ca="1" si="33"/>
        <v>592.78055948415874</v>
      </c>
      <c r="W113" s="106">
        <f t="shared" ca="1" si="28"/>
        <v>1120.6163100882054</v>
      </c>
      <c r="X113" s="106">
        <f t="shared" ca="1" si="34"/>
        <v>4978.935418885836</v>
      </c>
      <c r="Y113" s="105">
        <f>mult_opex * fixed_month</f>
        <v>1000</v>
      </c>
      <c r="Z113" s="106">
        <f ca="1">mult_opex * fixed_well *D113</f>
        <v>5000</v>
      </c>
      <c r="AA113" s="106">
        <f ca="1">(Z113+Y113)*WI_current_2</f>
        <v>0</v>
      </c>
      <c r="AB113" s="106">
        <f ca="1">mult_opex * var_bo*E113</f>
        <v>0</v>
      </c>
      <c r="AC113" s="106">
        <f ca="1">mult_opex * var_mcf*F113</f>
        <v>0</v>
      </c>
      <c r="AD113" s="106">
        <f ca="1">mult_opex * var_bw * G113</f>
        <v>29.609472157708495</v>
      </c>
      <c r="AE113" s="106">
        <f ca="1">SUM(AB113:AD113)*WI_current_2</f>
        <v>0</v>
      </c>
      <c r="AF113" s="105">
        <f ca="1">mult_capex * IFERROR(OFFSET(assumptions!$F$39,MATCH(B113,assumptions!$E$39:$E$45,0)-1,0),0)</f>
        <v>0</v>
      </c>
      <c r="AG113" s="106">
        <f ca="1">mult_capex * capex_new*WI_current_2 *'forecast production'!I114</f>
        <v>0</v>
      </c>
      <c r="AH113" s="147">
        <f t="shared" ca="1" si="35"/>
        <v>0</v>
      </c>
      <c r="AI113" s="105">
        <f t="shared" ca="1" si="29"/>
        <v>278.71953848634701</v>
      </c>
      <c r="AJ113" s="106">
        <f t="shared" ca="1" si="30"/>
        <v>124.47338547214591</v>
      </c>
      <c r="AK113" s="106">
        <f t="shared" ca="1" si="36"/>
        <v>403.19292395849288</v>
      </c>
      <c r="AL113" s="105">
        <f t="shared" ca="1" si="31"/>
        <v>4575.7424949273427</v>
      </c>
      <c r="AM113" s="322">
        <f ca="1">'monthly calculations (1)'!AM113</f>
        <v>1</v>
      </c>
      <c r="AN113" s="105">
        <f t="shared" ca="1" si="37"/>
        <v>4575.7424949273427</v>
      </c>
      <c r="AO113" s="106">
        <f t="shared" ca="1" si="39"/>
        <v>869829.28970190661</v>
      </c>
      <c r="AP113" s="106">
        <f ca="1">AL113  /  ( 1 + disc_1/12)^(COUNT($AL$6:AL113)-1)</f>
        <v>1882.8697549186054</v>
      </c>
      <c r="AQ113" s="106">
        <f t="shared" ca="1" si="40"/>
        <v>633401.00391071243</v>
      </c>
      <c r="AS113" s="304"/>
      <c r="AT113" s="301"/>
      <c r="AU113" s="298"/>
      <c r="AV113" s="304"/>
    </row>
    <row r="114" spans="2:48" x14ac:dyDescent="0.25">
      <c r="B114" s="43">
        <f t="shared" si="38"/>
        <v>47484</v>
      </c>
      <c r="C114" s="79">
        <f t="shared" si="32"/>
        <v>2030</v>
      </c>
      <c r="D114" s="64">
        <f ca="1">wellcount_base  +  SUM('forecast production'!I$7:I115)</f>
        <v>1</v>
      </c>
      <c r="E114" s="110">
        <f ca="1">'forecast production'!AE115</f>
        <v>247.03632250027002</v>
      </c>
      <c r="F114" s="98">
        <f ca="1">'forecast production'!AF115</f>
        <v>1349.6680297301407</v>
      </c>
      <c r="G114" s="98">
        <f ca="1">'forecast production'!AG115</f>
        <v>14.284918250572273</v>
      </c>
      <c r="H114" s="98">
        <f ca="1">'forecast production'!AH115</f>
        <v>202.4502044595211</v>
      </c>
      <c r="I114" s="307">
        <f ca="1">IF('monthly calculations (1)'!AV113,WI_2_APO, WI_2)</f>
        <v>0</v>
      </c>
      <c r="J114" s="306">
        <f ca="1">IF('monthly calculations (1)'!AV113,NRI_2_APO, NRI_2)</f>
        <v>0.25</v>
      </c>
      <c r="K114" s="112">
        <f t="shared" ca="1" si="21"/>
        <v>61.759080625067504</v>
      </c>
      <c r="L114" s="98">
        <f t="shared" ca="1" si="22"/>
        <v>253.06275557440136</v>
      </c>
      <c r="M114" s="98">
        <f t="shared" ca="1" si="23"/>
        <v>3.5712295626430683</v>
      </c>
      <c r="N114" s="98">
        <f t="shared" ca="1" si="24"/>
        <v>50.612551114880276</v>
      </c>
      <c r="O114" s="67">
        <f>assumptions!M118</f>
        <v>55</v>
      </c>
      <c r="P114" s="68">
        <f>assumptions!N118</f>
        <v>3</v>
      </c>
      <c r="Q114" s="68">
        <f>assumptions!O118</f>
        <v>22</v>
      </c>
      <c r="R114" s="67">
        <f t="shared" si="25"/>
        <v>52.5</v>
      </c>
      <c r="S114" s="68">
        <f t="shared" si="26"/>
        <v>2.3275000000000001</v>
      </c>
      <c r="T114" s="68">
        <f t="shared" si="27"/>
        <v>22</v>
      </c>
      <c r="U114" s="73">
        <f t="shared" ca="1" si="33"/>
        <v>3242.3517328160442</v>
      </c>
      <c r="V114" s="72">
        <f t="shared" ca="1" si="33"/>
        <v>589.00356359941918</v>
      </c>
      <c r="W114" s="72">
        <f t="shared" ca="1" si="28"/>
        <v>1113.476124527366</v>
      </c>
      <c r="X114" s="72">
        <f t="shared" ca="1" si="34"/>
        <v>4944.831420942829</v>
      </c>
      <c r="Y114" s="73">
        <f>mult_opex * fixed_month</f>
        <v>1000</v>
      </c>
      <c r="Z114" s="72">
        <f ca="1">mult_opex * fixed_well *D114</f>
        <v>5000</v>
      </c>
      <c r="AA114" s="72">
        <f ca="1">(Z114+Y114)*WI_current_2</f>
        <v>0</v>
      </c>
      <c r="AB114" s="72">
        <f ca="1">mult_opex * var_bo*E114</f>
        <v>0</v>
      </c>
      <c r="AC114" s="72">
        <f ca="1">mult_opex * var_mcf*F114</f>
        <v>0</v>
      </c>
      <c r="AD114" s="72">
        <f ca="1">mult_opex * var_bw * G114</f>
        <v>28.569836501144547</v>
      </c>
      <c r="AE114" s="72">
        <f ca="1">SUM(AB114:AD114)*WI_current_2</f>
        <v>0</v>
      </c>
      <c r="AF114" s="73">
        <f ca="1">mult_capex * IFERROR(OFFSET(assumptions!$F$39,MATCH(B114,assumptions!$E$39:$E$45,0)-1,0),0)</f>
        <v>0</v>
      </c>
      <c r="AG114" s="75">
        <f ca="1">mult_capex * capex_new*WI_current_2 *'forecast production'!I115</f>
        <v>0</v>
      </c>
      <c r="AH114" s="146">
        <f t="shared" ca="1" si="35"/>
        <v>0</v>
      </c>
      <c r="AI114" s="73">
        <f t="shared" ca="1" si="29"/>
        <v>276.83415631904688</v>
      </c>
      <c r="AJ114" s="72">
        <f t="shared" ca="1" si="30"/>
        <v>123.62078552357073</v>
      </c>
      <c r="AK114" s="72">
        <f t="shared" ca="1" si="36"/>
        <v>400.45494184261759</v>
      </c>
      <c r="AL114" s="73">
        <f t="shared" ca="1" si="31"/>
        <v>4544.3764791002113</v>
      </c>
      <c r="AM114" s="321">
        <f ca="1">'monthly calculations (1)'!AM114</f>
        <v>1</v>
      </c>
      <c r="AN114" s="73">
        <f t="shared" ca="1" si="37"/>
        <v>4544.3764791002113</v>
      </c>
      <c r="AO114" s="75">
        <f t="shared" ca="1" si="39"/>
        <v>874373.66618100682</v>
      </c>
      <c r="AP114" s="72">
        <f ca="1">AL114  /  ( 1 + disc_1/12)^(COUNT($AL$6:AL114)-1)</f>
        <v>1854.5087309451769</v>
      </c>
      <c r="AQ114" s="72">
        <f t="shared" ca="1" si="40"/>
        <v>635255.51264165761</v>
      </c>
      <c r="AS114" s="303"/>
      <c r="AT114" s="300"/>
      <c r="AU114" s="297"/>
      <c r="AV114" s="303"/>
    </row>
    <row r="115" spans="2:48" x14ac:dyDescent="0.25">
      <c r="B115" s="43">
        <f t="shared" si="38"/>
        <v>47515</v>
      </c>
      <c r="C115" s="79">
        <f t="shared" si="32"/>
        <v>2030</v>
      </c>
      <c r="D115" s="64">
        <f ca="1">wellcount_base  +  SUM('forecast production'!I$7:I116)</f>
        <v>1</v>
      </c>
      <c r="E115" s="110">
        <f ca="1">'forecast production'!AE116</f>
        <v>221.55430065258406</v>
      </c>
      <c r="F115" s="98">
        <f ca="1">'forecast production'!AF116</f>
        <v>1211.3367691590156</v>
      </c>
      <c r="G115" s="98">
        <f ca="1">'forecast production'!AG116</f>
        <v>12.449558783776347</v>
      </c>
      <c r="H115" s="98">
        <f ca="1">'forecast production'!AH116</f>
        <v>181.70051537385234</v>
      </c>
      <c r="I115" s="307">
        <f ca="1">IF('monthly calculations (1)'!AV114,WI_2_APO, WI_2)</f>
        <v>0</v>
      </c>
      <c r="J115" s="306">
        <f ca="1">IF('monthly calculations (1)'!AV114,NRI_2_APO, NRI_2)</f>
        <v>0.25</v>
      </c>
      <c r="K115" s="112">
        <f t="shared" ca="1" si="21"/>
        <v>55.388575163146015</v>
      </c>
      <c r="L115" s="98">
        <f t="shared" ca="1" si="22"/>
        <v>227.12564421731543</v>
      </c>
      <c r="M115" s="98">
        <f t="shared" ca="1" si="23"/>
        <v>3.1123896959440867</v>
      </c>
      <c r="N115" s="98">
        <f t="shared" ca="1" si="24"/>
        <v>45.425128843463085</v>
      </c>
      <c r="O115" s="67">
        <f>assumptions!M119</f>
        <v>55</v>
      </c>
      <c r="P115" s="68">
        <f>assumptions!N119</f>
        <v>3</v>
      </c>
      <c r="Q115" s="68">
        <f>assumptions!O119</f>
        <v>22</v>
      </c>
      <c r="R115" s="67">
        <f t="shared" si="25"/>
        <v>52.5</v>
      </c>
      <c r="S115" s="68">
        <f t="shared" si="26"/>
        <v>2.3275000000000001</v>
      </c>
      <c r="T115" s="68">
        <f t="shared" si="27"/>
        <v>22</v>
      </c>
      <c r="U115" s="73">
        <f t="shared" ca="1" si="33"/>
        <v>2907.9001960651658</v>
      </c>
      <c r="V115" s="72">
        <f t="shared" ca="1" si="33"/>
        <v>528.63493691580163</v>
      </c>
      <c r="W115" s="72">
        <f t="shared" ca="1" si="28"/>
        <v>999.35283455618787</v>
      </c>
      <c r="X115" s="72">
        <f t="shared" ca="1" si="34"/>
        <v>4435.8879675371554</v>
      </c>
      <c r="Y115" s="73">
        <f>mult_opex * fixed_month</f>
        <v>1000</v>
      </c>
      <c r="Z115" s="72">
        <f ca="1">mult_opex * fixed_well *D115</f>
        <v>5000</v>
      </c>
      <c r="AA115" s="72">
        <f ca="1">(Z115+Y115)*WI_current_2</f>
        <v>0</v>
      </c>
      <c r="AB115" s="72">
        <f ca="1">mult_opex * var_bo*E115</f>
        <v>0</v>
      </c>
      <c r="AC115" s="72">
        <f ca="1">mult_opex * var_mcf*F115</f>
        <v>0</v>
      </c>
      <c r="AD115" s="72">
        <f ca="1">mult_opex * var_bw * G115</f>
        <v>24.899117567552693</v>
      </c>
      <c r="AE115" s="72">
        <f ca="1">SUM(AB115:AD115)*WI_current_2</f>
        <v>0</v>
      </c>
      <c r="AF115" s="73">
        <f ca="1">mult_capex * IFERROR(OFFSET(assumptions!$F$39,MATCH(B115,assumptions!$E$39:$E$45,0)-1,0),0)</f>
        <v>0</v>
      </c>
      <c r="AG115" s="75">
        <f ca="1">mult_capex * capex_new*WI_current_2 *'forecast production'!I116</f>
        <v>0</v>
      </c>
      <c r="AH115" s="146">
        <f t="shared" ca="1" si="35"/>
        <v>0</v>
      </c>
      <c r="AI115" s="73">
        <f t="shared" ca="1" si="29"/>
        <v>248.36249187939686</v>
      </c>
      <c r="AJ115" s="72">
        <f t="shared" ca="1" si="30"/>
        <v>110.89719918842889</v>
      </c>
      <c r="AK115" s="72">
        <f t="shared" ca="1" si="36"/>
        <v>359.25969106782577</v>
      </c>
      <c r="AL115" s="73">
        <f t="shared" ca="1" si="31"/>
        <v>4076.6282764693296</v>
      </c>
      <c r="AM115" s="321">
        <f ca="1">'monthly calculations (1)'!AM115</f>
        <v>1</v>
      </c>
      <c r="AN115" s="73">
        <f t="shared" ca="1" si="37"/>
        <v>4076.6282764693296</v>
      </c>
      <c r="AO115" s="75">
        <f t="shared" ca="1" si="39"/>
        <v>878450.29445747612</v>
      </c>
      <c r="AP115" s="72">
        <f ca="1">AL115  /  ( 1 + disc_1/12)^(COUNT($AL$6:AL115)-1)</f>
        <v>1649.8769957925017</v>
      </c>
      <c r="AQ115" s="72">
        <f t="shared" ca="1" si="40"/>
        <v>636905.38963745011</v>
      </c>
      <c r="AS115" s="303"/>
      <c r="AT115" s="300"/>
      <c r="AU115" s="297"/>
      <c r="AV115" s="303"/>
    </row>
    <row r="116" spans="2:48" x14ac:dyDescent="0.25">
      <c r="B116" s="43">
        <f t="shared" si="38"/>
        <v>47543</v>
      </c>
      <c r="C116" s="79">
        <f t="shared" si="32"/>
        <v>2030</v>
      </c>
      <c r="D116" s="64">
        <f ca="1">wellcount_base  +  SUM('forecast production'!I$7:I117)</f>
        <v>1</v>
      </c>
      <c r="E116" s="110">
        <f ca="1">'forecast production'!AE117</f>
        <v>243.72828190364964</v>
      </c>
      <c r="F116" s="98">
        <f ca="1">'forecast production'!AF117</f>
        <v>1333.4971013697182</v>
      </c>
      <c r="G116" s="98">
        <f ca="1">'forecast production'!AG117</f>
        <v>13.345714130609201</v>
      </c>
      <c r="H116" s="98">
        <f ca="1">'forecast production'!AH117</f>
        <v>200.02456520545772</v>
      </c>
      <c r="I116" s="307">
        <f ca="1">IF('monthly calculations (1)'!AV115,WI_2_APO, WI_2)</f>
        <v>0</v>
      </c>
      <c r="J116" s="306">
        <f ca="1">IF('monthly calculations (1)'!AV115,NRI_2_APO, NRI_2)</f>
        <v>0.25</v>
      </c>
      <c r="K116" s="112">
        <f t="shared" ca="1" si="21"/>
        <v>60.932070475912411</v>
      </c>
      <c r="L116" s="98">
        <f t="shared" ca="1" si="22"/>
        <v>250.03070650682216</v>
      </c>
      <c r="M116" s="98">
        <f t="shared" ca="1" si="23"/>
        <v>3.3364285326523002</v>
      </c>
      <c r="N116" s="98">
        <f t="shared" ca="1" si="24"/>
        <v>50.00614130136443</v>
      </c>
      <c r="O116" s="67">
        <f>assumptions!M120</f>
        <v>55</v>
      </c>
      <c r="P116" s="68">
        <f>assumptions!N120</f>
        <v>3</v>
      </c>
      <c r="Q116" s="68">
        <f>assumptions!O120</f>
        <v>22</v>
      </c>
      <c r="R116" s="67">
        <f t="shared" si="25"/>
        <v>52.5</v>
      </c>
      <c r="S116" s="68">
        <f t="shared" si="26"/>
        <v>2.3275000000000001</v>
      </c>
      <c r="T116" s="68">
        <f t="shared" si="27"/>
        <v>22</v>
      </c>
      <c r="U116" s="73">
        <f t="shared" ca="1" si="33"/>
        <v>3198.9336999854017</v>
      </c>
      <c r="V116" s="72">
        <f t="shared" ca="1" si="33"/>
        <v>581.94646939462859</v>
      </c>
      <c r="W116" s="72">
        <f t="shared" ca="1" si="28"/>
        <v>1100.1351086300174</v>
      </c>
      <c r="X116" s="72">
        <f t="shared" ca="1" si="34"/>
        <v>4881.015278010048</v>
      </c>
      <c r="Y116" s="73">
        <f>mult_opex * fixed_month</f>
        <v>1000</v>
      </c>
      <c r="Z116" s="72">
        <f ca="1">mult_opex * fixed_well *D116</f>
        <v>5000</v>
      </c>
      <c r="AA116" s="72">
        <f ca="1">(Z116+Y116)*WI_current_2</f>
        <v>0</v>
      </c>
      <c r="AB116" s="72">
        <f ca="1">mult_opex * var_bo*E116</f>
        <v>0</v>
      </c>
      <c r="AC116" s="72">
        <f ca="1">mult_opex * var_mcf*F116</f>
        <v>0</v>
      </c>
      <c r="AD116" s="72">
        <f ca="1">mult_opex * var_bw * G116</f>
        <v>26.691428261218402</v>
      </c>
      <c r="AE116" s="72">
        <f ca="1">SUM(AB116:AD116)*WI_current_2</f>
        <v>0</v>
      </c>
      <c r="AF116" s="73">
        <f ca="1">mult_capex * IFERROR(OFFSET(assumptions!$F$39,MATCH(B116,assumptions!$E$39:$E$45,0)-1,0),0)</f>
        <v>0</v>
      </c>
      <c r="AG116" s="75">
        <f ca="1">mult_capex * capex_new*WI_current_2 *'forecast production'!I117</f>
        <v>0</v>
      </c>
      <c r="AH116" s="146">
        <f t="shared" ca="1" si="35"/>
        <v>0</v>
      </c>
      <c r="AI116" s="73">
        <f t="shared" ca="1" si="29"/>
        <v>273.30706855117694</v>
      </c>
      <c r="AJ116" s="72">
        <f t="shared" ca="1" si="30"/>
        <v>122.0253819502512</v>
      </c>
      <c r="AK116" s="72">
        <f t="shared" ca="1" si="36"/>
        <v>395.33245050142813</v>
      </c>
      <c r="AL116" s="73">
        <f t="shared" ca="1" si="31"/>
        <v>4485.68282750862</v>
      </c>
      <c r="AM116" s="321">
        <f ca="1">'monthly calculations (1)'!AM116</f>
        <v>1</v>
      </c>
      <c r="AN116" s="73">
        <f t="shared" ca="1" si="37"/>
        <v>4485.68282750862</v>
      </c>
      <c r="AO116" s="75">
        <f t="shared" ca="1" si="39"/>
        <v>882935.97728498478</v>
      </c>
      <c r="AP116" s="72">
        <f ca="1">AL116  /  ( 1 + disc_1/12)^(COUNT($AL$6:AL116)-1)</f>
        <v>1800.4244114387752</v>
      </c>
      <c r="AQ116" s="72">
        <f t="shared" ca="1" si="40"/>
        <v>638705.81404888886</v>
      </c>
      <c r="AS116" s="303"/>
      <c r="AT116" s="300"/>
      <c r="AU116" s="297"/>
      <c r="AV116" s="303"/>
    </row>
    <row r="117" spans="2:48" x14ac:dyDescent="0.25">
      <c r="B117" s="43">
        <f t="shared" si="38"/>
        <v>47574</v>
      </c>
      <c r="C117" s="79">
        <f t="shared" si="32"/>
        <v>2030</v>
      </c>
      <c r="D117" s="64">
        <f ca="1">wellcount_base  +  SUM('forecast production'!I$7:I118)</f>
        <v>1</v>
      </c>
      <c r="E117" s="110">
        <f ca="1">'forecast production'!AE118</f>
        <v>234.20164089257673</v>
      </c>
      <c r="F117" s="98">
        <f ca="1">'forecast production'!AF118</f>
        <v>1282.4079002696183</v>
      </c>
      <c r="G117" s="98">
        <f ca="1">'forecast production'!AG118</f>
        <v>12.461964744034223</v>
      </c>
      <c r="H117" s="98">
        <f ca="1">'forecast production'!AH118</f>
        <v>192.36118504044276</v>
      </c>
      <c r="I117" s="307">
        <f ca="1">IF('monthly calculations (1)'!AV116,WI_2_APO, WI_2)</f>
        <v>0</v>
      </c>
      <c r="J117" s="306">
        <f ca="1">IF('monthly calculations (1)'!AV116,NRI_2_APO, NRI_2)</f>
        <v>0.25</v>
      </c>
      <c r="K117" s="112">
        <f t="shared" ca="1" si="21"/>
        <v>58.550410223144183</v>
      </c>
      <c r="L117" s="98">
        <f t="shared" ca="1" si="22"/>
        <v>240.45148130055344</v>
      </c>
      <c r="M117" s="98">
        <f t="shared" ca="1" si="23"/>
        <v>3.1154911860085557</v>
      </c>
      <c r="N117" s="98">
        <f t="shared" ca="1" si="24"/>
        <v>48.090296260110691</v>
      </c>
      <c r="O117" s="67">
        <f>assumptions!M121</f>
        <v>55</v>
      </c>
      <c r="P117" s="68">
        <f>assumptions!N121</f>
        <v>3</v>
      </c>
      <c r="Q117" s="68">
        <f>assumptions!O121</f>
        <v>22</v>
      </c>
      <c r="R117" s="67">
        <f t="shared" si="25"/>
        <v>52.5</v>
      </c>
      <c r="S117" s="68">
        <f t="shared" si="26"/>
        <v>2.3275000000000001</v>
      </c>
      <c r="T117" s="68">
        <f t="shared" si="27"/>
        <v>22</v>
      </c>
      <c r="U117" s="73">
        <f t="shared" ca="1" si="33"/>
        <v>3073.8965367150695</v>
      </c>
      <c r="V117" s="72">
        <f t="shared" ca="1" si="33"/>
        <v>559.65082272703819</v>
      </c>
      <c r="W117" s="72">
        <f t="shared" ca="1" si="28"/>
        <v>1057.9865177224351</v>
      </c>
      <c r="X117" s="72">
        <f t="shared" ca="1" si="34"/>
        <v>4691.5338771645429</v>
      </c>
      <c r="Y117" s="73">
        <f>mult_opex * fixed_month</f>
        <v>1000</v>
      </c>
      <c r="Z117" s="72">
        <f ca="1">mult_opex * fixed_well *D117</f>
        <v>5000</v>
      </c>
      <c r="AA117" s="72">
        <f ca="1">(Z117+Y117)*WI_current_2</f>
        <v>0</v>
      </c>
      <c r="AB117" s="72">
        <f ca="1">mult_opex * var_bo*E117</f>
        <v>0</v>
      </c>
      <c r="AC117" s="72">
        <f ca="1">mult_opex * var_mcf*F117</f>
        <v>0</v>
      </c>
      <c r="AD117" s="72">
        <f ca="1">mult_opex * var_bw * G117</f>
        <v>24.923929488068445</v>
      </c>
      <c r="AE117" s="72">
        <f ca="1">SUM(AB117:AD117)*WI_current_2</f>
        <v>0</v>
      </c>
      <c r="AF117" s="73">
        <f ca="1">mult_capex * IFERROR(OFFSET(assumptions!$F$39,MATCH(B117,assumptions!$E$39:$E$45,0)-1,0),0)</f>
        <v>0</v>
      </c>
      <c r="AG117" s="75">
        <f ca="1">mult_capex * capex_new*WI_current_2 *'forecast production'!I118</f>
        <v>0</v>
      </c>
      <c r="AH117" s="146">
        <f t="shared" ca="1" si="35"/>
        <v>0</v>
      </c>
      <c r="AI117" s="73">
        <f t="shared" ca="1" si="29"/>
        <v>262.72204122260371</v>
      </c>
      <c r="AJ117" s="72">
        <f t="shared" ca="1" si="30"/>
        <v>117.28834692911357</v>
      </c>
      <c r="AK117" s="72">
        <f t="shared" ca="1" si="36"/>
        <v>380.01038815171728</v>
      </c>
      <c r="AL117" s="73">
        <f t="shared" ca="1" si="31"/>
        <v>4311.5234890128258</v>
      </c>
      <c r="AM117" s="321">
        <f ca="1">'monthly calculations (1)'!AM117</f>
        <v>1</v>
      </c>
      <c r="AN117" s="73">
        <f t="shared" ca="1" si="37"/>
        <v>4311.5234890128258</v>
      </c>
      <c r="AO117" s="75">
        <f t="shared" ca="1" si="39"/>
        <v>887247.50077399763</v>
      </c>
      <c r="AP117" s="72">
        <f ca="1">AL117  /  ( 1 + disc_1/12)^(COUNT($AL$6:AL117)-1)</f>
        <v>1716.2200154095349</v>
      </c>
      <c r="AQ117" s="72">
        <f t="shared" ca="1" si="40"/>
        <v>640422.03406429838</v>
      </c>
      <c r="AS117" s="303"/>
      <c r="AT117" s="300"/>
      <c r="AU117" s="297"/>
      <c r="AV117" s="303"/>
    </row>
    <row r="118" spans="2:48" x14ac:dyDescent="0.25">
      <c r="B118" s="43">
        <f t="shared" si="38"/>
        <v>47604</v>
      </c>
      <c r="C118" s="79">
        <f t="shared" si="32"/>
        <v>2030</v>
      </c>
      <c r="D118" s="64">
        <f ca="1">wellcount_base  +  SUM('forecast production'!I$7:I119)</f>
        <v>1</v>
      </c>
      <c r="E118" s="110">
        <f ca="1">'forecast production'!AE119</f>
        <v>240.35548078004683</v>
      </c>
      <c r="F118" s="98">
        <f ca="1">'forecast production'!AF119</f>
        <v>1317.1804478574588</v>
      </c>
      <c r="G118" s="98">
        <f ca="1">'forecast production'!AG119</f>
        <v>12.439852026787953</v>
      </c>
      <c r="H118" s="98">
        <f ca="1">'forecast production'!AH119</f>
        <v>197.57706717861882</v>
      </c>
      <c r="I118" s="307">
        <f ca="1">IF('monthly calculations (1)'!AV117,WI_2_APO, WI_2)</f>
        <v>0</v>
      </c>
      <c r="J118" s="306">
        <f ca="1">IF('monthly calculations (1)'!AV117,NRI_2_APO, NRI_2)</f>
        <v>0.25</v>
      </c>
      <c r="K118" s="112">
        <f t="shared" ca="1" si="21"/>
        <v>60.088870195011708</v>
      </c>
      <c r="L118" s="98">
        <f t="shared" ca="1" si="22"/>
        <v>246.97133397327354</v>
      </c>
      <c r="M118" s="98">
        <f t="shared" ca="1" si="23"/>
        <v>3.1099630066969883</v>
      </c>
      <c r="N118" s="98">
        <f t="shared" ca="1" si="24"/>
        <v>49.394266794654705</v>
      </c>
      <c r="O118" s="67">
        <f>assumptions!M122</f>
        <v>55</v>
      </c>
      <c r="P118" s="68">
        <f>assumptions!N122</f>
        <v>3</v>
      </c>
      <c r="Q118" s="68">
        <f>assumptions!O122</f>
        <v>22</v>
      </c>
      <c r="R118" s="67">
        <f t="shared" si="25"/>
        <v>52.5</v>
      </c>
      <c r="S118" s="68">
        <f t="shared" si="26"/>
        <v>2.3275000000000001</v>
      </c>
      <c r="T118" s="68">
        <f t="shared" si="27"/>
        <v>22</v>
      </c>
      <c r="U118" s="73">
        <f t="shared" ca="1" si="33"/>
        <v>3154.6656852381147</v>
      </c>
      <c r="V118" s="72">
        <f t="shared" ca="1" si="33"/>
        <v>574.82577982279417</v>
      </c>
      <c r="W118" s="72">
        <f t="shared" ca="1" si="28"/>
        <v>1086.6738694824035</v>
      </c>
      <c r="X118" s="72">
        <f t="shared" ca="1" si="34"/>
        <v>4816.1653345433124</v>
      </c>
      <c r="Y118" s="73">
        <f>mult_opex * fixed_month</f>
        <v>1000</v>
      </c>
      <c r="Z118" s="72">
        <f ca="1">mult_opex * fixed_well *D118</f>
        <v>5000</v>
      </c>
      <c r="AA118" s="72">
        <f ca="1">(Z118+Y118)*WI_current_2</f>
        <v>0</v>
      </c>
      <c r="AB118" s="72">
        <f ca="1">mult_opex * var_bo*E118</f>
        <v>0</v>
      </c>
      <c r="AC118" s="72">
        <f ca="1">mult_opex * var_mcf*F118</f>
        <v>0</v>
      </c>
      <c r="AD118" s="72">
        <f ca="1">mult_opex * var_bw * G118</f>
        <v>24.879704053575907</v>
      </c>
      <c r="AE118" s="72">
        <f ca="1">SUM(AB118:AD118)*WI_current_2</f>
        <v>0</v>
      </c>
      <c r="AF118" s="73">
        <f ca="1">mult_capex * IFERROR(OFFSET(assumptions!$F$39,MATCH(B118,assumptions!$E$39:$E$45,0)-1,0),0)</f>
        <v>0</v>
      </c>
      <c r="AG118" s="75">
        <f ca="1">mult_capex * capex_new*WI_current_2 *'forecast production'!I119</f>
        <v>0</v>
      </c>
      <c r="AH118" s="146">
        <f t="shared" ca="1" si="35"/>
        <v>0</v>
      </c>
      <c r="AI118" s="73">
        <f t="shared" ca="1" si="29"/>
        <v>269.72709521884309</v>
      </c>
      <c r="AJ118" s="72">
        <f t="shared" ca="1" si="30"/>
        <v>120.40413336358282</v>
      </c>
      <c r="AK118" s="72">
        <f t="shared" ca="1" si="36"/>
        <v>390.13122858242593</v>
      </c>
      <c r="AL118" s="73">
        <f t="shared" ca="1" si="31"/>
        <v>4426.0341059608863</v>
      </c>
      <c r="AM118" s="321">
        <f ca="1">'monthly calculations (1)'!AM118</f>
        <v>1</v>
      </c>
      <c r="AN118" s="73">
        <f t="shared" ca="1" si="37"/>
        <v>4426.0341059608863</v>
      </c>
      <c r="AO118" s="75">
        <f t="shared" ca="1" si="39"/>
        <v>891673.53487995849</v>
      </c>
      <c r="AP118" s="72">
        <f ca="1">AL118  /  ( 1 + disc_1/12)^(COUNT($AL$6:AL118)-1)</f>
        <v>1747.2411044209539</v>
      </c>
      <c r="AQ118" s="72">
        <f t="shared" ca="1" si="40"/>
        <v>642169.27516871935</v>
      </c>
      <c r="AS118" s="303"/>
      <c r="AT118" s="300"/>
      <c r="AU118" s="297"/>
      <c r="AV118" s="303"/>
    </row>
    <row r="119" spans="2:48" x14ac:dyDescent="0.25">
      <c r="B119" s="43">
        <f t="shared" si="38"/>
        <v>47635</v>
      </c>
      <c r="C119" s="79">
        <f t="shared" si="32"/>
        <v>2030</v>
      </c>
      <c r="D119" s="64">
        <f ca="1">wellcount_base  +  SUM('forecast production'!I$7:I120)</f>
        <v>1</v>
      </c>
      <c r="E119" s="110">
        <f ca="1">'forecast production'!AE120</f>
        <v>230.96067291224045</v>
      </c>
      <c r="F119" s="98">
        <f ca="1">'forecast production'!AF120</f>
        <v>1266.8133450150349</v>
      </c>
      <c r="G119" s="98">
        <f ca="1">'forecast production'!AG120</f>
        <v>11.616234376549187</v>
      </c>
      <c r="H119" s="98">
        <f ca="1">'forecast production'!AH120</f>
        <v>190.02200175225525</v>
      </c>
      <c r="I119" s="307">
        <f ca="1">IF('monthly calculations (1)'!AV118,WI_2_APO, WI_2)</f>
        <v>0</v>
      </c>
      <c r="J119" s="306">
        <f ca="1">IF('monthly calculations (1)'!AV118,NRI_2_APO, NRI_2)</f>
        <v>0.25</v>
      </c>
      <c r="K119" s="112">
        <f t="shared" ca="1" si="21"/>
        <v>57.740168228060114</v>
      </c>
      <c r="L119" s="98">
        <f t="shared" ca="1" si="22"/>
        <v>237.52750219031904</v>
      </c>
      <c r="M119" s="98">
        <f t="shared" ca="1" si="23"/>
        <v>2.9040585941372967</v>
      </c>
      <c r="N119" s="98">
        <f t="shared" ca="1" si="24"/>
        <v>47.505500438063812</v>
      </c>
      <c r="O119" s="67">
        <f>assumptions!M123</f>
        <v>55</v>
      </c>
      <c r="P119" s="68">
        <f>assumptions!N123</f>
        <v>3</v>
      </c>
      <c r="Q119" s="68">
        <f>assumptions!O123</f>
        <v>22</v>
      </c>
      <c r="R119" s="67">
        <f t="shared" si="25"/>
        <v>52.5</v>
      </c>
      <c r="S119" s="68">
        <f t="shared" si="26"/>
        <v>2.3275000000000001</v>
      </c>
      <c r="T119" s="68">
        <f t="shared" si="27"/>
        <v>22</v>
      </c>
      <c r="U119" s="73">
        <f t="shared" ca="1" si="33"/>
        <v>3031.3588319731562</v>
      </c>
      <c r="V119" s="72">
        <f t="shared" ca="1" si="33"/>
        <v>552.84526134796761</v>
      </c>
      <c r="W119" s="72">
        <f t="shared" ca="1" si="28"/>
        <v>1045.1210096374039</v>
      </c>
      <c r="X119" s="72">
        <f t="shared" ca="1" si="34"/>
        <v>4629.3251029585281</v>
      </c>
      <c r="Y119" s="73">
        <f>mult_opex * fixed_month</f>
        <v>1000</v>
      </c>
      <c r="Z119" s="72">
        <f ca="1">mult_opex * fixed_well *D119</f>
        <v>5000</v>
      </c>
      <c r="AA119" s="72">
        <f ca="1">(Z119+Y119)*WI_current_2</f>
        <v>0</v>
      </c>
      <c r="AB119" s="72">
        <f ca="1">mult_opex * var_bo*E119</f>
        <v>0</v>
      </c>
      <c r="AC119" s="72">
        <f ca="1">mult_opex * var_mcf*F119</f>
        <v>0</v>
      </c>
      <c r="AD119" s="72">
        <f ca="1">mult_opex * var_bw * G119</f>
        <v>23.232468753098374</v>
      </c>
      <c r="AE119" s="72">
        <f ca="1">SUM(AB119:AD119)*WI_current_2</f>
        <v>0</v>
      </c>
      <c r="AF119" s="73">
        <f ca="1">mult_capex * IFERROR(OFFSET(assumptions!$F$39,MATCH(B119,assumptions!$E$39:$E$45,0)-1,0),0)</f>
        <v>0</v>
      </c>
      <c r="AG119" s="75">
        <f ca="1">mult_capex * capex_new*WI_current_2 *'forecast production'!I120</f>
        <v>0</v>
      </c>
      <c r="AH119" s="146">
        <f t="shared" ca="1" si="35"/>
        <v>0</v>
      </c>
      <c r="AI119" s="73">
        <f t="shared" ca="1" si="29"/>
        <v>259.28997659466808</v>
      </c>
      <c r="AJ119" s="72">
        <f t="shared" ca="1" si="30"/>
        <v>115.7331275739632</v>
      </c>
      <c r="AK119" s="72">
        <f t="shared" ca="1" si="36"/>
        <v>375.02310416863128</v>
      </c>
      <c r="AL119" s="73">
        <f t="shared" ca="1" si="31"/>
        <v>4254.301998789897</v>
      </c>
      <c r="AM119" s="321">
        <f ca="1">'monthly calculations (1)'!AM119</f>
        <v>1</v>
      </c>
      <c r="AN119" s="73">
        <f t="shared" ca="1" si="37"/>
        <v>4254.301998789897</v>
      </c>
      <c r="AO119" s="75">
        <f t="shared" ca="1" si="39"/>
        <v>895927.83687874838</v>
      </c>
      <c r="AP119" s="72">
        <f ca="1">AL119  /  ( 1 + disc_1/12)^(COUNT($AL$6:AL119)-1)</f>
        <v>1665.5676361111261</v>
      </c>
      <c r="AQ119" s="72">
        <f t="shared" ca="1" si="40"/>
        <v>643834.84280483052</v>
      </c>
      <c r="AS119" s="303"/>
      <c r="AT119" s="300"/>
      <c r="AU119" s="297"/>
      <c r="AV119" s="303"/>
    </row>
    <row r="120" spans="2:48" x14ac:dyDescent="0.25">
      <c r="B120" s="43">
        <f t="shared" si="38"/>
        <v>47665</v>
      </c>
      <c r="C120" s="79">
        <f t="shared" si="32"/>
        <v>2030</v>
      </c>
      <c r="D120" s="64">
        <f ca="1">wellcount_base  +  SUM('forecast production'!I$7:I121)</f>
        <v>1</v>
      </c>
      <c r="E120" s="110">
        <f ca="1">'forecast production'!AE121</f>
        <v>237.02935371220207</v>
      </c>
      <c r="F120" s="98">
        <f ca="1">'forecast production'!AF121</f>
        <v>1301.2582682952182</v>
      </c>
      <c r="G120" s="98">
        <f ca="1">'forecast production'!AG121</f>
        <v>11.595763141741745</v>
      </c>
      <c r="H120" s="98">
        <f ca="1">'forecast production'!AH121</f>
        <v>195.18874024428271</v>
      </c>
      <c r="I120" s="307">
        <f ca="1">IF('monthly calculations (1)'!AV119,WI_2_APO, WI_2)</f>
        <v>0</v>
      </c>
      <c r="J120" s="306">
        <f ca="1">IF('monthly calculations (1)'!AV119,NRI_2_APO, NRI_2)</f>
        <v>0.25</v>
      </c>
      <c r="K120" s="112">
        <f t="shared" ca="1" si="21"/>
        <v>59.257338428050517</v>
      </c>
      <c r="L120" s="98">
        <f t="shared" ca="1" si="22"/>
        <v>243.98592530535342</v>
      </c>
      <c r="M120" s="98">
        <f t="shared" ca="1" si="23"/>
        <v>2.8989407854354363</v>
      </c>
      <c r="N120" s="98">
        <f t="shared" ca="1" si="24"/>
        <v>48.797185061070678</v>
      </c>
      <c r="O120" s="67">
        <f>assumptions!M124</f>
        <v>55</v>
      </c>
      <c r="P120" s="68">
        <f>assumptions!N124</f>
        <v>3</v>
      </c>
      <c r="Q120" s="68">
        <f>assumptions!O124</f>
        <v>22</v>
      </c>
      <c r="R120" s="67">
        <f t="shared" si="25"/>
        <v>52.5</v>
      </c>
      <c r="S120" s="68">
        <f t="shared" si="26"/>
        <v>2.3275000000000001</v>
      </c>
      <c r="T120" s="68">
        <f t="shared" si="27"/>
        <v>22</v>
      </c>
      <c r="U120" s="73">
        <f t="shared" ca="1" si="33"/>
        <v>3111.0102674726522</v>
      </c>
      <c r="V120" s="72">
        <f t="shared" ca="1" si="33"/>
        <v>567.87724114821015</v>
      </c>
      <c r="W120" s="72">
        <f t="shared" ca="1" si="28"/>
        <v>1073.538071343555</v>
      </c>
      <c r="X120" s="72">
        <f t="shared" ca="1" si="34"/>
        <v>4752.425579964417</v>
      </c>
      <c r="Y120" s="73">
        <f>mult_opex * fixed_month</f>
        <v>1000</v>
      </c>
      <c r="Z120" s="72">
        <f ca="1">mult_opex * fixed_well *D120</f>
        <v>5000</v>
      </c>
      <c r="AA120" s="72">
        <f ca="1">(Z120+Y120)*WI_current_2</f>
        <v>0</v>
      </c>
      <c r="AB120" s="72">
        <f ca="1">mult_opex * var_bo*E120</f>
        <v>0</v>
      </c>
      <c r="AC120" s="72">
        <f ca="1">mult_opex * var_mcf*F120</f>
        <v>0</v>
      </c>
      <c r="AD120" s="72">
        <f ca="1">mult_opex * var_bw * G120</f>
        <v>23.191526283483491</v>
      </c>
      <c r="AE120" s="72">
        <f ca="1">SUM(AB120:AD120)*WI_current_2</f>
        <v>0</v>
      </c>
      <c r="AF120" s="73">
        <f ca="1">mult_capex * IFERROR(OFFSET(assumptions!$F$39,MATCH(B120,assumptions!$E$39:$E$45,0)-1,0),0)</f>
        <v>0</v>
      </c>
      <c r="AG120" s="75">
        <f ca="1">mult_capex * capex_new*WI_current_2 *'forecast production'!I121</f>
        <v>0</v>
      </c>
      <c r="AH120" s="146">
        <f t="shared" ca="1" si="35"/>
        <v>0</v>
      </c>
      <c r="AI120" s="73">
        <f t="shared" ca="1" si="29"/>
        <v>266.2126207406244</v>
      </c>
      <c r="AJ120" s="72">
        <f t="shared" ca="1" si="30"/>
        <v>118.81063949911044</v>
      </c>
      <c r="AK120" s="72">
        <f t="shared" ca="1" si="36"/>
        <v>385.02326023973484</v>
      </c>
      <c r="AL120" s="73">
        <f t="shared" ca="1" si="31"/>
        <v>4367.4023197246825</v>
      </c>
      <c r="AM120" s="321">
        <f ca="1">'monthly calculations (1)'!AM120</f>
        <v>1</v>
      </c>
      <c r="AN120" s="73">
        <f t="shared" ca="1" si="37"/>
        <v>4367.4023197246825</v>
      </c>
      <c r="AO120" s="75">
        <f t="shared" ca="1" si="39"/>
        <v>900295.23919847305</v>
      </c>
      <c r="AP120" s="72">
        <f ca="1">AL120  /  ( 1 + disc_1/12)^(COUNT($AL$6:AL120)-1)</f>
        <v>1695.7156712388201</v>
      </c>
      <c r="AQ120" s="72">
        <f t="shared" ca="1" si="40"/>
        <v>645530.55847606936</v>
      </c>
      <c r="AS120" s="303"/>
      <c r="AT120" s="300"/>
      <c r="AU120" s="297"/>
      <c r="AV120" s="303"/>
    </row>
    <row r="121" spans="2:48" x14ac:dyDescent="0.25">
      <c r="B121" s="43">
        <f t="shared" si="38"/>
        <v>47696</v>
      </c>
      <c r="C121" s="79">
        <f t="shared" si="32"/>
        <v>2030</v>
      </c>
      <c r="D121" s="64">
        <f ca="1">wellcount_base  +  SUM('forecast production'!I$7:I122)</f>
        <v>1</v>
      </c>
      <c r="E121" s="110">
        <f ca="1">'forecast production'!AE122</f>
        <v>235.35670645347957</v>
      </c>
      <c r="F121" s="98">
        <f ca="1">'forecast production'!AF122</f>
        <v>1293.3132877087776</v>
      </c>
      <c r="G121" s="98">
        <f ca="1">'forecast production'!AG122</f>
        <v>11.189105633609691</v>
      </c>
      <c r="H121" s="98">
        <f ca="1">'forecast production'!AH122</f>
        <v>193.99699315631665</v>
      </c>
      <c r="I121" s="307">
        <f ca="1">IF('monthly calculations (1)'!AV120,WI_2_APO, WI_2)</f>
        <v>0</v>
      </c>
      <c r="J121" s="306">
        <f ca="1">IF('monthly calculations (1)'!AV120,NRI_2_APO, NRI_2)</f>
        <v>0.25</v>
      </c>
      <c r="K121" s="112">
        <f t="shared" ca="1" si="21"/>
        <v>58.839176613369894</v>
      </c>
      <c r="L121" s="98">
        <f t="shared" ca="1" si="22"/>
        <v>242.49624144539581</v>
      </c>
      <c r="M121" s="98">
        <f t="shared" ca="1" si="23"/>
        <v>2.7972764084024226</v>
      </c>
      <c r="N121" s="98">
        <f t="shared" ca="1" si="24"/>
        <v>48.499248289079162</v>
      </c>
      <c r="O121" s="67">
        <f>assumptions!M125</f>
        <v>55</v>
      </c>
      <c r="P121" s="68">
        <f>assumptions!N125</f>
        <v>3</v>
      </c>
      <c r="Q121" s="68">
        <f>assumptions!O125</f>
        <v>22</v>
      </c>
      <c r="R121" s="67">
        <f t="shared" si="25"/>
        <v>52.5</v>
      </c>
      <c r="S121" s="68">
        <f t="shared" si="26"/>
        <v>2.3275000000000001</v>
      </c>
      <c r="T121" s="68">
        <f t="shared" si="27"/>
        <v>22</v>
      </c>
      <c r="U121" s="73">
        <f t="shared" ca="1" si="33"/>
        <v>3089.0567722019196</v>
      </c>
      <c r="V121" s="72">
        <f t="shared" ca="1" si="33"/>
        <v>564.41000196415882</v>
      </c>
      <c r="W121" s="72">
        <f t="shared" ca="1" si="28"/>
        <v>1066.9834623597417</v>
      </c>
      <c r="X121" s="72">
        <f t="shared" ca="1" si="34"/>
        <v>4720.4502365258195</v>
      </c>
      <c r="Y121" s="73">
        <f>mult_opex * fixed_month</f>
        <v>1000</v>
      </c>
      <c r="Z121" s="72">
        <f ca="1">mult_opex * fixed_well *D121</f>
        <v>5000</v>
      </c>
      <c r="AA121" s="72">
        <f ca="1">(Z121+Y121)*WI_current_2</f>
        <v>0</v>
      </c>
      <c r="AB121" s="72">
        <f ca="1">mult_opex * var_bo*E121</f>
        <v>0</v>
      </c>
      <c r="AC121" s="72">
        <f ca="1">mult_opex * var_mcf*F121</f>
        <v>0</v>
      </c>
      <c r="AD121" s="72">
        <f ca="1">mult_opex * var_bw * G121</f>
        <v>22.378211267219381</v>
      </c>
      <c r="AE121" s="72">
        <f ca="1">SUM(AB121:AD121)*WI_current_2</f>
        <v>0</v>
      </c>
      <c r="AF121" s="73">
        <f ca="1">mult_capex * IFERROR(OFFSET(assumptions!$F$39,MATCH(B121,assumptions!$E$39:$E$45,0)-1,0),0)</f>
        <v>0</v>
      </c>
      <c r="AG121" s="75">
        <f ca="1">mult_capex * capex_new*WI_current_2 *'forecast production'!I122</f>
        <v>0</v>
      </c>
      <c r="AH121" s="146">
        <f t="shared" ca="1" si="35"/>
        <v>0</v>
      </c>
      <c r="AI121" s="73">
        <f t="shared" ca="1" si="29"/>
        <v>264.45112134558082</v>
      </c>
      <c r="AJ121" s="72">
        <f t="shared" ca="1" si="30"/>
        <v>118.01125591314549</v>
      </c>
      <c r="AK121" s="72">
        <f t="shared" ca="1" si="36"/>
        <v>382.46237725872629</v>
      </c>
      <c r="AL121" s="73">
        <f t="shared" ca="1" si="31"/>
        <v>4337.987859267093</v>
      </c>
      <c r="AM121" s="321">
        <f ca="1">'monthly calculations (1)'!AM121</f>
        <v>1</v>
      </c>
      <c r="AN121" s="73">
        <f t="shared" ca="1" si="37"/>
        <v>4337.987859267093</v>
      </c>
      <c r="AO121" s="75">
        <f t="shared" ca="1" si="39"/>
        <v>904633.22705774009</v>
      </c>
      <c r="AP121" s="72">
        <f ca="1">AL121  /  ( 1 + disc_1/12)^(COUNT($AL$6:AL121)-1)</f>
        <v>1670.3752303416059</v>
      </c>
      <c r="AQ121" s="72">
        <f t="shared" ca="1" si="40"/>
        <v>647200.93370641093</v>
      </c>
      <c r="AS121" s="303"/>
      <c r="AT121" s="300"/>
      <c r="AU121" s="297"/>
      <c r="AV121" s="303"/>
    </row>
    <row r="122" spans="2:48" x14ac:dyDescent="0.25">
      <c r="B122" s="43">
        <f t="shared" si="38"/>
        <v>47727</v>
      </c>
      <c r="C122" s="79">
        <f t="shared" si="32"/>
        <v>2030</v>
      </c>
      <c r="D122" s="64">
        <f ca="1">wellcount_base  +  SUM('forecast production'!I$7:I123)</f>
        <v>1</v>
      </c>
      <c r="E122" s="110">
        <f ca="1">'forecast production'!AE123</f>
        <v>226.15728636805378</v>
      </c>
      <c r="F122" s="98">
        <f ca="1">'forecast production'!AF123</f>
        <v>1243.9981319330554</v>
      </c>
      <c r="G122" s="98">
        <f ca="1">'forecast production'!AG123</f>
        <v>10.448495016299249</v>
      </c>
      <c r="H122" s="98">
        <f ca="1">'forecast production'!AH123</f>
        <v>186.59971978995833</v>
      </c>
      <c r="I122" s="307">
        <f ca="1">IF('monthly calculations (1)'!AV121,WI_2_APO, WI_2)</f>
        <v>0</v>
      </c>
      <c r="J122" s="306">
        <f ca="1">IF('monthly calculations (1)'!AV121,NRI_2_APO, NRI_2)</f>
        <v>0.25</v>
      </c>
      <c r="K122" s="112">
        <f t="shared" ca="1" si="21"/>
        <v>56.539321592013444</v>
      </c>
      <c r="L122" s="98">
        <f t="shared" ca="1" si="22"/>
        <v>233.2496497374479</v>
      </c>
      <c r="M122" s="98">
        <f t="shared" ca="1" si="23"/>
        <v>2.6121237540748123</v>
      </c>
      <c r="N122" s="98">
        <f t="shared" ca="1" si="24"/>
        <v>46.649929947489582</v>
      </c>
      <c r="O122" s="67">
        <f>assumptions!M126</f>
        <v>55</v>
      </c>
      <c r="P122" s="68">
        <f>assumptions!N126</f>
        <v>3</v>
      </c>
      <c r="Q122" s="68">
        <f>assumptions!O126</f>
        <v>22</v>
      </c>
      <c r="R122" s="67">
        <f t="shared" si="25"/>
        <v>52.5</v>
      </c>
      <c r="S122" s="68">
        <f t="shared" si="26"/>
        <v>2.3275000000000001</v>
      </c>
      <c r="T122" s="68">
        <f t="shared" si="27"/>
        <v>22</v>
      </c>
      <c r="U122" s="73">
        <f t="shared" ca="1" si="33"/>
        <v>2968.3143835807059</v>
      </c>
      <c r="V122" s="72">
        <f t="shared" ca="1" si="33"/>
        <v>542.88855976391005</v>
      </c>
      <c r="W122" s="72">
        <f t="shared" ca="1" si="28"/>
        <v>1026.2984588447707</v>
      </c>
      <c r="X122" s="72">
        <f t="shared" ca="1" si="34"/>
        <v>4537.5014021893867</v>
      </c>
      <c r="Y122" s="73">
        <f>mult_opex * fixed_month</f>
        <v>1000</v>
      </c>
      <c r="Z122" s="72">
        <f ca="1">mult_opex * fixed_well *D122</f>
        <v>5000</v>
      </c>
      <c r="AA122" s="72">
        <f ca="1">(Z122+Y122)*WI_current_2</f>
        <v>0</v>
      </c>
      <c r="AB122" s="72">
        <f ca="1">mult_opex * var_bo*E122</f>
        <v>0</v>
      </c>
      <c r="AC122" s="72">
        <f ca="1">mult_opex * var_mcf*F122</f>
        <v>0</v>
      </c>
      <c r="AD122" s="72">
        <f ca="1">mult_opex * var_bw * G122</f>
        <v>20.896990032598499</v>
      </c>
      <c r="AE122" s="72">
        <f ca="1">SUM(AB122:AD122)*WI_current_2</f>
        <v>0</v>
      </c>
      <c r="AF122" s="73">
        <f ca="1">mult_capex * IFERROR(OFFSET(assumptions!$F$39,MATCH(B122,assumptions!$E$39:$E$45,0)-1,0),0)</f>
        <v>0</v>
      </c>
      <c r="AG122" s="75">
        <f ca="1">mult_capex * capex_new*WI_current_2 *'forecast production'!I123</f>
        <v>0</v>
      </c>
      <c r="AH122" s="146">
        <f t="shared" ca="1" si="35"/>
        <v>0</v>
      </c>
      <c r="AI122" s="73">
        <f t="shared" ca="1" si="29"/>
        <v>254.2314880403635</v>
      </c>
      <c r="AJ122" s="72">
        <f t="shared" ca="1" si="30"/>
        <v>113.43753505473467</v>
      </c>
      <c r="AK122" s="72">
        <f t="shared" ca="1" si="36"/>
        <v>367.66902309509817</v>
      </c>
      <c r="AL122" s="73">
        <f t="shared" ca="1" si="31"/>
        <v>4169.8323790942886</v>
      </c>
      <c r="AM122" s="321">
        <f ca="1">'monthly calculations (1)'!AM122</f>
        <v>1</v>
      </c>
      <c r="AN122" s="73">
        <f t="shared" ca="1" si="37"/>
        <v>4169.8323790942886</v>
      </c>
      <c r="AO122" s="75">
        <f t="shared" ca="1" si="39"/>
        <v>908803.05943683442</v>
      </c>
      <c r="AP122" s="72">
        <f ca="1">AL122  /  ( 1 + disc_1/12)^(COUNT($AL$6:AL122)-1)</f>
        <v>1592.35604956119</v>
      </c>
      <c r="AQ122" s="72">
        <f t="shared" ca="1" si="40"/>
        <v>648793.2897559721</v>
      </c>
      <c r="AS122" s="303"/>
      <c r="AT122" s="300"/>
      <c r="AU122" s="297"/>
      <c r="AV122" s="303"/>
    </row>
    <row r="123" spans="2:48" x14ac:dyDescent="0.25">
      <c r="B123" s="43">
        <f t="shared" si="38"/>
        <v>47757</v>
      </c>
      <c r="C123" s="79">
        <f t="shared" si="32"/>
        <v>2030</v>
      </c>
      <c r="D123" s="64">
        <f ca="1">wellcount_base  +  SUM('forecast production'!I$7:I124)</f>
        <v>1</v>
      </c>
      <c r="E123" s="110">
        <f ca="1">'forecast production'!AE124</f>
        <v>232.09975425337521</v>
      </c>
      <c r="F123" s="98">
        <f ca="1">'forecast production'!AF124</f>
        <v>1277.9595335808629</v>
      </c>
      <c r="G123" s="98">
        <f ca="1">'forecast production'!AG124</f>
        <v>10.430272530612532</v>
      </c>
      <c r="H123" s="98">
        <f ca="1">'forecast production'!AH124</f>
        <v>191.69393003712943</v>
      </c>
      <c r="I123" s="307">
        <f ca="1">IF('monthly calculations (1)'!AV122,WI_2_APO, WI_2)</f>
        <v>0</v>
      </c>
      <c r="J123" s="306">
        <f ca="1">IF('monthly calculations (1)'!AV122,NRI_2_APO, NRI_2)</f>
        <v>0.25</v>
      </c>
      <c r="K123" s="112">
        <f t="shared" ca="1" si="21"/>
        <v>58.024938563343802</v>
      </c>
      <c r="L123" s="98">
        <f t="shared" ca="1" si="22"/>
        <v>239.6174125464118</v>
      </c>
      <c r="M123" s="98">
        <f t="shared" ca="1" si="23"/>
        <v>2.607568132653133</v>
      </c>
      <c r="N123" s="98">
        <f t="shared" ca="1" si="24"/>
        <v>47.923482509282358</v>
      </c>
      <c r="O123" s="67">
        <f>assumptions!M127</f>
        <v>55</v>
      </c>
      <c r="P123" s="68">
        <f>assumptions!N127</f>
        <v>3</v>
      </c>
      <c r="Q123" s="68">
        <f>assumptions!O127</f>
        <v>22</v>
      </c>
      <c r="R123" s="67">
        <f t="shared" si="25"/>
        <v>52.5</v>
      </c>
      <c r="S123" s="68">
        <f t="shared" si="26"/>
        <v>2.3275000000000001</v>
      </c>
      <c r="T123" s="68">
        <f t="shared" si="27"/>
        <v>22</v>
      </c>
      <c r="U123" s="73">
        <f t="shared" ca="1" si="33"/>
        <v>3046.3092745755498</v>
      </c>
      <c r="V123" s="72">
        <f t="shared" ca="1" si="33"/>
        <v>557.70952770177348</v>
      </c>
      <c r="W123" s="72">
        <f t="shared" ca="1" si="28"/>
        <v>1054.316615204212</v>
      </c>
      <c r="X123" s="72">
        <f t="shared" ca="1" si="34"/>
        <v>4658.3354174815349</v>
      </c>
      <c r="Y123" s="73">
        <f>mult_opex * fixed_month</f>
        <v>1000</v>
      </c>
      <c r="Z123" s="72">
        <f ca="1">mult_opex * fixed_well *D123</f>
        <v>5000</v>
      </c>
      <c r="AA123" s="72">
        <f ca="1">(Z123+Y123)*WI_current_2</f>
        <v>0</v>
      </c>
      <c r="AB123" s="72">
        <f ca="1">mult_opex * var_bo*E123</f>
        <v>0</v>
      </c>
      <c r="AC123" s="72">
        <f ca="1">mult_opex * var_mcf*F123</f>
        <v>0</v>
      </c>
      <c r="AD123" s="72">
        <f ca="1">mult_opex * var_bw * G123</f>
        <v>20.860545061225064</v>
      </c>
      <c r="AE123" s="72">
        <f ca="1">SUM(AB123:AD123)*WI_current_2</f>
        <v>0</v>
      </c>
      <c r="AF123" s="73">
        <f ca="1">mult_capex * IFERROR(OFFSET(assumptions!$F$39,MATCH(B123,assumptions!$E$39:$E$45,0)-1,0),0)</f>
        <v>0</v>
      </c>
      <c r="AG123" s="75">
        <f ca="1">mult_capex * capex_new*WI_current_2 *'forecast production'!I124</f>
        <v>0</v>
      </c>
      <c r="AH123" s="146">
        <f t="shared" ca="1" si="35"/>
        <v>0</v>
      </c>
      <c r="AI123" s="73">
        <f t="shared" ca="1" si="29"/>
        <v>261.0321873484242</v>
      </c>
      <c r="AJ123" s="72">
        <f t="shared" ca="1" si="30"/>
        <v>116.45838543703837</v>
      </c>
      <c r="AK123" s="72">
        <f t="shared" ca="1" si="36"/>
        <v>377.49057278546258</v>
      </c>
      <c r="AL123" s="73">
        <f t="shared" ca="1" si="31"/>
        <v>4280.844844696072</v>
      </c>
      <c r="AM123" s="321">
        <f ca="1">'monthly calculations (1)'!AM123</f>
        <v>1</v>
      </c>
      <c r="AN123" s="73">
        <f t="shared" ca="1" si="37"/>
        <v>4280.844844696072</v>
      </c>
      <c r="AO123" s="75">
        <f t="shared" ca="1" si="39"/>
        <v>913083.90428153053</v>
      </c>
      <c r="AP123" s="72">
        <f ca="1">AL123  /  ( 1 + disc_1/12)^(COUNT($AL$6:AL123)-1)</f>
        <v>1621.2386476693125</v>
      </c>
      <c r="AQ123" s="72">
        <f t="shared" ca="1" si="40"/>
        <v>650414.52840364142</v>
      </c>
      <c r="AS123" s="303"/>
      <c r="AT123" s="300"/>
      <c r="AU123" s="297"/>
      <c r="AV123" s="303"/>
    </row>
    <row r="124" spans="2:48" x14ac:dyDescent="0.25">
      <c r="B124" s="43">
        <f t="shared" si="38"/>
        <v>47788</v>
      </c>
      <c r="C124" s="79">
        <f t="shared" si="32"/>
        <v>2030</v>
      </c>
      <c r="D124" s="64">
        <f ca="1">wellcount_base  +  SUM('forecast production'!I$7:I125)</f>
        <v>1</v>
      </c>
      <c r="E124" s="110">
        <f ca="1">'forecast production'!AE125</f>
        <v>223.0276391083456</v>
      </c>
      <c r="F124" s="98">
        <f ca="1">'forecast production'!AF125</f>
        <v>1229.318394515398</v>
      </c>
      <c r="G124" s="98">
        <f ca="1">'forecast production'!AG125</f>
        <v>9.7400113689100252</v>
      </c>
      <c r="H124" s="98">
        <f ca="1">'forecast production'!AH125</f>
        <v>184.39775917730972</v>
      </c>
      <c r="I124" s="307">
        <f ca="1">IF('monthly calculations (1)'!AV123,WI_2_APO, WI_2)</f>
        <v>0</v>
      </c>
      <c r="J124" s="306">
        <f ca="1">IF('monthly calculations (1)'!AV123,NRI_2_APO, NRI_2)</f>
        <v>0.25</v>
      </c>
      <c r="K124" s="112">
        <f t="shared" ca="1" si="21"/>
        <v>55.756909777086399</v>
      </c>
      <c r="L124" s="98">
        <f t="shared" ca="1" si="22"/>
        <v>230.49719897163715</v>
      </c>
      <c r="M124" s="98">
        <f t="shared" ca="1" si="23"/>
        <v>2.4350028422275063</v>
      </c>
      <c r="N124" s="98">
        <f t="shared" ca="1" si="24"/>
        <v>46.099439794327431</v>
      </c>
      <c r="O124" s="67">
        <f>assumptions!M128</f>
        <v>55</v>
      </c>
      <c r="P124" s="68">
        <f>assumptions!N128</f>
        <v>3</v>
      </c>
      <c r="Q124" s="68">
        <f>assumptions!O128</f>
        <v>22</v>
      </c>
      <c r="R124" s="67">
        <f t="shared" si="25"/>
        <v>52.5</v>
      </c>
      <c r="S124" s="68">
        <f t="shared" si="26"/>
        <v>2.3275000000000001</v>
      </c>
      <c r="T124" s="68">
        <f t="shared" si="27"/>
        <v>22</v>
      </c>
      <c r="U124" s="73">
        <f t="shared" ca="1" si="33"/>
        <v>2927.2377632970361</v>
      </c>
      <c r="V124" s="72">
        <f t="shared" ca="1" si="33"/>
        <v>536.48223060648547</v>
      </c>
      <c r="W124" s="72">
        <f t="shared" ca="1" si="28"/>
        <v>1014.1876754752035</v>
      </c>
      <c r="X124" s="72">
        <f t="shared" ca="1" si="34"/>
        <v>4477.9076693787256</v>
      </c>
      <c r="Y124" s="73">
        <f>mult_opex * fixed_month</f>
        <v>1000</v>
      </c>
      <c r="Z124" s="72">
        <f ca="1">mult_opex * fixed_well *D124</f>
        <v>5000</v>
      </c>
      <c r="AA124" s="72">
        <f ca="1">(Z124+Y124)*WI_current_2</f>
        <v>0</v>
      </c>
      <c r="AB124" s="72">
        <f ca="1">mult_opex * var_bo*E124</f>
        <v>0</v>
      </c>
      <c r="AC124" s="72">
        <f ca="1">mult_opex * var_mcf*F124</f>
        <v>0</v>
      </c>
      <c r="AD124" s="72">
        <f ca="1">mult_opex * var_bw * G124</f>
        <v>19.48002273782005</v>
      </c>
      <c r="AE124" s="72">
        <f ca="1">SUM(AB124:AD124)*WI_current_2</f>
        <v>0</v>
      </c>
      <c r="AF124" s="73">
        <f ca="1">mult_capex * IFERROR(OFFSET(assumptions!$F$39,MATCH(B124,assumptions!$E$39:$E$45,0)-1,0),0)</f>
        <v>0</v>
      </c>
      <c r="AG124" s="75">
        <f ca="1">mult_capex * capex_new*WI_current_2 *'forecast production'!I125</f>
        <v>0</v>
      </c>
      <c r="AH124" s="146">
        <f t="shared" ca="1" si="35"/>
        <v>0</v>
      </c>
      <c r="AI124" s="73">
        <f t="shared" ca="1" si="29"/>
        <v>250.9531800677903</v>
      </c>
      <c r="AJ124" s="72">
        <f t="shared" ca="1" si="30"/>
        <v>111.94769173446815</v>
      </c>
      <c r="AK124" s="72">
        <f t="shared" ca="1" si="36"/>
        <v>362.90087180225845</v>
      </c>
      <c r="AL124" s="73">
        <f t="shared" ca="1" si="31"/>
        <v>4115.0067975764669</v>
      </c>
      <c r="AM124" s="321">
        <f ca="1">'monthly calculations (1)'!AM124</f>
        <v>1</v>
      </c>
      <c r="AN124" s="73">
        <f t="shared" ca="1" si="37"/>
        <v>4115.0067975764669</v>
      </c>
      <c r="AO124" s="75">
        <f t="shared" ca="1" si="39"/>
        <v>917198.91107910697</v>
      </c>
      <c r="AP124" s="72">
        <f ca="1">AL124  /  ( 1 + disc_1/12)^(COUNT($AL$6:AL124)-1)</f>
        <v>1545.5529672103564</v>
      </c>
      <c r="AQ124" s="72">
        <f t="shared" ca="1" si="40"/>
        <v>651960.08137085172</v>
      </c>
      <c r="AS124" s="303"/>
      <c r="AT124" s="300"/>
      <c r="AU124" s="297"/>
      <c r="AV124" s="303"/>
    </row>
    <row r="125" spans="2:48" x14ac:dyDescent="0.25">
      <c r="B125" s="44">
        <f t="shared" si="38"/>
        <v>47818</v>
      </c>
      <c r="C125" s="100">
        <f t="shared" si="32"/>
        <v>2030</v>
      </c>
      <c r="D125" s="65">
        <f ca="1">wellcount_base  +  SUM('forecast production'!I$7:I126)</f>
        <v>1</v>
      </c>
      <c r="E125" s="109">
        <f ca="1">'forecast production'!AE126</f>
        <v>228.88787294924663</v>
      </c>
      <c r="F125" s="101">
        <f ca="1">'forecast production'!AF126</f>
        <v>1262.966051024378</v>
      </c>
      <c r="G125" s="101">
        <f ca="1">'forecast production'!AG126</f>
        <v>9.7231423575947034</v>
      </c>
      <c r="H125" s="102">
        <f ca="1">'forecast production'!AH126</f>
        <v>189.44490765365671</v>
      </c>
      <c r="I125" s="308">
        <f ca="1">IF('monthly calculations (1)'!AV124,WI_2_APO, WI_2)</f>
        <v>0</v>
      </c>
      <c r="J125" s="309">
        <f ca="1">IF('monthly calculations (1)'!AV124,NRI_2_APO, NRI_2)</f>
        <v>0.25</v>
      </c>
      <c r="K125" s="113">
        <f t="shared" ca="1" si="21"/>
        <v>57.221968237311657</v>
      </c>
      <c r="L125" s="102">
        <f t="shared" ca="1" si="22"/>
        <v>236.80613456707087</v>
      </c>
      <c r="M125" s="102">
        <f t="shared" ca="1" si="23"/>
        <v>2.4307855893986758</v>
      </c>
      <c r="N125" s="102">
        <f t="shared" ca="1" si="24"/>
        <v>47.361226913414178</v>
      </c>
      <c r="O125" s="103">
        <f>assumptions!M129</f>
        <v>55</v>
      </c>
      <c r="P125" s="104">
        <f>assumptions!N129</f>
        <v>3</v>
      </c>
      <c r="Q125" s="104">
        <f>assumptions!O129</f>
        <v>22</v>
      </c>
      <c r="R125" s="103">
        <f t="shared" si="25"/>
        <v>52.5</v>
      </c>
      <c r="S125" s="104">
        <f t="shared" si="26"/>
        <v>2.3275000000000001</v>
      </c>
      <c r="T125" s="104">
        <f t="shared" si="27"/>
        <v>22</v>
      </c>
      <c r="U125" s="105">
        <f t="shared" ca="1" si="33"/>
        <v>3004.1533324588618</v>
      </c>
      <c r="V125" s="106">
        <f t="shared" ca="1" si="33"/>
        <v>551.16627820485746</v>
      </c>
      <c r="W125" s="106">
        <f t="shared" ca="1" si="28"/>
        <v>1041.9469920951119</v>
      </c>
      <c r="X125" s="106">
        <f t="shared" ca="1" si="34"/>
        <v>4597.2666027588311</v>
      </c>
      <c r="Y125" s="105">
        <f>mult_opex * fixed_month</f>
        <v>1000</v>
      </c>
      <c r="Z125" s="106">
        <f ca="1">mult_opex * fixed_well *D125</f>
        <v>5000</v>
      </c>
      <c r="AA125" s="106">
        <f ca="1">(Z125+Y125)*WI_current_2</f>
        <v>0</v>
      </c>
      <c r="AB125" s="106">
        <f ca="1">mult_opex * var_bo*E125</f>
        <v>0</v>
      </c>
      <c r="AC125" s="106">
        <f ca="1">mult_opex * var_mcf*F125</f>
        <v>0</v>
      </c>
      <c r="AD125" s="106">
        <f ca="1">mult_opex * var_bw * G125</f>
        <v>19.446284715189407</v>
      </c>
      <c r="AE125" s="106">
        <f ca="1">SUM(AB125:AD125)*WI_current_2</f>
        <v>0</v>
      </c>
      <c r="AF125" s="105">
        <f ca="1">mult_capex * IFERROR(OFFSET(assumptions!$F$39,MATCH(B125,assumptions!$E$39:$E$45,0)-1,0),0)</f>
        <v>0</v>
      </c>
      <c r="AG125" s="106">
        <f ca="1">mult_capex * capex_new*WI_current_2 *'forecast production'!I126</f>
        <v>0</v>
      </c>
      <c r="AH125" s="147">
        <f t="shared" ca="1" si="35"/>
        <v>0</v>
      </c>
      <c r="AI125" s="105">
        <f t="shared" ca="1" si="29"/>
        <v>257.67454856560533</v>
      </c>
      <c r="AJ125" s="106">
        <f t="shared" ca="1" si="30"/>
        <v>114.93166506897079</v>
      </c>
      <c r="AK125" s="106">
        <f t="shared" ca="1" si="36"/>
        <v>372.60621363457614</v>
      </c>
      <c r="AL125" s="105">
        <f t="shared" ca="1" si="31"/>
        <v>4224.6603891242548</v>
      </c>
      <c r="AM125" s="322">
        <f ca="1">'monthly calculations (1)'!AM125</f>
        <v>1</v>
      </c>
      <c r="AN125" s="105">
        <f t="shared" ca="1" si="37"/>
        <v>4224.6603891242548</v>
      </c>
      <c r="AO125" s="106">
        <f t="shared" ca="1" si="39"/>
        <v>921423.57146823127</v>
      </c>
      <c r="AP125" s="106">
        <f ca="1">AL125  /  ( 1 + disc_1/12)^(COUNT($AL$6:AL125)-1)</f>
        <v>1573.624160082642</v>
      </c>
      <c r="AQ125" s="106">
        <f t="shared" ca="1" si="40"/>
        <v>653533.70553093439</v>
      </c>
      <c r="AS125" s="304"/>
      <c r="AT125" s="301"/>
      <c r="AU125" s="298"/>
      <c r="AV125" s="304"/>
    </row>
    <row r="126" spans="2:48" x14ac:dyDescent="0.25">
      <c r="B126" s="43">
        <f t="shared" si="38"/>
        <v>47849</v>
      </c>
      <c r="C126" s="79">
        <f t="shared" si="32"/>
        <v>2031</v>
      </c>
      <c r="D126" s="64">
        <f ca="1">wellcount_base  +  SUM('forecast production'!I$7:I127)</f>
        <v>1</v>
      </c>
      <c r="E126" s="110">
        <f ca="1">'forecast production'!AE127</f>
        <v>227.272677754021</v>
      </c>
      <c r="F126" s="98">
        <f ca="1">'forecast production'!AF127</f>
        <v>1255.4804405097991</v>
      </c>
      <c r="G126" s="98">
        <f ca="1">'forecast production'!AG127</f>
        <v>9.3824515176408276</v>
      </c>
      <c r="H126" s="98">
        <f ca="1">'forecast production'!AH127</f>
        <v>188.32206607646984</v>
      </c>
      <c r="I126" s="307">
        <f ca="1">IF('monthly calculations (1)'!AV125,WI_2_APO, WI_2)</f>
        <v>0</v>
      </c>
      <c r="J126" s="306">
        <f ca="1">IF('monthly calculations (1)'!AV125,NRI_2_APO, NRI_2)</f>
        <v>0.25</v>
      </c>
      <c r="K126" s="112">
        <f t="shared" ca="1" si="21"/>
        <v>56.818169438505251</v>
      </c>
      <c r="L126" s="98">
        <f t="shared" ca="1" si="22"/>
        <v>235.40258259558732</v>
      </c>
      <c r="M126" s="98">
        <f t="shared" ca="1" si="23"/>
        <v>2.3456128794102069</v>
      </c>
      <c r="N126" s="98">
        <f t="shared" ca="1" si="24"/>
        <v>47.080516519117459</v>
      </c>
      <c r="O126" s="67">
        <f>assumptions!M130</f>
        <v>55</v>
      </c>
      <c r="P126" s="68">
        <f>assumptions!N130</f>
        <v>3</v>
      </c>
      <c r="Q126" s="68">
        <f>assumptions!O130</f>
        <v>22</v>
      </c>
      <c r="R126" s="67">
        <f t="shared" si="25"/>
        <v>52.5</v>
      </c>
      <c r="S126" s="68">
        <f t="shared" si="26"/>
        <v>2.3275000000000001</v>
      </c>
      <c r="T126" s="68">
        <f t="shared" si="27"/>
        <v>22</v>
      </c>
      <c r="U126" s="73">
        <f t="shared" ca="1" si="33"/>
        <v>2982.9538955215257</v>
      </c>
      <c r="V126" s="72">
        <f t="shared" ca="1" si="33"/>
        <v>547.89951099122948</v>
      </c>
      <c r="W126" s="72">
        <f t="shared" ca="1" si="28"/>
        <v>1035.7713634205841</v>
      </c>
      <c r="X126" s="72">
        <f t="shared" ca="1" si="34"/>
        <v>4566.6247699333389</v>
      </c>
      <c r="Y126" s="73">
        <f>mult_opex * fixed_month</f>
        <v>1000</v>
      </c>
      <c r="Z126" s="72">
        <f ca="1">mult_opex * fixed_well *D126</f>
        <v>5000</v>
      </c>
      <c r="AA126" s="72">
        <f ca="1">(Z126+Y126)*WI_current_2</f>
        <v>0</v>
      </c>
      <c r="AB126" s="72">
        <f ca="1">mult_opex * var_bo*E126</f>
        <v>0</v>
      </c>
      <c r="AC126" s="72">
        <f ca="1">mult_opex * var_mcf*F126</f>
        <v>0</v>
      </c>
      <c r="AD126" s="72">
        <f ca="1">mult_opex * var_bw * G126</f>
        <v>18.764903035281655</v>
      </c>
      <c r="AE126" s="72">
        <f ca="1">SUM(AB126:AD126)*WI_current_2</f>
        <v>0</v>
      </c>
      <c r="AF126" s="73">
        <f ca="1">mult_capex * IFERROR(OFFSET(assumptions!$F$39,MATCH(B126,assumptions!$E$39:$E$45,0)-1,0),0)</f>
        <v>0</v>
      </c>
      <c r="AG126" s="75">
        <f ca="1">mult_capex * capex_new*WI_current_2 *'forecast production'!I127</f>
        <v>0</v>
      </c>
      <c r="AH126" s="146">
        <f t="shared" ca="1" si="35"/>
        <v>0</v>
      </c>
      <c r="AI126" s="73">
        <f t="shared" ca="1" si="29"/>
        <v>255.99119477487619</v>
      </c>
      <c r="AJ126" s="72">
        <f t="shared" ca="1" si="30"/>
        <v>114.16561924833348</v>
      </c>
      <c r="AK126" s="72">
        <f t="shared" ca="1" si="36"/>
        <v>370.15681402320968</v>
      </c>
      <c r="AL126" s="73">
        <f t="shared" ca="1" si="31"/>
        <v>4196.4679559101296</v>
      </c>
      <c r="AM126" s="321">
        <f ca="1">'monthly calculations (1)'!AM126</f>
        <v>1</v>
      </c>
      <c r="AN126" s="73">
        <f t="shared" ca="1" si="37"/>
        <v>4196.4679559101296</v>
      </c>
      <c r="AO126" s="75">
        <f t="shared" ca="1" si="39"/>
        <v>925620.0394241414</v>
      </c>
      <c r="AP126" s="72">
        <f ca="1">AL126  /  ( 1 + disc_1/12)^(COUNT($AL$6:AL126)-1)</f>
        <v>1550.2045203501775</v>
      </c>
      <c r="AQ126" s="72">
        <f t="shared" ca="1" si="40"/>
        <v>655083.91005128459</v>
      </c>
      <c r="AS126" s="303"/>
      <c r="AT126" s="300"/>
      <c r="AU126" s="297"/>
      <c r="AV126" s="303"/>
    </row>
    <row r="127" spans="2:48" x14ac:dyDescent="0.25">
      <c r="B127" s="43">
        <f t="shared" si="38"/>
        <v>47880</v>
      </c>
      <c r="C127" s="79">
        <f t="shared" si="32"/>
        <v>2031</v>
      </c>
      <c r="D127" s="64">
        <f ca="1">wellcount_base  +  SUM('forecast production'!I$7:I128)</f>
        <v>1</v>
      </c>
      <c r="E127" s="110">
        <f ca="1">'forecast production'!AE128</f>
        <v>203.82995660037736</v>
      </c>
      <c r="F127" s="98">
        <f ca="1">'forecast production'!AF128</f>
        <v>1127.3008118741654</v>
      </c>
      <c r="G127" s="98">
        <f ca="1">'forecast production'!AG128</f>
        <v>8.177585867648375</v>
      </c>
      <c r="H127" s="98">
        <f ca="1">'forecast production'!AH128</f>
        <v>169.09512178112482</v>
      </c>
      <c r="I127" s="307">
        <f ca="1">IF('monthly calculations (1)'!AV126,WI_2_APO, WI_2)</f>
        <v>0</v>
      </c>
      <c r="J127" s="306">
        <f ca="1">IF('monthly calculations (1)'!AV126,NRI_2_APO, NRI_2)</f>
        <v>0.25</v>
      </c>
      <c r="K127" s="112">
        <f t="shared" ca="1" si="21"/>
        <v>50.957489150094339</v>
      </c>
      <c r="L127" s="98">
        <f t="shared" ca="1" si="22"/>
        <v>211.36890222640602</v>
      </c>
      <c r="M127" s="98">
        <f t="shared" ca="1" si="23"/>
        <v>2.0443964669120938</v>
      </c>
      <c r="N127" s="98">
        <f t="shared" ca="1" si="24"/>
        <v>42.273780445281204</v>
      </c>
      <c r="O127" s="67">
        <f>assumptions!M131</f>
        <v>55</v>
      </c>
      <c r="P127" s="68">
        <f>assumptions!N131</f>
        <v>3</v>
      </c>
      <c r="Q127" s="68">
        <f>assumptions!O131</f>
        <v>22</v>
      </c>
      <c r="R127" s="67">
        <f t="shared" si="25"/>
        <v>52.5</v>
      </c>
      <c r="S127" s="68">
        <f t="shared" si="26"/>
        <v>2.3275000000000001</v>
      </c>
      <c r="T127" s="68">
        <f t="shared" si="27"/>
        <v>22</v>
      </c>
      <c r="U127" s="73">
        <f t="shared" ca="1" si="33"/>
        <v>2675.2681803799528</v>
      </c>
      <c r="V127" s="72">
        <f t="shared" ca="1" si="33"/>
        <v>491.96111993196001</v>
      </c>
      <c r="W127" s="72">
        <f t="shared" ca="1" si="28"/>
        <v>930.02316979618649</v>
      </c>
      <c r="X127" s="72">
        <f t="shared" ca="1" si="34"/>
        <v>4097.2524701080993</v>
      </c>
      <c r="Y127" s="73">
        <f>mult_opex * fixed_month</f>
        <v>1000</v>
      </c>
      <c r="Z127" s="72">
        <f ca="1">mult_opex * fixed_well *D127</f>
        <v>5000</v>
      </c>
      <c r="AA127" s="72">
        <f ca="1">(Z127+Y127)*WI_current_2</f>
        <v>0</v>
      </c>
      <c r="AB127" s="72">
        <f ca="1">mult_opex * var_bo*E127</f>
        <v>0</v>
      </c>
      <c r="AC127" s="72">
        <f ca="1">mult_opex * var_mcf*F127</f>
        <v>0</v>
      </c>
      <c r="AD127" s="72">
        <f ca="1">mult_opex * var_bw * G127</f>
        <v>16.35517173529675</v>
      </c>
      <c r="AE127" s="72">
        <f ca="1">SUM(AB127:AD127)*WI_current_2</f>
        <v>0</v>
      </c>
      <c r="AF127" s="73">
        <f ca="1">mult_capex * IFERROR(OFFSET(assumptions!$F$39,MATCH(B127,assumptions!$E$39:$E$45,0)-1,0),0)</f>
        <v>0</v>
      </c>
      <c r="AG127" s="75">
        <f ca="1">mult_capex * capex_new*WI_current_2 *'forecast production'!I128</f>
        <v>0</v>
      </c>
      <c r="AH127" s="146">
        <f t="shared" ca="1" si="35"/>
        <v>0</v>
      </c>
      <c r="AI127" s="73">
        <f t="shared" ca="1" si="29"/>
        <v>229.7111580270888</v>
      </c>
      <c r="AJ127" s="72">
        <f t="shared" ca="1" si="30"/>
        <v>102.43131175270248</v>
      </c>
      <c r="AK127" s="72">
        <f t="shared" ca="1" si="36"/>
        <v>332.14246977979127</v>
      </c>
      <c r="AL127" s="73">
        <f t="shared" ca="1" si="31"/>
        <v>3765.1100003283082</v>
      </c>
      <c r="AM127" s="321">
        <f ca="1">'monthly calculations (1)'!AM127</f>
        <v>1</v>
      </c>
      <c r="AN127" s="73">
        <f t="shared" ca="1" si="37"/>
        <v>3765.1100003283082</v>
      </c>
      <c r="AO127" s="75">
        <f t="shared" ca="1" si="39"/>
        <v>929385.14942446968</v>
      </c>
      <c r="AP127" s="72">
        <f ca="1">AL127  /  ( 1 + disc_1/12)^(COUNT($AL$6:AL127)-1)</f>
        <v>1379.3631909077258</v>
      </c>
      <c r="AQ127" s="72">
        <f t="shared" ca="1" si="40"/>
        <v>656463.27324219234</v>
      </c>
      <c r="AS127" s="303"/>
      <c r="AT127" s="300"/>
      <c r="AU127" s="297"/>
      <c r="AV127" s="303"/>
    </row>
    <row r="128" spans="2:48" x14ac:dyDescent="0.25">
      <c r="B128" s="43">
        <f t="shared" si="38"/>
        <v>47908</v>
      </c>
      <c r="C128" s="79">
        <f t="shared" si="32"/>
        <v>2031</v>
      </c>
      <c r="D128" s="64">
        <f ca="1">wellcount_base  +  SUM('forecast production'!I$7:I129)</f>
        <v>1</v>
      </c>
      <c r="E128" s="110">
        <f ca="1">'forecast production'!AE129</f>
        <v>224.2300193513577</v>
      </c>
      <c r="F128" s="98">
        <f ca="1">'forecast production'!AF129</f>
        <v>1241.4760499726949</v>
      </c>
      <c r="G128" s="98">
        <f ca="1">'forecast production'!AG129</f>
        <v>8.7668260791752441</v>
      </c>
      <c r="H128" s="98">
        <f ca="1">'forecast production'!AH129</f>
        <v>186.22140749590423</v>
      </c>
      <c r="I128" s="307">
        <f ca="1">IF('monthly calculations (1)'!AV127,WI_2_APO, WI_2)</f>
        <v>0</v>
      </c>
      <c r="J128" s="306">
        <f ca="1">IF('monthly calculations (1)'!AV127,NRI_2_APO, NRI_2)</f>
        <v>0.25</v>
      </c>
      <c r="K128" s="112">
        <f t="shared" ca="1" si="21"/>
        <v>56.057504837839424</v>
      </c>
      <c r="L128" s="98">
        <f t="shared" ca="1" si="22"/>
        <v>232.7767593698803</v>
      </c>
      <c r="M128" s="98">
        <f t="shared" ca="1" si="23"/>
        <v>2.191706519793811</v>
      </c>
      <c r="N128" s="98">
        <f t="shared" ca="1" si="24"/>
        <v>46.555351873976058</v>
      </c>
      <c r="O128" s="67">
        <f>assumptions!M132</f>
        <v>55</v>
      </c>
      <c r="P128" s="68">
        <f>assumptions!N132</f>
        <v>3</v>
      </c>
      <c r="Q128" s="68">
        <f>assumptions!O132</f>
        <v>22</v>
      </c>
      <c r="R128" s="67">
        <f t="shared" si="25"/>
        <v>52.5</v>
      </c>
      <c r="S128" s="68">
        <f t="shared" si="26"/>
        <v>2.3275000000000001</v>
      </c>
      <c r="T128" s="68">
        <f t="shared" si="27"/>
        <v>22</v>
      </c>
      <c r="U128" s="73">
        <f t="shared" ca="1" si="33"/>
        <v>2943.0190039865697</v>
      </c>
      <c r="V128" s="72">
        <f t="shared" ca="1" si="33"/>
        <v>541.78790743339641</v>
      </c>
      <c r="W128" s="72">
        <f t="shared" ca="1" si="28"/>
        <v>1024.2177412274732</v>
      </c>
      <c r="X128" s="72">
        <f t="shared" ca="1" si="34"/>
        <v>4509.0246526474393</v>
      </c>
      <c r="Y128" s="73">
        <f>mult_opex * fixed_month</f>
        <v>1000</v>
      </c>
      <c r="Z128" s="72">
        <f ca="1">mult_opex * fixed_well *D128</f>
        <v>5000</v>
      </c>
      <c r="AA128" s="72">
        <f ca="1">(Z128+Y128)*WI_current_2</f>
        <v>0</v>
      </c>
      <c r="AB128" s="72">
        <f ca="1">mult_opex * var_bo*E128</f>
        <v>0</v>
      </c>
      <c r="AC128" s="72">
        <f ca="1">mult_opex * var_mcf*F128</f>
        <v>0</v>
      </c>
      <c r="AD128" s="72">
        <f ca="1">mult_opex * var_bw * G128</f>
        <v>17.533652158350488</v>
      </c>
      <c r="AE128" s="72">
        <f ca="1">SUM(AB128:AD128)*WI_current_2</f>
        <v>0</v>
      </c>
      <c r="AF128" s="73">
        <f ca="1">mult_capex * IFERROR(OFFSET(assumptions!$F$39,MATCH(B128,assumptions!$E$39:$E$45,0)-1,0),0)</f>
        <v>0</v>
      </c>
      <c r="AG128" s="75">
        <f ca="1">mult_capex * capex_new*WI_current_2 *'forecast production'!I129</f>
        <v>0</v>
      </c>
      <c r="AH128" s="146">
        <f t="shared" ca="1" si="35"/>
        <v>0</v>
      </c>
      <c r="AI128" s="73">
        <f t="shared" ca="1" si="29"/>
        <v>252.82929783294742</v>
      </c>
      <c r="AJ128" s="72">
        <f t="shared" ca="1" si="30"/>
        <v>112.72561631618599</v>
      </c>
      <c r="AK128" s="72">
        <f t="shared" ca="1" si="36"/>
        <v>365.55491414913342</v>
      </c>
      <c r="AL128" s="73">
        <f t="shared" ca="1" si="31"/>
        <v>4143.4697384983056</v>
      </c>
      <c r="AM128" s="321">
        <f ca="1">'monthly calculations (1)'!AM128</f>
        <v>1</v>
      </c>
      <c r="AN128" s="73">
        <f t="shared" ca="1" si="37"/>
        <v>4143.4697384983056</v>
      </c>
      <c r="AO128" s="75">
        <f t="shared" ca="1" si="39"/>
        <v>933528.61916296801</v>
      </c>
      <c r="AP128" s="72">
        <f ca="1">AL128  /  ( 1 + disc_1/12)^(COUNT($AL$6:AL128)-1)</f>
        <v>1505.4315398183705</v>
      </c>
      <c r="AQ128" s="72">
        <f t="shared" ca="1" si="40"/>
        <v>657968.70478201075</v>
      </c>
      <c r="AS128" s="303"/>
      <c r="AT128" s="300"/>
      <c r="AU128" s="297"/>
      <c r="AV128" s="303"/>
    </row>
    <row r="129" spans="2:48" x14ac:dyDescent="0.25">
      <c r="B129" s="43">
        <f t="shared" si="38"/>
        <v>47939</v>
      </c>
      <c r="C129" s="79">
        <f t="shared" si="32"/>
        <v>2031</v>
      </c>
      <c r="D129" s="64">
        <f ca="1">wellcount_base  +  SUM('forecast production'!I$7:I130)</f>
        <v>1</v>
      </c>
      <c r="E129" s="108">
        <f ca="1">'forecast production'!AE130</f>
        <v>215.46550962117061</v>
      </c>
      <c r="F129" s="97">
        <f ca="1">'forecast production'!AF130</f>
        <v>1194.4280182012139</v>
      </c>
      <c r="G129" s="97">
        <f ca="1">'forecast production'!AG130</f>
        <v>8.1869031437369628</v>
      </c>
      <c r="H129" s="98">
        <f ca="1">'forecast production'!AH130</f>
        <v>179.16420273018213</v>
      </c>
      <c r="I129" s="307">
        <f ca="1">IF('monthly calculations (1)'!AV128,WI_2_APO, WI_2)</f>
        <v>0</v>
      </c>
      <c r="J129" s="306">
        <f ca="1">IF('monthly calculations (1)'!AV128,NRI_2_APO, NRI_2)</f>
        <v>0.25</v>
      </c>
      <c r="K129" s="112">
        <f t="shared" ca="1" si="21"/>
        <v>53.866377405292653</v>
      </c>
      <c r="L129" s="98">
        <f t="shared" ca="1" si="22"/>
        <v>223.95525341272761</v>
      </c>
      <c r="M129" s="98">
        <f t="shared" ca="1" si="23"/>
        <v>2.0467257859342407</v>
      </c>
      <c r="N129" s="98">
        <f t="shared" ca="1" si="24"/>
        <v>44.791050682545531</v>
      </c>
      <c r="O129" s="67">
        <f>assumptions!M133</f>
        <v>55</v>
      </c>
      <c r="P129" s="68">
        <f>assumptions!N133</f>
        <v>3</v>
      </c>
      <c r="Q129" s="68">
        <f>assumptions!O133</f>
        <v>22</v>
      </c>
      <c r="R129" s="67">
        <f t="shared" si="25"/>
        <v>52.5</v>
      </c>
      <c r="S129" s="68">
        <f t="shared" si="26"/>
        <v>2.3275000000000001</v>
      </c>
      <c r="T129" s="68">
        <f t="shared" si="27"/>
        <v>22</v>
      </c>
      <c r="U129" s="73">
        <f t="shared" ca="1" si="33"/>
        <v>2827.9848137778645</v>
      </c>
      <c r="V129" s="72">
        <f t="shared" ca="1" si="33"/>
        <v>521.25585231812352</v>
      </c>
      <c r="W129" s="72">
        <f t="shared" ca="1" si="28"/>
        <v>985.40311501600172</v>
      </c>
      <c r="X129" s="72">
        <f t="shared" ca="1" si="34"/>
        <v>4334.6437811119895</v>
      </c>
      <c r="Y129" s="73">
        <f>mult_opex * fixed_month</f>
        <v>1000</v>
      </c>
      <c r="Z129" s="72">
        <f ca="1">mult_opex * fixed_well *D129</f>
        <v>5000</v>
      </c>
      <c r="AA129" s="72">
        <f ca="1">(Z129+Y129)*WI_current_2</f>
        <v>0</v>
      </c>
      <c r="AB129" s="72">
        <f ca="1">mult_opex * var_bo*E129</f>
        <v>0</v>
      </c>
      <c r="AC129" s="72">
        <f ca="1">mult_opex * var_mcf*F129</f>
        <v>0</v>
      </c>
      <c r="AD129" s="72">
        <f ca="1">mult_opex * var_bw * G129</f>
        <v>16.373806287473926</v>
      </c>
      <c r="AE129" s="72">
        <f ca="1">SUM(AB129:AD129)*WI_current_2</f>
        <v>0</v>
      </c>
      <c r="AF129" s="73">
        <f ca="1">mult_capex * IFERROR(OFFSET(assumptions!$F$39,MATCH(B129,assumptions!$E$39:$E$45,0)-1,0),0)</f>
        <v>0</v>
      </c>
      <c r="AG129" s="75">
        <f ca="1">mult_capex * capex_new*WI_current_2 *'forecast production'!I130</f>
        <v>0</v>
      </c>
      <c r="AH129" s="146">
        <f t="shared" ca="1" si="35"/>
        <v>0</v>
      </c>
      <c r="AI129" s="73">
        <f t="shared" ca="1" si="29"/>
        <v>243.08672398384115</v>
      </c>
      <c r="AJ129" s="72">
        <f t="shared" ca="1" si="30"/>
        <v>108.36609452779975</v>
      </c>
      <c r="AK129" s="72">
        <f t="shared" ca="1" si="36"/>
        <v>351.45281851164088</v>
      </c>
      <c r="AL129" s="73">
        <f t="shared" ca="1" si="31"/>
        <v>3983.1909626003485</v>
      </c>
      <c r="AM129" s="321">
        <f ca="1">'monthly calculations (1)'!AM129</f>
        <v>1</v>
      </c>
      <c r="AN129" s="73">
        <f t="shared" ca="1" si="37"/>
        <v>3983.1909626003485</v>
      </c>
      <c r="AO129" s="75">
        <f t="shared" ca="1" si="39"/>
        <v>937511.81012556842</v>
      </c>
      <c r="AP129" s="72">
        <f ca="1">AL129  /  ( 1 + disc_1/12)^(COUNT($AL$6:AL129)-1)</f>
        <v>1435.2377303742642</v>
      </c>
      <c r="AQ129" s="72">
        <f t="shared" ca="1" si="40"/>
        <v>659403.94251238497</v>
      </c>
      <c r="AS129" s="303"/>
      <c r="AT129" s="300"/>
      <c r="AU129" s="297"/>
      <c r="AV129" s="303"/>
    </row>
    <row r="130" spans="2:48" x14ac:dyDescent="0.25">
      <c r="B130" s="43">
        <f t="shared" si="38"/>
        <v>47969</v>
      </c>
      <c r="C130" s="79">
        <f t="shared" si="32"/>
        <v>2031</v>
      </c>
      <c r="D130" s="64">
        <f ca="1">wellcount_base  +  SUM('forecast production'!I$7:I131)</f>
        <v>1</v>
      </c>
      <c r="E130" s="110">
        <f ca="1">'forecast production'!AE131</f>
        <v>221.12704231764309</v>
      </c>
      <c r="F130" s="98">
        <f ca="1">'forecast production'!AF131</f>
        <v>1227.3216816663432</v>
      </c>
      <c r="G130" s="98">
        <f ca="1">'forecast production'!AG131</f>
        <v>8.17296893797932</v>
      </c>
      <c r="H130" s="98">
        <f ca="1">'forecast production'!AH131</f>
        <v>184.09825224995149</v>
      </c>
      <c r="I130" s="307">
        <f ca="1">IF('monthly calculations (1)'!AV129,WI_2_APO, WI_2)</f>
        <v>0</v>
      </c>
      <c r="J130" s="306">
        <f ca="1">IF('monthly calculations (1)'!AV129,NRI_2_APO, NRI_2)</f>
        <v>0.25</v>
      </c>
      <c r="K130" s="112">
        <f t="shared" ca="1" si="21"/>
        <v>55.281760579410772</v>
      </c>
      <c r="L130" s="98">
        <f t="shared" ca="1" si="22"/>
        <v>230.12281531243934</v>
      </c>
      <c r="M130" s="98">
        <f t="shared" ca="1" si="23"/>
        <v>2.04324223449483</v>
      </c>
      <c r="N130" s="98">
        <f t="shared" ca="1" si="24"/>
        <v>46.024563062487871</v>
      </c>
      <c r="O130" s="67">
        <f>assumptions!M134</f>
        <v>55</v>
      </c>
      <c r="P130" s="68">
        <f>assumptions!N134</f>
        <v>3</v>
      </c>
      <c r="Q130" s="68">
        <f>assumptions!O134</f>
        <v>22</v>
      </c>
      <c r="R130" s="67">
        <f t="shared" si="25"/>
        <v>52.5</v>
      </c>
      <c r="S130" s="68">
        <f t="shared" si="26"/>
        <v>2.3275000000000001</v>
      </c>
      <c r="T130" s="68">
        <f t="shared" si="27"/>
        <v>22</v>
      </c>
      <c r="U130" s="73">
        <f t="shared" ca="1" si="33"/>
        <v>2902.2924304190656</v>
      </c>
      <c r="V130" s="72">
        <f t="shared" ca="1" si="33"/>
        <v>535.61085263970256</v>
      </c>
      <c r="W130" s="72">
        <f t="shared" ca="1" si="28"/>
        <v>1012.5403873747332</v>
      </c>
      <c r="X130" s="72">
        <f t="shared" ca="1" si="34"/>
        <v>4450.4436704335012</v>
      </c>
      <c r="Y130" s="73">
        <f>mult_opex * fixed_month</f>
        <v>1000</v>
      </c>
      <c r="Z130" s="72">
        <f ca="1">mult_opex * fixed_well *D130</f>
        <v>5000</v>
      </c>
      <c r="AA130" s="72">
        <f ca="1">(Z130+Y130)*WI_current_2</f>
        <v>0</v>
      </c>
      <c r="AB130" s="72">
        <f ca="1">mult_opex * var_bo*E130</f>
        <v>0</v>
      </c>
      <c r="AC130" s="72">
        <f ca="1">mult_opex * var_mcf*F130</f>
        <v>0</v>
      </c>
      <c r="AD130" s="72">
        <f ca="1">mult_opex * var_bw * G130</f>
        <v>16.34593787595864</v>
      </c>
      <c r="AE130" s="72">
        <f ca="1">SUM(AB130:AD130)*WI_current_2</f>
        <v>0</v>
      </c>
      <c r="AF130" s="73">
        <f ca="1">mult_capex * IFERROR(OFFSET(assumptions!$F$39,MATCH(B130,assumptions!$E$39:$E$45,0)-1,0),0)</f>
        <v>0</v>
      </c>
      <c r="AG130" s="75">
        <f ca="1">mult_capex * capex_new*WI_current_2 *'forecast production'!I131</f>
        <v>0</v>
      </c>
      <c r="AH130" s="146">
        <f t="shared" ca="1" si="35"/>
        <v>0</v>
      </c>
      <c r="AI130" s="73">
        <f t="shared" ca="1" si="29"/>
        <v>249.61679480035968</v>
      </c>
      <c r="AJ130" s="72">
        <f t="shared" ca="1" si="30"/>
        <v>111.26109176083753</v>
      </c>
      <c r="AK130" s="72">
        <f t="shared" ca="1" si="36"/>
        <v>360.87788656119722</v>
      </c>
      <c r="AL130" s="73">
        <f t="shared" ca="1" si="31"/>
        <v>4089.5657838723041</v>
      </c>
      <c r="AM130" s="321">
        <f ca="1">'monthly calculations (1)'!AM130</f>
        <v>1</v>
      </c>
      <c r="AN130" s="73">
        <f t="shared" ca="1" si="37"/>
        <v>4089.5657838723041</v>
      </c>
      <c r="AO130" s="75">
        <f t="shared" ca="1" si="39"/>
        <v>941601.37590944069</v>
      </c>
      <c r="AP130" s="72">
        <f ca="1">AL130  /  ( 1 + disc_1/12)^(COUNT($AL$6:AL130)-1)</f>
        <v>1461.3888491355849</v>
      </c>
      <c r="AQ130" s="72">
        <f t="shared" ca="1" si="40"/>
        <v>660865.33136152057</v>
      </c>
      <c r="AS130" s="303"/>
      <c r="AT130" s="300"/>
      <c r="AU130" s="297"/>
      <c r="AV130" s="303"/>
    </row>
    <row r="131" spans="2:48" x14ac:dyDescent="0.25">
      <c r="B131" s="43">
        <f t="shared" si="38"/>
        <v>48000</v>
      </c>
      <c r="C131" s="79">
        <f t="shared" si="32"/>
        <v>2031</v>
      </c>
      <c r="D131" s="64">
        <f ca="1">wellcount_base  +  SUM('forecast production'!I$7:I132)</f>
        <v>1</v>
      </c>
      <c r="E131" s="110">
        <f ca="1">'forecast production'!AE132</f>
        <v>212.48381907926122</v>
      </c>
      <c r="F131" s="98">
        <f ca="1">'forecast production'!AF132</f>
        <v>1180.8885048055411</v>
      </c>
      <c r="G131" s="98">
        <f ca="1">'forecast production'!AG132</f>
        <v>7.6324248755632453</v>
      </c>
      <c r="H131" s="98">
        <f ca="1">'forecast production'!AH132</f>
        <v>177.13327572083116</v>
      </c>
      <c r="I131" s="307">
        <f ca="1">IF('monthly calculations (1)'!AV130,WI_2_APO, WI_2)</f>
        <v>0</v>
      </c>
      <c r="J131" s="306">
        <f ca="1">IF('monthly calculations (1)'!AV130,NRI_2_APO, NRI_2)</f>
        <v>0.25</v>
      </c>
      <c r="K131" s="112">
        <f t="shared" ca="1" si="21"/>
        <v>53.120954769815306</v>
      </c>
      <c r="L131" s="98">
        <f t="shared" ca="1" si="22"/>
        <v>221.41659465103896</v>
      </c>
      <c r="M131" s="98">
        <f t="shared" ca="1" si="23"/>
        <v>1.9081062188908113</v>
      </c>
      <c r="N131" s="98">
        <f t="shared" ca="1" si="24"/>
        <v>44.283318930207791</v>
      </c>
      <c r="O131" s="67">
        <f>assumptions!M135</f>
        <v>55</v>
      </c>
      <c r="P131" s="68">
        <f>assumptions!N135</f>
        <v>3</v>
      </c>
      <c r="Q131" s="68">
        <f>assumptions!O135</f>
        <v>22</v>
      </c>
      <c r="R131" s="67">
        <f t="shared" si="25"/>
        <v>52.5</v>
      </c>
      <c r="S131" s="68">
        <f t="shared" si="26"/>
        <v>2.3275000000000001</v>
      </c>
      <c r="T131" s="68">
        <f t="shared" si="27"/>
        <v>22</v>
      </c>
      <c r="U131" s="73">
        <f t="shared" ca="1" si="33"/>
        <v>2788.8501254153034</v>
      </c>
      <c r="V131" s="72">
        <f t="shared" ca="1" si="33"/>
        <v>515.34712405029325</v>
      </c>
      <c r="W131" s="72">
        <f t="shared" ca="1" si="28"/>
        <v>974.23301646457139</v>
      </c>
      <c r="X131" s="72">
        <f t="shared" ca="1" si="34"/>
        <v>4278.4302659301684</v>
      </c>
      <c r="Y131" s="73">
        <f>mult_opex * fixed_month</f>
        <v>1000</v>
      </c>
      <c r="Z131" s="72">
        <f ca="1">mult_opex * fixed_well *D131</f>
        <v>5000</v>
      </c>
      <c r="AA131" s="72">
        <f ca="1">(Z131+Y131)*WI_current_2</f>
        <v>0</v>
      </c>
      <c r="AB131" s="72">
        <f ca="1">mult_opex * var_bo*E131</f>
        <v>0</v>
      </c>
      <c r="AC131" s="72">
        <f ca="1">mult_opex * var_mcf*F131</f>
        <v>0</v>
      </c>
      <c r="AD131" s="72">
        <f ca="1">mult_opex * var_bw * G131</f>
        <v>15.264849751126491</v>
      </c>
      <c r="AE131" s="72">
        <f ca="1">SUM(AB131:AD131)*WI_current_2</f>
        <v>0</v>
      </c>
      <c r="AF131" s="73">
        <f ca="1">mult_capex * IFERROR(OFFSET(assumptions!$F$39,MATCH(B131,assumptions!$E$39:$E$45,0)-1,0),0)</f>
        <v>0</v>
      </c>
      <c r="AG131" s="75">
        <f ca="1">mult_capex * capex_new*WI_current_2 *'forecast production'!I132</f>
        <v>0</v>
      </c>
      <c r="AH131" s="146">
        <f t="shared" ca="1" si="35"/>
        <v>0</v>
      </c>
      <c r="AI131" s="73">
        <f t="shared" ca="1" si="29"/>
        <v>240.00561630771881</v>
      </c>
      <c r="AJ131" s="72">
        <f t="shared" ca="1" si="30"/>
        <v>106.96075664825422</v>
      </c>
      <c r="AK131" s="72">
        <f t="shared" ca="1" si="36"/>
        <v>346.96637295597304</v>
      </c>
      <c r="AL131" s="73">
        <f t="shared" ca="1" si="31"/>
        <v>3931.4638929741955</v>
      </c>
      <c r="AM131" s="321">
        <f ca="1">'monthly calculations (1)'!AM131</f>
        <v>1</v>
      </c>
      <c r="AN131" s="73">
        <f t="shared" ca="1" si="37"/>
        <v>3931.4638929741955</v>
      </c>
      <c r="AO131" s="75">
        <f t="shared" ca="1" si="39"/>
        <v>945532.83980241488</v>
      </c>
      <c r="AP131" s="72">
        <f ca="1">AL131  /  ( 1 + disc_1/12)^(COUNT($AL$6:AL131)-1)</f>
        <v>1393.2811381895262</v>
      </c>
      <c r="AQ131" s="72">
        <f t="shared" ca="1" si="40"/>
        <v>662258.61249971006</v>
      </c>
      <c r="AS131" s="303"/>
      <c r="AT131" s="300"/>
      <c r="AU131" s="297"/>
      <c r="AV131" s="303"/>
    </row>
    <row r="132" spans="2:48" x14ac:dyDescent="0.25">
      <c r="B132" s="43">
        <f t="shared" si="38"/>
        <v>48030</v>
      </c>
      <c r="C132" s="79">
        <f t="shared" si="32"/>
        <v>2031</v>
      </c>
      <c r="D132" s="64">
        <f ca="1">wellcount_base  +  SUM('forecast production'!I$7:I133)</f>
        <v>1</v>
      </c>
      <c r="E132" s="110">
        <f ca="1">'forecast production'!AE133</f>
        <v>218.06700541522591</v>
      </c>
      <c r="F132" s="98">
        <f ca="1">'forecast production'!AF133</f>
        <v>1213.486429780294</v>
      </c>
      <c r="G132" s="98">
        <f ca="1">'forecast production'!AG133</f>
        <v>7.6195265325417845</v>
      </c>
      <c r="H132" s="98">
        <f ca="1">'forecast production'!AH133</f>
        <v>182.02296446704409</v>
      </c>
      <c r="I132" s="307">
        <f ca="1">IF('monthly calculations (1)'!AV131,WI_2_APO, WI_2)</f>
        <v>0</v>
      </c>
      <c r="J132" s="306">
        <f ca="1">IF('monthly calculations (1)'!AV131,NRI_2_APO, NRI_2)</f>
        <v>0.25</v>
      </c>
      <c r="K132" s="112">
        <f t="shared" ca="1" si="21"/>
        <v>54.516751353806477</v>
      </c>
      <c r="L132" s="98">
        <f t="shared" ca="1" si="22"/>
        <v>227.52870558380511</v>
      </c>
      <c r="M132" s="98">
        <f t="shared" ca="1" si="23"/>
        <v>1.9048816331354461</v>
      </c>
      <c r="N132" s="98">
        <f t="shared" ca="1" si="24"/>
        <v>45.505741116761023</v>
      </c>
      <c r="O132" s="67">
        <f>assumptions!M136</f>
        <v>55</v>
      </c>
      <c r="P132" s="68">
        <f>assumptions!N136</f>
        <v>3</v>
      </c>
      <c r="Q132" s="68">
        <f>assumptions!O136</f>
        <v>22</v>
      </c>
      <c r="R132" s="67">
        <f t="shared" si="25"/>
        <v>52.5</v>
      </c>
      <c r="S132" s="68">
        <f t="shared" si="26"/>
        <v>2.3275000000000001</v>
      </c>
      <c r="T132" s="68">
        <f t="shared" si="27"/>
        <v>22</v>
      </c>
      <c r="U132" s="73">
        <f t="shared" ca="1" si="33"/>
        <v>2862.12944607484</v>
      </c>
      <c r="V132" s="72">
        <f t="shared" ca="1" si="33"/>
        <v>529.57306224630645</v>
      </c>
      <c r="W132" s="72">
        <f t="shared" ca="1" si="28"/>
        <v>1001.1263045687425</v>
      </c>
      <c r="X132" s="72">
        <f t="shared" ca="1" si="34"/>
        <v>4392.8288128898894</v>
      </c>
      <c r="Y132" s="73">
        <f>mult_opex * fixed_month</f>
        <v>1000</v>
      </c>
      <c r="Z132" s="72">
        <f ca="1">mult_opex * fixed_well *D132</f>
        <v>5000</v>
      </c>
      <c r="AA132" s="72">
        <f ca="1">(Z132+Y132)*WI_current_2</f>
        <v>0</v>
      </c>
      <c r="AB132" s="72">
        <f ca="1">mult_opex * var_bo*E132</f>
        <v>0</v>
      </c>
      <c r="AC132" s="72">
        <f ca="1">mult_opex * var_mcf*F132</f>
        <v>0</v>
      </c>
      <c r="AD132" s="72">
        <f ca="1">mult_opex * var_bw * G132</f>
        <v>15.239053065083569</v>
      </c>
      <c r="AE132" s="72">
        <f ca="1">SUM(AB132:AD132)*WI_current_2</f>
        <v>0</v>
      </c>
      <c r="AF132" s="73">
        <f ca="1">mult_capex * IFERROR(OFFSET(assumptions!$F$39,MATCH(B132,assumptions!$E$39:$E$45,0)-1,0),0)</f>
        <v>0</v>
      </c>
      <c r="AG132" s="75">
        <f ca="1">mult_capex * capex_new*WI_current_2 *'forecast production'!I133</f>
        <v>0</v>
      </c>
      <c r="AH132" s="146">
        <f t="shared" ca="1" si="35"/>
        <v>0</v>
      </c>
      <c r="AI132" s="73">
        <f t="shared" ca="1" si="29"/>
        <v>246.4604070305713</v>
      </c>
      <c r="AJ132" s="72">
        <f t="shared" ca="1" si="30"/>
        <v>109.82072032224724</v>
      </c>
      <c r="AK132" s="72">
        <f t="shared" ca="1" si="36"/>
        <v>356.28112735281854</v>
      </c>
      <c r="AL132" s="73">
        <f t="shared" ca="1" si="31"/>
        <v>4036.5476855370707</v>
      </c>
      <c r="AM132" s="321">
        <f ca="1">'monthly calculations (1)'!AM132</f>
        <v>1</v>
      </c>
      <c r="AN132" s="73">
        <f t="shared" ca="1" si="37"/>
        <v>4036.5476855370707</v>
      </c>
      <c r="AO132" s="75">
        <f t="shared" ca="1" si="39"/>
        <v>949569.3874879519</v>
      </c>
      <c r="AP132" s="72">
        <f ca="1">AL132  /  ( 1 + disc_1/12)^(COUNT($AL$6:AL132)-1)</f>
        <v>1418.6995451380042</v>
      </c>
      <c r="AQ132" s="72">
        <f t="shared" ca="1" si="40"/>
        <v>663677.31204484811</v>
      </c>
      <c r="AS132" s="303"/>
      <c r="AT132" s="300"/>
      <c r="AU132" s="297"/>
      <c r="AV132" s="303"/>
    </row>
    <row r="133" spans="2:48" x14ac:dyDescent="0.25">
      <c r="B133" s="43">
        <f t="shared" si="38"/>
        <v>48061</v>
      </c>
      <c r="C133" s="79">
        <f t="shared" si="32"/>
        <v>2031</v>
      </c>
      <c r="D133" s="64">
        <f ca="1">wellcount_base  +  SUM('forecast production'!I$7:I134)</f>
        <v>1</v>
      </c>
      <c r="E133" s="108">
        <f ca="1">'forecast production'!AE134</f>
        <v>216.52816993720123</v>
      </c>
      <c r="F133" s="97">
        <f ca="1">'forecast production'!AF134</f>
        <v>1206.5742571202202</v>
      </c>
      <c r="G133" s="97">
        <f ca="1">'forecast production'!AG134</f>
        <v>7.3528641035642197</v>
      </c>
      <c r="H133" s="98">
        <f ca="1">'forecast production'!AH134</f>
        <v>180.98613856803303</v>
      </c>
      <c r="I133" s="307">
        <f ca="1">IF('monthly calculations (1)'!AV132,WI_2_APO, WI_2)</f>
        <v>0</v>
      </c>
      <c r="J133" s="306">
        <f ca="1">IF('monthly calculations (1)'!AV132,NRI_2_APO, NRI_2)</f>
        <v>0.25</v>
      </c>
      <c r="K133" s="112">
        <f t="shared" ca="1" si="21"/>
        <v>54.132042484300307</v>
      </c>
      <c r="L133" s="98">
        <f t="shared" ca="1" si="22"/>
        <v>226.2326732100413</v>
      </c>
      <c r="M133" s="98">
        <f t="shared" ca="1" si="23"/>
        <v>1.8382160258910549</v>
      </c>
      <c r="N133" s="98">
        <f t="shared" ca="1" si="24"/>
        <v>45.246534642008257</v>
      </c>
      <c r="O133" s="67">
        <f>assumptions!M137</f>
        <v>55</v>
      </c>
      <c r="P133" s="68">
        <f>assumptions!N137</f>
        <v>3</v>
      </c>
      <c r="Q133" s="68">
        <f>assumptions!O137</f>
        <v>22</v>
      </c>
      <c r="R133" s="67">
        <f t="shared" si="25"/>
        <v>52.5</v>
      </c>
      <c r="S133" s="68">
        <f t="shared" si="26"/>
        <v>2.3275000000000001</v>
      </c>
      <c r="T133" s="68">
        <f t="shared" si="27"/>
        <v>22</v>
      </c>
      <c r="U133" s="73">
        <f t="shared" ca="1" si="33"/>
        <v>2841.9322304257662</v>
      </c>
      <c r="V133" s="72">
        <f t="shared" ca="1" si="33"/>
        <v>526.55654689637117</v>
      </c>
      <c r="W133" s="72">
        <f t="shared" ca="1" si="28"/>
        <v>995.42376212418162</v>
      </c>
      <c r="X133" s="72">
        <f t="shared" ca="1" si="34"/>
        <v>4363.912539446319</v>
      </c>
      <c r="Y133" s="73">
        <f>mult_opex * fixed_month</f>
        <v>1000</v>
      </c>
      <c r="Z133" s="72">
        <f ca="1">mult_opex * fixed_well *D133</f>
        <v>5000</v>
      </c>
      <c r="AA133" s="72">
        <f ca="1">(Z133+Y133)*WI_current_2</f>
        <v>0</v>
      </c>
      <c r="AB133" s="72">
        <f ca="1">mult_opex * var_bo*E133</f>
        <v>0</v>
      </c>
      <c r="AC133" s="72">
        <f ca="1">mult_opex * var_mcf*F133</f>
        <v>0</v>
      </c>
      <c r="AD133" s="72">
        <f ca="1">mult_opex * var_bw * G133</f>
        <v>14.705728207128439</v>
      </c>
      <c r="AE133" s="72">
        <f ca="1">SUM(AB133:AD133)*WI_current_2</f>
        <v>0</v>
      </c>
      <c r="AF133" s="73">
        <f ca="1">mult_capex * IFERROR(OFFSET(assumptions!$F$39,MATCH(B133,assumptions!$E$39:$E$45,0)-1,0),0)</f>
        <v>0</v>
      </c>
      <c r="AG133" s="75">
        <f ca="1">mult_capex * capex_new*WI_current_2 *'forecast production'!I134</f>
        <v>0</v>
      </c>
      <c r="AH133" s="146">
        <f t="shared" ca="1" si="35"/>
        <v>0</v>
      </c>
      <c r="AI133" s="73">
        <f t="shared" ca="1" si="29"/>
        <v>244.87740577612669</v>
      </c>
      <c r="AJ133" s="72">
        <f t="shared" ca="1" si="30"/>
        <v>109.09781348615797</v>
      </c>
      <c r="AK133" s="72">
        <f t="shared" ca="1" si="36"/>
        <v>353.97521926228467</v>
      </c>
      <c r="AL133" s="73">
        <f t="shared" ca="1" si="31"/>
        <v>4009.9373201840344</v>
      </c>
      <c r="AM133" s="321">
        <f ca="1">'monthly calculations (1)'!AM133</f>
        <v>1</v>
      </c>
      <c r="AN133" s="73">
        <f t="shared" ca="1" si="37"/>
        <v>4009.9373201840344</v>
      </c>
      <c r="AO133" s="75">
        <f t="shared" ca="1" si="39"/>
        <v>953579.32480813598</v>
      </c>
      <c r="AP133" s="72">
        <f ca="1">AL133  /  ( 1 + disc_1/12)^(COUNT($AL$6:AL133)-1)</f>
        <v>1397.6994749464332</v>
      </c>
      <c r="AQ133" s="72">
        <f t="shared" ca="1" si="40"/>
        <v>665075.01151979459</v>
      </c>
      <c r="AS133" s="303"/>
      <c r="AT133" s="300"/>
      <c r="AU133" s="297"/>
      <c r="AV133" s="303"/>
    </row>
    <row r="134" spans="2:48" x14ac:dyDescent="0.25">
      <c r="B134" s="43">
        <f t="shared" si="38"/>
        <v>48092</v>
      </c>
      <c r="C134" s="79">
        <f t="shared" si="32"/>
        <v>2031</v>
      </c>
      <c r="D134" s="64">
        <f ca="1">wellcount_base  +  SUM('forecast production'!I$7:I135)</f>
        <v>1</v>
      </c>
      <c r="E134" s="110">
        <f ca="1">'forecast production'!AE135</f>
        <v>208.06470345860947</v>
      </c>
      <c r="F134" s="98">
        <f ca="1">'forecast production'!AF135</f>
        <v>1161.0390809832493</v>
      </c>
      <c r="G134" s="98">
        <f ca="1">'forecast production'!AG135</f>
        <v>6.8666894915166523</v>
      </c>
      <c r="H134" s="98">
        <f ca="1">'forecast production'!AH135</f>
        <v>174.1558621474874</v>
      </c>
      <c r="I134" s="307">
        <f ca="1">IF('monthly calculations (1)'!AV133,WI_2_APO, WI_2)</f>
        <v>0</v>
      </c>
      <c r="J134" s="306">
        <f ca="1">IF('monthly calculations (1)'!AV133,NRI_2_APO, NRI_2)</f>
        <v>0.25</v>
      </c>
      <c r="K134" s="112">
        <f t="shared" ref="K134:K197" ca="1" si="41">E134*NRI_current</f>
        <v>52.016175864652368</v>
      </c>
      <c r="L134" s="98">
        <f t="shared" ref="L134:L197" ca="1" si="42">F134 * NRI_current * ( 1-shrink_ngl-shrink_leaseuse) - vol_leaseuse</f>
        <v>217.69482768435924</v>
      </c>
      <c r="M134" s="98">
        <f t="shared" ref="M134:M197" ca="1" si="43">G134*NRI_current</f>
        <v>1.7166723728791631</v>
      </c>
      <c r="N134" s="98">
        <f t="shared" ref="N134:N197" ca="1" si="44">H134 * NRI_current</f>
        <v>43.538965536871849</v>
      </c>
      <c r="O134" s="67">
        <f>assumptions!M138</f>
        <v>55</v>
      </c>
      <c r="P134" s="68">
        <f>assumptions!N138</f>
        <v>3</v>
      </c>
      <c r="Q134" s="68">
        <f>assumptions!O138</f>
        <v>22</v>
      </c>
      <c r="R134" s="67">
        <f t="shared" ref="R134:R197" si="45" xml:space="preserve"> (O134*mult_oilprice )  *  (1+  pdiff_oil)   + diff_oil</f>
        <v>52.5</v>
      </c>
      <c r="S134" s="68">
        <f t="shared" ref="S134:S197" si="46">(  (P134*mult_gasprice )  * (1+   pdiff_gas)  +  diff_gas ) *  energy_residue/1000</f>
        <v>2.3275000000000001</v>
      </c>
      <c r="T134" s="68">
        <f t="shared" ref="T134:T197" si="47">mult_oilprice * (1+pdiff_ngl)*O134</f>
        <v>22</v>
      </c>
      <c r="U134" s="73">
        <f t="shared" ca="1" si="33"/>
        <v>2730.8492328942493</v>
      </c>
      <c r="V134" s="72">
        <f t="shared" ca="1" si="33"/>
        <v>506.68471143534617</v>
      </c>
      <c r="W134" s="72">
        <f t="shared" ref="W134:W197" ca="1" si="48">N134*T134</f>
        <v>957.85724181118064</v>
      </c>
      <c r="X134" s="72">
        <f t="shared" ca="1" si="34"/>
        <v>4195.391186140776</v>
      </c>
      <c r="Y134" s="73">
        <f>mult_opex * fixed_month</f>
        <v>1000</v>
      </c>
      <c r="Z134" s="72">
        <f ca="1">mult_opex * fixed_well *D134</f>
        <v>5000</v>
      </c>
      <c r="AA134" s="72">
        <f ca="1">(Z134+Y134)*WI_current_2</f>
        <v>0</v>
      </c>
      <c r="AB134" s="72">
        <f ca="1">mult_opex * var_bo*E134</f>
        <v>0</v>
      </c>
      <c r="AC134" s="72">
        <f ca="1">mult_opex * var_mcf*F134</f>
        <v>0</v>
      </c>
      <c r="AD134" s="72">
        <f ca="1">mult_opex * var_bw * G134</f>
        <v>13.733378983033305</v>
      </c>
      <c r="AE134" s="72">
        <f ca="1">SUM(AB134:AD134)*WI_current_2</f>
        <v>0</v>
      </c>
      <c r="AF134" s="73">
        <f ca="1">mult_capex * IFERROR(OFFSET(assumptions!$F$39,MATCH(B134,assumptions!$E$39:$E$45,0)-1,0),0)</f>
        <v>0</v>
      </c>
      <c r="AG134" s="75">
        <f ca="1">mult_capex * capex_new*WI_current_2 *'forecast production'!I135</f>
        <v>0</v>
      </c>
      <c r="AH134" s="146">
        <f t="shared" ca="1" si="35"/>
        <v>0</v>
      </c>
      <c r="AI134" s="73">
        <f t="shared" ref="AI134:AI197" ca="1" si="49">U134*sev_oil   +  V134*sev_gas  +  W134*sev_ngl</f>
        <v>235.45971120662497</v>
      </c>
      <c r="AJ134" s="72">
        <f t="shared" ref="AJ134:AJ197" ca="1" si="50">adval * X134</f>
        <v>104.8847796535194</v>
      </c>
      <c r="AK134" s="72">
        <f t="shared" ca="1" si="36"/>
        <v>340.34449086014439</v>
      </c>
      <c r="AL134" s="73">
        <f t="shared" ref="AL134:AL197" ca="1" si="51">X134-AE134-AH134-AK134-AA134</f>
        <v>3855.0466952806314</v>
      </c>
      <c r="AM134" s="321">
        <f ca="1">'monthly calculations (1)'!AM134</f>
        <v>1</v>
      </c>
      <c r="AN134" s="73">
        <f t="shared" ca="1" si="37"/>
        <v>3855.0466952806314</v>
      </c>
      <c r="AO134" s="75">
        <f t="shared" ca="1" si="39"/>
        <v>957434.37150341657</v>
      </c>
      <c r="AP134" s="72">
        <f ca="1">AL134  /  ( 1 + disc_1/12)^(COUNT($AL$6:AL134)-1)</f>
        <v>1332.605914662184</v>
      </c>
      <c r="AQ134" s="72">
        <f t="shared" ca="1" si="40"/>
        <v>666407.61743445671</v>
      </c>
      <c r="AS134" s="303"/>
      <c r="AT134" s="300"/>
      <c r="AU134" s="297"/>
      <c r="AV134" s="303"/>
    </row>
    <row r="135" spans="2:48" x14ac:dyDescent="0.25">
      <c r="B135" s="43">
        <f t="shared" si="38"/>
        <v>48122</v>
      </c>
      <c r="C135" s="79">
        <f t="shared" ref="C135:C198" si="52">YEAR(B135)</f>
        <v>2031</v>
      </c>
      <c r="D135" s="64">
        <f ca="1">wellcount_base  +  SUM('forecast production'!I$7:I136)</f>
        <v>1</v>
      </c>
      <c r="E135" s="110">
        <f ca="1">'forecast production'!AE136</f>
        <v>213.53177391310518</v>
      </c>
      <c r="F135" s="98">
        <f ca="1">'forecast production'!AF136</f>
        <v>1193.2002627710899</v>
      </c>
      <c r="G135" s="98">
        <f ca="1">'forecast production'!AG136</f>
        <v>6.8552101031090764</v>
      </c>
      <c r="H135" s="98">
        <f ca="1">'forecast production'!AH136</f>
        <v>178.9800394156635</v>
      </c>
      <c r="I135" s="307">
        <f ca="1">IF('monthly calculations (1)'!AV134,WI_2_APO, WI_2)</f>
        <v>0</v>
      </c>
      <c r="J135" s="306">
        <f ca="1">IF('monthly calculations (1)'!AV134,NRI_2_APO, NRI_2)</f>
        <v>0.25</v>
      </c>
      <c r="K135" s="112">
        <f t="shared" ca="1" si="41"/>
        <v>53.382943478276296</v>
      </c>
      <c r="L135" s="98">
        <f t="shared" ca="1" si="42"/>
        <v>223.72504926957936</v>
      </c>
      <c r="M135" s="98">
        <f t="shared" ca="1" si="43"/>
        <v>1.7138025257772691</v>
      </c>
      <c r="N135" s="98">
        <f t="shared" ca="1" si="44"/>
        <v>44.745009853915874</v>
      </c>
      <c r="O135" s="67">
        <f>assumptions!M139</f>
        <v>55</v>
      </c>
      <c r="P135" s="68">
        <f>assumptions!N139</f>
        <v>3</v>
      </c>
      <c r="Q135" s="68">
        <f>assumptions!O139</f>
        <v>22</v>
      </c>
      <c r="R135" s="67">
        <f t="shared" si="45"/>
        <v>52.5</v>
      </c>
      <c r="S135" s="68">
        <f t="shared" si="46"/>
        <v>2.3275000000000001</v>
      </c>
      <c r="T135" s="68">
        <f t="shared" si="47"/>
        <v>22</v>
      </c>
      <c r="U135" s="73">
        <f t="shared" ref="U135:V198" ca="1" si="53">K135*R135</f>
        <v>2802.6045326095054</v>
      </c>
      <c r="V135" s="72">
        <f t="shared" ca="1" si="53"/>
        <v>520.72005217494598</v>
      </c>
      <c r="W135" s="72">
        <f t="shared" ca="1" si="48"/>
        <v>984.39021678614927</v>
      </c>
      <c r="X135" s="72">
        <f t="shared" ref="X135:X198" ca="1" si="54">SUM(U135:W135)</f>
        <v>4307.7148015706007</v>
      </c>
      <c r="Y135" s="73">
        <f>mult_opex * fixed_month</f>
        <v>1000</v>
      </c>
      <c r="Z135" s="72">
        <f ca="1">mult_opex * fixed_well *D135</f>
        <v>5000</v>
      </c>
      <c r="AA135" s="72">
        <f ca="1">(Z135+Y135)*WI_current_2</f>
        <v>0</v>
      </c>
      <c r="AB135" s="72">
        <f ca="1">mult_opex * var_bo*E135</f>
        <v>0</v>
      </c>
      <c r="AC135" s="72">
        <f ca="1">mult_opex * var_mcf*F135</f>
        <v>0</v>
      </c>
      <c r="AD135" s="72">
        <f ca="1">mult_opex * var_bw * G135</f>
        <v>13.710420206218153</v>
      </c>
      <c r="AE135" s="72">
        <f ca="1">SUM(AB135:AD135)*WI_current_2</f>
        <v>0</v>
      </c>
      <c r="AF135" s="73">
        <f ca="1">mult_capex * IFERROR(OFFSET(assumptions!$F$39,MATCH(B135,assumptions!$E$39:$E$45,0)-1,0),0)</f>
        <v>0</v>
      </c>
      <c r="AG135" s="75">
        <f ca="1">mult_capex * capex_new*WI_current_2 *'forecast production'!I136</f>
        <v>0</v>
      </c>
      <c r="AH135" s="146">
        <f t="shared" ref="AH135:AH198" ca="1" si="55">AG135+AF135</f>
        <v>0</v>
      </c>
      <c r="AI135" s="73">
        <f t="shared" ca="1" si="49"/>
        <v>241.8030786721194</v>
      </c>
      <c r="AJ135" s="72">
        <f t="shared" ca="1" si="50"/>
        <v>107.69287003926502</v>
      </c>
      <c r="AK135" s="72">
        <f t="shared" ref="AK135:AK198" ca="1" si="56">SUM(AI135:AJ135)</f>
        <v>349.49594871138441</v>
      </c>
      <c r="AL135" s="73">
        <f t="shared" ca="1" si="51"/>
        <v>3958.2188528592164</v>
      </c>
      <c r="AM135" s="321">
        <f ca="1">'monthly calculations (1)'!AM135</f>
        <v>1</v>
      </c>
      <c r="AN135" s="73">
        <f t="shared" ref="AN135:AN198" ca="1" si="57">AL135*AM135</f>
        <v>3958.2188528592164</v>
      </c>
      <c r="AO135" s="75">
        <f t="shared" ca="1" si="39"/>
        <v>961392.59035627579</v>
      </c>
      <c r="AP135" s="72">
        <f ca="1">AL135  /  ( 1 + disc_1/12)^(COUNT($AL$6:AL135)-1)</f>
        <v>1356.9622698221551</v>
      </c>
      <c r="AQ135" s="72">
        <f t="shared" ca="1" si="40"/>
        <v>667764.57970427885</v>
      </c>
      <c r="AS135" s="303"/>
      <c r="AT135" s="300"/>
      <c r="AU135" s="297"/>
      <c r="AV135" s="303"/>
    </row>
    <row r="136" spans="2:48" x14ac:dyDescent="0.25">
      <c r="B136" s="43">
        <f t="shared" ref="B136:B199" si="58">EOMONTH(B135,0)+1</f>
        <v>48153</v>
      </c>
      <c r="C136" s="79">
        <f t="shared" si="52"/>
        <v>2031</v>
      </c>
      <c r="D136" s="64">
        <f ca="1">wellcount_base  +  SUM('forecast production'!I$7:I137)</f>
        <v>1</v>
      </c>
      <c r="E136" s="110">
        <f ca="1">'forecast production'!AE137</f>
        <v>205.18542797967794</v>
      </c>
      <c r="F136" s="98">
        <f ca="1">'forecast production'!AF137</f>
        <v>1148.2418972037683</v>
      </c>
      <c r="G136" s="98">
        <f ca="1">'forecast production'!AG137</f>
        <v>6.4020204728359191</v>
      </c>
      <c r="H136" s="98">
        <f ca="1">'forecast production'!AH137</f>
        <v>172.23628458056521</v>
      </c>
      <c r="I136" s="307">
        <f ca="1">IF('monthly calculations (1)'!AV135,WI_2_APO, WI_2)</f>
        <v>0</v>
      </c>
      <c r="J136" s="306">
        <f ca="1">IF('monthly calculations (1)'!AV135,NRI_2_APO, NRI_2)</f>
        <v>0.25</v>
      </c>
      <c r="K136" s="112">
        <f t="shared" ca="1" si="41"/>
        <v>51.296356994919485</v>
      </c>
      <c r="L136" s="98">
        <f t="shared" ca="1" si="42"/>
        <v>215.29535572570654</v>
      </c>
      <c r="M136" s="98">
        <f t="shared" ca="1" si="43"/>
        <v>1.6005051182089798</v>
      </c>
      <c r="N136" s="98">
        <f t="shared" ca="1" si="44"/>
        <v>43.059071145141303</v>
      </c>
      <c r="O136" s="67">
        <f>assumptions!M140</f>
        <v>55</v>
      </c>
      <c r="P136" s="68">
        <f>assumptions!N140</f>
        <v>3</v>
      </c>
      <c r="Q136" s="68">
        <f>assumptions!O140</f>
        <v>22</v>
      </c>
      <c r="R136" s="67">
        <f t="shared" si="45"/>
        <v>52.5</v>
      </c>
      <c r="S136" s="68">
        <f t="shared" si="46"/>
        <v>2.3275000000000001</v>
      </c>
      <c r="T136" s="68">
        <f t="shared" si="47"/>
        <v>22</v>
      </c>
      <c r="U136" s="73">
        <f t="shared" ca="1" si="53"/>
        <v>2693.0587422332728</v>
      </c>
      <c r="V136" s="72">
        <f t="shared" ca="1" si="53"/>
        <v>501.09994045158203</v>
      </c>
      <c r="W136" s="72">
        <f t="shared" ca="1" si="48"/>
        <v>947.29956519310872</v>
      </c>
      <c r="X136" s="72">
        <f t="shared" ca="1" si="54"/>
        <v>4141.458247877963</v>
      </c>
      <c r="Y136" s="73">
        <f>mult_opex * fixed_month</f>
        <v>1000</v>
      </c>
      <c r="Z136" s="72">
        <f ca="1">mult_opex * fixed_well *D136</f>
        <v>5000</v>
      </c>
      <c r="AA136" s="72">
        <f ca="1">(Z136+Y136)*WI_current_2</f>
        <v>0</v>
      </c>
      <c r="AB136" s="72">
        <f ca="1">mult_opex * var_bo*E136</f>
        <v>0</v>
      </c>
      <c r="AC136" s="72">
        <f ca="1">mult_opex * var_mcf*F136</f>
        <v>0</v>
      </c>
      <c r="AD136" s="72">
        <f ca="1">mult_opex * var_bw * G136</f>
        <v>12.804040945671838</v>
      </c>
      <c r="AE136" s="72">
        <f ca="1">SUM(AB136:AD136)*WI_current_2</f>
        <v>0</v>
      </c>
      <c r="AF136" s="73">
        <f ca="1">mult_capex * IFERROR(OFFSET(assumptions!$F$39,MATCH(B136,assumptions!$E$39:$E$45,0)-1,0),0)</f>
        <v>0</v>
      </c>
      <c r="AG136" s="75">
        <f ca="1">mult_capex * capex_new*WI_current_2 *'forecast production'!I137</f>
        <v>0</v>
      </c>
      <c r="AH136" s="146">
        <f t="shared" ca="1" si="55"/>
        <v>0</v>
      </c>
      <c r="AI136" s="73">
        <f t="shared" ca="1" si="49"/>
        <v>232.51066506608231</v>
      </c>
      <c r="AJ136" s="72">
        <f t="shared" ca="1" si="50"/>
        <v>103.53645619694908</v>
      </c>
      <c r="AK136" s="72">
        <f t="shared" ca="1" si="56"/>
        <v>336.04712126303139</v>
      </c>
      <c r="AL136" s="73">
        <f t="shared" ca="1" si="51"/>
        <v>3805.4111266149316</v>
      </c>
      <c r="AM136" s="321">
        <f ca="1">'monthly calculations (1)'!AM136</f>
        <v>1</v>
      </c>
      <c r="AN136" s="73">
        <f t="shared" ca="1" si="57"/>
        <v>3805.4111266149316</v>
      </c>
      <c r="AO136" s="75">
        <f t="shared" ref="AO136:AO199" ca="1" si="59">AO135+AN136</f>
        <v>965198.00148289069</v>
      </c>
      <c r="AP136" s="72">
        <f ca="1">AL136  /  ( 1 + disc_1/12)^(COUNT($AL$6:AL136)-1)</f>
        <v>1293.7948817157517</v>
      </c>
      <c r="AQ136" s="72">
        <f t="shared" ref="AQ136:AQ199" ca="1" si="60">AQ135+AP136*AM136</f>
        <v>669058.37458599464</v>
      </c>
      <c r="AS136" s="303"/>
      <c r="AT136" s="300"/>
      <c r="AU136" s="297"/>
      <c r="AV136" s="303"/>
    </row>
    <row r="137" spans="2:48" x14ac:dyDescent="0.25">
      <c r="B137" s="44">
        <f t="shared" si="58"/>
        <v>48183</v>
      </c>
      <c r="C137" s="100">
        <f t="shared" si="52"/>
        <v>2031</v>
      </c>
      <c r="D137" s="65">
        <f ca="1">wellcount_base  +  SUM('forecast production'!I$7:I138)</f>
        <v>1</v>
      </c>
      <c r="E137" s="109">
        <f ca="1">'forecast production'!AE138</f>
        <v>210.57684311330689</v>
      </c>
      <c r="F137" s="101">
        <f ca="1">'forecast production'!AF138</f>
        <v>1180.119500080983</v>
      </c>
      <c r="G137" s="101">
        <f ca="1">'forecast production'!AG138</f>
        <v>6.3913950429242492</v>
      </c>
      <c r="H137" s="102">
        <f ca="1">'forecast production'!AH138</f>
        <v>177.01792501214749</v>
      </c>
      <c r="I137" s="308">
        <f ca="1">IF('monthly calculations (1)'!AV136,WI_2_APO, WI_2)</f>
        <v>0</v>
      </c>
      <c r="J137" s="309">
        <f ca="1">IF('monthly calculations (1)'!AV136,NRI_2_APO, NRI_2)</f>
        <v>0.25</v>
      </c>
      <c r="K137" s="113">
        <f t="shared" ca="1" si="41"/>
        <v>52.644210778326723</v>
      </c>
      <c r="L137" s="102">
        <f t="shared" ca="1" si="42"/>
        <v>221.27240626518432</v>
      </c>
      <c r="M137" s="102">
        <f t="shared" ca="1" si="43"/>
        <v>1.5978487607310623</v>
      </c>
      <c r="N137" s="102">
        <f t="shared" ca="1" si="44"/>
        <v>44.254481253036872</v>
      </c>
      <c r="O137" s="103">
        <f>assumptions!M141</f>
        <v>55</v>
      </c>
      <c r="P137" s="104">
        <f>assumptions!N141</f>
        <v>3</v>
      </c>
      <c r="Q137" s="104">
        <f>assumptions!O141</f>
        <v>22</v>
      </c>
      <c r="R137" s="103">
        <f t="shared" si="45"/>
        <v>52.5</v>
      </c>
      <c r="S137" s="104">
        <f t="shared" si="46"/>
        <v>2.3275000000000001</v>
      </c>
      <c r="T137" s="104">
        <f t="shared" si="47"/>
        <v>22</v>
      </c>
      <c r="U137" s="105">
        <f t="shared" ca="1" si="53"/>
        <v>2763.8210658621529</v>
      </c>
      <c r="V137" s="106">
        <f t="shared" ca="1" si="53"/>
        <v>515.01152558221656</v>
      </c>
      <c r="W137" s="106">
        <f t="shared" ca="1" si="48"/>
        <v>973.59858756681115</v>
      </c>
      <c r="X137" s="106">
        <f t="shared" ca="1" si="54"/>
        <v>4252.4311790111806</v>
      </c>
      <c r="Y137" s="105">
        <f>mult_opex * fixed_month</f>
        <v>1000</v>
      </c>
      <c r="Z137" s="106">
        <f ca="1">mult_opex * fixed_well *D137</f>
        <v>5000</v>
      </c>
      <c r="AA137" s="106">
        <f ca="1">(Z137+Y137)*WI_current_2</f>
        <v>0</v>
      </c>
      <c r="AB137" s="106">
        <f ca="1">mult_opex * var_bo*E137</f>
        <v>0</v>
      </c>
      <c r="AC137" s="106">
        <f ca="1">mult_opex * var_mcf*F137</f>
        <v>0</v>
      </c>
      <c r="AD137" s="106">
        <f ca="1">mult_opex * var_bw * G137</f>
        <v>12.782790085848498</v>
      </c>
      <c r="AE137" s="106">
        <f ca="1">SUM(AB137:AD137)*WI_current_2</f>
        <v>0</v>
      </c>
      <c r="AF137" s="105">
        <f ca="1">mult_capex * IFERROR(OFFSET(assumptions!$F$39,MATCH(B137,assumptions!$E$39:$E$45,0)-1,0),0)</f>
        <v>0</v>
      </c>
      <c r="AG137" s="106">
        <f ca="1">mult_capex * capex_new*WI_current_2 *'forecast production'!I138</f>
        <v>0</v>
      </c>
      <c r="AH137" s="147">
        <f t="shared" ca="1" si="55"/>
        <v>0</v>
      </c>
      <c r="AI137" s="105">
        <f t="shared" ca="1" si="49"/>
        <v>238.7815275158361</v>
      </c>
      <c r="AJ137" s="106">
        <f t="shared" ca="1" si="50"/>
        <v>106.31077947527952</v>
      </c>
      <c r="AK137" s="106">
        <f t="shared" ca="1" si="56"/>
        <v>345.09230699111561</v>
      </c>
      <c r="AL137" s="105">
        <f t="shared" ca="1" si="51"/>
        <v>3907.3388720200651</v>
      </c>
      <c r="AM137" s="322">
        <f ca="1">'monthly calculations (1)'!AM137</f>
        <v>1</v>
      </c>
      <c r="AN137" s="105">
        <f t="shared" ca="1" si="57"/>
        <v>3907.3388720200651</v>
      </c>
      <c r="AO137" s="106">
        <f t="shared" ca="1" si="59"/>
        <v>969105.3403549107</v>
      </c>
      <c r="AP137" s="106">
        <f ca="1">AL137  /  ( 1 + disc_1/12)^(COUNT($AL$6:AL137)-1)</f>
        <v>1317.4701941886399</v>
      </c>
      <c r="AQ137" s="106">
        <f t="shared" ca="1" si="60"/>
        <v>670375.84478018328</v>
      </c>
      <c r="AS137" s="304"/>
      <c r="AT137" s="301"/>
      <c r="AU137" s="298"/>
      <c r="AV137" s="304"/>
    </row>
    <row r="138" spans="2:48" x14ac:dyDescent="0.25">
      <c r="B138" s="43">
        <f t="shared" si="58"/>
        <v>48214</v>
      </c>
      <c r="C138" s="79">
        <f t="shared" si="52"/>
        <v>2032</v>
      </c>
      <c r="D138" s="64">
        <f ca="1">wellcount_base  +  SUM('forecast production'!I$7:I139)</f>
        <v>1</v>
      </c>
      <c r="E138" s="110">
        <f ca="1">'forecast production'!AE139</f>
        <v>209.09086353369935</v>
      </c>
      <c r="F138" s="98">
        <f ca="1">'forecast production'!AF139</f>
        <v>1173.5812017958444</v>
      </c>
      <c r="G138" s="98">
        <f ca="1">'forecast production'!AG139</f>
        <v>6.1679068246575852</v>
      </c>
      <c r="H138" s="98">
        <f ca="1">'forecast production'!AH139</f>
        <v>176.03718026937665</v>
      </c>
      <c r="I138" s="307">
        <f ca="1">IF('monthly calculations (1)'!AV137,WI_2_APO, WI_2)</f>
        <v>0</v>
      </c>
      <c r="J138" s="306">
        <f ca="1">IF('monthly calculations (1)'!AV137,NRI_2_APO, NRI_2)</f>
        <v>0.25</v>
      </c>
      <c r="K138" s="112">
        <f t="shared" ca="1" si="41"/>
        <v>52.272715883424837</v>
      </c>
      <c r="L138" s="98">
        <f t="shared" ca="1" si="42"/>
        <v>220.04647533672085</v>
      </c>
      <c r="M138" s="98">
        <f t="shared" ca="1" si="43"/>
        <v>1.5419767061643963</v>
      </c>
      <c r="N138" s="98">
        <f t="shared" ca="1" si="44"/>
        <v>44.009295067344162</v>
      </c>
      <c r="O138" s="67">
        <f>assumptions!M142</f>
        <v>55</v>
      </c>
      <c r="P138" s="68">
        <f>assumptions!N142</f>
        <v>3</v>
      </c>
      <c r="Q138" s="68">
        <f>assumptions!O142</f>
        <v>22</v>
      </c>
      <c r="R138" s="67">
        <f t="shared" si="45"/>
        <v>52.5</v>
      </c>
      <c r="S138" s="68">
        <f t="shared" si="46"/>
        <v>2.3275000000000001</v>
      </c>
      <c r="T138" s="68">
        <f t="shared" si="47"/>
        <v>22</v>
      </c>
      <c r="U138" s="73">
        <f t="shared" ca="1" si="53"/>
        <v>2744.3175838798038</v>
      </c>
      <c r="V138" s="72">
        <f t="shared" ca="1" si="53"/>
        <v>512.15817134621784</v>
      </c>
      <c r="W138" s="72">
        <f t="shared" ca="1" si="48"/>
        <v>968.20449148157161</v>
      </c>
      <c r="X138" s="72">
        <f t="shared" ca="1" si="54"/>
        <v>4224.6802467075931</v>
      </c>
      <c r="Y138" s="73">
        <f>mult_opex * fixed_month</f>
        <v>1000</v>
      </c>
      <c r="Z138" s="72">
        <f ca="1">mult_opex * fixed_well *D138</f>
        <v>5000</v>
      </c>
      <c r="AA138" s="72">
        <f ca="1">(Z138+Y138)*WI_current_2</f>
        <v>0</v>
      </c>
      <c r="AB138" s="72">
        <f ca="1">mult_opex * var_bo*E138</f>
        <v>0</v>
      </c>
      <c r="AC138" s="72">
        <f ca="1">mult_opex * var_mcf*F138</f>
        <v>0</v>
      </c>
      <c r="AD138" s="72">
        <f ca="1">mult_opex * var_bw * G138</f>
        <v>12.33581364931517</v>
      </c>
      <c r="AE138" s="72">
        <f ca="1">SUM(AB138:AD138)*WI_current_2</f>
        <v>0</v>
      </c>
      <c r="AF138" s="73">
        <f ca="1">mult_capex * IFERROR(OFFSET(assumptions!$F$39,MATCH(B138,assumptions!$E$39:$E$45,0)-1,0),0)</f>
        <v>0</v>
      </c>
      <c r="AG138" s="75">
        <f ca="1">mult_capex * capex_new*WI_current_2 *'forecast production'!I139</f>
        <v>0</v>
      </c>
      <c r="AH138" s="146">
        <f t="shared" ca="1" si="55"/>
        <v>0</v>
      </c>
      <c r="AI138" s="73">
        <f t="shared" ca="1" si="49"/>
        <v>237.26580857055518</v>
      </c>
      <c r="AJ138" s="72">
        <f t="shared" ca="1" si="50"/>
        <v>105.61700616768984</v>
      </c>
      <c r="AK138" s="72">
        <f t="shared" ca="1" si="56"/>
        <v>342.88281473824503</v>
      </c>
      <c r="AL138" s="73">
        <f t="shared" ca="1" si="51"/>
        <v>3881.7974319693481</v>
      </c>
      <c r="AM138" s="321">
        <f ca="1">'monthly calculations (1)'!AM138</f>
        <v>1</v>
      </c>
      <c r="AN138" s="73">
        <f t="shared" ca="1" si="57"/>
        <v>3881.7974319693481</v>
      </c>
      <c r="AO138" s="75">
        <f t="shared" ca="1" si="59"/>
        <v>972987.13778688002</v>
      </c>
      <c r="AP138" s="72">
        <f ca="1">AL138  /  ( 1 + disc_1/12)^(COUNT($AL$6:AL138)-1)</f>
        <v>1298.0411630960227</v>
      </c>
      <c r="AQ138" s="72">
        <f t="shared" ca="1" si="60"/>
        <v>671673.88594327925</v>
      </c>
      <c r="AS138" s="303"/>
      <c r="AT138" s="300"/>
      <c r="AU138" s="297"/>
      <c r="AV138" s="303"/>
    </row>
    <row r="139" spans="2:48" x14ac:dyDescent="0.25">
      <c r="B139" s="43">
        <f t="shared" si="58"/>
        <v>48245</v>
      </c>
      <c r="C139" s="79">
        <f t="shared" si="52"/>
        <v>2032</v>
      </c>
      <c r="D139" s="64">
        <f ca="1">wellcount_base  +  SUM('forecast production'!I$7:I140)</f>
        <v>1</v>
      </c>
      <c r="E139" s="110">
        <f ca="1">'forecast production'!AE140</f>
        <v>194.22083007493097</v>
      </c>
      <c r="F139" s="98">
        <f ca="1">'forecast production'!AF140</f>
        <v>1091.8172145702413</v>
      </c>
      <c r="G139" s="98">
        <f ca="1">'forecast production'!AG140</f>
        <v>5.568253540862508</v>
      </c>
      <c r="H139" s="98">
        <f ca="1">'forecast production'!AH140</f>
        <v>163.77258218553621</v>
      </c>
      <c r="I139" s="307">
        <f ca="1">IF('monthly calculations (1)'!AV138,WI_2_APO, WI_2)</f>
        <v>0</v>
      </c>
      <c r="J139" s="306">
        <f ca="1">IF('monthly calculations (1)'!AV138,NRI_2_APO, NRI_2)</f>
        <v>0.25</v>
      </c>
      <c r="K139" s="112">
        <f t="shared" ca="1" si="41"/>
        <v>48.555207518732743</v>
      </c>
      <c r="L139" s="98">
        <f t="shared" ca="1" si="42"/>
        <v>204.71572773192025</v>
      </c>
      <c r="M139" s="98">
        <f t="shared" ca="1" si="43"/>
        <v>1.392063385215627</v>
      </c>
      <c r="N139" s="98">
        <f t="shared" ca="1" si="44"/>
        <v>40.943145546384052</v>
      </c>
      <c r="O139" s="67">
        <f>assumptions!M143</f>
        <v>55</v>
      </c>
      <c r="P139" s="68">
        <f>assumptions!N143</f>
        <v>3</v>
      </c>
      <c r="Q139" s="68">
        <f>assumptions!O143</f>
        <v>22</v>
      </c>
      <c r="R139" s="67">
        <f t="shared" si="45"/>
        <v>52.5</v>
      </c>
      <c r="S139" s="68">
        <f t="shared" si="46"/>
        <v>2.3275000000000001</v>
      </c>
      <c r="T139" s="68">
        <f t="shared" si="47"/>
        <v>22</v>
      </c>
      <c r="U139" s="73">
        <f t="shared" ca="1" si="53"/>
        <v>2549.1483947334691</v>
      </c>
      <c r="V139" s="72">
        <f t="shared" ca="1" si="53"/>
        <v>476.47585629604441</v>
      </c>
      <c r="W139" s="72">
        <f t="shared" ca="1" si="48"/>
        <v>900.74920202044916</v>
      </c>
      <c r="X139" s="72">
        <f t="shared" ca="1" si="54"/>
        <v>3926.3734530499623</v>
      </c>
      <c r="Y139" s="73">
        <f>mult_opex * fixed_month</f>
        <v>1000</v>
      </c>
      <c r="Z139" s="72">
        <f ca="1">mult_opex * fixed_well *D139</f>
        <v>5000</v>
      </c>
      <c r="AA139" s="72">
        <f ca="1">(Z139+Y139)*WI_current_2</f>
        <v>0</v>
      </c>
      <c r="AB139" s="72">
        <f ca="1">mult_opex * var_bo*E139</f>
        <v>0</v>
      </c>
      <c r="AC139" s="72">
        <f ca="1">mult_opex * var_mcf*F139</f>
        <v>0</v>
      </c>
      <c r="AD139" s="72">
        <f ca="1">mult_opex * var_bw * G139</f>
        <v>11.136507081725016</v>
      </c>
      <c r="AE139" s="72">
        <f ca="1">SUM(AB139:AD139)*WI_current_2</f>
        <v>0</v>
      </c>
      <c r="AF139" s="73">
        <f ca="1">mult_capex * IFERROR(OFFSET(assumptions!$F$39,MATCH(B139,assumptions!$E$39:$E$45,0)-1,0),0)</f>
        <v>0</v>
      </c>
      <c r="AG139" s="75">
        <f ca="1">mult_capex * capex_new*WI_current_2 *'forecast production'!I140</f>
        <v>0</v>
      </c>
      <c r="AH139" s="146">
        <f t="shared" ca="1" si="55"/>
        <v>0</v>
      </c>
      <c r="AI139" s="73">
        <f t="shared" ca="1" si="49"/>
        <v>220.55270553147659</v>
      </c>
      <c r="AJ139" s="72">
        <f t="shared" ca="1" si="50"/>
        <v>98.159336326249061</v>
      </c>
      <c r="AK139" s="72">
        <f t="shared" ca="1" si="56"/>
        <v>318.71204185772564</v>
      </c>
      <c r="AL139" s="73">
        <f t="shared" ca="1" si="51"/>
        <v>3607.6614111922368</v>
      </c>
      <c r="AM139" s="321">
        <f ca="1">'monthly calculations (1)'!AM139</f>
        <v>1</v>
      </c>
      <c r="AN139" s="73">
        <f t="shared" ca="1" si="57"/>
        <v>3607.6614111922368</v>
      </c>
      <c r="AO139" s="75">
        <f t="shared" ca="1" si="59"/>
        <v>976594.79919807229</v>
      </c>
      <c r="AP139" s="72">
        <f ca="1">AL139  /  ( 1 + disc_1/12)^(COUNT($AL$6:AL139)-1)</f>
        <v>1196.40231116477</v>
      </c>
      <c r="AQ139" s="72">
        <f t="shared" ca="1" si="60"/>
        <v>672870.28825444402</v>
      </c>
      <c r="AS139" s="303"/>
      <c r="AT139" s="300"/>
      <c r="AU139" s="297"/>
      <c r="AV139" s="303"/>
    </row>
    <row r="140" spans="2:48" x14ac:dyDescent="0.25">
      <c r="B140" s="43">
        <f t="shared" si="58"/>
        <v>48274</v>
      </c>
      <c r="C140" s="79">
        <f t="shared" si="52"/>
        <v>2032</v>
      </c>
      <c r="D140" s="64">
        <f ca="1">wellcount_base  +  SUM('forecast production'!I$7:I141)</f>
        <v>1</v>
      </c>
      <c r="E140" s="110">
        <f ca="1">'forecast production'!AE141</f>
        <v>206.24449735821068</v>
      </c>
      <c r="F140" s="98">
        <f ca="1">'forecast production'!AF141</f>
        <v>1161.1300603075172</v>
      </c>
      <c r="G140" s="98">
        <f ca="1">'forecast production'!AG141</f>
        <v>5.7574103482449859</v>
      </c>
      <c r="H140" s="98">
        <f ca="1">'forecast production'!AH141</f>
        <v>174.16950904612759</v>
      </c>
      <c r="I140" s="307">
        <f ca="1">IF('monthly calculations (1)'!AV139,WI_2_APO, WI_2)</f>
        <v>0</v>
      </c>
      <c r="J140" s="306">
        <f ca="1">IF('monthly calculations (1)'!AV139,NRI_2_APO, NRI_2)</f>
        <v>0.25</v>
      </c>
      <c r="K140" s="112">
        <f t="shared" ca="1" si="41"/>
        <v>51.56112433955267</v>
      </c>
      <c r="L140" s="98">
        <f t="shared" ca="1" si="42"/>
        <v>217.71188630765948</v>
      </c>
      <c r="M140" s="98">
        <f t="shared" ca="1" si="43"/>
        <v>1.4393525870612465</v>
      </c>
      <c r="N140" s="98">
        <f t="shared" ca="1" si="44"/>
        <v>43.542377261531897</v>
      </c>
      <c r="O140" s="67">
        <f>assumptions!M144</f>
        <v>55</v>
      </c>
      <c r="P140" s="68">
        <f>assumptions!N144</f>
        <v>3</v>
      </c>
      <c r="Q140" s="68">
        <f>assumptions!O144</f>
        <v>22</v>
      </c>
      <c r="R140" s="67">
        <f t="shared" si="45"/>
        <v>52.5</v>
      </c>
      <c r="S140" s="68">
        <f t="shared" si="46"/>
        <v>2.3275000000000001</v>
      </c>
      <c r="T140" s="68">
        <f t="shared" si="47"/>
        <v>22</v>
      </c>
      <c r="U140" s="73">
        <f t="shared" ca="1" si="53"/>
        <v>2706.959027826515</v>
      </c>
      <c r="V140" s="72">
        <f t="shared" ca="1" si="53"/>
        <v>506.72441538107745</v>
      </c>
      <c r="W140" s="72">
        <f t="shared" ca="1" si="48"/>
        <v>957.93229975370173</v>
      </c>
      <c r="X140" s="72">
        <f t="shared" ca="1" si="54"/>
        <v>4171.615742961294</v>
      </c>
      <c r="Y140" s="73">
        <f>mult_opex * fixed_month</f>
        <v>1000</v>
      </c>
      <c r="Z140" s="72">
        <f ca="1">mult_opex * fixed_well *D140</f>
        <v>5000</v>
      </c>
      <c r="AA140" s="72">
        <f ca="1">(Z140+Y140)*WI_current_2</f>
        <v>0</v>
      </c>
      <c r="AB140" s="72">
        <f ca="1">mult_opex * var_bo*E140</f>
        <v>0</v>
      </c>
      <c r="AC140" s="72">
        <f ca="1">mult_opex * var_mcf*F140</f>
        <v>0</v>
      </c>
      <c r="AD140" s="72">
        <f ca="1">mult_opex * var_bw * G140</f>
        <v>11.514820696489972</v>
      </c>
      <c r="AE140" s="72">
        <f ca="1">SUM(AB140:AD140)*WI_current_2</f>
        <v>0</v>
      </c>
      <c r="AF140" s="73">
        <f ca="1">mult_capex * IFERROR(OFFSET(assumptions!$F$39,MATCH(B140,assumptions!$E$39:$E$45,0)-1,0),0)</f>
        <v>0</v>
      </c>
      <c r="AG140" s="75">
        <f ca="1">mult_capex * capex_new*WI_current_2 *'forecast production'!I141</f>
        <v>0</v>
      </c>
      <c r="AH140" s="146">
        <f t="shared" ca="1" si="55"/>
        <v>0</v>
      </c>
      <c r="AI140" s="73">
        <f t="shared" ca="1" si="49"/>
        <v>234.36936891512812</v>
      </c>
      <c r="AJ140" s="72">
        <f t="shared" ca="1" si="50"/>
        <v>104.29039357403235</v>
      </c>
      <c r="AK140" s="72">
        <f t="shared" ca="1" si="56"/>
        <v>338.65976248916047</v>
      </c>
      <c r="AL140" s="73">
        <f t="shared" ca="1" si="51"/>
        <v>3832.9559804721334</v>
      </c>
      <c r="AM140" s="321">
        <f ca="1">'monthly calculations (1)'!AM140</f>
        <v>1</v>
      </c>
      <c r="AN140" s="73">
        <f t="shared" ca="1" si="57"/>
        <v>3832.9559804721334</v>
      </c>
      <c r="AO140" s="75">
        <f t="shared" ca="1" si="59"/>
        <v>980427.75517854444</v>
      </c>
      <c r="AP140" s="72">
        <f ca="1">AL140  /  ( 1 + disc_1/12)^(COUNT($AL$6:AL140)-1)</f>
        <v>1260.6112530642902</v>
      </c>
      <c r="AQ140" s="72">
        <f t="shared" ca="1" si="60"/>
        <v>674130.89950750826</v>
      </c>
      <c r="AS140" s="303"/>
      <c r="AT140" s="300"/>
      <c r="AU140" s="297"/>
      <c r="AV140" s="303"/>
    </row>
    <row r="141" spans="2:48" x14ac:dyDescent="0.25">
      <c r="B141" s="43">
        <f t="shared" si="58"/>
        <v>48305</v>
      </c>
      <c r="C141" s="79">
        <f t="shared" si="52"/>
        <v>2032</v>
      </c>
      <c r="D141" s="64">
        <f ca="1">wellcount_base  +  SUM('forecast production'!I$7:I142)</f>
        <v>1</v>
      </c>
      <c r="E141" s="110">
        <f ca="1">'forecast production'!AE142</f>
        <v>198.1829902097806</v>
      </c>
      <c r="F141" s="98">
        <f ca="1">'forecast production'!AF142</f>
        <v>1117.5483114152939</v>
      </c>
      <c r="G141" s="98">
        <f ca="1">'forecast production'!AG142</f>
        <v>5.3769618986325804</v>
      </c>
      <c r="H141" s="98">
        <f ca="1">'forecast production'!AH142</f>
        <v>167.63224671229406</v>
      </c>
      <c r="I141" s="307">
        <f ca="1">IF('monthly calculations (1)'!AV140,WI_2_APO, WI_2)</f>
        <v>0</v>
      </c>
      <c r="J141" s="306">
        <f ca="1">IF('monthly calculations (1)'!AV140,NRI_2_APO, NRI_2)</f>
        <v>0.25</v>
      </c>
      <c r="K141" s="112">
        <f t="shared" ca="1" si="41"/>
        <v>49.54574755244515</v>
      </c>
      <c r="L141" s="98">
        <f t="shared" ca="1" si="42"/>
        <v>209.54030839036761</v>
      </c>
      <c r="M141" s="98">
        <f t="shared" ca="1" si="43"/>
        <v>1.3442404746581451</v>
      </c>
      <c r="N141" s="98">
        <f t="shared" ca="1" si="44"/>
        <v>41.908061678073516</v>
      </c>
      <c r="O141" s="67">
        <f>assumptions!M145</f>
        <v>55</v>
      </c>
      <c r="P141" s="68">
        <f>assumptions!N145</f>
        <v>3</v>
      </c>
      <c r="Q141" s="68">
        <f>assumptions!O145</f>
        <v>22</v>
      </c>
      <c r="R141" s="67">
        <f t="shared" si="45"/>
        <v>52.5</v>
      </c>
      <c r="S141" s="68">
        <f t="shared" si="46"/>
        <v>2.3275000000000001</v>
      </c>
      <c r="T141" s="68">
        <f t="shared" si="47"/>
        <v>22</v>
      </c>
      <c r="U141" s="73">
        <f t="shared" ca="1" si="53"/>
        <v>2601.1517465033703</v>
      </c>
      <c r="V141" s="72">
        <f t="shared" ca="1" si="53"/>
        <v>487.70506777858066</v>
      </c>
      <c r="W141" s="72">
        <f t="shared" ca="1" si="48"/>
        <v>921.97735691761739</v>
      </c>
      <c r="X141" s="72">
        <f t="shared" ca="1" si="54"/>
        <v>4010.8341711995681</v>
      </c>
      <c r="Y141" s="73">
        <f>mult_opex * fixed_month</f>
        <v>1000</v>
      </c>
      <c r="Z141" s="72">
        <f ca="1">mult_opex * fixed_well *D141</f>
        <v>5000</v>
      </c>
      <c r="AA141" s="72">
        <f ca="1">(Z141+Y141)*WI_current_2</f>
        <v>0</v>
      </c>
      <c r="AB141" s="72">
        <f ca="1">mult_opex * var_bo*E141</f>
        <v>0</v>
      </c>
      <c r="AC141" s="72">
        <f ca="1">mult_opex * var_mcf*F141</f>
        <v>0</v>
      </c>
      <c r="AD141" s="72">
        <f ca="1">mult_opex * var_bw * G141</f>
        <v>10.753923797265161</v>
      </c>
      <c r="AE141" s="72">
        <f ca="1">SUM(AB141:AD141)*WI_current_2</f>
        <v>0</v>
      </c>
      <c r="AF141" s="73">
        <f ca="1">mult_capex * IFERROR(OFFSET(assumptions!$F$39,MATCH(B141,assumptions!$E$39:$E$45,0)-1,0),0)</f>
        <v>0</v>
      </c>
      <c r="AG141" s="75">
        <f ca="1">mult_capex * capex_new*WI_current_2 *'forecast production'!I142</f>
        <v>0</v>
      </c>
      <c r="AH141" s="146">
        <f t="shared" ca="1" si="55"/>
        <v>0</v>
      </c>
      <c r="AI141" s="73">
        <f t="shared" ca="1" si="49"/>
        <v>225.37916219136986</v>
      </c>
      <c r="AJ141" s="72">
        <f t="shared" ca="1" si="50"/>
        <v>100.27085427998921</v>
      </c>
      <c r="AK141" s="72">
        <f t="shared" ca="1" si="56"/>
        <v>325.65001647135909</v>
      </c>
      <c r="AL141" s="73">
        <f t="shared" ca="1" si="51"/>
        <v>3685.1841547282093</v>
      </c>
      <c r="AM141" s="321">
        <f ca="1">'monthly calculations (1)'!AM141</f>
        <v>1</v>
      </c>
      <c r="AN141" s="73">
        <f t="shared" ca="1" si="57"/>
        <v>3685.1841547282093</v>
      </c>
      <c r="AO141" s="75">
        <f t="shared" ca="1" si="59"/>
        <v>984112.93933327263</v>
      </c>
      <c r="AP141" s="72">
        <f ca="1">AL141  /  ( 1 + disc_1/12)^(COUNT($AL$6:AL141)-1)</f>
        <v>1201.9943295084668</v>
      </c>
      <c r="AQ141" s="72">
        <f t="shared" ca="1" si="60"/>
        <v>675332.89383701677</v>
      </c>
      <c r="AS141" s="303"/>
      <c r="AT141" s="300"/>
      <c r="AU141" s="297"/>
      <c r="AV141" s="303"/>
    </row>
    <row r="142" spans="2:48" x14ac:dyDescent="0.25">
      <c r="B142" s="43">
        <f t="shared" si="58"/>
        <v>48335</v>
      </c>
      <c r="C142" s="79">
        <f t="shared" si="52"/>
        <v>2032</v>
      </c>
      <c r="D142" s="64">
        <f ca="1">wellcount_base  +  SUM('forecast production'!I$7:I143)</f>
        <v>1</v>
      </c>
      <c r="E142" s="110">
        <f ca="1">'forecast production'!AE143</f>
        <v>203.3904105571489</v>
      </c>
      <c r="F142" s="98">
        <f ca="1">'forecast production'!AF143</f>
        <v>1148.7393527347533</v>
      </c>
      <c r="G142" s="98">
        <f ca="1">'forecast production'!AG143</f>
        <v>5.3681990216214768</v>
      </c>
      <c r="H142" s="98">
        <f ca="1">'forecast production'!AH143</f>
        <v>172.31090291021297</v>
      </c>
      <c r="I142" s="307">
        <f ca="1">IF('monthly calculations (1)'!AV141,WI_2_APO, WI_2)</f>
        <v>0</v>
      </c>
      <c r="J142" s="306">
        <f ca="1">IF('monthly calculations (1)'!AV141,NRI_2_APO, NRI_2)</f>
        <v>0.25</v>
      </c>
      <c r="K142" s="112">
        <f t="shared" ca="1" si="41"/>
        <v>50.847602639287224</v>
      </c>
      <c r="L142" s="98">
        <f t="shared" ca="1" si="42"/>
        <v>215.38862863776626</v>
      </c>
      <c r="M142" s="98">
        <f t="shared" ca="1" si="43"/>
        <v>1.3420497554053692</v>
      </c>
      <c r="N142" s="98">
        <f t="shared" ca="1" si="44"/>
        <v>43.077725727553243</v>
      </c>
      <c r="O142" s="67">
        <f>assumptions!M146</f>
        <v>55</v>
      </c>
      <c r="P142" s="68">
        <f>assumptions!N146</f>
        <v>3</v>
      </c>
      <c r="Q142" s="68">
        <f>assumptions!O146</f>
        <v>22</v>
      </c>
      <c r="R142" s="67">
        <f t="shared" si="45"/>
        <v>52.5</v>
      </c>
      <c r="S142" s="68">
        <f t="shared" si="46"/>
        <v>2.3275000000000001</v>
      </c>
      <c r="T142" s="68">
        <f t="shared" si="47"/>
        <v>22</v>
      </c>
      <c r="U142" s="73">
        <f t="shared" ca="1" si="53"/>
        <v>2669.4991385625794</v>
      </c>
      <c r="V142" s="72">
        <f t="shared" ca="1" si="53"/>
        <v>501.31703315440097</v>
      </c>
      <c r="W142" s="72">
        <f t="shared" ca="1" si="48"/>
        <v>947.70996600617138</v>
      </c>
      <c r="X142" s="72">
        <f t="shared" ca="1" si="54"/>
        <v>4118.5261377231518</v>
      </c>
      <c r="Y142" s="73">
        <f>mult_opex * fixed_month</f>
        <v>1000</v>
      </c>
      <c r="Z142" s="72">
        <f ca="1">mult_opex * fixed_well *D142</f>
        <v>5000</v>
      </c>
      <c r="AA142" s="72">
        <f ca="1">(Z142+Y142)*WI_current_2</f>
        <v>0</v>
      </c>
      <c r="AB142" s="72">
        <f ca="1">mult_opex * var_bo*E142</f>
        <v>0</v>
      </c>
      <c r="AC142" s="72">
        <f ca="1">mult_opex * var_mcf*F142</f>
        <v>0</v>
      </c>
      <c r="AD142" s="72">
        <f ca="1">mult_opex * var_bw * G142</f>
        <v>10.736398043242954</v>
      </c>
      <c r="AE142" s="72">
        <f ca="1">SUM(AB142:AD142)*WI_current_2</f>
        <v>0</v>
      </c>
      <c r="AF142" s="73">
        <f ca="1">mult_capex * IFERROR(OFFSET(assumptions!$F$39,MATCH(B142,assumptions!$E$39:$E$45,0)-1,0),0)</f>
        <v>0</v>
      </c>
      <c r="AG142" s="75">
        <f ca="1">mult_capex * capex_new*WI_current_2 *'forecast production'!I143</f>
        <v>0</v>
      </c>
      <c r="AH142" s="146">
        <f t="shared" ca="1" si="55"/>
        <v>0</v>
      </c>
      <c r="AI142" s="73">
        <f t="shared" ca="1" si="49"/>
        <v>231.47398531092159</v>
      </c>
      <c r="AJ142" s="72">
        <f t="shared" ca="1" si="50"/>
        <v>102.9631534430788</v>
      </c>
      <c r="AK142" s="72">
        <f t="shared" ca="1" si="56"/>
        <v>334.43713875400039</v>
      </c>
      <c r="AL142" s="73">
        <f t="shared" ca="1" si="51"/>
        <v>3784.0889989691514</v>
      </c>
      <c r="AM142" s="321">
        <f ca="1">'monthly calculations (1)'!AM142</f>
        <v>1</v>
      </c>
      <c r="AN142" s="73">
        <f t="shared" ca="1" si="57"/>
        <v>3784.0889989691514</v>
      </c>
      <c r="AO142" s="75">
        <f t="shared" ca="1" si="59"/>
        <v>987897.02833224181</v>
      </c>
      <c r="AP142" s="72">
        <f ca="1">AL142  /  ( 1 + disc_1/12)^(COUNT($AL$6:AL142)-1)</f>
        <v>1224.0536170702171</v>
      </c>
      <c r="AQ142" s="72">
        <f t="shared" ca="1" si="60"/>
        <v>676556.94745408697</v>
      </c>
      <c r="AS142" s="303"/>
      <c r="AT142" s="300"/>
      <c r="AU142" s="297"/>
      <c r="AV142" s="303"/>
    </row>
    <row r="143" spans="2:48" x14ac:dyDescent="0.25">
      <c r="B143" s="43">
        <f t="shared" si="58"/>
        <v>48366</v>
      </c>
      <c r="C143" s="79">
        <f t="shared" si="52"/>
        <v>2032</v>
      </c>
      <c r="D143" s="64">
        <f ca="1">wellcount_base  +  SUM('forecast production'!I$7:I144)</f>
        <v>1</v>
      </c>
      <c r="E143" s="110">
        <f ca="1">'forecast production'!AE144</f>
        <v>195.44046149363126</v>
      </c>
      <c r="F143" s="98">
        <f ca="1">'forecast production'!AF144</f>
        <v>1105.6870005198102</v>
      </c>
      <c r="G143" s="98">
        <f ca="1">'forecast production'!AG144</f>
        <v>5.0135319763048507</v>
      </c>
      <c r="H143" s="98">
        <f ca="1">'forecast production'!AH144</f>
        <v>165.85305007797152</v>
      </c>
      <c r="I143" s="307">
        <f ca="1">IF('monthly calculations (1)'!AV142,WI_2_APO, WI_2)</f>
        <v>0</v>
      </c>
      <c r="J143" s="306">
        <f ca="1">IF('monthly calculations (1)'!AV142,NRI_2_APO, NRI_2)</f>
        <v>0.25</v>
      </c>
      <c r="K143" s="112">
        <f t="shared" ca="1" si="41"/>
        <v>48.860115373407815</v>
      </c>
      <c r="L143" s="98">
        <f t="shared" ca="1" si="42"/>
        <v>207.31631259746442</v>
      </c>
      <c r="M143" s="98">
        <f t="shared" ca="1" si="43"/>
        <v>1.2533829940762127</v>
      </c>
      <c r="N143" s="98">
        <f t="shared" ca="1" si="44"/>
        <v>41.463262519492879</v>
      </c>
      <c r="O143" s="67">
        <f>assumptions!M147</f>
        <v>55</v>
      </c>
      <c r="P143" s="68">
        <f>assumptions!N147</f>
        <v>3</v>
      </c>
      <c r="Q143" s="68">
        <f>assumptions!O147</f>
        <v>22</v>
      </c>
      <c r="R143" s="67">
        <f t="shared" si="45"/>
        <v>52.5</v>
      </c>
      <c r="S143" s="68">
        <f t="shared" si="46"/>
        <v>2.3275000000000001</v>
      </c>
      <c r="T143" s="68">
        <f t="shared" si="47"/>
        <v>22</v>
      </c>
      <c r="U143" s="73">
        <f t="shared" ca="1" si="53"/>
        <v>2565.1560571039104</v>
      </c>
      <c r="V143" s="72">
        <f t="shared" ca="1" si="53"/>
        <v>482.52871757059847</v>
      </c>
      <c r="W143" s="72">
        <f t="shared" ca="1" si="48"/>
        <v>912.19177542884336</v>
      </c>
      <c r="X143" s="72">
        <f t="shared" ca="1" si="54"/>
        <v>3959.8765501033522</v>
      </c>
      <c r="Y143" s="73">
        <f>mult_opex * fixed_month</f>
        <v>1000</v>
      </c>
      <c r="Z143" s="72">
        <f ca="1">mult_opex * fixed_well *D143</f>
        <v>5000</v>
      </c>
      <c r="AA143" s="72">
        <f ca="1">(Z143+Y143)*WI_current_2</f>
        <v>0</v>
      </c>
      <c r="AB143" s="72">
        <f ca="1">mult_opex * var_bo*E143</f>
        <v>0</v>
      </c>
      <c r="AC143" s="72">
        <f ca="1">mult_opex * var_mcf*F143</f>
        <v>0</v>
      </c>
      <c r="AD143" s="72">
        <f ca="1">mult_opex * var_bw * G143</f>
        <v>10.027063952609701</v>
      </c>
      <c r="AE143" s="72">
        <f ca="1">SUM(AB143:AD143)*WI_current_2</f>
        <v>0</v>
      </c>
      <c r="AF143" s="73">
        <f ca="1">mult_capex * IFERROR(OFFSET(assumptions!$F$39,MATCH(B143,assumptions!$E$39:$E$45,0)-1,0),0)</f>
        <v>0</v>
      </c>
      <c r="AG143" s="75">
        <f ca="1">mult_capex * capex_new*WI_current_2 *'forecast production'!I144</f>
        <v>0</v>
      </c>
      <c r="AH143" s="146">
        <f t="shared" ca="1" si="55"/>
        <v>0</v>
      </c>
      <c r="AI143" s="73">
        <f t="shared" ca="1" si="49"/>
        <v>222.60121560173798</v>
      </c>
      <c r="AJ143" s="72">
        <f t="shared" ca="1" si="50"/>
        <v>98.996913752583808</v>
      </c>
      <c r="AK143" s="72">
        <f t="shared" ca="1" si="56"/>
        <v>321.59812935432177</v>
      </c>
      <c r="AL143" s="73">
        <f t="shared" ca="1" si="51"/>
        <v>3638.2784207490304</v>
      </c>
      <c r="AM143" s="321">
        <f ca="1">'monthly calculations (1)'!AM143</f>
        <v>1</v>
      </c>
      <c r="AN143" s="73">
        <f t="shared" ca="1" si="57"/>
        <v>3638.2784207490304</v>
      </c>
      <c r="AO143" s="75">
        <f t="shared" ca="1" si="59"/>
        <v>991535.30675299081</v>
      </c>
      <c r="AP143" s="72">
        <f ca="1">AL143  /  ( 1 + disc_1/12)^(COUNT($AL$6:AL143)-1)</f>
        <v>1167.1613716822808</v>
      </c>
      <c r="AQ143" s="72">
        <f t="shared" ca="1" si="60"/>
        <v>677724.10882576928</v>
      </c>
      <c r="AS143" s="303"/>
      <c r="AT143" s="300"/>
      <c r="AU143" s="297"/>
      <c r="AV143" s="303"/>
    </row>
    <row r="144" spans="2:48" x14ac:dyDescent="0.25">
      <c r="B144" s="43">
        <f t="shared" si="58"/>
        <v>48396</v>
      </c>
      <c r="C144" s="79">
        <f t="shared" si="52"/>
        <v>2032</v>
      </c>
      <c r="D144" s="64">
        <f ca="1">wellcount_base  +  SUM('forecast production'!I$7:I145)</f>
        <v>1</v>
      </c>
      <c r="E144" s="110">
        <f ca="1">'forecast production'!AE145</f>
        <v>200.57581965329817</v>
      </c>
      <c r="F144" s="98">
        <f ca="1">'forecast production'!AF145</f>
        <v>1136.6103016036238</v>
      </c>
      <c r="G144" s="98">
        <f ca="1">'forecast production'!AG145</f>
        <v>5.0054216548526735</v>
      </c>
      <c r="H144" s="98">
        <f ca="1">'forecast production'!AH145</f>
        <v>170.49154524054356</v>
      </c>
      <c r="I144" s="307">
        <f ca="1">IF('monthly calculations (1)'!AV143,WI_2_APO, WI_2)</f>
        <v>0</v>
      </c>
      <c r="J144" s="306">
        <f ca="1">IF('monthly calculations (1)'!AV143,NRI_2_APO, NRI_2)</f>
        <v>0.25</v>
      </c>
      <c r="K144" s="112">
        <f t="shared" ca="1" si="41"/>
        <v>50.143954913324542</v>
      </c>
      <c r="L144" s="98">
        <f t="shared" ca="1" si="42"/>
        <v>213.11443155067946</v>
      </c>
      <c r="M144" s="98">
        <f t="shared" ca="1" si="43"/>
        <v>1.2513554137131684</v>
      </c>
      <c r="N144" s="98">
        <f t="shared" ca="1" si="44"/>
        <v>42.62288631013589</v>
      </c>
      <c r="O144" s="67">
        <f>assumptions!M148</f>
        <v>55</v>
      </c>
      <c r="P144" s="68">
        <f>assumptions!N148</f>
        <v>3</v>
      </c>
      <c r="Q144" s="68">
        <f>assumptions!O148</f>
        <v>22</v>
      </c>
      <c r="R144" s="67">
        <f t="shared" si="45"/>
        <v>52.5</v>
      </c>
      <c r="S144" s="68">
        <f t="shared" si="46"/>
        <v>2.3275000000000001</v>
      </c>
      <c r="T144" s="68">
        <f t="shared" si="47"/>
        <v>22</v>
      </c>
      <c r="U144" s="73">
        <f t="shared" ca="1" si="53"/>
        <v>2632.5576329495384</v>
      </c>
      <c r="V144" s="72">
        <f t="shared" ca="1" si="53"/>
        <v>496.02383943420648</v>
      </c>
      <c r="W144" s="72">
        <f t="shared" ca="1" si="48"/>
        <v>937.70349882298956</v>
      </c>
      <c r="X144" s="72">
        <f t="shared" ca="1" si="54"/>
        <v>4066.2849712067346</v>
      </c>
      <c r="Y144" s="73">
        <f>mult_opex * fixed_month</f>
        <v>1000</v>
      </c>
      <c r="Z144" s="72">
        <f ca="1">mult_opex * fixed_well *D144</f>
        <v>5000</v>
      </c>
      <c r="AA144" s="72">
        <f ca="1">(Z144+Y144)*WI_current_2</f>
        <v>0</v>
      </c>
      <c r="AB144" s="72">
        <f ca="1">mult_opex * var_bo*E144</f>
        <v>0</v>
      </c>
      <c r="AC144" s="72">
        <f ca="1">mult_opex * var_mcf*F144</f>
        <v>0</v>
      </c>
      <c r="AD144" s="72">
        <f ca="1">mult_opex * var_bw * G144</f>
        <v>10.010843309705347</v>
      </c>
      <c r="AE144" s="72">
        <f ca="1">SUM(AB144:AD144)*WI_current_2</f>
        <v>0</v>
      </c>
      <c r="AF144" s="73">
        <f ca="1">mult_capex * IFERROR(OFFSET(assumptions!$F$39,MATCH(B144,assumptions!$E$39:$E$45,0)-1,0),0)</f>
        <v>0</v>
      </c>
      <c r="AG144" s="75">
        <f ca="1">mult_capex * capex_new*WI_current_2 *'forecast production'!I145</f>
        <v>0</v>
      </c>
      <c r="AH144" s="146">
        <f t="shared" ca="1" si="55"/>
        <v>0</v>
      </c>
      <c r="AI144" s="73">
        <f t="shared" ca="1" si="49"/>
        <v>228.62720148496845</v>
      </c>
      <c r="AJ144" s="72">
        <f t="shared" ca="1" si="50"/>
        <v>101.65712428016838</v>
      </c>
      <c r="AK144" s="72">
        <f t="shared" ca="1" si="56"/>
        <v>330.28432576513683</v>
      </c>
      <c r="AL144" s="73">
        <f t="shared" ca="1" si="51"/>
        <v>3736.000645441598</v>
      </c>
      <c r="AM144" s="321">
        <f ca="1">'monthly calculations (1)'!AM144</f>
        <v>1</v>
      </c>
      <c r="AN144" s="73">
        <f t="shared" ca="1" si="57"/>
        <v>3736.000645441598</v>
      </c>
      <c r="AO144" s="75">
        <f t="shared" ca="1" si="59"/>
        <v>995271.3073984324</v>
      </c>
      <c r="AP144" s="72">
        <f ca="1">AL144  /  ( 1 + disc_1/12)^(COUNT($AL$6:AL144)-1)</f>
        <v>1188.6056586420855</v>
      </c>
      <c r="AQ144" s="72">
        <f t="shared" ca="1" si="60"/>
        <v>678912.71448441141</v>
      </c>
      <c r="AS144" s="303"/>
      <c r="AT144" s="300"/>
      <c r="AU144" s="297"/>
      <c r="AV144" s="303"/>
    </row>
    <row r="145" spans="2:48" x14ac:dyDescent="0.25">
      <c r="B145" s="43">
        <f t="shared" si="58"/>
        <v>48427</v>
      </c>
      <c r="C145" s="79">
        <f t="shared" si="52"/>
        <v>2032</v>
      </c>
      <c r="D145" s="64">
        <f ca="1">wellcount_base  +  SUM('forecast production'!I$7:I146)</f>
        <v>1</v>
      </c>
      <c r="E145" s="110">
        <f ca="1">'forecast production'!AE146</f>
        <v>199.16041438954142</v>
      </c>
      <c r="F145" s="98">
        <f ca="1">'forecast production'!AF146</f>
        <v>1130.5439908670849</v>
      </c>
      <c r="G145" s="98">
        <f ca="1">'forecast production'!AG146</f>
        <v>4.8306068154982196</v>
      </c>
      <c r="H145" s="98">
        <f ca="1">'forecast production'!AH146</f>
        <v>169.58159863006273</v>
      </c>
      <c r="I145" s="307">
        <f ca="1">IF('monthly calculations (1)'!AV144,WI_2_APO, WI_2)</f>
        <v>0</v>
      </c>
      <c r="J145" s="306">
        <f ca="1">IF('monthly calculations (1)'!AV144,NRI_2_APO, NRI_2)</f>
        <v>0.25</v>
      </c>
      <c r="K145" s="112">
        <f t="shared" ca="1" si="41"/>
        <v>49.790103597385354</v>
      </c>
      <c r="L145" s="98">
        <f t="shared" ca="1" si="42"/>
        <v>211.9769982875784</v>
      </c>
      <c r="M145" s="98">
        <f t="shared" ca="1" si="43"/>
        <v>1.2076517038745549</v>
      </c>
      <c r="N145" s="98">
        <f t="shared" ca="1" si="44"/>
        <v>42.395399657515682</v>
      </c>
      <c r="O145" s="67">
        <f>assumptions!M149</f>
        <v>55</v>
      </c>
      <c r="P145" s="68">
        <f>assumptions!N149</f>
        <v>3</v>
      </c>
      <c r="Q145" s="68">
        <f>assumptions!O149</f>
        <v>22</v>
      </c>
      <c r="R145" s="67">
        <f t="shared" si="45"/>
        <v>52.5</v>
      </c>
      <c r="S145" s="68">
        <f t="shared" si="46"/>
        <v>2.3275000000000001</v>
      </c>
      <c r="T145" s="68">
        <f t="shared" si="47"/>
        <v>22</v>
      </c>
      <c r="U145" s="73">
        <f t="shared" ca="1" si="53"/>
        <v>2613.9804388627313</v>
      </c>
      <c r="V145" s="72">
        <f t="shared" ca="1" si="53"/>
        <v>493.37646351433875</v>
      </c>
      <c r="W145" s="72">
        <f t="shared" ca="1" si="48"/>
        <v>932.69879246534504</v>
      </c>
      <c r="X145" s="72">
        <f t="shared" ca="1" si="54"/>
        <v>4040.0556948424151</v>
      </c>
      <c r="Y145" s="73">
        <f>mult_opex * fixed_month</f>
        <v>1000</v>
      </c>
      <c r="Z145" s="72">
        <f ca="1">mult_opex * fixed_well *D145</f>
        <v>5000</v>
      </c>
      <c r="AA145" s="72">
        <f ca="1">(Z145+Y145)*WI_current_2</f>
        <v>0</v>
      </c>
      <c r="AB145" s="72">
        <f ca="1">mult_opex * var_bo*E145</f>
        <v>0</v>
      </c>
      <c r="AC145" s="72">
        <f ca="1">mult_opex * var_mcf*F145</f>
        <v>0</v>
      </c>
      <c r="AD145" s="72">
        <f ca="1">mult_opex * var_bw * G145</f>
        <v>9.6612136309964392</v>
      </c>
      <c r="AE145" s="72">
        <f ca="1">SUM(AB145:AD145)*WI_current_2</f>
        <v>0</v>
      </c>
      <c r="AF145" s="73">
        <f ca="1">mult_capex * IFERROR(OFFSET(assumptions!$F$39,MATCH(B145,assumptions!$E$39:$E$45,0)-1,0),0)</f>
        <v>0</v>
      </c>
      <c r="AG145" s="75">
        <f ca="1">mult_capex * capex_new*WI_current_2 *'forecast production'!I146</f>
        <v>0</v>
      </c>
      <c r="AH145" s="146">
        <f t="shared" ca="1" si="55"/>
        <v>0</v>
      </c>
      <c r="AI145" s="73">
        <f t="shared" ca="1" si="49"/>
        <v>227.19874438616193</v>
      </c>
      <c r="AJ145" s="72">
        <f t="shared" ca="1" si="50"/>
        <v>101.00139237106038</v>
      </c>
      <c r="AK145" s="72">
        <f t="shared" ca="1" si="56"/>
        <v>328.20013675722231</v>
      </c>
      <c r="AL145" s="73">
        <f t="shared" ca="1" si="51"/>
        <v>3711.8555580851926</v>
      </c>
      <c r="AM145" s="321">
        <f ca="1">'monthly calculations (1)'!AM145</f>
        <v>1</v>
      </c>
      <c r="AN145" s="73">
        <f t="shared" ca="1" si="57"/>
        <v>3711.8555580851926</v>
      </c>
      <c r="AO145" s="75">
        <f t="shared" ca="1" si="59"/>
        <v>998983.16295651754</v>
      </c>
      <c r="AP145" s="72">
        <f ca="1">AL145  /  ( 1 + disc_1/12)^(COUNT($AL$6:AL145)-1)</f>
        <v>1171.1642163408203</v>
      </c>
      <c r="AQ145" s="72">
        <f t="shared" ca="1" si="60"/>
        <v>680083.87870075228</v>
      </c>
      <c r="AS145" s="303"/>
      <c r="AT145" s="300"/>
      <c r="AU145" s="297"/>
      <c r="AV145" s="303"/>
    </row>
    <row r="146" spans="2:48" x14ac:dyDescent="0.25">
      <c r="B146" s="43">
        <f t="shared" si="58"/>
        <v>48458</v>
      </c>
      <c r="C146" s="79">
        <f t="shared" si="52"/>
        <v>2032</v>
      </c>
      <c r="D146" s="64">
        <f ca="1">wellcount_base  +  SUM('forecast production'!I$7:I147)</f>
        <v>1</v>
      </c>
      <c r="E146" s="110">
        <f ca="1">'forecast production'!AE147</f>
        <v>191.37580377034487</v>
      </c>
      <c r="F146" s="98">
        <f ca="1">'forecast production'!AF147</f>
        <v>1088.2665392182248</v>
      </c>
      <c r="G146" s="98">
        <f ca="1">'forecast production'!AG147</f>
        <v>4.5115421169413832</v>
      </c>
      <c r="H146" s="98">
        <f ca="1">'forecast production'!AH147</f>
        <v>163.2399808827337</v>
      </c>
      <c r="I146" s="307">
        <f ca="1">IF('monthly calculations (1)'!AV145,WI_2_APO, WI_2)</f>
        <v>0</v>
      </c>
      <c r="J146" s="306">
        <f ca="1">IF('monthly calculations (1)'!AV145,NRI_2_APO, NRI_2)</f>
        <v>0.25</v>
      </c>
      <c r="K146" s="112">
        <f t="shared" ca="1" si="41"/>
        <v>47.843950942586218</v>
      </c>
      <c r="L146" s="98">
        <f t="shared" ca="1" si="42"/>
        <v>204.04997610341715</v>
      </c>
      <c r="M146" s="98">
        <f t="shared" ca="1" si="43"/>
        <v>1.1278855292353458</v>
      </c>
      <c r="N146" s="98">
        <f t="shared" ca="1" si="44"/>
        <v>40.809995220683426</v>
      </c>
      <c r="O146" s="67">
        <f>assumptions!M150</f>
        <v>55</v>
      </c>
      <c r="P146" s="68">
        <f>assumptions!N150</f>
        <v>3</v>
      </c>
      <c r="Q146" s="68">
        <f>assumptions!O150</f>
        <v>22</v>
      </c>
      <c r="R146" s="67">
        <f t="shared" si="45"/>
        <v>52.5</v>
      </c>
      <c r="S146" s="68">
        <f t="shared" si="46"/>
        <v>2.3275000000000001</v>
      </c>
      <c r="T146" s="68">
        <f t="shared" si="47"/>
        <v>22</v>
      </c>
      <c r="U146" s="73">
        <f t="shared" ca="1" si="53"/>
        <v>2511.8074244857767</v>
      </c>
      <c r="V146" s="72">
        <f t="shared" ca="1" si="53"/>
        <v>474.92631938070343</v>
      </c>
      <c r="W146" s="72">
        <f t="shared" ca="1" si="48"/>
        <v>897.81989485503539</v>
      </c>
      <c r="X146" s="72">
        <f t="shared" ca="1" si="54"/>
        <v>3884.5536387215152</v>
      </c>
      <c r="Y146" s="73">
        <f>mult_opex * fixed_month</f>
        <v>1000</v>
      </c>
      <c r="Z146" s="72">
        <f ca="1">mult_opex * fixed_well *D146</f>
        <v>5000</v>
      </c>
      <c r="AA146" s="72">
        <f ca="1">(Z146+Y146)*WI_current_2</f>
        <v>0</v>
      </c>
      <c r="AB146" s="72">
        <f ca="1">mult_opex * var_bo*E146</f>
        <v>0</v>
      </c>
      <c r="AC146" s="72">
        <f ca="1">mult_opex * var_mcf*F146</f>
        <v>0</v>
      </c>
      <c r="AD146" s="72">
        <f ca="1">mult_opex * var_bw * G146</f>
        <v>9.0230842338827664</v>
      </c>
      <c r="AE146" s="72">
        <f ca="1">SUM(AB146:AD146)*WI_current_2</f>
        <v>0</v>
      </c>
      <c r="AF146" s="73">
        <f ca="1">mult_capex * IFERROR(OFFSET(assumptions!$F$39,MATCH(B146,assumptions!$E$39:$E$45,0)-1,0),0)</f>
        <v>0</v>
      </c>
      <c r="AG146" s="75">
        <f ca="1">mult_capex * capex_new*WI_current_2 *'forecast production'!I147</f>
        <v>0</v>
      </c>
      <c r="AH146" s="146">
        <f t="shared" ca="1" si="55"/>
        <v>0</v>
      </c>
      <c r="AI146" s="73">
        <f t="shared" ca="1" si="49"/>
        <v>218.49910759402613</v>
      </c>
      <c r="AJ146" s="72">
        <f t="shared" ca="1" si="50"/>
        <v>97.113840968037891</v>
      </c>
      <c r="AK146" s="72">
        <f t="shared" ca="1" si="56"/>
        <v>315.61294856206405</v>
      </c>
      <c r="AL146" s="73">
        <f t="shared" ca="1" si="51"/>
        <v>3568.9406901594512</v>
      </c>
      <c r="AM146" s="321">
        <f ca="1">'monthly calculations (1)'!AM146</f>
        <v>1</v>
      </c>
      <c r="AN146" s="73">
        <f t="shared" ca="1" si="57"/>
        <v>3568.9406901594512</v>
      </c>
      <c r="AO146" s="75">
        <f t="shared" ca="1" si="59"/>
        <v>1002552.103646677</v>
      </c>
      <c r="AP146" s="72">
        <f ca="1">AL146  /  ( 1 + disc_1/12)^(COUNT($AL$6:AL146)-1)</f>
        <v>1116.7653565425521</v>
      </c>
      <c r="AQ146" s="72">
        <f t="shared" ca="1" si="60"/>
        <v>681200.64405729482</v>
      </c>
      <c r="AS146" s="303"/>
      <c r="AT146" s="300"/>
      <c r="AU146" s="297"/>
      <c r="AV146" s="303"/>
    </row>
    <row r="147" spans="2:48" x14ac:dyDescent="0.25">
      <c r="B147" s="43">
        <f t="shared" si="58"/>
        <v>48488</v>
      </c>
      <c r="C147" s="79">
        <f t="shared" si="52"/>
        <v>2032</v>
      </c>
      <c r="D147" s="64">
        <f ca="1">wellcount_base  +  SUM('forecast production'!I$7:I148)</f>
        <v>1</v>
      </c>
      <c r="E147" s="110">
        <f ca="1">'forecast production'!AE148</f>
        <v>196.40435972003945</v>
      </c>
      <c r="F147" s="98">
        <f ca="1">'forecast production'!AF148</f>
        <v>1118.7941658548746</v>
      </c>
      <c r="G147" s="98">
        <f ca="1">'forecast production'!AG148</f>
        <v>4.5043255859295241</v>
      </c>
      <c r="H147" s="98">
        <f ca="1">'forecast production'!AH148</f>
        <v>167.81912487823121</v>
      </c>
      <c r="I147" s="307">
        <f ca="1">IF('monthly calculations (1)'!AV146,WI_2_APO, WI_2)</f>
        <v>0</v>
      </c>
      <c r="J147" s="306">
        <f ca="1">IF('monthly calculations (1)'!AV146,NRI_2_APO, NRI_2)</f>
        <v>0.25</v>
      </c>
      <c r="K147" s="112">
        <f t="shared" ca="1" si="41"/>
        <v>49.101089930009863</v>
      </c>
      <c r="L147" s="98">
        <f t="shared" ca="1" si="42"/>
        <v>209.77390609778899</v>
      </c>
      <c r="M147" s="98">
        <f t="shared" ca="1" si="43"/>
        <v>1.126081396482381</v>
      </c>
      <c r="N147" s="98">
        <f t="shared" ca="1" si="44"/>
        <v>41.954781219557802</v>
      </c>
      <c r="O147" s="67">
        <f>assumptions!M151</f>
        <v>55</v>
      </c>
      <c r="P147" s="68">
        <f>assumptions!N151</f>
        <v>3</v>
      </c>
      <c r="Q147" s="68">
        <f>assumptions!O151</f>
        <v>22</v>
      </c>
      <c r="R147" s="67">
        <f t="shared" si="45"/>
        <v>52.5</v>
      </c>
      <c r="S147" s="68">
        <f t="shared" si="46"/>
        <v>2.3275000000000001</v>
      </c>
      <c r="T147" s="68">
        <f t="shared" si="47"/>
        <v>22</v>
      </c>
      <c r="U147" s="73">
        <f t="shared" ca="1" si="53"/>
        <v>2577.8072213255177</v>
      </c>
      <c r="V147" s="72">
        <f t="shared" ca="1" si="53"/>
        <v>488.24876644260394</v>
      </c>
      <c r="W147" s="72">
        <f t="shared" ca="1" si="48"/>
        <v>923.00518683027167</v>
      </c>
      <c r="X147" s="72">
        <f t="shared" ca="1" si="54"/>
        <v>3989.0611745983933</v>
      </c>
      <c r="Y147" s="73">
        <f>mult_opex * fixed_month</f>
        <v>1000</v>
      </c>
      <c r="Z147" s="72">
        <f ca="1">mult_opex * fixed_well *D147</f>
        <v>5000</v>
      </c>
      <c r="AA147" s="72">
        <f ca="1">(Z147+Y147)*WI_current_2</f>
        <v>0</v>
      </c>
      <c r="AB147" s="72">
        <f ca="1">mult_opex * var_bo*E147</f>
        <v>0</v>
      </c>
      <c r="AC147" s="72">
        <f ca="1">mult_opex * var_mcf*F147</f>
        <v>0</v>
      </c>
      <c r="AD147" s="72">
        <f ca="1">mult_opex * var_bw * G147</f>
        <v>9.0086511718590483</v>
      </c>
      <c r="AE147" s="72">
        <f ca="1">SUM(AB147:AD147)*WI_current_2</f>
        <v>0</v>
      </c>
      <c r="AF147" s="73">
        <f ca="1">mult_capex * IFERROR(OFFSET(assumptions!$F$39,MATCH(B147,assumptions!$E$39:$E$45,0)-1,0),0)</f>
        <v>0</v>
      </c>
      <c r="AG147" s="75">
        <f ca="1">mult_capex * capex_new*WI_current_2 *'forecast production'!I148</f>
        <v>0</v>
      </c>
      <c r="AH147" s="146">
        <f t="shared" ca="1" si="55"/>
        <v>0</v>
      </c>
      <c r="AI147" s="73">
        <f t="shared" ca="1" si="49"/>
        <v>224.42317867643948</v>
      </c>
      <c r="AJ147" s="72">
        <f t="shared" ca="1" si="50"/>
        <v>99.726529364959845</v>
      </c>
      <c r="AK147" s="72">
        <f t="shared" ca="1" si="56"/>
        <v>324.14970804139932</v>
      </c>
      <c r="AL147" s="73">
        <f t="shared" ca="1" si="51"/>
        <v>3664.9114665569941</v>
      </c>
      <c r="AM147" s="321">
        <f ca="1">'monthly calculations (1)'!AM147</f>
        <v>1</v>
      </c>
      <c r="AN147" s="73">
        <f t="shared" ca="1" si="57"/>
        <v>3664.9114665569941</v>
      </c>
      <c r="AO147" s="75">
        <f t="shared" ca="1" si="59"/>
        <v>1006217.0151132339</v>
      </c>
      <c r="AP147" s="72">
        <f ca="1">AL147  /  ( 1 + disc_1/12)^(COUNT($AL$6:AL147)-1)</f>
        <v>1137.318139513181</v>
      </c>
      <c r="AQ147" s="72">
        <f t="shared" ca="1" si="60"/>
        <v>682337.96219680796</v>
      </c>
      <c r="AS147" s="303"/>
      <c r="AT147" s="300"/>
      <c r="AU147" s="297"/>
      <c r="AV147" s="303"/>
    </row>
    <row r="148" spans="2:48" x14ac:dyDescent="0.25">
      <c r="B148" s="43">
        <f t="shared" si="58"/>
        <v>48519</v>
      </c>
      <c r="C148" s="79">
        <f t="shared" si="52"/>
        <v>2032</v>
      </c>
      <c r="D148" s="64">
        <f ca="1">wellcount_base  +  SUM('forecast production'!I$7:I149)</f>
        <v>1</v>
      </c>
      <c r="E148" s="110">
        <f ca="1">'forecast production'!AE149</f>
        <v>188.72747539029183</v>
      </c>
      <c r="F148" s="98">
        <f ca="1">'forecast production'!AF149</f>
        <v>1077.0155315312763</v>
      </c>
      <c r="G148" s="98">
        <f ca="1">'forecast production'!AG149</f>
        <v>4.2068642436638317</v>
      </c>
      <c r="H148" s="98">
        <f ca="1">'forecast production'!AH149</f>
        <v>161.55232972969145</v>
      </c>
      <c r="I148" s="307">
        <f ca="1">IF('monthly calculations (1)'!AV147,WI_2_APO, WI_2)</f>
        <v>0</v>
      </c>
      <c r="J148" s="306">
        <f ca="1">IF('monthly calculations (1)'!AV147,NRI_2_APO, NRI_2)</f>
        <v>0.25</v>
      </c>
      <c r="K148" s="112">
        <f t="shared" ca="1" si="41"/>
        <v>47.181868847572957</v>
      </c>
      <c r="L148" s="98">
        <f t="shared" ca="1" si="42"/>
        <v>201.94041216211431</v>
      </c>
      <c r="M148" s="98">
        <f t="shared" ca="1" si="43"/>
        <v>1.0517160609159579</v>
      </c>
      <c r="N148" s="98">
        <f t="shared" ca="1" si="44"/>
        <v>40.388082432422863</v>
      </c>
      <c r="O148" s="67">
        <f>assumptions!M152</f>
        <v>55</v>
      </c>
      <c r="P148" s="68">
        <f>assumptions!N152</f>
        <v>3</v>
      </c>
      <c r="Q148" s="68">
        <f>assumptions!O152</f>
        <v>22</v>
      </c>
      <c r="R148" s="67">
        <f t="shared" si="45"/>
        <v>52.5</v>
      </c>
      <c r="S148" s="68">
        <f t="shared" si="46"/>
        <v>2.3275000000000001</v>
      </c>
      <c r="T148" s="68">
        <f t="shared" si="47"/>
        <v>22</v>
      </c>
      <c r="U148" s="73">
        <f t="shared" ca="1" si="53"/>
        <v>2477.0481144975802</v>
      </c>
      <c r="V148" s="72">
        <f t="shared" ca="1" si="53"/>
        <v>470.01630930732108</v>
      </c>
      <c r="W148" s="72">
        <f t="shared" ca="1" si="48"/>
        <v>888.53781351330304</v>
      </c>
      <c r="X148" s="72">
        <f t="shared" ca="1" si="54"/>
        <v>3835.6022373182041</v>
      </c>
      <c r="Y148" s="73">
        <f>mult_opex * fixed_month</f>
        <v>1000</v>
      </c>
      <c r="Z148" s="72">
        <f ca="1">mult_opex * fixed_well *D148</f>
        <v>5000</v>
      </c>
      <c r="AA148" s="72">
        <f ca="1">(Z148+Y148)*WI_current_2</f>
        <v>0</v>
      </c>
      <c r="AB148" s="72">
        <f ca="1">mult_opex * var_bo*E148</f>
        <v>0</v>
      </c>
      <c r="AC148" s="72">
        <f ca="1">mult_opex * var_mcf*F148</f>
        <v>0</v>
      </c>
      <c r="AD148" s="72">
        <f ca="1">mult_opex * var_bw * G148</f>
        <v>8.4137284873276634</v>
      </c>
      <c r="AE148" s="72">
        <f ca="1">SUM(AB148:AD148)*WI_current_2</f>
        <v>0</v>
      </c>
      <c r="AF148" s="73">
        <f ca="1">mult_capex * IFERROR(OFFSET(assumptions!$F$39,MATCH(B148,assumptions!$E$39:$E$45,0)-1,0),0)</f>
        <v>0</v>
      </c>
      <c r="AG148" s="75">
        <f ca="1">mult_capex * capex_new*WI_current_2 *'forecast production'!I149</f>
        <v>0</v>
      </c>
      <c r="AH148" s="146">
        <f t="shared" ca="1" si="55"/>
        <v>0</v>
      </c>
      <c r="AI148" s="73">
        <f t="shared" ca="1" si="49"/>
        <v>215.8357724784355</v>
      </c>
      <c r="AJ148" s="72">
        <f t="shared" ca="1" si="50"/>
        <v>95.890055932955107</v>
      </c>
      <c r="AK148" s="72">
        <f t="shared" ca="1" si="56"/>
        <v>311.72582841139058</v>
      </c>
      <c r="AL148" s="73">
        <f t="shared" ca="1" si="51"/>
        <v>3523.8764089068136</v>
      </c>
      <c r="AM148" s="321">
        <f ca="1">'monthly calculations (1)'!AM148</f>
        <v>1</v>
      </c>
      <c r="AN148" s="73">
        <f t="shared" ca="1" si="57"/>
        <v>3523.8764089068136</v>
      </c>
      <c r="AO148" s="75">
        <f t="shared" ca="1" si="59"/>
        <v>1009740.8915221407</v>
      </c>
      <c r="AP148" s="72">
        <f ca="1">AL148  /  ( 1 + disc_1/12)^(COUNT($AL$6:AL148)-1)</f>
        <v>1084.5136487733625</v>
      </c>
      <c r="AQ148" s="72">
        <f t="shared" ca="1" si="60"/>
        <v>683422.47584558127</v>
      </c>
      <c r="AS148" s="303"/>
      <c r="AT148" s="300"/>
      <c r="AU148" s="297"/>
      <c r="AV148" s="303"/>
    </row>
    <row r="149" spans="2:48" x14ac:dyDescent="0.25">
      <c r="B149" s="44">
        <f t="shared" si="58"/>
        <v>48549</v>
      </c>
      <c r="C149" s="100">
        <f t="shared" si="52"/>
        <v>2032</v>
      </c>
      <c r="D149" s="65">
        <f ca="1">wellcount_base  +  SUM('forecast production'!I$7:I150)</f>
        <v>1</v>
      </c>
      <c r="E149" s="109">
        <f ca="1">'forecast production'!AE150</f>
        <v>193.68644434325068</v>
      </c>
      <c r="F149" s="101">
        <f ca="1">'forecast production'!AF150</f>
        <v>1107.9201489484594</v>
      </c>
      <c r="G149" s="101">
        <f ca="1">'forecast production'!AG150</f>
        <v>4.2001855528349079</v>
      </c>
      <c r="H149" s="102">
        <f ca="1">'forecast production'!AH150</f>
        <v>166.18802234226894</v>
      </c>
      <c r="I149" s="308">
        <f ca="1">IF('monthly calculations (1)'!AV148,WI_2_APO, WI_2)</f>
        <v>0</v>
      </c>
      <c r="J149" s="309">
        <f ca="1">IF('monthly calculations (1)'!AV148,NRI_2_APO, NRI_2)</f>
        <v>0.25</v>
      </c>
      <c r="K149" s="113">
        <f t="shared" ca="1" si="41"/>
        <v>48.421611085812671</v>
      </c>
      <c r="L149" s="102">
        <f t="shared" ca="1" si="42"/>
        <v>207.73502792783614</v>
      </c>
      <c r="M149" s="102">
        <f t="shared" ca="1" si="43"/>
        <v>1.050046388208727</v>
      </c>
      <c r="N149" s="102">
        <f t="shared" ca="1" si="44"/>
        <v>41.547005585567234</v>
      </c>
      <c r="O149" s="103">
        <f>assumptions!M153</f>
        <v>55</v>
      </c>
      <c r="P149" s="104">
        <f>assumptions!N153</f>
        <v>3</v>
      </c>
      <c r="Q149" s="104">
        <f>assumptions!O153</f>
        <v>22</v>
      </c>
      <c r="R149" s="103">
        <f t="shared" si="45"/>
        <v>52.5</v>
      </c>
      <c r="S149" s="104">
        <f t="shared" si="46"/>
        <v>2.3275000000000001</v>
      </c>
      <c r="T149" s="104">
        <f t="shared" si="47"/>
        <v>22</v>
      </c>
      <c r="U149" s="105">
        <f t="shared" ca="1" si="53"/>
        <v>2542.1345820051652</v>
      </c>
      <c r="V149" s="106">
        <f t="shared" ca="1" si="53"/>
        <v>483.50327750203866</v>
      </c>
      <c r="W149" s="106">
        <f t="shared" ca="1" si="48"/>
        <v>914.0341228824791</v>
      </c>
      <c r="X149" s="106">
        <f t="shared" ca="1" si="54"/>
        <v>3939.6719823896829</v>
      </c>
      <c r="Y149" s="105">
        <f>mult_opex * fixed_month</f>
        <v>1000</v>
      </c>
      <c r="Z149" s="106">
        <f ca="1">mult_opex * fixed_well *D149</f>
        <v>5000</v>
      </c>
      <c r="AA149" s="106">
        <f ca="1">(Z149+Y149)*WI_current_2</f>
        <v>0</v>
      </c>
      <c r="AB149" s="106">
        <f ca="1">mult_opex * var_bo*E149</f>
        <v>0</v>
      </c>
      <c r="AC149" s="106">
        <f ca="1">mult_opex * var_mcf*F149</f>
        <v>0</v>
      </c>
      <c r="AD149" s="106">
        <f ca="1">mult_opex * var_bw * G149</f>
        <v>8.4003711056698158</v>
      </c>
      <c r="AE149" s="106">
        <f ca="1">SUM(AB149:AD149)*WI_current_2</f>
        <v>0</v>
      </c>
      <c r="AF149" s="105">
        <f ca="1">mult_capex * IFERROR(OFFSET(assumptions!$F$39,MATCH(B149,assumptions!$E$39:$E$45,0)-1,0),0)</f>
        <v>0</v>
      </c>
      <c r="AG149" s="106">
        <f ca="1">mult_capex * capex_new*WI_current_2 *'forecast production'!I150</f>
        <v>0</v>
      </c>
      <c r="AH149" s="147">
        <f t="shared" ca="1" si="55"/>
        <v>0</v>
      </c>
      <c r="AI149" s="105">
        <f t="shared" ca="1" si="49"/>
        <v>221.75349580107641</v>
      </c>
      <c r="AJ149" s="106">
        <f t="shared" ca="1" si="50"/>
        <v>98.491799559742077</v>
      </c>
      <c r="AK149" s="106">
        <f t="shared" ca="1" si="56"/>
        <v>320.24529536081849</v>
      </c>
      <c r="AL149" s="105">
        <f t="shared" ca="1" si="51"/>
        <v>3619.4266870288643</v>
      </c>
      <c r="AM149" s="322">
        <f ca="1">'monthly calculations (1)'!AM149</f>
        <v>1</v>
      </c>
      <c r="AN149" s="105">
        <f t="shared" ca="1" si="57"/>
        <v>3619.4266870288643</v>
      </c>
      <c r="AO149" s="106">
        <f t="shared" ca="1" si="59"/>
        <v>1013360.3182091695</v>
      </c>
      <c r="AP149" s="106">
        <f ca="1">AL149  /  ( 1 + disc_1/12)^(COUNT($AL$6:AL149)-1)</f>
        <v>1104.7143967086063</v>
      </c>
      <c r="AQ149" s="106">
        <f t="shared" ca="1" si="60"/>
        <v>684527.19024228991</v>
      </c>
      <c r="AS149" s="304"/>
      <c r="AT149" s="301"/>
      <c r="AU149" s="298"/>
      <c r="AV149" s="304"/>
    </row>
    <row r="150" spans="2:48" x14ac:dyDescent="0.25">
      <c r="B150" s="43">
        <f t="shared" si="58"/>
        <v>48580</v>
      </c>
      <c r="C150" s="79">
        <f t="shared" si="52"/>
        <v>2033</v>
      </c>
      <c r="D150" s="64">
        <f ca="1">wellcount_base  +  SUM('forecast production'!I$7:I151)</f>
        <v>1</v>
      </c>
      <c r="E150" s="110">
        <f ca="1">'forecast production'!AE151</f>
        <v>192.31965539872272</v>
      </c>
      <c r="F150" s="98">
        <f ca="1">'forecast production'!AF151</f>
        <v>1102.1131106617804</v>
      </c>
      <c r="G150" s="98">
        <f ca="1">'forecast production'!AG151</f>
        <v>4.0536199687696914</v>
      </c>
      <c r="H150" s="98">
        <f ca="1">'forecast production'!AH151</f>
        <v>165.31696659926706</v>
      </c>
      <c r="I150" s="307">
        <f ca="1">IF('monthly calculations (1)'!AV149,WI_2_APO, WI_2)</f>
        <v>0</v>
      </c>
      <c r="J150" s="306">
        <f ca="1">IF('monthly calculations (1)'!AV149,NRI_2_APO, NRI_2)</f>
        <v>0.25</v>
      </c>
      <c r="K150" s="112">
        <f t="shared" ca="1" si="41"/>
        <v>48.079913849680679</v>
      </c>
      <c r="L150" s="98">
        <f t="shared" ca="1" si="42"/>
        <v>206.64620824908383</v>
      </c>
      <c r="M150" s="98">
        <f t="shared" ca="1" si="43"/>
        <v>1.0134049921924229</v>
      </c>
      <c r="N150" s="98">
        <f t="shared" ca="1" si="44"/>
        <v>41.329241649816765</v>
      </c>
      <c r="O150" s="67">
        <f>assumptions!M154</f>
        <v>55</v>
      </c>
      <c r="P150" s="68">
        <f>assumptions!N154</f>
        <v>3</v>
      </c>
      <c r="Q150" s="68">
        <f>assumptions!O154</f>
        <v>22</v>
      </c>
      <c r="R150" s="67">
        <f t="shared" si="45"/>
        <v>52.5</v>
      </c>
      <c r="S150" s="68">
        <f t="shared" si="46"/>
        <v>2.3275000000000001</v>
      </c>
      <c r="T150" s="68">
        <f t="shared" si="47"/>
        <v>22</v>
      </c>
      <c r="U150" s="73">
        <f t="shared" ca="1" si="53"/>
        <v>2524.1954771082355</v>
      </c>
      <c r="V150" s="72">
        <f t="shared" ca="1" si="53"/>
        <v>480.96904969974264</v>
      </c>
      <c r="W150" s="72">
        <f t="shared" ca="1" si="48"/>
        <v>909.24331629596884</v>
      </c>
      <c r="X150" s="72">
        <f t="shared" ca="1" si="54"/>
        <v>3914.407843103947</v>
      </c>
      <c r="Y150" s="73">
        <f>mult_opex * fixed_month</f>
        <v>1000</v>
      </c>
      <c r="Z150" s="72">
        <f ca="1">mult_opex * fixed_well *D150</f>
        <v>5000</v>
      </c>
      <c r="AA150" s="72">
        <f ca="1">(Z150+Y150)*WI_current_2</f>
        <v>0</v>
      </c>
      <c r="AB150" s="72">
        <f ca="1">mult_opex * var_bo*E150</f>
        <v>0</v>
      </c>
      <c r="AC150" s="72">
        <f ca="1">mult_opex * var_mcf*F150</f>
        <v>0</v>
      </c>
      <c r="AD150" s="72">
        <f ca="1">mult_opex * var_bw * G150</f>
        <v>8.1072399375393829</v>
      </c>
      <c r="AE150" s="72">
        <f ca="1">SUM(AB150:AD150)*WI_current_2</f>
        <v>0</v>
      </c>
      <c r="AF150" s="73">
        <f ca="1">mult_capex * IFERROR(OFFSET(assumptions!$F$39,MATCH(B150,assumptions!$E$39:$E$45,0)-1,0),0)</f>
        <v>0</v>
      </c>
      <c r="AG150" s="75">
        <f ca="1">mult_capex * capex_new*WI_current_2 *'forecast production'!I151</f>
        <v>0</v>
      </c>
      <c r="AH150" s="146">
        <f t="shared" ca="1" si="55"/>
        <v>0</v>
      </c>
      <c r="AI150" s="73">
        <f t="shared" ca="1" si="49"/>
        <v>220.37891939665721</v>
      </c>
      <c r="AJ150" s="72">
        <f t="shared" ca="1" si="50"/>
        <v>97.860196077598687</v>
      </c>
      <c r="AK150" s="72">
        <f t="shared" ca="1" si="56"/>
        <v>318.23911547425587</v>
      </c>
      <c r="AL150" s="73">
        <f t="shared" ca="1" si="51"/>
        <v>3596.1687276296911</v>
      </c>
      <c r="AM150" s="321">
        <f ca="1">'monthly calculations (1)'!AM150</f>
        <v>1</v>
      </c>
      <c r="AN150" s="73">
        <f t="shared" ca="1" si="57"/>
        <v>3596.1687276296911</v>
      </c>
      <c r="AO150" s="75">
        <f t="shared" ca="1" si="59"/>
        <v>1016956.4869367993</v>
      </c>
      <c r="AP150" s="72">
        <f ca="1">AL150  /  ( 1 + disc_1/12)^(COUNT($AL$6:AL150)-1)</f>
        <v>1088.5444437314598</v>
      </c>
      <c r="AQ150" s="72">
        <f t="shared" ca="1" si="60"/>
        <v>685615.73468602134</v>
      </c>
      <c r="AS150" s="303"/>
      <c r="AT150" s="300"/>
      <c r="AU150" s="297"/>
      <c r="AV150" s="303"/>
    </row>
    <row r="151" spans="2:48" x14ac:dyDescent="0.25">
      <c r="B151" s="43">
        <f t="shared" si="58"/>
        <v>48611</v>
      </c>
      <c r="C151" s="79">
        <f t="shared" si="52"/>
        <v>2033</v>
      </c>
      <c r="D151" s="64">
        <f ca="1">wellcount_base  +  SUM('forecast production'!I$7:I152)</f>
        <v>1</v>
      </c>
      <c r="E151" s="110">
        <f ca="1">'forecast production'!AE152</f>
        <v>172.48226843944786</v>
      </c>
      <c r="F151" s="98">
        <f ca="1">'forecast production'!AF152</f>
        <v>990.23942776404715</v>
      </c>
      <c r="G151" s="98">
        <f ca="1">'forecast production'!AG152</f>
        <v>3.5335940995734276</v>
      </c>
      <c r="H151" s="98">
        <f ca="1">'forecast production'!AH152</f>
        <v>148.53591416460708</v>
      </c>
      <c r="I151" s="307">
        <f ca="1">IF('monthly calculations (1)'!AV150,WI_2_APO, WI_2)</f>
        <v>0</v>
      </c>
      <c r="J151" s="306">
        <f ca="1">IF('monthly calculations (1)'!AV150,NRI_2_APO, NRI_2)</f>
        <v>0.25</v>
      </c>
      <c r="K151" s="112">
        <f t="shared" ca="1" si="41"/>
        <v>43.120567109861966</v>
      </c>
      <c r="L151" s="98">
        <f t="shared" ca="1" si="42"/>
        <v>185.66989270575885</v>
      </c>
      <c r="M151" s="98">
        <f t="shared" ca="1" si="43"/>
        <v>0.88339852489335691</v>
      </c>
      <c r="N151" s="98">
        <f t="shared" ca="1" si="44"/>
        <v>37.13397854115177</v>
      </c>
      <c r="O151" s="67">
        <f>assumptions!M155</f>
        <v>55</v>
      </c>
      <c r="P151" s="68">
        <f>assumptions!N155</f>
        <v>3</v>
      </c>
      <c r="Q151" s="68">
        <f>assumptions!O155</f>
        <v>22</v>
      </c>
      <c r="R151" s="67">
        <f t="shared" si="45"/>
        <v>52.5</v>
      </c>
      <c r="S151" s="68">
        <f t="shared" si="46"/>
        <v>2.3275000000000001</v>
      </c>
      <c r="T151" s="68">
        <f t="shared" si="47"/>
        <v>22</v>
      </c>
      <c r="U151" s="73">
        <f t="shared" ca="1" si="53"/>
        <v>2263.8297732677534</v>
      </c>
      <c r="V151" s="72">
        <f t="shared" ca="1" si="53"/>
        <v>432.14667527265374</v>
      </c>
      <c r="W151" s="72">
        <f t="shared" ca="1" si="48"/>
        <v>816.94752790533892</v>
      </c>
      <c r="X151" s="72">
        <f t="shared" ca="1" si="54"/>
        <v>3512.9239764457461</v>
      </c>
      <c r="Y151" s="73">
        <f>mult_opex * fixed_month</f>
        <v>1000</v>
      </c>
      <c r="Z151" s="72">
        <f ca="1">mult_opex * fixed_well *D151</f>
        <v>5000</v>
      </c>
      <c r="AA151" s="72">
        <f ca="1">(Z151+Y151)*WI_current_2</f>
        <v>0</v>
      </c>
      <c r="AB151" s="72">
        <f ca="1">mult_opex * var_bo*E151</f>
        <v>0</v>
      </c>
      <c r="AC151" s="72">
        <f ca="1">mult_opex * var_mcf*F151</f>
        <v>0</v>
      </c>
      <c r="AD151" s="72">
        <f ca="1">mult_opex * var_bw * G151</f>
        <v>7.0671881991468553</v>
      </c>
      <c r="AE151" s="72">
        <f ca="1">SUM(AB151:AD151)*WI_current_2</f>
        <v>0</v>
      </c>
      <c r="AF151" s="73">
        <f ca="1">mult_capex * IFERROR(OFFSET(assumptions!$F$39,MATCH(B151,assumptions!$E$39:$E$45,0)-1,0),0)</f>
        <v>0</v>
      </c>
      <c r="AG151" s="75">
        <f ca="1">mult_capex * capex_new*WI_current_2 *'forecast production'!I152</f>
        <v>0</v>
      </c>
      <c r="AH151" s="146">
        <f t="shared" ca="1" si="55"/>
        <v>0</v>
      </c>
      <c r="AI151" s="73">
        <f t="shared" ca="1" si="49"/>
        <v>197.81823480866609</v>
      </c>
      <c r="AJ151" s="72">
        <f t="shared" ca="1" si="50"/>
        <v>87.823099411143659</v>
      </c>
      <c r="AK151" s="72">
        <f t="shared" ca="1" si="56"/>
        <v>285.64133421980978</v>
      </c>
      <c r="AL151" s="73">
        <f t="shared" ca="1" si="51"/>
        <v>3227.2826422259363</v>
      </c>
      <c r="AM151" s="321">
        <f ca="1">'monthly calculations (1)'!AM151</f>
        <v>1</v>
      </c>
      <c r="AN151" s="73">
        <f t="shared" ca="1" si="57"/>
        <v>3227.2826422259363</v>
      </c>
      <c r="AO151" s="75">
        <f t="shared" ca="1" si="59"/>
        <v>1020183.7695790252</v>
      </c>
      <c r="AP151" s="72">
        <f ca="1">AL151  /  ( 1 + disc_1/12)^(COUNT($AL$6:AL151)-1)</f>
        <v>968.81082594493273</v>
      </c>
      <c r="AQ151" s="72">
        <f t="shared" ca="1" si="60"/>
        <v>686584.54551196622</v>
      </c>
      <c r="AS151" s="303"/>
      <c r="AT151" s="300"/>
      <c r="AU151" s="297"/>
      <c r="AV151" s="303"/>
    </row>
    <row r="152" spans="2:48" x14ac:dyDescent="0.25">
      <c r="B152" s="43">
        <f t="shared" si="58"/>
        <v>48639</v>
      </c>
      <c r="C152" s="79">
        <f t="shared" si="52"/>
        <v>2033</v>
      </c>
      <c r="D152" s="64">
        <f ca="1">wellcount_base  +  SUM('forecast production'!I$7:I153)</f>
        <v>1</v>
      </c>
      <c r="E152" s="110">
        <f ca="1">'forecast production'!AE153</f>
        <v>189.7449375695538</v>
      </c>
      <c r="F152" s="98">
        <f ca="1">'forecast production'!AF153</f>
        <v>1091.1449623763144</v>
      </c>
      <c r="G152" s="98">
        <f ca="1">'forecast production'!AG153</f>
        <v>3.7887198194083576</v>
      </c>
      <c r="H152" s="98">
        <f ca="1">'forecast production'!AH153</f>
        <v>163.67174435644716</v>
      </c>
      <c r="I152" s="307">
        <f ca="1">IF('monthly calculations (1)'!AV151,WI_2_APO, WI_2)</f>
        <v>0</v>
      </c>
      <c r="J152" s="306">
        <f ca="1">IF('monthly calculations (1)'!AV151,NRI_2_APO, NRI_2)</f>
        <v>0.25</v>
      </c>
      <c r="K152" s="112">
        <f t="shared" ca="1" si="41"/>
        <v>47.43623439238845</v>
      </c>
      <c r="L152" s="98">
        <f t="shared" ca="1" si="42"/>
        <v>204.58968044555894</v>
      </c>
      <c r="M152" s="98">
        <f t="shared" ca="1" si="43"/>
        <v>0.94717995485208939</v>
      </c>
      <c r="N152" s="98">
        <f t="shared" ca="1" si="44"/>
        <v>40.917936089111791</v>
      </c>
      <c r="O152" s="67">
        <f>assumptions!M156</f>
        <v>55</v>
      </c>
      <c r="P152" s="68">
        <f>assumptions!N156</f>
        <v>3</v>
      </c>
      <c r="Q152" s="68">
        <f>assumptions!O156</f>
        <v>22</v>
      </c>
      <c r="R152" s="67">
        <f t="shared" si="45"/>
        <v>52.5</v>
      </c>
      <c r="S152" s="68">
        <f t="shared" si="46"/>
        <v>2.3275000000000001</v>
      </c>
      <c r="T152" s="68">
        <f t="shared" si="47"/>
        <v>22</v>
      </c>
      <c r="U152" s="73">
        <f t="shared" ca="1" si="53"/>
        <v>2490.4023056003934</v>
      </c>
      <c r="V152" s="72">
        <f t="shared" ca="1" si="53"/>
        <v>476.18248123703847</v>
      </c>
      <c r="W152" s="72">
        <f t="shared" ca="1" si="48"/>
        <v>900.19459396045943</v>
      </c>
      <c r="X152" s="72">
        <f t="shared" ca="1" si="54"/>
        <v>3866.7793807978915</v>
      </c>
      <c r="Y152" s="73">
        <f>mult_opex * fixed_month</f>
        <v>1000</v>
      </c>
      <c r="Z152" s="72">
        <f ca="1">mult_opex * fixed_well *D152</f>
        <v>5000</v>
      </c>
      <c r="AA152" s="72">
        <f ca="1">(Z152+Y152)*WI_current_2</f>
        <v>0</v>
      </c>
      <c r="AB152" s="72">
        <f ca="1">mult_opex * var_bo*E152</f>
        <v>0</v>
      </c>
      <c r="AC152" s="72">
        <f ca="1">mult_opex * var_mcf*F152</f>
        <v>0</v>
      </c>
      <c r="AD152" s="72">
        <f ca="1">mult_opex * var_bw * G152</f>
        <v>7.5774396388167151</v>
      </c>
      <c r="AE152" s="72">
        <f ca="1">SUM(AB152:AD152)*WI_current_2</f>
        <v>0</v>
      </c>
      <c r="AF152" s="73">
        <f ca="1">mult_capex * IFERROR(OFFSET(assumptions!$F$39,MATCH(B152,assumptions!$E$39:$E$45,0)-1,0),0)</f>
        <v>0</v>
      </c>
      <c r="AG152" s="75">
        <f ca="1">mult_capex * capex_new*WI_current_2 *'forecast production'!I153</f>
        <v>0</v>
      </c>
      <c r="AH152" s="146">
        <f t="shared" ca="1" si="55"/>
        <v>0</v>
      </c>
      <c r="AI152" s="73">
        <f t="shared" ca="1" si="49"/>
        <v>217.78678669743044</v>
      </c>
      <c r="AJ152" s="72">
        <f t="shared" ca="1" si="50"/>
        <v>96.669484519947289</v>
      </c>
      <c r="AK152" s="72">
        <f t="shared" ca="1" si="56"/>
        <v>314.45627121737772</v>
      </c>
      <c r="AL152" s="73">
        <f t="shared" ca="1" si="51"/>
        <v>3552.3231095805136</v>
      </c>
      <c r="AM152" s="321">
        <f ca="1">'monthly calculations (1)'!AM152</f>
        <v>1</v>
      </c>
      <c r="AN152" s="73">
        <f t="shared" ca="1" si="57"/>
        <v>3552.3231095805136</v>
      </c>
      <c r="AO152" s="75">
        <f t="shared" ca="1" si="59"/>
        <v>1023736.0926886058</v>
      </c>
      <c r="AP152" s="72">
        <f ca="1">AL152  /  ( 1 + disc_1/12)^(COUNT($AL$6:AL152)-1)</f>
        <v>1057.5729104169518</v>
      </c>
      <c r="AQ152" s="72">
        <f t="shared" ca="1" si="60"/>
        <v>687642.11842238321</v>
      </c>
      <c r="AS152" s="303"/>
      <c r="AT152" s="300"/>
      <c r="AU152" s="297"/>
      <c r="AV152" s="303"/>
    </row>
    <row r="153" spans="2:48" x14ac:dyDescent="0.25">
      <c r="B153" s="43">
        <f t="shared" si="58"/>
        <v>48670</v>
      </c>
      <c r="C153" s="79">
        <f t="shared" si="52"/>
        <v>2033</v>
      </c>
      <c r="D153" s="64">
        <f ca="1">wellcount_base  +  SUM('forecast production'!I$7:I154)</f>
        <v>1</v>
      </c>
      <c r="E153" s="110">
        <f ca="1">'forecast production'!AE154</f>
        <v>182.32835099299817</v>
      </c>
      <c r="F153" s="98">
        <f ca="1">'forecast production'!AF154</f>
        <v>1050.412112259459</v>
      </c>
      <c r="G153" s="98">
        <f ca="1">'forecast production'!AG154</f>
        <v>3.5386251003313429</v>
      </c>
      <c r="H153" s="98">
        <f ca="1">'forecast production'!AH154</f>
        <v>157.56181683891884</v>
      </c>
      <c r="I153" s="307">
        <f ca="1">IF('monthly calculations (1)'!AV152,WI_2_APO, WI_2)</f>
        <v>0</v>
      </c>
      <c r="J153" s="306">
        <f ca="1">IF('monthly calculations (1)'!AV152,NRI_2_APO, NRI_2)</f>
        <v>0.25</v>
      </c>
      <c r="K153" s="112">
        <f t="shared" ca="1" si="41"/>
        <v>45.582087748249542</v>
      </c>
      <c r="L153" s="98">
        <f t="shared" ca="1" si="42"/>
        <v>196.95227104864858</v>
      </c>
      <c r="M153" s="98">
        <f t="shared" ca="1" si="43"/>
        <v>0.88465627508283573</v>
      </c>
      <c r="N153" s="98">
        <f t="shared" ca="1" si="44"/>
        <v>39.390454209729711</v>
      </c>
      <c r="O153" s="67">
        <f>assumptions!M157</f>
        <v>55</v>
      </c>
      <c r="P153" s="68">
        <f>assumptions!N157</f>
        <v>3</v>
      </c>
      <c r="Q153" s="68">
        <f>assumptions!O157</f>
        <v>22</v>
      </c>
      <c r="R153" s="67">
        <f t="shared" si="45"/>
        <v>52.5</v>
      </c>
      <c r="S153" s="68">
        <f t="shared" si="46"/>
        <v>2.3275000000000001</v>
      </c>
      <c r="T153" s="68">
        <f t="shared" si="47"/>
        <v>22</v>
      </c>
      <c r="U153" s="73">
        <f t="shared" ca="1" si="53"/>
        <v>2393.0596067831011</v>
      </c>
      <c r="V153" s="72">
        <f t="shared" ca="1" si="53"/>
        <v>458.40641086572958</v>
      </c>
      <c r="W153" s="72">
        <f t="shared" ca="1" si="48"/>
        <v>866.5899926140537</v>
      </c>
      <c r="X153" s="72">
        <f t="shared" ca="1" si="54"/>
        <v>3718.0560102628842</v>
      </c>
      <c r="Y153" s="73">
        <f>mult_opex * fixed_month</f>
        <v>1000</v>
      </c>
      <c r="Z153" s="72">
        <f ca="1">mult_opex * fixed_well *D153</f>
        <v>5000</v>
      </c>
      <c r="AA153" s="72">
        <f ca="1">(Z153+Y153)*WI_current_2</f>
        <v>0</v>
      </c>
      <c r="AB153" s="72">
        <f ca="1">mult_opex * var_bo*E153</f>
        <v>0</v>
      </c>
      <c r="AC153" s="72">
        <f ca="1">mult_opex * var_mcf*F153</f>
        <v>0</v>
      </c>
      <c r="AD153" s="72">
        <f ca="1">mult_opex * var_bw * G153</f>
        <v>7.0772502006626858</v>
      </c>
      <c r="AE153" s="72">
        <f ca="1">SUM(AB153:AD153)*WI_current_2</f>
        <v>0</v>
      </c>
      <c r="AF153" s="73">
        <f ca="1">mult_capex * IFERROR(OFFSET(assumptions!$F$39,MATCH(B153,assumptions!$E$39:$E$45,0)-1,0),0)</f>
        <v>0</v>
      </c>
      <c r="AG153" s="75">
        <f ca="1">mult_capex * capex_new*WI_current_2 *'forecast production'!I154</f>
        <v>0</v>
      </c>
      <c r="AH153" s="146">
        <f t="shared" ca="1" si="55"/>
        <v>0</v>
      </c>
      <c r="AI153" s="73">
        <f t="shared" ca="1" si="49"/>
        <v>209.4554721730064</v>
      </c>
      <c r="AJ153" s="72">
        <f t="shared" ca="1" si="50"/>
        <v>92.951400256572114</v>
      </c>
      <c r="AK153" s="72">
        <f t="shared" ca="1" si="56"/>
        <v>302.40687242957853</v>
      </c>
      <c r="AL153" s="73">
        <f t="shared" ca="1" si="51"/>
        <v>3415.6491378333058</v>
      </c>
      <c r="AM153" s="321">
        <f ca="1">'monthly calculations (1)'!AM153</f>
        <v>1</v>
      </c>
      <c r="AN153" s="73">
        <f t="shared" ca="1" si="57"/>
        <v>3415.6491378333058</v>
      </c>
      <c r="AO153" s="75">
        <f t="shared" ca="1" si="59"/>
        <v>1027151.741826439</v>
      </c>
      <c r="AP153" s="72">
        <f ca="1">AL153  /  ( 1 + disc_1/12)^(COUNT($AL$6:AL153)-1)</f>
        <v>1008.4792927544318</v>
      </c>
      <c r="AQ153" s="72">
        <f t="shared" ca="1" si="60"/>
        <v>688650.59771513764</v>
      </c>
      <c r="AS153" s="303"/>
      <c r="AT153" s="300"/>
      <c r="AU153" s="297"/>
      <c r="AV153" s="303"/>
    </row>
    <row r="154" spans="2:48" x14ac:dyDescent="0.25">
      <c r="B154" s="43">
        <f t="shared" si="58"/>
        <v>48700</v>
      </c>
      <c r="C154" s="79">
        <f t="shared" si="52"/>
        <v>2033</v>
      </c>
      <c r="D154" s="64">
        <f ca="1">wellcount_base  +  SUM('forecast production'!I$7:I155)</f>
        <v>1</v>
      </c>
      <c r="E154" s="110">
        <f ca="1">'forecast production'!AE155</f>
        <v>187.119177712577</v>
      </c>
      <c r="F154" s="98">
        <f ca="1">'forecast production'!AF155</f>
        <v>1079.9197666468731</v>
      </c>
      <c r="G154" s="98">
        <f ca="1">'forecast production'!AG155</f>
        <v>3.5331122832889768</v>
      </c>
      <c r="H154" s="98">
        <f ca="1">'forecast production'!AH155</f>
        <v>161.98796499703096</v>
      </c>
      <c r="I154" s="307">
        <f ca="1">IF('monthly calculations (1)'!AV153,WI_2_APO, WI_2)</f>
        <v>0</v>
      </c>
      <c r="J154" s="306">
        <f ca="1">IF('monthly calculations (1)'!AV153,NRI_2_APO, NRI_2)</f>
        <v>0.25</v>
      </c>
      <c r="K154" s="112">
        <f t="shared" ca="1" si="41"/>
        <v>46.77979442814425</v>
      </c>
      <c r="L154" s="98">
        <f t="shared" ca="1" si="42"/>
        <v>202.4849562462887</v>
      </c>
      <c r="M154" s="98">
        <f t="shared" ca="1" si="43"/>
        <v>0.88327807082224419</v>
      </c>
      <c r="N154" s="98">
        <f t="shared" ca="1" si="44"/>
        <v>40.496991249257739</v>
      </c>
      <c r="O154" s="67">
        <f>assumptions!M158</f>
        <v>55</v>
      </c>
      <c r="P154" s="68">
        <f>assumptions!N158</f>
        <v>3</v>
      </c>
      <c r="Q154" s="68">
        <f>assumptions!O158</f>
        <v>22</v>
      </c>
      <c r="R154" s="67">
        <f t="shared" si="45"/>
        <v>52.5</v>
      </c>
      <c r="S154" s="68">
        <f t="shared" si="46"/>
        <v>2.3275000000000001</v>
      </c>
      <c r="T154" s="68">
        <f t="shared" si="47"/>
        <v>22</v>
      </c>
      <c r="U154" s="73">
        <f t="shared" ca="1" si="53"/>
        <v>2455.9392074775733</v>
      </c>
      <c r="V154" s="72">
        <f t="shared" ca="1" si="53"/>
        <v>471.283735663237</v>
      </c>
      <c r="W154" s="72">
        <f t="shared" ca="1" si="48"/>
        <v>890.93380748367031</v>
      </c>
      <c r="X154" s="72">
        <f t="shared" ca="1" si="54"/>
        <v>3818.156750624481</v>
      </c>
      <c r="Y154" s="73">
        <f>mult_opex * fixed_month</f>
        <v>1000</v>
      </c>
      <c r="Z154" s="72">
        <f ca="1">mult_opex * fixed_well *D154</f>
        <v>5000</v>
      </c>
      <c r="AA154" s="72">
        <f ca="1">(Z154+Y154)*WI_current_2</f>
        <v>0</v>
      </c>
      <c r="AB154" s="72">
        <f ca="1">mult_opex * var_bo*E154</f>
        <v>0</v>
      </c>
      <c r="AC154" s="72">
        <f ca="1">mult_opex * var_mcf*F154</f>
        <v>0</v>
      </c>
      <c r="AD154" s="72">
        <f ca="1">mult_opex * var_bw * G154</f>
        <v>7.0662245665779535</v>
      </c>
      <c r="AE154" s="72">
        <f ca="1">SUM(AB154:AD154)*WI_current_2</f>
        <v>0</v>
      </c>
      <c r="AF154" s="73">
        <f ca="1">mult_capex * IFERROR(OFFSET(assumptions!$F$39,MATCH(B154,assumptions!$E$39:$E$45,0)-1,0),0)</f>
        <v>0</v>
      </c>
      <c r="AG154" s="75">
        <f ca="1">mult_capex * capex_new*WI_current_2 *'forecast production'!I155</f>
        <v>0</v>
      </c>
      <c r="AH154" s="146">
        <f t="shared" ca="1" si="55"/>
        <v>0</v>
      </c>
      <c r="AI154" s="73">
        <f t="shared" ca="1" si="49"/>
        <v>215.13951927998642</v>
      </c>
      <c r="AJ154" s="72">
        <f t="shared" ca="1" si="50"/>
        <v>95.45391876561203</v>
      </c>
      <c r="AK154" s="72">
        <f t="shared" ca="1" si="56"/>
        <v>310.59343804559842</v>
      </c>
      <c r="AL154" s="73">
        <f t="shared" ca="1" si="51"/>
        <v>3507.5633125788827</v>
      </c>
      <c r="AM154" s="321">
        <f ca="1">'monthly calculations (1)'!AM154</f>
        <v>1</v>
      </c>
      <c r="AN154" s="73">
        <f t="shared" ca="1" si="57"/>
        <v>3507.5633125788827</v>
      </c>
      <c r="AO154" s="75">
        <f t="shared" ca="1" si="59"/>
        <v>1030659.3051390179</v>
      </c>
      <c r="AP154" s="72">
        <f ca="1">AL154  /  ( 1 + disc_1/12)^(COUNT($AL$6:AL154)-1)</f>
        <v>1027.0583721677588</v>
      </c>
      <c r="AQ154" s="72">
        <f t="shared" ca="1" si="60"/>
        <v>689677.6560873054</v>
      </c>
      <c r="AS154" s="303"/>
      <c r="AT154" s="300"/>
      <c r="AU154" s="297"/>
      <c r="AV154" s="303"/>
    </row>
    <row r="155" spans="2:48" x14ac:dyDescent="0.25">
      <c r="B155" s="43">
        <f t="shared" si="58"/>
        <v>48731</v>
      </c>
      <c r="C155" s="79">
        <f t="shared" si="52"/>
        <v>2033</v>
      </c>
      <c r="D155" s="64">
        <f ca="1">wellcount_base  +  SUM('forecast production'!I$7:I156)</f>
        <v>1</v>
      </c>
      <c r="E155" s="110">
        <f ca="1">'forecast production'!AE156</f>
        <v>179.80522457414074</v>
      </c>
      <c r="F155" s="98">
        <f ca="1">'forecast production'!AF156</f>
        <v>1039.6059572908196</v>
      </c>
      <c r="G155" s="98">
        <f ca="1">'forecast production'!AG156</f>
        <v>3.29993120928859</v>
      </c>
      <c r="H155" s="98">
        <f ca="1">'forecast production'!AH156</f>
        <v>155.94089359362295</v>
      </c>
      <c r="I155" s="307">
        <f ca="1">IF('monthly calculations (1)'!AV154,WI_2_APO, WI_2)</f>
        <v>0</v>
      </c>
      <c r="J155" s="306">
        <f ca="1">IF('monthly calculations (1)'!AV154,NRI_2_APO, NRI_2)</f>
        <v>0.25</v>
      </c>
      <c r="K155" s="112">
        <f t="shared" ca="1" si="41"/>
        <v>44.951306143535184</v>
      </c>
      <c r="L155" s="98">
        <f t="shared" ca="1" si="42"/>
        <v>194.92611699202865</v>
      </c>
      <c r="M155" s="98">
        <f t="shared" ca="1" si="43"/>
        <v>0.82498280232214749</v>
      </c>
      <c r="N155" s="98">
        <f t="shared" ca="1" si="44"/>
        <v>38.985223398405736</v>
      </c>
      <c r="O155" s="67">
        <f>assumptions!M159</f>
        <v>55</v>
      </c>
      <c r="P155" s="68">
        <f>assumptions!N159</f>
        <v>3</v>
      </c>
      <c r="Q155" s="68">
        <f>assumptions!O159</f>
        <v>22</v>
      </c>
      <c r="R155" s="67">
        <f t="shared" si="45"/>
        <v>52.5</v>
      </c>
      <c r="S155" s="68">
        <f t="shared" si="46"/>
        <v>2.3275000000000001</v>
      </c>
      <c r="T155" s="68">
        <f t="shared" si="47"/>
        <v>22</v>
      </c>
      <c r="U155" s="73">
        <f t="shared" ca="1" si="53"/>
        <v>2359.943572535597</v>
      </c>
      <c r="V155" s="72">
        <f t="shared" ca="1" si="53"/>
        <v>453.69053729894671</v>
      </c>
      <c r="W155" s="72">
        <f t="shared" ca="1" si="48"/>
        <v>857.67491476492614</v>
      </c>
      <c r="X155" s="72">
        <f t="shared" ca="1" si="54"/>
        <v>3671.3090245994699</v>
      </c>
      <c r="Y155" s="73">
        <f>mult_opex * fixed_month</f>
        <v>1000</v>
      </c>
      <c r="Z155" s="72">
        <f ca="1">mult_opex * fixed_well *D155</f>
        <v>5000</v>
      </c>
      <c r="AA155" s="72">
        <f ca="1">(Z155+Y155)*WI_current_2</f>
        <v>0</v>
      </c>
      <c r="AB155" s="72">
        <f ca="1">mult_opex * var_bo*E155</f>
        <v>0</v>
      </c>
      <c r="AC155" s="72">
        <f ca="1">mult_opex * var_mcf*F155</f>
        <v>0</v>
      </c>
      <c r="AD155" s="72">
        <f ca="1">mult_opex * var_bw * G155</f>
        <v>6.5998624185771799</v>
      </c>
      <c r="AE155" s="72">
        <f ca="1">SUM(AB155:AD155)*WI_current_2</f>
        <v>0</v>
      </c>
      <c r="AF155" s="73">
        <f ca="1">mult_capex * IFERROR(OFFSET(assumptions!$F$39,MATCH(B155,assumptions!$E$39:$E$45,0)-1,0),0)</f>
        <v>0</v>
      </c>
      <c r="AG155" s="75">
        <f ca="1">mult_capex * capex_new*WI_current_2 *'forecast production'!I156</f>
        <v>0</v>
      </c>
      <c r="AH155" s="146">
        <f t="shared" ca="1" si="55"/>
        <v>0</v>
      </c>
      <c r="AI155" s="73">
        <f t="shared" ca="1" si="49"/>
        <v>206.90981324142791</v>
      </c>
      <c r="AJ155" s="72">
        <f t="shared" ca="1" si="50"/>
        <v>91.782725614986759</v>
      </c>
      <c r="AK155" s="72">
        <f t="shared" ca="1" si="56"/>
        <v>298.69253885641467</v>
      </c>
      <c r="AL155" s="73">
        <f t="shared" ca="1" si="51"/>
        <v>3372.6164857430554</v>
      </c>
      <c r="AM155" s="321">
        <f ca="1">'monthly calculations (1)'!AM155</f>
        <v>1</v>
      </c>
      <c r="AN155" s="73">
        <f t="shared" ca="1" si="57"/>
        <v>3372.6164857430554</v>
      </c>
      <c r="AO155" s="75">
        <f t="shared" ca="1" si="59"/>
        <v>1034031.921624761</v>
      </c>
      <c r="AP155" s="72">
        <f ca="1">AL155  /  ( 1 + disc_1/12)^(COUNT($AL$6:AL155)-1)</f>
        <v>979.38273206384213</v>
      </c>
      <c r="AQ155" s="72">
        <f t="shared" ca="1" si="60"/>
        <v>690657.03881936928</v>
      </c>
      <c r="AS155" s="303"/>
      <c r="AT155" s="300"/>
      <c r="AU155" s="297"/>
      <c r="AV155" s="303"/>
    </row>
    <row r="156" spans="2:48" x14ac:dyDescent="0.25">
      <c r="B156" s="43">
        <f t="shared" si="58"/>
        <v>48761</v>
      </c>
      <c r="C156" s="79">
        <f t="shared" si="52"/>
        <v>2033</v>
      </c>
      <c r="D156" s="64">
        <f ca="1">wellcount_base  +  SUM('forecast production'!I$7:I157)</f>
        <v>1</v>
      </c>
      <c r="E156" s="110">
        <f ca="1">'forecast production'!AE157</f>
        <v>184.5297540810343</v>
      </c>
      <c r="F156" s="98">
        <f ca="1">'forecast production'!AF157</f>
        <v>1068.8100505498444</v>
      </c>
      <c r="G156" s="98">
        <f ca="1">'forecast production'!AG157</f>
        <v>3.2948297608821506</v>
      </c>
      <c r="H156" s="98">
        <f ca="1">'forecast production'!AH157</f>
        <v>160.32150758247667</v>
      </c>
      <c r="I156" s="307">
        <f ca="1">IF('monthly calculations (1)'!AV155,WI_2_APO, WI_2)</f>
        <v>0</v>
      </c>
      <c r="J156" s="306">
        <f ca="1">IF('monthly calculations (1)'!AV155,NRI_2_APO, NRI_2)</f>
        <v>0.25</v>
      </c>
      <c r="K156" s="112">
        <f t="shared" ca="1" si="41"/>
        <v>46.132438520258574</v>
      </c>
      <c r="L156" s="98">
        <f t="shared" ca="1" si="42"/>
        <v>200.40188447809584</v>
      </c>
      <c r="M156" s="98">
        <f t="shared" ca="1" si="43"/>
        <v>0.82370744022053766</v>
      </c>
      <c r="N156" s="98">
        <f t="shared" ca="1" si="44"/>
        <v>40.080376895619167</v>
      </c>
      <c r="O156" s="67">
        <f>assumptions!M160</f>
        <v>55</v>
      </c>
      <c r="P156" s="68">
        <f>assumptions!N160</f>
        <v>3</v>
      </c>
      <c r="Q156" s="68">
        <f>assumptions!O160</f>
        <v>22</v>
      </c>
      <c r="R156" s="67">
        <f t="shared" si="45"/>
        <v>52.5</v>
      </c>
      <c r="S156" s="68">
        <f t="shared" si="46"/>
        <v>2.3275000000000001</v>
      </c>
      <c r="T156" s="68">
        <f t="shared" si="47"/>
        <v>22</v>
      </c>
      <c r="U156" s="73">
        <f t="shared" ca="1" si="53"/>
        <v>2421.9530223135753</v>
      </c>
      <c r="V156" s="72">
        <f t="shared" ca="1" si="53"/>
        <v>466.43538612276808</v>
      </c>
      <c r="W156" s="72">
        <f t="shared" ca="1" si="48"/>
        <v>881.76829170362168</v>
      </c>
      <c r="X156" s="72">
        <f t="shared" ca="1" si="54"/>
        <v>3770.1567001399653</v>
      </c>
      <c r="Y156" s="73">
        <f>mult_opex * fixed_month</f>
        <v>1000</v>
      </c>
      <c r="Z156" s="72">
        <f ca="1">mult_opex * fixed_well *D156</f>
        <v>5000</v>
      </c>
      <c r="AA156" s="72">
        <f ca="1">(Z156+Y156)*WI_current_2</f>
        <v>0</v>
      </c>
      <c r="AB156" s="72">
        <f ca="1">mult_opex * var_bo*E156</f>
        <v>0</v>
      </c>
      <c r="AC156" s="72">
        <f ca="1">mult_opex * var_mcf*F156</f>
        <v>0</v>
      </c>
      <c r="AD156" s="72">
        <f ca="1">mult_opex * var_bw * G156</f>
        <v>6.5896595217643013</v>
      </c>
      <c r="AE156" s="72">
        <f ca="1">SUM(AB156:AD156)*WI_current_2</f>
        <v>0</v>
      </c>
      <c r="AF156" s="73">
        <f ca="1">mult_capex * IFERROR(OFFSET(assumptions!$F$39,MATCH(B156,assumptions!$E$39:$E$45,0)-1,0),0)</f>
        <v>0</v>
      </c>
      <c r="AG156" s="75">
        <f ca="1">mult_capex * capex_new*WI_current_2 *'forecast production'!I157</f>
        <v>0</v>
      </c>
      <c r="AH156" s="146">
        <f t="shared" ca="1" si="55"/>
        <v>0</v>
      </c>
      <c r="AI156" s="73">
        <f t="shared" ca="1" si="49"/>
        <v>212.5251148634037</v>
      </c>
      <c r="AJ156" s="72">
        <f t="shared" ca="1" si="50"/>
        <v>94.253917503499139</v>
      </c>
      <c r="AK156" s="72">
        <f t="shared" ca="1" si="56"/>
        <v>306.77903236690281</v>
      </c>
      <c r="AL156" s="73">
        <f t="shared" ca="1" si="51"/>
        <v>3463.3776677730625</v>
      </c>
      <c r="AM156" s="321">
        <f ca="1">'monthly calculations (1)'!AM156</f>
        <v>1</v>
      </c>
      <c r="AN156" s="73">
        <f t="shared" ca="1" si="57"/>
        <v>3463.3776677730625</v>
      </c>
      <c r="AO156" s="75">
        <f t="shared" ca="1" si="59"/>
        <v>1037495.299292534</v>
      </c>
      <c r="AP156" s="72">
        <f ca="1">AL156  /  ( 1 + disc_1/12)^(COUNT($AL$6:AL156)-1)</f>
        <v>997.42721055664344</v>
      </c>
      <c r="AQ156" s="72">
        <f t="shared" ca="1" si="60"/>
        <v>691654.46602992597</v>
      </c>
      <c r="AS156" s="303"/>
      <c r="AT156" s="300"/>
      <c r="AU156" s="297"/>
      <c r="AV156" s="303"/>
    </row>
    <row r="157" spans="2:48" x14ac:dyDescent="0.25">
      <c r="B157" s="43">
        <f t="shared" si="58"/>
        <v>48792</v>
      </c>
      <c r="C157" s="79">
        <f t="shared" si="52"/>
        <v>2033</v>
      </c>
      <c r="D157" s="64">
        <f ca="1">wellcount_base  +  SUM('forecast production'!I$7:I158)</f>
        <v>1</v>
      </c>
      <c r="E157" s="110">
        <f ca="1">'forecast production'!AE158</f>
        <v>183.22758123837812</v>
      </c>
      <c r="F157" s="98">
        <f ca="1">'forecast production'!AF158</f>
        <v>1063.2080034252197</v>
      </c>
      <c r="G157" s="98">
        <f ca="1">'forecast production'!AG158</f>
        <v>3.1799935970895552</v>
      </c>
      <c r="H157" s="98">
        <f ca="1">'forecast production'!AH158</f>
        <v>159.48120051378291</v>
      </c>
      <c r="I157" s="307">
        <f ca="1">IF('monthly calculations (1)'!AV156,WI_2_APO, WI_2)</f>
        <v>0</v>
      </c>
      <c r="J157" s="306">
        <f ca="1">IF('monthly calculations (1)'!AV156,NRI_2_APO, NRI_2)</f>
        <v>0.25</v>
      </c>
      <c r="K157" s="112">
        <f t="shared" ca="1" si="41"/>
        <v>45.80689530959453</v>
      </c>
      <c r="L157" s="98">
        <f t="shared" ca="1" si="42"/>
        <v>199.3515006422287</v>
      </c>
      <c r="M157" s="98">
        <f t="shared" ca="1" si="43"/>
        <v>0.7949983992723888</v>
      </c>
      <c r="N157" s="98">
        <f t="shared" ca="1" si="44"/>
        <v>39.870300128445727</v>
      </c>
      <c r="O157" s="67">
        <f>assumptions!M161</f>
        <v>55</v>
      </c>
      <c r="P157" s="68">
        <f>assumptions!N161</f>
        <v>3</v>
      </c>
      <c r="Q157" s="68">
        <f>assumptions!O161</f>
        <v>22</v>
      </c>
      <c r="R157" s="67">
        <f t="shared" si="45"/>
        <v>52.5</v>
      </c>
      <c r="S157" s="68">
        <f t="shared" si="46"/>
        <v>2.3275000000000001</v>
      </c>
      <c r="T157" s="68">
        <f t="shared" si="47"/>
        <v>22</v>
      </c>
      <c r="U157" s="73">
        <f t="shared" ca="1" si="53"/>
        <v>2404.862003753713</v>
      </c>
      <c r="V157" s="72">
        <f t="shared" ca="1" si="53"/>
        <v>463.9906177447873</v>
      </c>
      <c r="W157" s="72">
        <f t="shared" ca="1" si="48"/>
        <v>877.14660282580599</v>
      </c>
      <c r="X157" s="72">
        <f t="shared" ca="1" si="54"/>
        <v>3745.9992243243064</v>
      </c>
      <c r="Y157" s="73">
        <f>mult_opex * fixed_month</f>
        <v>1000</v>
      </c>
      <c r="Z157" s="72">
        <f ca="1">mult_opex * fixed_well *D157</f>
        <v>5000</v>
      </c>
      <c r="AA157" s="72">
        <f ca="1">(Z157+Y157)*WI_current_2</f>
        <v>0</v>
      </c>
      <c r="AB157" s="72">
        <f ca="1">mult_opex * var_bo*E157</f>
        <v>0</v>
      </c>
      <c r="AC157" s="72">
        <f ca="1">mult_opex * var_mcf*F157</f>
        <v>0</v>
      </c>
      <c r="AD157" s="72">
        <f ca="1">mult_opex * var_bw * G157</f>
        <v>6.3599871941791104</v>
      </c>
      <c r="AE157" s="72">
        <f ca="1">SUM(AB157:AD157)*WI_current_2</f>
        <v>0</v>
      </c>
      <c r="AF157" s="73">
        <f ca="1">mult_capex * IFERROR(OFFSET(assumptions!$F$39,MATCH(B157,assumptions!$E$39:$E$45,0)-1,0),0)</f>
        <v>0</v>
      </c>
      <c r="AG157" s="75">
        <f ca="1">mult_capex * capex_new*WI_current_2 *'forecast production'!I158</f>
        <v>0</v>
      </c>
      <c r="AH157" s="146">
        <f t="shared" ca="1" si="55"/>
        <v>0</v>
      </c>
      <c r="AI157" s="73">
        <f t="shared" ca="1" si="49"/>
        <v>211.2089437154653</v>
      </c>
      <c r="AJ157" s="72">
        <f t="shared" ca="1" si="50"/>
        <v>93.649980608107668</v>
      </c>
      <c r="AK157" s="72">
        <f t="shared" ca="1" si="56"/>
        <v>304.85892432357298</v>
      </c>
      <c r="AL157" s="73">
        <f t="shared" ca="1" si="51"/>
        <v>3441.1403000007335</v>
      </c>
      <c r="AM157" s="321">
        <f ca="1">'monthly calculations (1)'!AM157</f>
        <v>1</v>
      </c>
      <c r="AN157" s="73">
        <f t="shared" ca="1" si="57"/>
        <v>3441.1403000007335</v>
      </c>
      <c r="AO157" s="75">
        <f t="shared" ca="1" si="59"/>
        <v>1040936.4395925348</v>
      </c>
      <c r="AP157" s="72">
        <f ca="1">AL157  /  ( 1 + disc_1/12)^(COUNT($AL$6:AL157)-1)</f>
        <v>982.83273990482871</v>
      </c>
      <c r="AQ157" s="72">
        <f t="shared" ca="1" si="60"/>
        <v>692637.29876983084</v>
      </c>
      <c r="AS157" s="303"/>
      <c r="AT157" s="300"/>
      <c r="AU157" s="297"/>
      <c r="AV157" s="303"/>
    </row>
    <row r="158" spans="2:48" x14ac:dyDescent="0.25">
      <c r="B158" s="43">
        <f t="shared" si="58"/>
        <v>48823</v>
      </c>
      <c r="C158" s="79">
        <f t="shared" si="52"/>
        <v>2033</v>
      </c>
      <c r="D158" s="64">
        <f ca="1">wellcount_base  +  SUM('forecast production'!I$7:I159)</f>
        <v>1</v>
      </c>
      <c r="E158" s="110">
        <f ca="1">'forecast production'!AE159</f>
        <v>176.06573946871731</v>
      </c>
      <c r="F158" s="98">
        <f ca="1">'forecast production'!AF159</f>
        <v>1023.5180504493611</v>
      </c>
      <c r="G158" s="98">
        <f ca="1">'forecast production'!AG159</f>
        <v>2.9701733984223946</v>
      </c>
      <c r="H158" s="98">
        <f ca="1">'forecast production'!AH159</f>
        <v>153.52770756740418</v>
      </c>
      <c r="I158" s="307">
        <f ca="1">IF('monthly calculations (1)'!AV157,WI_2_APO, WI_2)</f>
        <v>0</v>
      </c>
      <c r="J158" s="306">
        <f ca="1">IF('monthly calculations (1)'!AV157,NRI_2_APO, NRI_2)</f>
        <v>0.25</v>
      </c>
      <c r="K158" s="112">
        <f t="shared" ca="1" si="41"/>
        <v>44.016434867179328</v>
      </c>
      <c r="L158" s="98">
        <f t="shared" ca="1" si="42"/>
        <v>191.90963445925522</v>
      </c>
      <c r="M158" s="98">
        <f t="shared" ca="1" si="43"/>
        <v>0.74254334960559865</v>
      </c>
      <c r="N158" s="98">
        <f t="shared" ca="1" si="44"/>
        <v>38.381926891851045</v>
      </c>
      <c r="O158" s="67">
        <f>assumptions!M162</f>
        <v>55</v>
      </c>
      <c r="P158" s="68">
        <f>assumptions!N162</f>
        <v>3</v>
      </c>
      <c r="Q158" s="68">
        <f>assumptions!O162</f>
        <v>22</v>
      </c>
      <c r="R158" s="67">
        <f t="shared" si="45"/>
        <v>52.5</v>
      </c>
      <c r="S158" s="68">
        <f t="shared" si="46"/>
        <v>2.3275000000000001</v>
      </c>
      <c r="T158" s="68">
        <f t="shared" si="47"/>
        <v>22</v>
      </c>
      <c r="U158" s="73">
        <f t="shared" ca="1" si="53"/>
        <v>2310.8628305269149</v>
      </c>
      <c r="V158" s="72">
        <f t="shared" ca="1" si="53"/>
        <v>446.66967420391654</v>
      </c>
      <c r="W158" s="72">
        <f t="shared" ca="1" si="48"/>
        <v>844.40239162072294</v>
      </c>
      <c r="X158" s="72">
        <f t="shared" ca="1" si="54"/>
        <v>3601.9348963515545</v>
      </c>
      <c r="Y158" s="73">
        <f>mult_opex * fixed_month</f>
        <v>1000</v>
      </c>
      <c r="Z158" s="72">
        <f ca="1">mult_opex * fixed_well *D158</f>
        <v>5000</v>
      </c>
      <c r="AA158" s="72">
        <f ca="1">(Z158+Y158)*WI_current_2</f>
        <v>0</v>
      </c>
      <c r="AB158" s="72">
        <f ca="1">mult_opex * var_bo*E158</f>
        <v>0</v>
      </c>
      <c r="AC158" s="72">
        <f ca="1">mult_opex * var_mcf*F158</f>
        <v>0</v>
      </c>
      <c r="AD158" s="72">
        <f ca="1">mult_opex * var_bw * G158</f>
        <v>5.9403467968447892</v>
      </c>
      <c r="AE158" s="72">
        <f ca="1">SUM(AB158:AD158)*WI_current_2</f>
        <v>0</v>
      </c>
      <c r="AF158" s="73">
        <f ca="1">mult_capex * IFERROR(OFFSET(assumptions!$F$39,MATCH(B158,assumptions!$E$39:$E$45,0)-1,0),0)</f>
        <v>0</v>
      </c>
      <c r="AG158" s="75">
        <f ca="1">mult_capex * capex_new*WI_current_2 *'forecast production'!I159</f>
        <v>0</v>
      </c>
      <c r="AH158" s="146">
        <f t="shared" ca="1" si="55"/>
        <v>0</v>
      </c>
      <c r="AI158" s="73">
        <f t="shared" ca="1" si="49"/>
        <v>203.13009514108603</v>
      </c>
      <c r="AJ158" s="72">
        <f t="shared" ca="1" si="50"/>
        <v>90.048372408788865</v>
      </c>
      <c r="AK158" s="72">
        <f t="shared" ca="1" si="56"/>
        <v>293.17846754987488</v>
      </c>
      <c r="AL158" s="73">
        <f t="shared" ca="1" si="51"/>
        <v>3308.7564288016797</v>
      </c>
      <c r="AM158" s="321">
        <f ca="1">'monthly calculations (1)'!AM158</f>
        <v>1</v>
      </c>
      <c r="AN158" s="73">
        <f t="shared" ca="1" si="57"/>
        <v>3308.7564288016797</v>
      </c>
      <c r="AO158" s="75">
        <f t="shared" ca="1" si="59"/>
        <v>1044245.1960213365</v>
      </c>
      <c r="AP158" s="72">
        <f ca="1">AL158  /  ( 1 + disc_1/12)^(COUNT($AL$6:AL158)-1)</f>
        <v>937.21214810453318</v>
      </c>
      <c r="AQ158" s="72">
        <f t="shared" ca="1" si="60"/>
        <v>693574.5109179354</v>
      </c>
      <c r="AS158" s="303"/>
      <c r="AT158" s="300"/>
      <c r="AU158" s="297"/>
      <c r="AV158" s="303"/>
    </row>
    <row r="159" spans="2:48" x14ac:dyDescent="0.25">
      <c r="B159" s="43">
        <f t="shared" si="58"/>
        <v>48853</v>
      </c>
      <c r="C159" s="79">
        <f t="shared" si="52"/>
        <v>2033</v>
      </c>
      <c r="D159" s="64">
        <f ca="1">wellcount_base  +  SUM('forecast production'!I$7:I160)</f>
        <v>1</v>
      </c>
      <c r="E159" s="110">
        <f ca="1">'forecast production'!AE160</f>
        <v>180.6920109424363</v>
      </c>
      <c r="F159" s="98">
        <f ca="1">'forecast production'!AF160</f>
        <v>1052.2702102345097</v>
      </c>
      <c r="G159" s="98">
        <f ca="1">'forecast production'!AG160</f>
        <v>2.9656353163151552</v>
      </c>
      <c r="H159" s="98">
        <f ca="1">'forecast production'!AH160</f>
        <v>157.84053153517644</v>
      </c>
      <c r="I159" s="307">
        <f ca="1">IF('monthly calculations (1)'!AV158,WI_2_APO, WI_2)</f>
        <v>0</v>
      </c>
      <c r="J159" s="306">
        <f ca="1">IF('monthly calculations (1)'!AV158,NRI_2_APO, NRI_2)</f>
        <v>0.25</v>
      </c>
      <c r="K159" s="112">
        <f t="shared" ca="1" si="41"/>
        <v>45.173002735609074</v>
      </c>
      <c r="L159" s="98">
        <f t="shared" ca="1" si="42"/>
        <v>197.30066441897057</v>
      </c>
      <c r="M159" s="98">
        <f t="shared" ca="1" si="43"/>
        <v>0.7414088290787888</v>
      </c>
      <c r="N159" s="98">
        <f t="shared" ca="1" si="44"/>
        <v>39.46013288379411</v>
      </c>
      <c r="O159" s="67">
        <f>assumptions!M163</f>
        <v>55</v>
      </c>
      <c r="P159" s="68">
        <f>assumptions!N163</f>
        <v>3</v>
      </c>
      <c r="Q159" s="68">
        <f>assumptions!O163</f>
        <v>22</v>
      </c>
      <c r="R159" s="67">
        <f t="shared" si="45"/>
        <v>52.5</v>
      </c>
      <c r="S159" s="68">
        <f t="shared" si="46"/>
        <v>2.3275000000000001</v>
      </c>
      <c r="T159" s="68">
        <f t="shared" si="47"/>
        <v>22</v>
      </c>
      <c r="U159" s="73">
        <f t="shared" ca="1" si="53"/>
        <v>2371.5826436194766</v>
      </c>
      <c r="V159" s="72">
        <f t="shared" ca="1" si="53"/>
        <v>459.21729643515403</v>
      </c>
      <c r="W159" s="72">
        <f t="shared" ca="1" si="48"/>
        <v>868.12292344347043</v>
      </c>
      <c r="X159" s="72">
        <f t="shared" ca="1" si="54"/>
        <v>3698.9228634981009</v>
      </c>
      <c r="Y159" s="73">
        <f>mult_opex * fixed_month</f>
        <v>1000</v>
      </c>
      <c r="Z159" s="72">
        <f ca="1">mult_opex * fixed_well *D159</f>
        <v>5000</v>
      </c>
      <c r="AA159" s="72">
        <f ca="1">(Z159+Y159)*WI_current_2</f>
        <v>0</v>
      </c>
      <c r="AB159" s="72">
        <f ca="1">mult_opex * var_bo*E159</f>
        <v>0</v>
      </c>
      <c r="AC159" s="72">
        <f ca="1">mult_opex * var_mcf*F159</f>
        <v>0</v>
      </c>
      <c r="AD159" s="72">
        <f ca="1">mult_opex * var_bw * G159</f>
        <v>5.9312706326303104</v>
      </c>
      <c r="AE159" s="72">
        <f ca="1">SUM(AB159:AD159)*WI_current_2</f>
        <v>0</v>
      </c>
      <c r="AF159" s="73">
        <f ca="1">mult_capex * IFERROR(OFFSET(assumptions!$F$39,MATCH(B159,assumptions!$E$39:$E$45,0)-1,0),0)</f>
        <v>0</v>
      </c>
      <c r="AG159" s="75">
        <f ca="1">mult_capex * capex_new*WI_current_2 *'forecast production'!I160</f>
        <v>0</v>
      </c>
      <c r="AH159" s="146">
        <f t="shared" ca="1" si="55"/>
        <v>0</v>
      </c>
      <c r="AI159" s="73">
        <f t="shared" ca="1" si="49"/>
        <v>208.64331809739275</v>
      </c>
      <c r="AJ159" s="72">
        <f t="shared" ca="1" si="50"/>
        <v>92.473071587452523</v>
      </c>
      <c r="AK159" s="72">
        <f t="shared" ca="1" si="56"/>
        <v>301.11638968484527</v>
      </c>
      <c r="AL159" s="73">
        <f t="shared" ca="1" si="51"/>
        <v>3397.8064738132557</v>
      </c>
      <c r="AM159" s="321">
        <f ca="1">'monthly calculations (1)'!AM159</f>
        <v>1</v>
      </c>
      <c r="AN159" s="73">
        <f t="shared" ca="1" si="57"/>
        <v>3397.8064738132557</v>
      </c>
      <c r="AO159" s="75">
        <f t="shared" ca="1" si="59"/>
        <v>1047643.0024951497</v>
      </c>
      <c r="AP159" s="72">
        <f ca="1">AL159  /  ( 1 + disc_1/12)^(COUNT($AL$6:AL159)-1)</f>
        <v>954.48174424284878</v>
      </c>
      <c r="AQ159" s="72">
        <f t="shared" ca="1" si="60"/>
        <v>694528.99266217824</v>
      </c>
      <c r="AS159" s="303"/>
      <c r="AT159" s="300"/>
      <c r="AU159" s="297"/>
      <c r="AV159" s="303"/>
    </row>
    <row r="160" spans="2:48" x14ac:dyDescent="0.25">
      <c r="B160" s="43">
        <f t="shared" si="58"/>
        <v>48884</v>
      </c>
      <c r="C160" s="79">
        <f t="shared" si="52"/>
        <v>2033</v>
      </c>
      <c r="D160" s="64">
        <f ca="1">wellcount_base  +  SUM('forecast production'!I$7:I161)</f>
        <v>1</v>
      </c>
      <c r="E160" s="110">
        <f ca="1">'forecast production'!AE161</f>
        <v>173.62927735906848</v>
      </c>
      <c r="F160" s="98">
        <f ca="1">'forecast production'!AF161</f>
        <v>1012.9885691750405</v>
      </c>
      <c r="G160" s="98">
        <f ca="1">'forecast production'!AG161</f>
        <v>2.7699930352644695</v>
      </c>
      <c r="H160" s="98">
        <f ca="1">'forecast production'!AH161</f>
        <v>151.94828537625605</v>
      </c>
      <c r="I160" s="307">
        <f ca="1">IF('monthly calculations (1)'!AV159,WI_2_APO, WI_2)</f>
        <v>0</v>
      </c>
      <c r="J160" s="306">
        <f ca="1">IF('monthly calculations (1)'!AV159,NRI_2_APO, NRI_2)</f>
        <v>0.25</v>
      </c>
      <c r="K160" s="112">
        <f t="shared" ca="1" si="41"/>
        <v>43.40731933976712</v>
      </c>
      <c r="L160" s="98">
        <f t="shared" ca="1" si="42"/>
        <v>189.9353567203201</v>
      </c>
      <c r="M160" s="98">
        <f t="shared" ca="1" si="43"/>
        <v>0.69249825881611737</v>
      </c>
      <c r="N160" s="98">
        <f t="shared" ca="1" si="44"/>
        <v>37.987071344064013</v>
      </c>
      <c r="O160" s="67">
        <f>assumptions!M164</f>
        <v>55</v>
      </c>
      <c r="P160" s="68">
        <f>assumptions!N164</f>
        <v>3</v>
      </c>
      <c r="Q160" s="68">
        <f>assumptions!O164</f>
        <v>22</v>
      </c>
      <c r="R160" s="67">
        <f t="shared" si="45"/>
        <v>52.5</v>
      </c>
      <c r="S160" s="68">
        <f t="shared" si="46"/>
        <v>2.3275000000000001</v>
      </c>
      <c r="T160" s="68">
        <f t="shared" si="47"/>
        <v>22</v>
      </c>
      <c r="U160" s="73">
        <f t="shared" ca="1" si="53"/>
        <v>2278.8842653377737</v>
      </c>
      <c r="V160" s="72">
        <f t="shared" ca="1" si="53"/>
        <v>442.07454276654505</v>
      </c>
      <c r="W160" s="72">
        <f t="shared" ca="1" si="48"/>
        <v>835.71556956940833</v>
      </c>
      <c r="X160" s="72">
        <f t="shared" ca="1" si="54"/>
        <v>3556.6743776737271</v>
      </c>
      <c r="Y160" s="73">
        <f>mult_opex * fixed_month</f>
        <v>1000</v>
      </c>
      <c r="Z160" s="72">
        <f ca="1">mult_opex * fixed_well *D160</f>
        <v>5000</v>
      </c>
      <c r="AA160" s="72">
        <f ca="1">(Z160+Y160)*WI_current_2</f>
        <v>0</v>
      </c>
      <c r="AB160" s="72">
        <f ca="1">mult_opex * var_bo*E160</f>
        <v>0</v>
      </c>
      <c r="AC160" s="72">
        <f ca="1">mult_opex * var_mcf*F160</f>
        <v>0</v>
      </c>
      <c r="AD160" s="72">
        <f ca="1">mult_opex * var_bw * G160</f>
        <v>5.539986070528939</v>
      </c>
      <c r="AE160" s="72">
        <f ca="1">SUM(AB160:AD160)*WI_current_2</f>
        <v>0</v>
      </c>
      <c r="AF160" s="73">
        <f ca="1">mult_capex * IFERROR(OFFSET(assumptions!$F$39,MATCH(B160,assumptions!$E$39:$E$45,0)-1,0),0)</f>
        <v>0</v>
      </c>
      <c r="AG160" s="75">
        <f ca="1">mult_capex * capex_new*WI_current_2 *'forecast production'!I161</f>
        <v>0</v>
      </c>
      <c r="AH160" s="146">
        <f t="shared" ca="1" si="55"/>
        <v>0</v>
      </c>
      <c r="AI160" s="73">
        <f t="shared" ca="1" si="49"/>
        <v>200.6629346307341</v>
      </c>
      <c r="AJ160" s="72">
        <f t="shared" ca="1" si="50"/>
        <v>88.916859441843187</v>
      </c>
      <c r="AK160" s="72">
        <f t="shared" ca="1" si="56"/>
        <v>289.57979407257727</v>
      </c>
      <c r="AL160" s="73">
        <f t="shared" ca="1" si="51"/>
        <v>3267.0945836011497</v>
      </c>
      <c r="AM160" s="321">
        <f ca="1">'monthly calculations (1)'!AM160</f>
        <v>1</v>
      </c>
      <c r="AN160" s="73">
        <f t="shared" ca="1" si="57"/>
        <v>3267.0945836011497</v>
      </c>
      <c r="AO160" s="75">
        <f t="shared" ca="1" si="59"/>
        <v>1050910.0970787508</v>
      </c>
      <c r="AP160" s="72">
        <f ca="1">AL160  /  ( 1 + disc_1/12)^(COUNT($AL$6:AL160)-1)</f>
        <v>910.17849527341241</v>
      </c>
      <c r="AQ160" s="72">
        <f t="shared" ca="1" si="60"/>
        <v>695439.1711574517</v>
      </c>
      <c r="AS160" s="303"/>
      <c r="AT160" s="300"/>
      <c r="AU160" s="297"/>
      <c r="AV160" s="303"/>
    </row>
    <row r="161" spans="2:48" x14ac:dyDescent="0.25">
      <c r="B161" s="44">
        <f t="shared" si="58"/>
        <v>48914</v>
      </c>
      <c r="C161" s="100">
        <f t="shared" si="52"/>
        <v>2033</v>
      </c>
      <c r="D161" s="65">
        <f ca="1">wellcount_base  +  SUM('forecast production'!I$7:I162)</f>
        <v>1</v>
      </c>
      <c r="E161" s="109">
        <f ca="1">'forecast production'!AE162</f>
        <v>178.19152879579065</v>
      </c>
      <c r="F161" s="101">
        <f ca="1">'forecast production'!AF162</f>
        <v>1041.4449400115518</v>
      </c>
      <c r="G161" s="101">
        <f ca="1">'forecast production'!AG162</f>
        <v>2.7657939119270809</v>
      </c>
      <c r="H161" s="102">
        <f ca="1">'forecast production'!AH162</f>
        <v>156.21674100173277</v>
      </c>
      <c r="I161" s="308">
        <f ca="1">IF('monthly calculations (1)'!AV160,WI_2_APO, WI_2)</f>
        <v>0</v>
      </c>
      <c r="J161" s="309">
        <f ca="1">IF('monthly calculations (1)'!AV160,NRI_2_APO, NRI_2)</f>
        <v>0.25</v>
      </c>
      <c r="K161" s="113">
        <f t="shared" ca="1" si="41"/>
        <v>44.547882198947661</v>
      </c>
      <c r="L161" s="102">
        <f t="shared" ca="1" si="42"/>
        <v>195.27092625216596</v>
      </c>
      <c r="M161" s="102">
        <f t="shared" ca="1" si="43"/>
        <v>0.69144847798177023</v>
      </c>
      <c r="N161" s="102">
        <f t="shared" ca="1" si="44"/>
        <v>39.054185250433193</v>
      </c>
      <c r="O161" s="103">
        <f>assumptions!M165</f>
        <v>55</v>
      </c>
      <c r="P161" s="104">
        <f>assumptions!N165</f>
        <v>3</v>
      </c>
      <c r="Q161" s="104">
        <f>assumptions!O165</f>
        <v>22</v>
      </c>
      <c r="R161" s="103">
        <f t="shared" si="45"/>
        <v>52.5</v>
      </c>
      <c r="S161" s="104">
        <f t="shared" si="46"/>
        <v>2.3275000000000001</v>
      </c>
      <c r="T161" s="104">
        <f t="shared" si="47"/>
        <v>22</v>
      </c>
      <c r="U161" s="105">
        <f t="shared" ca="1" si="53"/>
        <v>2338.7638154447523</v>
      </c>
      <c r="V161" s="106">
        <f t="shared" ca="1" si="53"/>
        <v>454.49308085191632</v>
      </c>
      <c r="W161" s="106">
        <f t="shared" ca="1" si="48"/>
        <v>859.19207550953024</v>
      </c>
      <c r="X161" s="106">
        <f t="shared" ca="1" si="54"/>
        <v>3652.4489718061986</v>
      </c>
      <c r="Y161" s="105">
        <f>mult_opex * fixed_month</f>
        <v>1000</v>
      </c>
      <c r="Z161" s="106">
        <f ca="1">mult_opex * fixed_well *D161</f>
        <v>5000</v>
      </c>
      <c r="AA161" s="106">
        <f ca="1">(Z161+Y161)*WI_current_2</f>
        <v>0</v>
      </c>
      <c r="AB161" s="106">
        <f ca="1">mult_opex * var_bo*E161</f>
        <v>0</v>
      </c>
      <c r="AC161" s="106">
        <f ca="1">mult_opex * var_mcf*F161</f>
        <v>0</v>
      </c>
      <c r="AD161" s="106">
        <f ca="1">mult_opex * var_bw * G161</f>
        <v>5.5315878238541618</v>
      </c>
      <c r="AE161" s="106">
        <f ca="1">SUM(AB161:AD161)*WI_current_2</f>
        <v>0</v>
      </c>
      <c r="AF161" s="105">
        <f ca="1">mult_capex * IFERROR(OFFSET(assumptions!$F$39,MATCH(B161,assumptions!$E$39:$E$45,0)-1,0),0)</f>
        <v>0</v>
      </c>
      <c r="AG161" s="106">
        <f ca="1">mult_capex * capex_new*WI_current_2 *'forecast production'!I162</f>
        <v>0</v>
      </c>
      <c r="AH161" s="147">
        <f t="shared" ca="1" si="55"/>
        <v>0</v>
      </c>
      <c r="AI161" s="105">
        <f t="shared" ca="1" si="49"/>
        <v>206.10952223756709</v>
      </c>
      <c r="AJ161" s="106">
        <f t="shared" ca="1" si="50"/>
        <v>91.311224295154972</v>
      </c>
      <c r="AK161" s="106">
        <f t="shared" ca="1" si="56"/>
        <v>297.42074653272209</v>
      </c>
      <c r="AL161" s="105">
        <f t="shared" ca="1" si="51"/>
        <v>3355.0282252734764</v>
      </c>
      <c r="AM161" s="322">
        <f ca="1">'monthly calculations (1)'!AM161</f>
        <v>1</v>
      </c>
      <c r="AN161" s="105">
        <f t="shared" ca="1" si="57"/>
        <v>3355.0282252734764</v>
      </c>
      <c r="AO161" s="106">
        <f t="shared" ca="1" si="59"/>
        <v>1054265.1253040244</v>
      </c>
      <c r="AP161" s="106">
        <f ca="1">AL161  /  ( 1 + disc_1/12)^(COUNT($AL$6:AL161)-1)</f>
        <v>926.95129709341018</v>
      </c>
      <c r="AQ161" s="106">
        <f t="shared" ca="1" si="60"/>
        <v>696366.12245454511</v>
      </c>
      <c r="AS161" s="304"/>
      <c r="AT161" s="301"/>
      <c r="AU161" s="298"/>
      <c r="AV161" s="304"/>
    </row>
    <row r="162" spans="2:48" x14ac:dyDescent="0.25">
      <c r="B162" s="43">
        <f t="shared" si="58"/>
        <v>48945</v>
      </c>
      <c r="C162" s="79">
        <f t="shared" si="52"/>
        <v>2034</v>
      </c>
      <c r="D162" s="64">
        <f ca="1">wellcount_base  +  SUM('forecast production'!I$7:I163)</f>
        <v>1</v>
      </c>
      <c r="E162" s="110">
        <f ca="1">'forecast production'!AE163</f>
        <v>176.93408296682492</v>
      </c>
      <c r="F162" s="98">
        <f ca="1">'forecast production'!AF163</f>
        <v>1035.9863240220734</v>
      </c>
      <c r="G162" s="98">
        <f ca="1">'forecast production'!AG163</f>
        <v>2.6694793001952184</v>
      </c>
      <c r="H162" s="98">
        <f ca="1">'forecast production'!AH163</f>
        <v>155.39794860331105</v>
      </c>
      <c r="I162" s="307">
        <f ca="1">IF('monthly calculations (1)'!AV161,WI_2_APO, WI_2)</f>
        <v>0</v>
      </c>
      <c r="J162" s="306">
        <f ca="1">IF('monthly calculations (1)'!AV161,NRI_2_APO, NRI_2)</f>
        <v>0.25</v>
      </c>
      <c r="K162" s="112">
        <f t="shared" ca="1" si="41"/>
        <v>44.233520741706229</v>
      </c>
      <c r="L162" s="98">
        <f t="shared" ca="1" si="42"/>
        <v>194.24743575413876</v>
      </c>
      <c r="M162" s="98">
        <f t="shared" ca="1" si="43"/>
        <v>0.6673698250488046</v>
      </c>
      <c r="N162" s="98">
        <f t="shared" ca="1" si="44"/>
        <v>38.849487150827763</v>
      </c>
      <c r="O162" s="67">
        <f>assumptions!M166</f>
        <v>55</v>
      </c>
      <c r="P162" s="68">
        <f>assumptions!N166</f>
        <v>3</v>
      </c>
      <c r="Q162" s="68">
        <f>assumptions!O166</f>
        <v>22</v>
      </c>
      <c r="R162" s="67">
        <f t="shared" si="45"/>
        <v>52.5</v>
      </c>
      <c r="S162" s="68">
        <f t="shared" si="46"/>
        <v>2.3275000000000001</v>
      </c>
      <c r="T162" s="68">
        <f t="shared" si="47"/>
        <v>22</v>
      </c>
      <c r="U162" s="73">
        <f t="shared" ca="1" si="53"/>
        <v>2322.2598389395771</v>
      </c>
      <c r="V162" s="72">
        <f t="shared" ca="1" si="53"/>
        <v>452.11090671775798</v>
      </c>
      <c r="W162" s="72">
        <f t="shared" ca="1" si="48"/>
        <v>854.68871731821082</v>
      </c>
      <c r="X162" s="72">
        <f t="shared" ca="1" si="54"/>
        <v>3629.059462975546</v>
      </c>
      <c r="Y162" s="73">
        <f>mult_opex * fixed_month</f>
        <v>1000</v>
      </c>
      <c r="Z162" s="72">
        <f ca="1">mult_opex * fixed_well *D162</f>
        <v>5000</v>
      </c>
      <c r="AA162" s="72">
        <f ca="1">(Z162+Y162)*WI_current_2</f>
        <v>0</v>
      </c>
      <c r="AB162" s="72">
        <f ca="1">mult_opex * var_bo*E162</f>
        <v>0</v>
      </c>
      <c r="AC162" s="72">
        <f ca="1">mult_opex * var_mcf*F162</f>
        <v>0</v>
      </c>
      <c r="AD162" s="72">
        <f ca="1">mult_opex * var_bw * G162</f>
        <v>5.3389586003904368</v>
      </c>
      <c r="AE162" s="72">
        <f ca="1">SUM(AB162:AD162)*WI_current_2</f>
        <v>0</v>
      </c>
      <c r="AF162" s="73">
        <f ca="1">mult_capex * IFERROR(OFFSET(assumptions!$F$39,MATCH(B162,assumptions!$E$39:$E$45,0)-1,0),0)</f>
        <v>0</v>
      </c>
      <c r="AG162" s="75">
        <f ca="1">mult_capex * capex_new*WI_current_2 *'forecast production'!I163</f>
        <v>0</v>
      </c>
      <c r="AH162" s="146">
        <f t="shared" ca="1" si="55"/>
        <v>0</v>
      </c>
      <c r="AI162" s="73">
        <f t="shared" ca="1" si="49"/>
        <v>204.83392439391821</v>
      </c>
      <c r="AJ162" s="72">
        <f t="shared" ca="1" si="50"/>
        <v>90.726486574388659</v>
      </c>
      <c r="AK162" s="72">
        <f t="shared" ca="1" si="56"/>
        <v>295.56041096830688</v>
      </c>
      <c r="AL162" s="73">
        <f t="shared" ca="1" si="51"/>
        <v>3333.4990520072392</v>
      </c>
      <c r="AM162" s="321">
        <f ca="1">'monthly calculations (1)'!AM162</f>
        <v>1</v>
      </c>
      <c r="AN162" s="73">
        <f t="shared" ca="1" si="57"/>
        <v>3333.4990520072392</v>
      </c>
      <c r="AO162" s="75">
        <f t="shared" ca="1" si="59"/>
        <v>1057598.6243560317</v>
      </c>
      <c r="AP162" s="72">
        <f ca="1">AL162  /  ( 1 + disc_1/12)^(COUNT($AL$6:AL162)-1)</f>
        <v>913.3914669028203</v>
      </c>
      <c r="AQ162" s="72">
        <f t="shared" ca="1" si="60"/>
        <v>697279.51392144791</v>
      </c>
      <c r="AS162" s="303"/>
      <c r="AT162" s="300"/>
      <c r="AU162" s="297"/>
      <c r="AV162" s="303"/>
    </row>
    <row r="163" spans="2:48" x14ac:dyDescent="0.25">
      <c r="B163" s="43">
        <f t="shared" si="58"/>
        <v>48976</v>
      </c>
      <c r="C163" s="79">
        <f t="shared" si="52"/>
        <v>2034</v>
      </c>
      <c r="D163" s="64">
        <f ca="1">wellcount_base  +  SUM('forecast production'!I$7:I164)</f>
        <v>1</v>
      </c>
      <c r="E163" s="110">
        <f ca="1">'forecast production'!AE164</f>
        <v>158.68368696429204</v>
      </c>
      <c r="F163" s="98">
        <f ca="1">'forecast production'!AF164</f>
        <v>930.82506209820428</v>
      </c>
      <c r="G163" s="98">
        <f ca="1">'forecast production'!AG164</f>
        <v>2.327192796158839</v>
      </c>
      <c r="H163" s="98">
        <f ca="1">'forecast production'!AH164</f>
        <v>139.62375931473062</v>
      </c>
      <c r="I163" s="307">
        <f ca="1">IF('monthly calculations (1)'!AV162,WI_2_APO, WI_2)</f>
        <v>0</v>
      </c>
      <c r="J163" s="306">
        <f ca="1">IF('monthly calculations (1)'!AV162,NRI_2_APO, NRI_2)</f>
        <v>0.25</v>
      </c>
      <c r="K163" s="112">
        <f t="shared" ca="1" si="41"/>
        <v>39.670921741073009</v>
      </c>
      <c r="L163" s="98">
        <f t="shared" ca="1" si="42"/>
        <v>174.5296991434133</v>
      </c>
      <c r="M163" s="98">
        <f t="shared" ca="1" si="43"/>
        <v>0.58179819903970975</v>
      </c>
      <c r="N163" s="98">
        <f t="shared" ca="1" si="44"/>
        <v>34.905939828682655</v>
      </c>
      <c r="O163" s="67">
        <f>assumptions!M167</f>
        <v>55</v>
      </c>
      <c r="P163" s="68">
        <f>assumptions!N167</f>
        <v>3</v>
      </c>
      <c r="Q163" s="68">
        <f>assumptions!O167</f>
        <v>22</v>
      </c>
      <c r="R163" s="67">
        <f t="shared" si="45"/>
        <v>52.5</v>
      </c>
      <c r="S163" s="68">
        <f t="shared" si="46"/>
        <v>2.3275000000000001</v>
      </c>
      <c r="T163" s="68">
        <f t="shared" si="47"/>
        <v>22</v>
      </c>
      <c r="U163" s="73">
        <f t="shared" ca="1" si="53"/>
        <v>2082.7233914063331</v>
      </c>
      <c r="V163" s="72">
        <f t="shared" ca="1" si="53"/>
        <v>406.21787475629446</v>
      </c>
      <c r="W163" s="72">
        <f t="shared" ca="1" si="48"/>
        <v>767.93067623101842</v>
      </c>
      <c r="X163" s="72">
        <f t="shared" ca="1" si="54"/>
        <v>3256.8719423936459</v>
      </c>
      <c r="Y163" s="73">
        <f>mult_opex * fixed_month</f>
        <v>1000</v>
      </c>
      <c r="Z163" s="72">
        <f ca="1">mult_opex * fixed_well *D163</f>
        <v>5000</v>
      </c>
      <c r="AA163" s="72">
        <f ca="1">(Z163+Y163)*WI_current_2</f>
        <v>0</v>
      </c>
      <c r="AB163" s="72">
        <f ca="1">mult_opex * var_bo*E163</f>
        <v>0</v>
      </c>
      <c r="AC163" s="72">
        <f ca="1">mult_opex * var_mcf*F163</f>
        <v>0</v>
      </c>
      <c r="AD163" s="72">
        <f ca="1">mult_opex * var_bw * G163</f>
        <v>4.654385592317678</v>
      </c>
      <c r="AE163" s="72">
        <f ca="1">SUM(AB163:AD163)*WI_current_2</f>
        <v>0</v>
      </c>
      <c r="AF163" s="73">
        <f ca="1">mult_capex * IFERROR(OFFSET(assumptions!$F$39,MATCH(B163,assumptions!$E$39:$E$45,0)-1,0),0)</f>
        <v>0</v>
      </c>
      <c r="AG163" s="75">
        <f ca="1">mult_capex * capex_new*WI_current_2 *'forecast production'!I164</f>
        <v>0</v>
      </c>
      <c r="AH163" s="146">
        <f t="shared" ca="1" si="55"/>
        <v>0</v>
      </c>
      <c r="AI163" s="73">
        <f t="shared" ca="1" si="49"/>
        <v>183.86641732873977</v>
      </c>
      <c r="AJ163" s="72">
        <f t="shared" ca="1" si="50"/>
        <v>81.42179855984115</v>
      </c>
      <c r="AK163" s="72">
        <f t="shared" ca="1" si="56"/>
        <v>265.28821588858091</v>
      </c>
      <c r="AL163" s="73">
        <f t="shared" ca="1" si="51"/>
        <v>2991.583726505065</v>
      </c>
      <c r="AM163" s="321">
        <f ca="1">'monthly calculations (1)'!AM163</f>
        <v>1</v>
      </c>
      <c r="AN163" s="73">
        <f t="shared" ca="1" si="57"/>
        <v>2991.583726505065</v>
      </c>
      <c r="AO163" s="75">
        <f t="shared" ca="1" si="59"/>
        <v>1060590.2080825367</v>
      </c>
      <c r="AP163" s="72">
        <f ca="1">AL163  /  ( 1 + disc_1/12)^(COUNT($AL$6:AL163)-1)</f>
        <v>812.93093786660597</v>
      </c>
      <c r="AQ163" s="72">
        <f t="shared" ca="1" si="60"/>
        <v>698092.44485931448</v>
      </c>
      <c r="AS163" s="303"/>
      <c r="AT163" s="300"/>
      <c r="AU163" s="297"/>
      <c r="AV163" s="303"/>
    </row>
    <row r="164" spans="2:48" x14ac:dyDescent="0.25">
      <c r="B164" s="43">
        <f t="shared" si="58"/>
        <v>49004</v>
      </c>
      <c r="C164" s="79">
        <f t="shared" si="52"/>
        <v>2034</v>
      </c>
      <c r="D164" s="64">
        <f ca="1">wellcount_base  +  SUM('forecast production'!I$7:I165)</f>
        <v>1</v>
      </c>
      <c r="E164" s="110">
        <f ca="1">'forecast production'!AE165</f>
        <v>174.5653425639895</v>
      </c>
      <c r="F164" s="98">
        <f ca="1">'forecast production'!AF165</f>
        <v>1025.6762646337356</v>
      </c>
      <c r="G164" s="98">
        <f ca="1">'forecast production'!AG165</f>
        <v>2.4953831889539604</v>
      </c>
      <c r="H164" s="98">
        <f ca="1">'forecast production'!AH165</f>
        <v>153.85143969506032</v>
      </c>
      <c r="I164" s="307">
        <f ca="1">IF('monthly calculations (1)'!AV163,WI_2_APO, WI_2)</f>
        <v>0</v>
      </c>
      <c r="J164" s="306">
        <f ca="1">IF('monthly calculations (1)'!AV163,NRI_2_APO, NRI_2)</f>
        <v>0.25</v>
      </c>
      <c r="K164" s="112">
        <f t="shared" ca="1" si="41"/>
        <v>43.641335640997376</v>
      </c>
      <c r="L164" s="98">
        <f t="shared" ca="1" si="42"/>
        <v>192.31429961882543</v>
      </c>
      <c r="M164" s="98">
        <f t="shared" ca="1" si="43"/>
        <v>0.6238457972384901</v>
      </c>
      <c r="N164" s="98">
        <f t="shared" ca="1" si="44"/>
        <v>38.46285992376508</v>
      </c>
      <c r="O164" s="67">
        <f>assumptions!M168</f>
        <v>55</v>
      </c>
      <c r="P164" s="68">
        <f>assumptions!N168</f>
        <v>3</v>
      </c>
      <c r="Q164" s="68">
        <f>assumptions!O168</f>
        <v>22</v>
      </c>
      <c r="R164" s="67">
        <f t="shared" si="45"/>
        <v>52.5</v>
      </c>
      <c r="S164" s="68">
        <f t="shared" si="46"/>
        <v>2.3275000000000001</v>
      </c>
      <c r="T164" s="68">
        <f t="shared" si="47"/>
        <v>22</v>
      </c>
      <c r="U164" s="73">
        <f t="shared" ca="1" si="53"/>
        <v>2291.1701211523623</v>
      </c>
      <c r="V164" s="72">
        <f t="shared" ca="1" si="53"/>
        <v>447.61153236281621</v>
      </c>
      <c r="W164" s="72">
        <f t="shared" ca="1" si="48"/>
        <v>846.18291832283171</v>
      </c>
      <c r="X164" s="72">
        <f t="shared" ca="1" si="54"/>
        <v>3584.9645718380107</v>
      </c>
      <c r="Y164" s="73">
        <f>mult_opex * fixed_month</f>
        <v>1000</v>
      </c>
      <c r="Z164" s="72">
        <f ca="1">mult_opex * fixed_well *D164</f>
        <v>5000</v>
      </c>
      <c r="AA164" s="72">
        <f ca="1">(Z164+Y164)*WI_current_2</f>
        <v>0</v>
      </c>
      <c r="AB164" s="72">
        <f ca="1">mult_opex * var_bo*E164</f>
        <v>0</v>
      </c>
      <c r="AC164" s="72">
        <f ca="1">mult_opex * var_mcf*F164</f>
        <v>0</v>
      </c>
      <c r="AD164" s="72">
        <f ca="1">mult_opex * var_bw * G164</f>
        <v>4.9907663779079208</v>
      </c>
      <c r="AE164" s="72">
        <f ca="1">SUM(AB164:AD164)*WI_current_2</f>
        <v>0</v>
      </c>
      <c r="AF164" s="73">
        <f ca="1">mult_capex * IFERROR(OFFSET(assumptions!$F$39,MATCH(B164,assumptions!$E$39:$E$45,0)-1,0),0)</f>
        <v>0</v>
      </c>
      <c r="AG164" s="75">
        <f ca="1">mult_capex * capex_new*WI_current_2 *'forecast production'!I165</f>
        <v>0</v>
      </c>
      <c r="AH164" s="146">
        <f t="shared" ca="1" si="55"/>
        <v>0</v>
      </c>
      <c r="AI164" s="73">
        <f t="shared" ca="1" si="49"/>
        <v>202.42840937443225</v>
      </c>
      <c r="AJ164" s="72">
        <f t="shared" ca="1" si="50"/>
        <v>89.624114295950278</v>
      </c>
      <c r="AK164" s="72">
        <f t="shared" ca="1" si="56"/>
        <v>292.05252367038253</v>
      </c>
      <c r="AL164" s="73">
        <f t="shared" ca="1" si="51"/>
        <v>3292.9120481676282</v>
      </c>
      <c r="AM164" s="321">
        <f ca="1">'monthly calculations (1)'!AM164</f>
        <v>1</v>
      </c>
      <c r="AN164" s="73">
        <f t="shared" ca="1" si="57"/>
        <v>3292.9120481676282</v>
      </c>
      <c r="AO164" s="75">
        <f t="shared" ca="1" si="59"/>
        <v>1063883.1201307043</v>
      </c>
      <c r="AP164" s="72">
        <f ca="1">AL164  /  ( 1 + disc_1/12)^(COUNT($AL$6:AL164)-1)</f>
        <v>887.41853764929988</v>
      </c>
      <c r="AQ164" s="72">
        <f t="shared" ca="1" si="60"/>
        <v>698979.8633969638</v>
      </c>
      <c r="AS164" s="303"/>
      <c r="AT164" s="300"/>
      <c r="AU164" s="297"/>
      <c r="AV164" s="303"/>
    </row>
    <row r="165" spans="2:48" x14ac:dyDescent="0.25">
      <c r="B165" s="43">
        <f t="shared" si="58"/>
        <v>49035</v>
      </c>
      <c r="C165" s="79">
        <f t="shared" si="52"/>
        <v>2034</v>
      </c>
      <c r="D165" s="64">
        <f ca="1">wellcount_base  +  SUM('forecast production'!I$7:I166)</f>
        <v>1</v>
      </c>
      <c r="E165" s="110">
        <f ca="1">'forecast production'!AE166</f>
        <v>167.74208291355831</v>
      </c>
      <c r="F165" s="98">
        <f ca="1">'forecast production'!AF166</f>
        <v>987.38738552389123</v>
      </c>
      <c r="G165" s="98">
        <f ca="1">'forecast production'!AG166</f>
        <v>2.3308346362703904</v>
      </c>
      <c r="H165" s="98">
        <f ca="1">'forecast production'!AH166</f>
        <v>148.10810782858368</v>
      </c>
      <c r="I165" s="307">
        <f ca="1">IF('monthly calculations (1)'!AV164,WI_2_APO, WI_2)</f>
        <v>0</v>
      </c>
      <c r="J165" s="306">
        <f ca="1">IF('monthly calculations (1)'!AV164,NRI_2_APO, NRI_2)</f>
        <v>0.25</v>
      </c>
      <c r="K165" s="112">
        <f t="shared" ca="1" si="41"/>
        <v>41.935520728389577</v>
      </c>
      <c r="L165" s="98">
        <f t="shared" ca="1" si="42"/>
        <v>185.1351347857296</v>
      </c>
      <c r="M165" s="98">
        <f t="shared" ca="1" si="43"/>
        <v>0.58270865906759761</v>
      </c>
      <c r="N165" s="98">
        <f t="shared" ca="1" si="44"/>
        <v>37.027026957145921</v>
      </c>
      <c r="O165" s="67">
        <f>assumptions!M169</f>
        <v>55</v>
      </c>
      <c r="P165" s="68">
        <f>assumptions!N169</f>
        <v>3</v>
      </c>
      <c r="Q165" s="68">
        <f>assumptions!O169</f>
        <v>22</v>
      </c>
      <c r="R165" s="67">
        <f t="shared" si="45"/>
        <v>52.5</v>
      </c>
      <c r="S165" s="68">
        <f t="shared" si="46"/>
        <v>2.3275000000000001</v>
      </c>
      <c r="T165" s="68">
        <f t="shared" si="47"/>
        <v>22</v>
      </c>
      <c r="U165" s="73">
        <f t="shared" ca="1" si="53"/>
        <v>2201.6148382404526</v>
      </c>
      <c r="V165" s="72">
        <f t="shared" ca="1" si="53"/>
        <v>430.90202621378569</v>
      </c>
      <c r="W165" s="72">
        <f t="shared" ca="1" si="48"/>
        <v>814.5945930572102</v>
      </c>
      <c r="X165" s="72">
        <f t="shared" ca="1" si="54"/>
        <v>3447.1114575114484</v>
      </c>
      <c r="Y165" s="73">
        <f>mult_opex * fixed_month</f>
        <v>1000</v>
      </c>
      <c r="Z165" s="72">
        <f ca="1">mult_opex * fixed_well *D165</f>
        <v>5000</v>
      </c>
      <c r="AA165" s="72">
        <f ca="1">(Z165+Y165)*WI_current_2</f>
        <v>0</v>
      </c>
      <c r="AB165" s="72">
        <f ca="1">mult_opex * var_bo*E165</f>
        <v>0</v>
      </c>
      <c r="AC165" s="72">
        <f ca="1">mult_opex * var_mcf*F165</f>
        <v>0</v>
      </c>
      <c r="AD165" s="72">
        <f ca="1">mult_opex * var_bw * G165</f>
        <v>4.6616692725407809</v>
      </c>
      <c r="AE165" s="72">
        <f ca="1">SUM(AB165:AD165)*WI_current_2</f>
        <v>0</v>
      </c>
      <c r="AF165" s="73">
        <f ca="1">mult_capex * IFERROR(OFFSET(assumptions!$F$39,MATCH(B165,assumptions!$E$39:$E$45,0)-1,0),0)</f>
        <v>0</v>
      </c>
      <c r="AG165" s="75">
        <f ca="1">mult_capex * capex_new*WI_current_2 *'forecast production'!I166</f>
        <v>0</v>
      </c>
      <c r="AH165" s="146">
        <f t="shared" ca="1" si="55"/>
        <v>0</v>
      </c>
      <c r="AI165" s="73">
        <f t="shared" ca="1" si="49"/>
        <v>194.68652900438553</v>
      </c>
      <c r="AJ165" s="72">
        <f t="shared" ca="1" si="50"/>
        <v>86.17778643778621</v>
      </c>
      <c r="AK165" s="72">
        <f t="shared" ca="1" si="56"/>
        <v>280.86431544217174</v>
      </c>
      <c r="AL165" s="73">
        <f t="shared" ca="1" si="51"/>
        <v>3166.2471420692768</v>
      </c>
      <c r="AM165" s="321">
        <f ca="1">'monthly calculations (1)'!AM165</f>
        <v>1</v>
      </c>
      <c r="AN165" s="73">
        <f t="shared" ca="1" si="57"/>
        <v>3166.2471420692768</v>
      </c>
      <c r="AO165" s="75">
        <f t="shared" ca="1" si="59"/>
        <v>1067049.3672727735</v>
      </c>
      <c r="AP165" s="72">
        <f ca="1">AL165  /  ( 1 + disc_1/12)^(COUNT($AL$6:AL165)-1)</f>
        <v>846.23123624692391</v>
      </c>
      <c r="AQ165" s="72">
        <f t="shared" ca="1" si="60"/>
        <v>699826.09463321068</v>
      </c>
      <c r="AS165" s="303"/>
      <c r="AT165" s="300"/>
      <c r="AU165" s="297"/>
      <c r="AV165" s="303"/>
    </row>
    <row r="166" spans="2:48" x14ac:dyDescent="0.25">
      <c r="B166" s="43">
        <f t="shared" si="58"/>
        <v>49065</v>
      </c>
      <c r="C166" s="79">
        <f t="shared" si="52"/>
        <v>2034</v>
      </c>
      <c r="D166" s="64">
        <f ca="1">wellcount_base  +  SUM('forecast production'!I$7:I167)</f>
        <v>1</v>
      </c>
      <c r="E166" s="110">
        <f ca="1">'forecast production'!AE167</f>
        <v>172.14964349557084</v>
      </c>
      <c r="F166" s="98">
        <f ca="1">'forecast production'!AF167</f>
        <v>1015.1245806480606</v>
      </c>
      <c r="G166" s="98">
        <f ca="1">'forecast production'!AG167</f>
        <v>2.3273701243704767</v>
      </c>
      <c r="H166" s="98">
        <f ca="1">'forecast production'!AH167</f>
        <v>152.26868709720907</v>
      </c>
      <c r="I166" s="307">
        <f ca="1">IF('monthly calculations (1)'!AV165,WI_2_APO, WI_2)</f>
        <v>0</v>
      </c>
      <c r="J166" s="306">
        <f ca="1">IF('monthly calculations (1)'!AV165,NRI_2_APO, NRI_2)</f>
        <v>0.25</v>
      </c>
      <c r="K166" s="112">
        <f t="shared" ca="1" si="41"/>
        <v>43.037410873892711</v>
      </c>
      <c r="L166" s="98">
        <f t="shared" ca="1" si="42"/>
        <v>190.33585887151136</v>
      </c>
      <c r="M166" s="98">
        <f t="shared" ca="1" si="43"/>
        <v>0.58184253109261919</v>
      </c>
      <c r="N166" s="98">
        <f t="shared" ca="1" si="44"/>
        <v>38.067171774302267</v>
      </c>
      <c r="O166" s="67">
        <f>assumptions!M170</f>
        <v>55</v>
      </c>
      <c r="P166" s="68">
        <f>assumptions!N170</f>
        <v>3</v>
      </c>
      <c r="Q166" s="68">
        <f>assumptions!O170</f>
        <v>22</v>
      </c>
      <c r="R166" s="67">
        <f t="shared" si="45"/>
        <v>52.5</v>
      </c>
      <c r="S166" s="68">
        <f t="shared" si="46"/>
        <v>2.3275000000000001</v>
      </c>
      <c r="T166" s="68">
        <f t="shared" si="47"/>
        <v>22</v>
      </c>
      <c r="U166" s="73">
        <f t="shared" ca="1" si="53"/>
        <v>2259.4640708793672</v>
      </c>
      <c r="V166" s="72">
        <f t="shared" ca="1" si="53"/>
        <v>443.00671152344273</v>
      </c>
      <c r="W166" s="72">
        <f t="shared" ca="1" si="48"/>
        <v>837.47777903464987</v>
      </c>
      <c r="X166" s="72">
        <f t="shared" ca="1" si="54"/>
        <v>3539.9485614374598</v>
      </c>
      <c r="Y166" s="73">
        <f>mult_opex * fixed_month</f>
        <v>1000</v>
      </c>
      <c r="Z166" s="72">
        <f ca="1">mult_opex * fixed_well *D166</f>
        <v>5000</v>
      </c>
      <c r="AA166" s="72">
        <f ca="1">(Z166+Y166)*WI_current_2</f>
        <v>0</v>
      </c>
      <c r="AB166" s="72">
        <f ca="1">mult_opex * var_bo*E166</f>
        <v>0</v>
      </c>
      <c r="AC166" s="72">
        <f ca="1">mult_opex * var_mcf*F166</f>
        <v>0</v>
      </c>
      <c r="AD166" s="72">
        <f ca="1">mult_opex * var_bw * G166</f>
        <v>4.6547402487409535</v>
      </c>
      <c r="AE166" s="72">
        <f ca="1">SUM(AB166:AD166)*WI_current_2</f>
        <v>0</v>
      </c>
      <c r="AF166" s="73">
        <f ca="1">mult_capex * IFERROR(OFFSET(assumptions!$F$39,MATCH(B166,assumptions!$E$39:$E$45,0)-1,0),0)</f>
        <v>0</v>
      </c>
      <c r="AG166" s="75">
        <f ca="1">mult_capex * capex_new*WI_current_2 *'forecast production'!I167</f>
        <v>0</v>
      </c>
      <c r="AH166" s="146">
        <f t="shared" ca="1" si="55"/>
        <v>0</v>
      </c>
      <c r="AI166" s="73">
        <f t="shared" ca="1" si="49"/>
        <v>199.97168405230784</v>
      </c>
      <c r="AJ166" s="72">
        <f t="shared" ca="1" si="50"/>
        <v>88.498714035936501</v>
      </c>
      <c r="AK166" s="72">
        <f t="shared" ca="1" si="56"/>
        <v>288.47039808824434</v>
      </c>
      <c r="AL166" s="73">
        <f t="shared" ca="1" si="51"/>
        <v>3251.4781633492157</v>
      </c>
      <c r="AM166" s="321">
        <f ca="1">'monthly calculations (1)'!AM166</f>
        <v>1</v>
      </c>
      <c r="AN166" s="73">
        <f t="shared" ca="1" si="57"/>
        <v>3251.4781633492157</v>
      </c>
      <c r="AO166" s="75">
        <f t="shared" ca="1" si="59"/>
        <v>1070300.8454361227</v>
      </c>
      <c r="AP166" s="72">
        <f ca="1">AL166  /  ( 1 + disc_1/12)^(COUNT($AL$6:AL166)-1)</f>
        <v>861.828712107</v>
      </c>
      <c r="AQ166" s="72">
        <f t="shared" ca="1" si="60"/>
        <v>700687.92334531771</v>
      </c>
      <c r="AS166" s="303"/>
      <c r="AT166" s="300"/>
      <c r="AU166" s="297"/>
      <c r="AV166" s="303"/>
    </row>
    <row r="167" spans="2:48" x14ac:dyDescent="0.25">
      <c r="B167" s="43">
        <f t="shared" si="58"/>
        <v>49096</v>
      </c>
      <c r="C167" s="79">
        <f t="shared" si="52"/>
        <v>2034</v>
      </c>
      <c r="D167" s="64">
        <f ca="1">wellcount_base  +  SUM('forecast production'!I$7:I168)</f>
        <v>1</v>
      </c>
      <c r="E167" s="110">
        <f ca="1">'forecast production'!AE168</f>
        <v>165.42080660820949</v>
      </c>
      <c r="F167" s="98">
        <f ca="1">'forecast production'!AF168</f>
        <v>977.22959985337047</v>
      </c>
      <c r="G167" s="98">
        <f ca="1">'forecast production'!AG168</f>
        <v>2.1739273875072707</v>
      </c>
      <c r="H167" s="98">
        <f ca="1">'forecast production'!AH168</f>
        <v>146.58443997800555</v>
      </c>
      <c r="I167" s="307">
        <f ca="1">IF('monthly calculations (1)'!AV166,WI_2_APO, WI_2)</f>
        <v>0</v>
      </c>
      <c r="J167" s="306">
        <f ca="1">IF('monthly calculations (1)'!AV166,NRI_2_APO, NRI_2)</f>
        <v>0.25</v>
      </c>
      <c r="K167" s="112">
        <f t="shared" ca="1" si="41"/>
        <v>41.355201652052372</v>
      </c>
      <c r="L167" s="98">
        <f t="shared" ca="1" si="42"/>
        <v>183.23054997250696</v>
      </c>
      <c r="M167" s="98">
        <f t="shared" ca="1" si="43"/>
        <v>0.54348184687681766</v>
      </c>
      <c r="N167" s="98">
        <f t="shared" ca="1" si="44"/>
        <v>36.646109994501387</v>
      </c>
      <c r="O167" s="67">
        <f>assumptions!M171</f>
        <v>55</v>
      </c>
      <c r="P167" s="68">
        <f>assumptions!N171</f>
        <v>3</v>
      </c>
      <c r="Q167" s="68">
        <f>assumptions!O171</f>
        <v>22</v>
      </c>
      <c r="R167" s="67">
        <f t="shared" si="45"/>
        <v>52.5</v>
      </c>
      <c r="S167" s="68">
        <f t="shared" si="46"/>
        <v>2.3275000000000001</v>
      </c>
      <c r="T167" s="68">
        <f t="shared" si="47"/>
        <v>22</v>
      </c>
      <c r="U167" s="73">
        <f t="shared" ca="1" si="53"/>
        <v>2171.1480867327496</v>
      </c>
      <c r="V167" s="72">
        <f t="shared" ca="1" si="53"/>
        <v>426.46910506101</v>
      </c>
      <c r="W167" s="72">
        <f t="shared" ca="1" si="48"/>
        <v>806.21441987903052</v>
      </c>
      <c r="X167" s="72">
        <f t="shared" ca="1" si="54"/>
        <v>3403.8316116727901</v>
      </c>
      <c r="Y167" s="73">
        <f>mult_opex * fixed_month</f>
        <v>1000</v>
      </c>
      <c r="Z167" s="72">
        <f ca="1">mult_opex * fixed_well *D167</f>
        <v>5000</v>
      </c>
      <c r="AA167" s="72">
        <f ca="1">(Z167+Y167)*WI_current_2</f>
        <v>0</v>
      </c>
      <c r="AB167" s="72">
        <f ca="1">mult_opex * var_bo*E167</f>
        <v>0</v>
      </c>
      <c r="AC167" s="72">
        <f ca="1">mult_opex * var_mcf*F167</f>
        <v>0</v>
      </c>
      <c r="AD167" s="72">
        <f ca="1">mult_opex * var_bw * G167</f>
        <v>4.3478547750145413</v>
      </c>
      <c r="AE167" s="72">
        <f ca="1">SUM(AB167:AD167)*WI_current_2</f>
        <v>0</v>
      </c>
      <c r="AF167" s="73">
        <f ca="1">mult_capex * IFERROR(OFFSET(assumptions!$F$39,MATCH(B167,assumptions!$E$39:$E$45,0)-1,0),0)</f>
        <v>0</v>
      </c>
      <c r="AG167" s="75">
        <f ca="1">mult_capex * capex_new*WI_current_2 *'forecast production'!I168</f>
        <v>0</v>
      </c>
      <c r="AH167" s="146">
        <f t="shared" ca="1" si="55"/>
        <v>0</v>
      </c>
      <c r="AI167" s="73">
        <f t="shared" ca="1" si="49"/>
        <v>192.32407636020952</v>
      </c>
      <c r="AJ167" s="72">
        <f t="shared" ca="1" si="50"/>
        <v>85.095790291819753</v>
      </c>
      <c r="AK167" s="72">
        <f t="shared" ca="1" si="56"/>
        <v>277.41986665202927</v>
      </c>
      <c r="AL167" s="73">
        <f t="shared" ca="1" si="51"/>
        <v>3126.4117450207609</v>
      </c>
      <c r="AM167" s="321">
        <f ca="1">'monthly calculations (1)'!AM167</f>
        <v>1</v>
      </c>
      <c r="AN167" s="73">
        <f t="shared" ca="1" si="57"/>
        <v>3126.4117450207609</v>
      </c>
      <c r="AO167" s="75">
        <f t="shared" ca="1" si="59"/>
        <v>1073427.2571811434</v>
      </c>
      <c r="AP167" s="72">
        <f ca="1">AL167  /  ( 1 + disc_1/12)^(COUNT($AL$6:AL167)-1)</f>
        <v>821.8303323347302</v>
      </c>
      <c r="AQ167" s="72">
        <f t="shared" ca="1" si="60"/>
        <v>701509.75367765245</v>
      </c>
      <c r="AS167" s="303"/>
      <c r="AT167" s="300"/>
      <c r="AU167" s="297"/>
      <c r="AV167" s="303"/>
    </row>
    <row r="168" spans="2:48" x14ac:dyDescent="0.25">
      <c r="B168" s="43">
        <f t="shared" si="58"/>
        <v>49126</v>
      </c>
      <c r="C168" s="79">
        <f t="shared" si="52"/>
        <v>2034</v>
      </c>
      <c r="D168" s="64">
        <f ca="1">wellcount_base  +  SUM('forecast production'!I$7:I169)</f>
        <v>1</v>
      </c>
      <c r="E168" s="110">
        <f ca="1">'forecast production'!AE169</f>
        <v>169.76737375455158</v>
      </c>
      <c r="F168" s="98">
        <f ca="1">'forecast production'!AF169</f>
        <v>1004.6814475168536</v>
      </c>
      <c r="G168" s="98">
        <f ca="1">'forecast production'!AG169</f>
        <v>2.1707220202423816</v>
      </c>
      <c r="H168" s="98">
        <f ca="1">'forecast production'!AH169</f>
        <v>150.70221712752803</v>
      </c>
      <c r="I168" s="307">
        <f ca="1">IF('monthly calculations (1)'!AV167,WI_2_APO, WI_2)</f>
        <v>0</v>
      </c>
      <c r="J168" s="306">
        <f ca="1">IF('monthly calculations (1)'!AV167,NRI_2_APO, NRI_2)</f>
        <v>0.25</v>
      </c>
      <c r="K168" s="112">
        <f t="shared" ca="1" si="41"/>
        <v>42.441843438637896</v>
      </c>
      <c r="L168" s="98">
        <f t="shared" ca="1" si="42"/>
        <v>188.37777140941006</v>
      </c>
      <c r="M168" s="98">
        <f t="shared" ca="1" si="43"/>
        <v>0.5426805050605954</v>
      </c>
      <c r="N168" s="98">
        <f t="shared" ca="1" si="44"/>
        <v>37.675554281882008</v>
      </c>
      <c r="O168" s="67">
        <f>assumptions!M172</f>
        <v>55</v>
      </c>
      <c r="P168" s="68">
        <f>assumptions!N172</f>
        <v>3</v>
      </c>
      <c r="Q168" s="68">
        <f>assumptions!O172</f>
        <v>22</v>
      </c>
      <c r="R168" s="67">
        <f t="shared" si="45"/>
        <v>52.5</v>
      </c>
      <c r="S168" s="68">
        <f t="shared" si="46"/>
        <v>2.3275000000000001</v>
      </c>
      <c r="T168" s="68">
        <f t="shared" si="47"/>
        <v>22</v>
      </c>
      <c r="U168" s="73">
        <f t="shared" ca="1" si="53"/>
        <v>2228.1967805284894</v>
      </c>
      <c r="V168" s="72">
        <f t="shared" ca="1" si="53"/>
        <v>438.44926295540193</v>
      </c>
      <c r="W168" s="72">
        <f t="shared" ca="1" si="48"/>
        <v>828.86219420140412</v>
      </c>
      <c r="X168" s="72">
        <f t="shared" ca="1" si="54"/>
        <v>3495.5082376852956</v>
      </c>
      <c r="Y168" s="73">
        <f>mult_opex * fixed_month</f>
        <v>1000</v>
      </c>
      <c r="Z168" s="72">
        <f ca="1">mult_opex * fixed_well *D168</f>
        <v>5000</v>
      </c>
      <c r="AA168" s="72">
        <f ca="1">(Z168+Y168)*WI_current_2</f>
        <v>0</v>
      </c>
      <c r="AB168" s="72">
        <f ca="1">mult_opex * var_bo*E168</f>
        <v>0</v>
      </c>
      <c r="AC168" s="72">
        <f ca="1">mult_opex * var_mcf*F168</f>
        <v>0</v>
      </c>
      <c r="AD168" s="72">
        <f ca="1">mult_opex * var_bw * G168</f>
        <v>4.3414440404847632</v>
      </c>
      <c r="AE168" s="72">
        <f ca="1">SUM(AB168:AD168)*WI_current_2</f>
        <v>0</v>
      </c>
      <c r="AF168" s="73">
        <f ca="1">mult_capex * IFERROR(OFFSET(assumptions!$F$39,MATCH(B168,assumptions!$E$39:$E$45,0)-1,0),0)</f>
        <v>0</v>
      </c>
      <c r="AG168" s="75">
        <f ca="1">mult_capex * capex_new*WI_current_2 *'forecast production'!I169</f>
        <v>0</v>
      </c>
      <c r="AH168" s="146">
        <f t="shared" ca="1" si="55"/>
        <v>0</v>
      </c>
      <c r="AI168" s="73">
        <f t="shared" ca="1" si="49"/>
        <v>197.54541119107097</v>
      </c>
      <c r="AJ168" s="72">
        <f t="shared" ca="1" si="50"/>
        <v>87.387705942132399</v>
      </c>
      <c r="AK168" s="72">
        <f t="shared" ca="1" si="56"/>
        <v>284.93311713320338</v>
      </c>
      <c r="AL168" s="73">
        <f t="shared" ca="1" si="51"/>
        <v>3210.5751205520924</v>
      </c>
      <c r="AM168" s="321">
        <f ca="1">'monthly calculations (1)'!AM168</f>
        <v>1</v>
      </c>
      <c r="AN168" s="73">
        <f t="shared" ca="1" si="57"/>
        <v>3210.5751205520924</v>
      </c>
      <c r="AO168" s="75">
        <f t="shared" ca="1" si="59"/>
        <v>1076637.8323016954</v>
      </c>
      <c r="AP168" s="72">
        <f ca="1">AL168  /  ( 1 + disc_1/12)^(COUNT($AL$6:AL168)-1)</f>
        <v>836.97927520486292</v>
      </c>
      <c r="AQ168" s="72">
        <f t="shared" ca="1" si="60"/>
        <v>702346.73295285727</v>
      </c>
      <c r="AS168" s="303"/>
      <c r="AT168" s="300"/>
      <c r="AU168" s="297"/>
      <c r="AV168" s="303"/>
    </row>
    <row r="169" spans="2:48" x14ac:dyDescent="0.25">
      <c r="B169" s="43">
        <f t="shared" si="58"/>
        <v>49157</v>
      </c>
      <c r="C169" s="79">
        <f t="shared" si="52"/>
        <v>2034</v>
      </c>
      <c r="D169" s="64">
        <f ca="1">wellcount_base  +  SUM('forecast production'!I$7:I170)</f>
        <v>1</v>
      </c>
      <c r="E169" s="110">
        <f ca="1">'forecast production'!AE170</f>
        <v>168.56937473930788</v>
      </c>
      <c r="F169" s="98">
        <f ca="1">'forecast production'!AF170</f>
        <v>999.41552321970642</v>
      </c>
      <c r="G169" s="98">
        <f ca="1">'forecast production'!AG170</f>
        <v>2.0952197858740726</v>
      </c>
      <c r="H169" s="98">
        <f ca="1">'forecast production'!AH170</f>
        <v>149.91232848295596</v>
      </c>
      <c r="I169" s="307">
        <f ca="1">IF('monthly calculations (1)'!AV168,WI_2_APO, WI_2)</f>
        <v>0</v>
      </c>
      <c r="J169" s="306">
        <f ca="1">IF('monthly calculations (1)'!AV168,NRI_2_APO, NRI_2)</f>
        <v>0.25</v>
      </c>
      <c r="K169" s="112">
        <f t="shared" ca="1" si="41"/>
        <v>42.142343684826969</v>
      </c>
      <c r="L169" s="98">
        <f t="shared" ca="1" si="42"/>
        <v>187.39041060369496</v>
      </c>
      <c r="M169" s="98">
        <f t="shared" ca="1" si="43"/>
        <v>0.52380494646851816</v>
      </c>
      <c r="N169" s="98">
        <f t="shared" ca="1" si="44"/>
        <v>37.478082120738989</v>
      </c>
      <c r="O169" s="67">
        <f>assumptions!M173</f>
        <v>55</v>
      </c>
      <c r="P169" s="68">
        <f>assumptions!N173</f>
        <v>3</v>
      </c>
      <c r="Q169" s="68">
        <f>assumptions!O173</f>
        <v>22</v>
      </c>
      <c r="R169" s="67">
        <f t="shared" si="45"/>
        <v>52.5</v>
      </c>
      <c r="S169" s="68">
        <f t="shared" si="46"/>
        <v>2.3275000000000001</v>
      </c>
      <c r="T169" s="68">
        <f t="shared" si="47"/>
        <v>22</v>
      </c>
      <c r="U169" s="73">
        <f t="shared" ca="1" si="53"/>
        <v>2212.4730434534158</v>
      </c>
      <c r="V169" s="72">
        <f t="shared" ca="1" si="53"/>
        <v>436.15118068010003</v>
      </c>
      <c r="W169" s="72">
        <f t="shared" ca="1" si="48"/>
        <v>824.51780665625779</v>
      </c>
      <c r="X169" s="72">
        <f t="shared" ca="1" si="54"/>
        <v>3473.1420307897733</v>
      </c>
      <c r="Y169" s="73">
        <f>mult_opex * fixed_month</f>
        <v>1000</v>
      </c>
      <c r="Z169" s="72">
        <f ca="1">mult_opex * fixed_well *D169</f>
        <v>5000</v>
      </c>
      <c r="AA169" s="72">
        <f ca="1">(Z169+Y169)*WI_current_2</f>
        <v>0</v>
      </c>
      <c r="AB169" s="72">
        <f ca="1">mult_opex * var_bo*E169</f>
        <v>0</v>
      </c>
      <c r="AC169" s="72">
        <f ca="1">mult_opex * var_mcf*F169</f>
        <v>0</v>
      </c>
      <c r="AD169" s="72">
        <f ca="1">mult_opex * var_bw * G169</f>
        <v>4.1904395717481453</v>
      </c>
      <c r="AE169" s="72">
        <f ca="1">SUM(AB169:AD169)*WI_current_2</f>
        <v>0</v>
      </c>
      <c r="AF169" s="73">
        <f ca="1">mult_capex * IFERROR(OFFSET(assumptions!$F$39,MATCH(B169,assumptions!$E$39:$E$45,0)-1,0),0)</f>
        <v>0</v>
      </c>
      <c r="AG169" s="75">
        <f ca="1">mult_capex * capex_new*WI_current_2 *'forecast production'!I170</f>
        <v>0</v>
      </c>
      <c r="AH169" s="146">
        <f t="shared" ca="1" si="55"/>
        <v>0</v>
      </c>
      <c r="AI169" s="73">
        <f t="shared" ca="1" si="49"/>
        <v>196.32393404908396</v>
      </c>
      <c r="AJ169" s="72">
        <f t="shared" ca="1" si="50"/>
        <v>86.828550769744339</v>
      </c>
      <c r="AK169" s="72">
        <f t="shared" ca="1" si="56"/>
        <v>283.15248481882827</v>
      </c>
      <c r="AL169" s="73">
        <f t="shared" ca="1" si="51"/>
        <v>3189.9895459709451</v>
      </c>
      <c r="AM169" s="321">
        <f ca="1">'monthly calculations (1)'!AM169</f>
        <v>1</v>
      </c>
      <c r="AN169" s="73">
        <f t="shared" ca="1" si="57"/>
        <v>3189.9895459709451</v>
      </c>
      <c r="AO169" s="75">
        <f t="shared" ca="1" si="59"/>
        <v>1079827.8218476663</v>
      </c>
      <c r="AP169" s="72">
        <f ca="1">AL169  /  ( 1 + disc_1/12)^(COUNT($AL$6:AL169)-1)</f>
        <v>824.73989666361138</v>
      </c>
      <c r="AQ169" s="72">
        <f t="shared" ca="1" si="60"/>
        <v>703171.47284952085</v>
      </c>
      <c r="AS169" s="303"/>
      <c r="AT169" s="300"/>
      <c r="AU169" s="297"/>
      <c r="AV169" s="303"/>
    </row>
    <row r="170" spans="2:48" x14ac:dyDescent="0.25">
      <c r="B170" s="43">
        <f t="shared" si="58"/>
        <v>49188</v>
      </c>
      <c r="C170" s="79">
        <f t="shared" si="52"/>
        <v>2034</v>
      </c>
      <c r="D170" s="64">
        <f ca="1">wellcount_base  +  SUM('forecast production'!I$7:I171)</f>
        <v>1</v>
      </c>
      <c r="E170" s="110">
        <f ca="1">'forecast production'!AE171</f>
        <v>161.98048031121994</v>
      </c>
      <c r="F170" s="98">
        <f ca="1">'forecast production'!AF171</f>
        <v>962.10696742239929</v>
      </c>
      <c r="G170" s="98">
        <f ca="1">'forecast production'!AG171</f>
        <v>1.9571190453941458</v>
      </c>
      <c r="H170" s="98">
        <f ca="1">'forecast production'!AH171</f>
        <v>144.31604511335988</v>
      </c>
      <c r="I170" s="307">
        <f ca="1">IF('monthly calculations (1)'!AV169,WI_2_APO, WI_2)</f>
        <v>0</v>
      </c>
      <c r="J170" s="306">
        <f ca="1">IF('monthly calculations (1)'!AV169,NRI_2_APO, NRI_2)</f>
        <v>0.25</v>
      </c>
      <c r="K170" s="112">
        <f t="shared" ca="1" si="41"/>
        <v>40.495120077804984</v>
      </c>
      <c r="L170" s="98">
        <f t="shared" ca="1" si="42"/>
        <v>180.39505639169988</v>
      </c>
      <c r="M170" s="98">
        <f t="shared" ca="1" si="43"/>
        <v>0.48927976134853646</v>
      </c>
      <c r="N170" s="98">
        <f t="shared" ca="1" si="44"/>
        <v>36.079011278339969</v>
      </c>
      <c r="O170" s="67">
        <f>assumptions!M174</f>
        <v>55</v>
      </c>
      <c r="P170" s="68">
        <f>assumptions!N174</f>
        <v>3</v>
      </c>
      <c r="Q170" s="68">
        <f>assumptions!O174</f>
        <v>22</v>
      </c>
      <c r="R170" s="67">
        <f t="shared" si="45"/>
        <v>52.5</v>
      </c>
      <c r="S170" s="68">
        <f t="shared" si="46"/>
        <v>2.3275000000000001</v>
      </c>
      <c r="T170" s="68">
        <f t="shared" si="47"/>
        <v>22</v>
      </c>
      <c r="U170" s="73">
        <f t="shared" ca="1" si="53"/>
        <v>2125.9938040847615</v>
      </c>
      <c r="V170" s="72">
        <f t="shared" ca="1" si="53"/>
        <v>419.86949375168149</v>
      </c>
      <c r="W170" s="72">
        <f t="shared" ca="1" si="48"/>
        <v>793.73824812347937</v>
      </c>
      <c r="X170" s="72">
        <f t="shared" ca="1" si="54"/>
        <v>3339.6015459599225</v>
      </c>
      <c r="Y170" s="73">
        <f>mult_opex * fixed_month</f>
        <v>1000</v>
      </c>
      <c r="Z170" s="72">
        <f ca="1">mult_opex * fixed_well *D170</f>
        <v>5000</v>
      </c>
      <c r="AA170" s="72">
        <f ca="1">(Z170+Y170)*WI_current_2</f>
        <v>0</v>
      </c>
      <c r="AB170" s="72">
        <f ca="1">mult_opex * var_bo*E170</f>
        <v>0</v>
      </c>
      <c r="AC170" s="72">
        <f ca="1">mult_opex * var_mcf*F170</f>
        <v>0</v>
      </c>
      <c r="AD170" s="72">
        <f ca="1">mult_opex * var_bw * G170</f>
        <v>3.9142380907882917</v>
      </c>
      <c r="AE170" s="72">
        <f ca="1">SUM(AB170:AD170)*WI_current_2</f>
        <v>0</v>
      </c>
      <c r="AF170" s="73">
        <f ca="1">mult_capex * IFERROR(OFFSET(assumptions!$F$39,MATCH(B170,assumptions!$E$39:$E$45,0)-1,0),0)</f>
        <v>0</v>
      </c>
      <c r="AG170" s="75">
        <f ca="1">mult_capex * capex_new*WI_current_2 *'forecast production'!I171</f>
        <v>0</v>
      </c>
      <c r="AH170" s="146">
        <f t="shared" ca="1" si="55"/>
        <v>0</v>
      </c>
      <c r="AI170" s="73">
        <f t="shared" ca="1" si="49"/>
        <v>188.81629562853607</v>
      </c>
      <c r="AJ170" s="72">
        <f t="shared" ca="1" si="50"/>
        <v>83.490038648998066</v>
      </c>
      <c r="AK170" s="72">
        <f t="shared" ca="1" si="56"/>
        <v>272.30633427753412</v>
      </c>
      <c r="AL170" s="73">
        <f t="shared" ca="1" si="51"/>
        <v>3067.2952116823885</v>
      </c>
      <c r="AM170" s="321">
        <f ca="1">'monthly calculations (1)'!AM170</f>
        <v>1</v>
      </c>
      <c r="AN170" s="73">
        <f t="shared" ca="1" si="57"/>
        <v>3067.2952116823885</v>
      </c>
      <c r="AO170" s="75">
        <f t="shared" ca="1" si="59"/>
        <v>1082895.1170593486</v>
      </c>
      <c r="AP170" s="72">
        <f ca="1">AL170  /  ( 1 + disc_1/12)^(COUNT($AL$6:AL170)-1)</f>
        <v>786.46463156813388</v>
      </c>
      <c r="AQ170" s="72">
        <f t="shared" ca="1" si="60"/>
        <v>703957.93748108903</v>
      </c>
      <c r="AS170" s="303"/>
      <c r="AT170" s="300"/>
      <c r="AU170" s="297"/>
      <c r="AV170" s="303"/>
    </row>
    <row r="171" spans="2:48" x14ac:dyDescent="0.25">
      <c r="B171" s="43">
        <f t="shared" si="58"/>
        <v>49218</v>
      </c>
      <c r="C171" s="79">
        <f t="shared" si="52"/>
        <v>2034</v>
      </c>
      <c r="D171" s="64">
        <f ca="1">wellcount_base  +  SUM('forecast production'!I$7:I172)</f>
        <v>1</v>
      </c>
      <c r="E171" s="110">
        <f ca="1">'forecast production'!AE172</f>
        <v>166.23665006704144</v>
      </c>
      <c r="F171" s="98">
        <f ca="1">'forecast production'!AF172</f>
        <v>989.13399762043923</v>
      </c>
      <c r="G171" s="98">
        <f ca="1">'forecast production'!AG172</f>
        <v>1.954268517297574</v>
      </c>
      <c r="H171" s="98">
        <f ca="1">'forecast production'!AH172</f>
        <v>148.37009964306588</v>
      </c>
      <c r="I171" s="307">
        <f ca="1">IF('monthly calculations (1)'!AV170,WI_2_APO, WI_2)</f>
        <v>0</v>
      </c>
      <c r="J171" s="306">
        <f ca="1">IF('monthly calculations (1)'!AV170,NRI_2_APO, NRI_2)</f>
        <v>0.25</v>
      </c>
      <c r="K171" s="112">
        <f t="shared" ca="1" si="41"/>
        <v>41.55916251676036</v>
      </c>
      <c r="L171" s="98">
        <f t="shared" ca="1" si="42"/>
        <v>185.46262455383237</v>
      </c>
      <c r="M171" s="98">
        <f t="shared" ca="1" si="43"/>
        <v>0.4885671293243935</v>
      </c>
      <c r="N171" s="98">
        <f t="shared" ca="1" si="44"/>
        <v>37.092524910766471</v>
      </c>
      <c r="O171" s="67">
        <f>assumptions!M175</f>
        <v>55</v>
      </c>
      <c r="P171" s="68">
        <f>assumptions!N175</f>
        <v>3</v>
      </c>
      <c r="Q171" s="68">
        <f>assumptions!O175</f>
        <v>22</v>
      </c>
      <c r="R171" s="67">
        <f t="shared" si="45"/>
        <v>52.5</v>
      </c>
      <c r="S171" s="68">
        <f t="shared" si="46"/>
        <v>2.3275000000000001</v>
      </c>
      <c r="T171" s="68">
        <f t="shared" si="47"/>
        <v>22</v>
      </c>
      <c r="U171" s="73">
        <f t="shared" ca="1" si="53"/>
        <v>2181.8560321299187</v>
      </c>
      <c r="V171" s="72">
        <f t="shared" ca="1" si="53"/>
        <v>431.66425864904488</v>
      </c>
      <c r="W171" s="72">
        <f t="shared" ca="1" si="48"/>
        <v>816.03554803686234</v>
      </c>
      <c r="X171" s="72">
        <f t="shared" ca="1" si="54"/>
        <v>3429.5558388158261</v>
      </c>
      <c r="Y171" s="73">
        <f>mult_opex * fixed_month</f>
        <v>1000</v>
      </c>
      <c r="Z171" s="72">
        <f ca="1">mult_opex * fixed_well *D171</f>
        <v>5000</v>
      </c>
      <c r="AA171" s="72">
        <f ca="1">(Z171+Y171)*WI_current_2</f>
        <v>0</v>
      </c>
      <c r="AB171" s="72">
        <f ca="1">mult_opex * var_bo*E171</f>
        <v>0</v>
      </c>
      <c r="AC171" s="72">
        <f ca="1">mult_opex * var_mcf*F171</f>
        <v>0</v>
      </c>
      <c r="AD171" s="72">
        <f ca="1">mult_opex * var_bw * G171</f>
        <v>3.908537034595148</v>
      </c>
      <c r="AE171" s="72">
        <f ca="1">SUM(AB171:AD171)*WI_current_2</f>
        <v>0</v>
      </c>
      <c r="AF171" s="73">
        <f ca="1">mult_capex * IFERROR(OFFSET(assumptions!$F$39,MATCH(B171,assumptions!$E$39:$E$45,0)-1,0),0)</f>
        <v>0</v>
      </c>
      <c r="AG171" s="75">
        <f ca="1">mult_capex * capex_new*WI_current_2 *'forecast production'!I172</f>
        <v>0</v>
      </c>
      <c r="AH171" s="146">
        <f t="shared" ca="1" si="55"/>
        <v>0</v>
      </c>
      <c r="AI171" s="73">
        <f t="shared" ca="1" si="49"/>
        <v>193.94286297941929</v>
      </c>
      <c r="AJ171" s="72">
        <f t="shared" ca="1" si="50"/>
        <v>85.73889597039566</v>
      </c>
      <c r="AK171" s="72">
        <f t="shared" ca="1" si="56"/>
        <v>279.68175894981493</v>
      </c>
      <c r="AL171" s="73">
        <f t="shared" ca="1" si="51"/>
        <v>3149.874079866011</v>
      </c>
      <c r="AM171" s="321">
        <f ca="1">'monthly calculations (1)'!AM171</f>
        <v>1</v>
      </c>
      <c r="AN171" s="73">
        <f t="shared" ca="1" si="57"/>
        <v>3149.874079866011</v>
      </c>
      <c r="AO171" s="75">
        <f t="shared" ca="1" si="59"/>
        <v>1086044.9911392147</v>
      </c>
      <c r="AP171" s="72">
        <f ca="1">AL171  /  ( 1 + disc_1/12)^(COUNT($AL$6:AL171)-1)</f>
        <v>800.96343108520114</v>
      </c>
      <c r="AQ171" s="72">
        <f t="shared" ca="1" si="60"/>
        <v>704758.90091217426</v>
      </c>
      <c r="AS171" s="303"/>
      <c r="AT171" s="300"/>
      <c r="AU171" s="297"/>
      <c r="AV171" s="303"/>
    </row>
    <row r="172" spans="2:48" x14ac:dyDescent="0.25">
      <c r="B172" s="43">
        <f t="shared" si="58"/>
        <v>49249</v>
      </c>
      <c r="C172" s="79">
        <f t="shared" si="52"/>
        <v>2034</v>
      </c>
      <c r="D172" s="64">
        <f ca="1">wellcount_base  +  SUM('forecast production'!I$7:I173)</f>
        <v>1</v>
      </c>
      <c r="E172" s="110">
        <f ca="1">'forecast production'!AE173</f>
        <v>159.73893517034301</v>
      </c>
      <c r="F172" s="98">
        <f ca="1">'forecast production'!AF173</f>
        <v>952.20925502453804</v>
      </c>
      <c r="G172" s="98">
        <f ca="1">'forecast production'!AG173</f>
        <v>1.8254806911778507</v>
      </c>
      <c r="H172" s="98">
        <f ca="1">'forecast production'!AH173</f>
        <v>142.8313882536807</v>
      </c>
      <c r="I172" s="307">
        <f ca="1">IF('monthly calculations (1)'!AV171,WI_2_APO, WI_2)</f>
        <v>0</v>
      </c>
      <c r="J172" s="306">
        <f ca="1">IF('monthly calculations (1)'!AV171,NRI_2_APO, NRI_2)</f>
        <v>0.25</v>
      </c>
      <c r="K172" s="112">
        <f t="shared" ca="1" si="41"/>
        <v>39.934733792585753</v>
      </c>
      <c r="L172" s="98">
        <f t="shared" ca="1" si="42"/>
        <v>178.53923531710089</v>
      </c>
      <c r="M172" s="98">
        <f t="shared" ca="1" si="43"/>
        <v>0.45637017279446268</v>
      </c>
      <c r="N172" s="98">
        <f t="shared" ca="1" si="44"/>
        <v>35.707847063420175</v>
      </c>
      <c r="O172" s="67">
        <f>assumptions!M176</f>
        <v>55</v>
      </c>
      <c r="P172" s="68">
        <f>assumptions!N176</f>
        <v>3</v>
      </c>
      <c r="Q172" s="68">
        <f>assumptions!O176</f>
        <v>22</v>
      </c>
      <c r="R172" s="67">
        <f t="shared" si="45"/>
        <v>52.5</v>
      </c>
      <c r="S172" s="68">
        <f t="shared" si="46"/>
        <v>2.3275000000000001</v>
      </c>
      <c r="T172" s="68">
        <f t="shared" si="47"/>
        <v>22</v>
      </c>
      <c r="U172" s="73">
        <f t="shared" ca="1" si="53"/>
        <v>2096.5735241107523</v>
      </c>
      <c r="V172" s="72">
        <f t="shared" ca="1" si="53"/>
        <v>415.55007020055234</v>
      </c>
      <c r="W172" s="72">
        <f t="shared" ca="1" si="48"/>
        <v>785.57263539524388</v>
      </c>
      <c r="X172" s="72">
        <f t="shared" ca="1" si="54"/>
        <v>3297.6962297065484</v>
      </c>
      <c r="Y172" s="73">
        <f>mult_opex * fixed_month</f>
        <v>1000</v>
      </c>
      <c r="Z172" s="72">
        <f ca="1">mult_opex * fixed_well *D172</f>
        <v>5000</v>
      </c>
      <c r="AA172" s="72">
        <f ca="1">(Z172+Y172)*WI_current_2</f>
        <v>0</v>
      </c>
      <c r="AB172" s="72">
        <f ca="1">mult_opex * var_bo*E172</f>
        <v>0</v>
      </c>
      <c r="AC172" s="72">
        <f ca="1">mult_opex * var_mcf*F172</f>
        <v>0</v>
      </c>
      <c r="AD172" s="72">
        <f ca="1">mult_opex * var_bw * G172</f>
        <v>3.6509613823557014</v>
      </c>
      <c r="AE172" s="72">
        <f ca="1">SUM(AB172:AD172)*WI_current_2</f>
        <v>0</v>
      </c>
      <c r="AF172" s="73">
        <f ca="1">mult_capex * IFERROR(OFFSET(assumptions!$F$39,MATCH(B172,assumptions!$E$39:$E$45,0)-1,0),0)</f>
        <v>0</v>
      </c>
      <c r="AG172" s="75">
        <f ca="1">mult_capex * capex_new*WI_current_2 *'forecast production'!I173</f>
        <v>0</v>
      </c>
      <c r="AH172" s="146">
        <f t="shared" ca="1" si="55"/>
        <v>0</v>
      </c>
      <c r="AI172" s="73">
        <f t="shared" ca="1" si="49"/>
        <v>186.52658502877932</v>
      </c>
      <c r="AJ172" s="72">
        <f t="shared" ca="1" si="50"/>
        <v>82.442405742663709</v>
      </c>
      <c r="AK172" s="72">
        <f t="shared" ca="1" si="56"/>
        <v>268.96899077144303</v>
      </c>
      <c r="AL172" s="73">
        <f t="shared" ca="1" si="51"/>
        <v>3028.7272389351056</v>
      </c>
      <c r="AM172" s="321">
        <f ca="1">'monthly calculations (1)'!AM172</f>
        <v>1</v>
      </c>
      <c r="AN172" s="73">
        <f t="shared" ca="1" si="57"/>
        <v>3028.7272389351056</v>
      </c>
      <c r="AO172" s="75">
        <f t="shared" ca="1" si="59"/>
        <v>1089073.7183781499</v>
      </c>
      <c r="AP172" s="72">
        <f ca="1">AL172  /  ( 1 + disc_1/12)^(COUNT($AL$6:AL172)-1)</f>
        <v>763.79275544394352</v>
      </c>
      <c r="AQ172" s="72">
        <f t="shared" ca="1" si="60"/>
        <v>705522.69366761821</v>
      </c>
      <c r="AS172" s="303"/>
      <c r="AT172" s="300"/>
      <c r="AU172" s="297"/>
      <c r="AV172" s="303"/>
    </row>
    <row r="173" spans="2:48" x14ac:dyDescent="0.25">
      <c r="B173" s="44">
        <f t="shared" si="58"/>
        <v>49279</v>
      </c>
      <c r="C173" s="100">
        <f t="shared" si="52"/>
        <v>2034</v>
      </c>
      <c r="D173" s="65">
        <f ca="1">wellcount_base  +  SUM('forecast production'!I$7:I174)</f>
        <v>1</v>
      </c>
      <c r="E173" s="109">
        <f ca="1">'forecast production'!AE174</f>
        <v>163.93620649212741</v>
      </c>
      <c r="F173" s="101">
        <f ca="1">'forecast production'!AF174</f>
        <v>978.95824361085863</v>
      </c>
      <c r="G173" s="101">
        <f ca="1">'forecast production'!AG174</f>
        <v>1.8228436217365802</v>
      </c>
      <c r="H173" s="102">
        <f ca="1">'forecast production'!AH174</f>
        <v>146.8437365416288</v>
      </c>
      <c r="I173" s="308">
        <f ca="1">IF('monthly calculations (1)'!AV172,WI_2_APO, WI_2)</f>
        <v>0</v>
      </c>
      <c r="J173" s="309">
        <f ca="1">IF('monthly calculations (1)'!AV172,NRI_2_APO, NRI_2)</f>
        <v>0.25</v>
      </c>
      <c r="K173" s="113">
        <f t="shared" ca="1" si="41"/>
        <v>40.984051623031853</v>
      </c>
      <c r="L173" s="102">
        <f t="shared" ca="1" si="42"/>
        <v>183.554670677036</v>
      </c>
      <c r="M173" s="102">
        <f t="shared" ca="1" si="43"/>
        <v>0.45571090543414505</v>
      </c>
      <c r="N173" s="102">
        <f t="shared" ca="1" si="44"/>
        <v>36.7109341354072</v>
      </c>
      <c r="O173" s="103">
        <f>assumptions!M177</f>
        <v>55</v>
      </c>
      <c r="P173" s="104">
        <f>assumptions!N177</f>
        <v>3</v>
      </c>
      <c r="Q173" s="104">
        <f>assumptions!O177</f>
        <v>22</v>
      </c>
      <c r="R173" s="103">
        <f t="shared" si="45"/>
        <v>52.5</v>
      </c>
      <c r="S173" s="104">
        <f t="shared" si="46"/>
        <v>2.3275000000000001</v>
      </c>
      <c r="T173" s="104">
        <f t="shared" si="47"/>
        <v>22</v>
      </c>
      <c r="U173" s="105">
        <f t="shared" ca="1" si="53"/>
        <v>2151.6627102091725</v>
      </c>
      <c r="V173" s="106">
        <f t="shared" ca="1" si="53"/>
        <v>427.22349600080133</v>
      </c>
      <c r="W173" s="106">
        <f t="shared" ca="1" si="48"/>
        <v>807.64055097895834</v>
      </c>
      <c r="X173" s="106">
        <f t="shared" ca="1" si="54"/>
        <v>3386.5267571889322</v>
      </c>
      <c r="Y173" s="105">
        <f>mult_opex * fixed_month</f>
        <v>1000</v>
      </c>
      <c r="Z173" s="106">
        <f ca="1">mult_opex * fixed_well *D173</f>
        <v>5000</v>
      </c>
      <c r="AA173" s="106">
        <f ca="1">(Z173+Y173)*WI_current_2</f>
        <v>0</v>
      </c>
      <c r="AB173" s="106">
        <f ca="1">mult_opex * var_bo*E173</f>
        <v>0</v>
      </c>
      <c r="AC173" s="106">
        <f ca="1">mult_opex * var_mcf*F173</f>
        <v>0</v>
      </c>
      <c r="AD173" s="106">
        <f ca="1">mult_opex * var_bw * G173</f>
        <v>3.6456872434731604</v>
      </c>
      <c r="AE173" s="106">
        <f ca="1">SUM(AB173:AD173)*WI_current_2</f>
        <v>0</v>
      </c>
      <c r="AF173" s="105">
        <f ca="1">mult_capex * IFERROR(OFFSET(assumptions!$F$39,MATCH(B173,assumptions!$E$39:$E$45,0)-1,0),0)</f>
        <v>0</v>
      </c>
      <c r="AG173" s="106">
        <f ca="1">mult_capex * capex_new*WI_current_2 *'forecast production'!I174</f>
        <v>0</v>
      </c>
      <c r="AH173" s="147">
        <f t="shared" ca="1" si="55"/>
        <v>0</v>
      </c>
      <c r="AI173" s="105">
        <f t="shared" ca="1" si="49"/>
        <v>191.59128819310391</v>
      </c>
      <c r="AJ173" s="106">
        <f t="shared" ca="1" si="50"/>
        <v>84.663168929723312</v>
      </c>
      <c r="AK173" s="106">
        <f t="shared" ca="1" si="56"/>
        <v>276.2544571228272</v>
      </c>
      <c r="AL173" s="105">
        <f t="shared" ca="1" si="51"/>
        <v>3110.2723000661049</v>
      </c>
      <c r="AM173" s="322">
        <f ca="1">'monthly calculations (1)'!AM173</f>
        <v>1</v>
      </c>
      <c r="AN173" s="105">
        <f t="shared" ca="1" si="57"/>
        <v>3110.2723000661049</v>
      </c>
      <c r="AO173" s="106">
        <f t="shared" ca="1" si="59"/>
        <v>1092183.9906782161</v>
      </c>
      <c r="AP173" s="106">
        <f ca="1">AL173  /  ( 1 + disc_1/12)^(COUNT($AL$6:AL173)-1)</f>
        <v>777.87472361199741</v>
      </c>
      <c r="AQ173" s="106">
        <f t="shared" ca="1" si="60"/>
        <v>706300.56839123019</v>
      </c>
      <c r="AS173" s="304"/>
      <c r="AT173" s="301"/>
      <c r="AU173" s="298"/>
      <c r="AV173" s="304"/>
    </row>
    <row r="174" spans="2:48" x14ac:dyDescent="0.25">
      <c r="B174" s="43">
        <f t="shared" si="58"/>
        <v>49310</v>
      </c>
      <c r="C174" s="79">
        <f t="shared" si="52"/>
        <v>2035</v>
      </c>
      <c r="D174" s="64">
        <f ca="1">wellcount_base  +  SUM('forecast production'!I$7:I175)</f>
        <v>1</v>
      </c>
      <c r="E174" s="110">
        <f ca="1">'forecast production'!AE175</f>
        <v>162.77935632947896</v>
      </c>
      <c r="F174" s="98">
        <f ca="1">'forecast production'!AF175</f>
        <v>973.82714458074884</v>
      </c>
      <c r="G174" s="98">
        <f ca="1">'forecast production'!AG175</f>
        <v>1.7594956907285464</v>
      </c>
      <c r="H174" s="98">
        <f ca="1">'forecast production'!AH175</f>
        <v>146.07407168711234</v>
      </c>
      <c r="I174" s="307">
        <f ca="1">IF('monthly calculations (1)'!AV173,WI_2_APO, WI_2)</f>
        <v>0</v>
      </c>
      <c r="J174" s="306">
        <f ca="1">IF('monthly calculations (1)'!AV173,NRI_2_APO, NRI_2)</f>
        <v>0.25</v>
      </c>
      <c r="K174" s="112">
        <f t="shared" ca="1" si="41"/>
        <v>40.694839082369739</v>
      </c>
      <c r="L174" s="98">
        <f t="shared" ca="1" si="42"/>
        <v>182.59258960889042</v>
      </c>
      <c r="M174" s="98">
        <f t="shared" ca="1" si="43"/>
        <v>0.4398739226821366</v>
      </c>
      <c r="N174" s="98">
        <f t="shared" ca="1" si="44"/>
        <v>36.518517921778084</v>
      </c>
      <c r="O174" s="67">
        <f>assumptions!M178</f>
        <v>55</v>
      </c>
      <c r="P174" s="68">
        <f>assumptions!N178</f>
        <v>3</v>
      </c>
      <c r="Q174" s="68">
        <f>assumptions!O178</f>
        <v>22</v>
      </c>
      <c r="R174" s="67">
        <f t="shared" si="45"/>
        <v>52.5</v>
      </c>
      <c r="S174" s="68">
        <f t="shared" si="46"/>
        <v>2.3275000000000001</v>
      </c>
      <c r="T174" s="68">
        <f t="shared" si="47"/>
        <v>22</v>
      </c>
      <c r="U174" s="73">
        <f t="shared" ca="1" si="53"/>
        <v>2136.4790518244113</v>
      </c>
      <c r="V174" s="72">
        <f t="shared" ca="1" si="53"/>
        <v>424.98425231469247</v>
      </c>
      <c r="W174" s="72">
        <f t="shared" ca="1" si="48"/>
        <v>803.40739427911785</v>
      </c>
      <c r="X174" s="72">
        <f t="shared" ca="1" si="54"/>
        <v>3364.8706984182218</v>
      </c>
      <c r="Y174" s="73">
        <f>mult_opex * fixed_month</f>
        <v>1000</v>
      </c>
      <c r="Z174" s="72">
        <f ca="1">mult_opex * fixed_well *D174</f>
        <v>5000</v>
      </c>
      <c r="AA174" s="72">
        <f ca="1">(Z174+Y174)*WI_current_2</f>
        <v>0</v>
      </c>
      <c r="AB174" s="72">
        <f ca="1">mult_opex * var_bo*E174</f>
        <v>0</v>
      </c>
      <c r="AC174" s="72">
        <f ca="1">mult_opex * var_mcf*F174</f>
        <v>0</v>
      </c>
      <c r="AD174" s="72">
        <f ca="1">mult_opex * var_bw * G174</f>
        <v>3.5189913814570928</v>
      </c>
      <c r="AE174" s="72">
        <f ca="1">SUM(AB174:AD174)*WI_current_2</f>
        <v>0</v>
      </c>
      <c r="AF174" s="73">
        <f ca="1">mult_capex * IFERROR(OFFSET(assumptions!$F$39,MATCH(B174,assumptions!$E$39:$E$45,0)-1,0),0)</f>
        <v>0</v>
      </c>
      <c r="AG174" s="75">
        <f ca="1">mult_capex * capex_new*WI_current_2 *'forecast production'!I175</f>
        <v>0</v>
      </c>
      <c r="AH174" s="146">
        <f t="shared" ca="1" si="55"/>
        <v>0</v>
      </c>
      <c r="AI174" s="73">
        <f t="shared" ca="1" si="49"/>
        <v>190.40740987845871</v>
      </c>
      <c r="AJ174" s="72">
        <f t="shared" ca="1" si="50"/>
        <v>84.121767460455544</v>
      </c>
      <c r="AK174" s="72">
        <f t="shared" ca="1" si="56"/>
        <v>274.52917733891422</v>
      </c>
      <c r="AL174" s="73">
        <f t="shared" ca="1" si="51"/>
        <v>3090.3415210793073</v>
      </c>
      <c r="AM174" s="321">
        <f ca="1">'monthly calculations (1)'!AM174</f>
        <v>1</v>
      </c>
      <c r="AN174" s="73">
        <f t="shared" ca="1" si="57"/>
        <v>3090.3415210793073</v>
      </c>
      <c r="AO174" s="75">
        <f t="shared" ca="1" si="59"/>
        <v>1095274.3321992955</v>
      </c>
      <c r="AP174" s="72">
        <f ca="1">AL174  /  ( 1 + disc_1/12)^(COUNT($AL$6:AL174)-1)</f>
        <v>766.50254265709714</v>
      </c>
      <c r="AQ174" s="72">
        <f t="shared" ca="1" si="60"/>
        <v>707067.07093388727</v>
      </c>
      <c r="AS174" s="303"/>
      <c r="AT174" s="300"/>
      <c r="AU174" s="297"/>
      <c r="AV174" s="303"/>
    </row>
    <row r="175" spans="2:48" x14ac:dyDescent="0.25">
      <c r="B175" s="43">
        <f t="shared" si="58"/>
        <v>49341</v>
      </c>
      <c r="C175" s="79">
        <f t="shared" si="52"/>
        <v>2035</v>
      </c>
      <c r="D175" s="64">
        <f ca="1">wellcount_base  +  SUM('forecast production'!I$7:I176)</f>
        <v>1</v>
      </c>
      <c r="E175" s="110">
        <f ca="1">'forecast production'!AE176</f>
        <v>145.98899200714868</v>
      </c>
      <c r="F175" s="98">
        <f ca="1">'forecast production'!AF176</f>
        <v>874.97555837231198</v>
      </c>
      <c r="G175" s="98">
        <f ca="1">'forecast production'!AG176</f>
        <v>1.5340024589502446</v>
      </c>
      <c r="H175" s="98">
        <f ca="1">'forecast production'!AH176</f>
        <v>131.24633375584679</v>
      </c>
      <c r="I175" s="307">
        <f ca="1">IF('monthly calculations (1)'!AV174,WI_2_APO, WI_2)</f>
        <v>0</v>
      </c>
      <c r="J175" s="306">
        <f ca="1">IF('monthly calculations (1)'!AV174,NRI_2_APO, NRI_2)</f>
        <v>0.25</v>
      </c>
      <c r="K175" s="112">
        <f t="shared" ca="1" si="41"/>
        <v>36.49724800178717</v>
      </c>
      <c r="L175" s="98">
        <f t="shared" ca="1" si="42"/>
        <v>164.05791719480851</v>
      </c>
      <c r="M175" s="98">
        <f t="shared" ca="1" si="43"/>
        <v>0.38350061473756114</v>
      </c>
      <c r="N175" s="98">
        <f t="shared" ca="1" si="44"/>
        <v>32.811583438961698</v>
      </c>
      <c r="O175" s="67">
        <f>assumptions!M179</f>
        <v>55</v>
      </c>
      <c r="P175" s="68">
        <f>assumptions!N179</f>
        <v>3</v>
      </c>
      <c r="Q175" s="68">
        <f>assumptions!O179</f>
        <v>22</v>
      </c>
      <c r="R175" s="67">
        <f t="shared" si="45"/>
        <v>52.5</v>
      </c>
      <c r="S175" s="68">
        <f t="shared" si="46"/>
        <v>2.3275000000000001</v>
      </c>
      <c r="T175" s="68">
        <f t="shared" si="47"/>
        <v>22</v>
      </c>
      <c r="U175" s="73">
        <f t="shared" ca="1" si="53"/>
        <v>1916.1055200938265</v>
      </c>
      <c r="V175" s="72">
        <f t="shared" ca="1" si="53"/>
        <v>381.84480227091683</v>
      </c>
      <c r="W175" s="72">
        <f t="shared" ca="1" si="48"/>
        <v>721.85483565715731</v>
      </c>
      <c r="X175" s="72">
        <f t="shared" ca="1" si="54"/>
        <v>3019.8051580219008</v>
      </c>
      <c r="Y175" s="73">
        <f>mult_opex * fixed_month</f>
        <v>1000</v>
      </c>
      <c r="Z175" s="72">
        <f ca="1">mult_opex * fixed_well *D175</f>
        <v>5000</v>
      </c>
      <c r="AA175" s="72">
        <f ca="1">(Z175+Y175)*WI_current_2</f>
        <v>0</v>
      </c>
      <c r="AB175" s="72">
        <f ca="1">mult_opex * var_bo*E175</f>
        <v>0</v>
      </c>
      <c r="AC175" s="72">
        <f ca="1">mult_opex * var_mcf*F175</f>
        <v>0</v>
      </c>
      <c r="AD175" s="72">
        <f ca="1">mult_opex * var_bw * G175</f>
        <v>3.0680049179004891</v>
      </c>
      <c r="AE175" s="72">
        <f ca="1">SUM(AB175:AD175)*WI_current_2</f>
        <v>0</v>
      </c>
      <c r="AF175" s="73">
        <f ca="1">mult_capex * IFERROR(OFFSET(assumptions!$F$39,MATCH(B175,assumptions!$E$39:$E$45,0)-1,0),0)</f>
        <v>0</v>
      </c>
      <c r="AG175" s="75">
        <f ca="1">mult_capex * capex_new*WI_current_2 *'forecast production'!I176</f>
        <v>0</v>
      </c>
      <c r="AH175" s="146">
        <f t="shared" ca="1" si="55"/>
        <v>0</v>
      </c>
      <c r="AI175" s="73">
        <f t="shared" ca="1" si="49"/>
        <v>170.91832676892159</v>
      </c>
      <c r="AJ175" s="72">
        <f t="shared" ca="1" si="50"/>
        <v>75.495128950547524</v>
      </c>
      <c r="AK175" s="72">
        <f t="shared" ca="1" si="56"/>
        <v>246.41345571946911</v>
      </c>
      <c r="AL175" s="73">
        <f t="shared" ca="1" si="51"/>
        <v>2773.3917023024314</v>
      </c>
      <c r="AM175" s="321">
        <f ca="1">'monthly calculations (1)'!AM175</f>
        <v>1</v>
      </c>
      <c r="AN175" s="73">
        <f t="shared" ca="1" si="57"/>
        <v>2773.3917023024314</v>
      </c>
      <c r="AO175" s="75">
        <f t="shared" ca="1" si="59"/>
        <v>1098047.723901598</v>
      </c>
      <c r="AP175" s="72">
        <f ca="1">AL175  /  ( 1 + disc_1/12)^(COUNT($AL$6:AL175)-1)</f>
        <v>682.20391976937492</v>
      </c>
      <c r="AQ175" s="72">
        <f t="shared" ca="1" si="60"/>
        <v>707749.27485365665</v>
      </c>
      <c r="AS175" s="303"/>
      <c r="AT175" s="300"/>
      <c r="AU175" s="297"/>
      <c r="AV175" s="303"/>
    </row>
    <row r="176" spans="2:48" x14ac:dyDescent="0.25">
      <c r="B176" s="43">
        <f t="shared" si="58"/>
        <v>49369</v>
      </c>
      <c r="C176" s="79">
        <f t="shared" si="52"/>
        <v>2035</v>
      </c>
      <c r="D176" s="64">
        <f ca="1">wellcount_base  +  SUM('forecast production'!I$7:I177)</f>
        <v>1</v>
      </c>
      <c r="E176" s="110">
        <f ca="1">'forecast production'!AE177</f>
        <v>160.60011515887038</v>
      </c>
      <c r="F176" s="98">
        <f ca="1">'forecast production'!AF177</f>
        <v>964.13568875571139</v>
      </c>
      <c r="G176" s="98">
        <f ca="1">'forecast production'!AG177</f>
        <v>1.6449771446895005</v>
      </c>
      <c r="H176" s="98">
        <f ca="1">'forecast production'!AH177</f>
        <v>144.6203533133567</v>
      </c>
      <c r="I176" s="307">
        <f ca="1">IF('monthly calculations (1)'!AV175,WI_2_APO, WI_2)</f>
        <v>0</v>
      </c>
      <c r="J176" s="306">
        <f ca="1">IF('monthly calculations (1)'!AV175,NRI_2_APO, NRI_2)</f>
        <v>0.25</v>
      </c>
      <c r="K176" s="112">
        <f t="shared" ca="1" si="41"/>
        <v>40.150028789717595</v>
      </c>
      <c r="L176" s="98">
        <f t="shared" ca="1" si="42"/>
        <v>180.77544164169589</v>
      </c>
      <c r="M176" s="98">
        <f t="shared" ca="1" si="43"/>
        <v>0.41124428617237513</v>
      </c>
      <c r="N176" s="98">
        <f t="shared" ca="1" si="44"/>
        <v>36.155088328339176</v>
      </c>
      <c r="O176" s="67">
        <f>assumptions!M180</f>
        <v>55</v>
      </c>
      <c r="P176" s="68">
        <f>assumptions!N180</f>
        <v>3</v>
      </c>
      <c r="Q176" s="68">
        <f>assumptions!O180</f>
        <v>22</v>
      </c>
      <c r="R176" s="67">
        <f t="shared" si="45"/>
        <v>52.5</v>
      </c>
      <c r="S176" s="68">
        <f t="shared" si="46"/>
        <v>2.3275000000000001</v>
      </c>
      <c r="T176" s="68">
        <f t="shared" si="47"/>
        <v>22</v>
      </c>
      <c r="U176" s="73">
        <f t="shared" ca="1" si="53"/>
        <v>2107.8765114601738</v>
      </c>
      <c r="V176" s="72">
        <f t="shared" ca="1" si="53"/>
        <v>420.75484042104722</v>
      </c>
      <c r="W176" s="72">
        <f t="shared" ca="1" si="48"/>
        <v>795.41194322346189</v>
      </c>
      <c r="X176" s="72">
        <f t="shared" ca="1" si="54"/>
        <v>3324.0432951046832</v>
      </c>
      <c r="Y176" s="73">
        <f>mult_opex * fixed_month</f>
        <v>1000</v>
      </c>
      <c r="Z176" s="72">
        <f ca="1">mult_opex * fixed_well *D176</f>
        <v>5000</v>
      </c>
      <c r="AA176" s="72">
        <f ca="1">(Z176+Y176)*WI_current_2</f>
        <v>0</v>
      </c>
      <c r="AB176" s="72">
        <f ca="1">mult_opex * var_bo*E176</f>
        <v>0</v>
      </c>
      <c r="AC176" s="72">
        <f ca="1">mult_opex * var_mcf*F176</f>
        <v>0</v>
      </c>
      <c r="AD176" s="72">
        <f ca="1">mult_opex * var_bw * G176</f>
        <v>3.289954289379001</v>
      </c>
      <c r="AE176" s="72">
        <f ca="1">SUM(AB176:AD176)*WI_current_2</f>
        <v>0</v>
      </c>
      <c r="AF176" s="73">
        <f ca="1">mult_capex * IFERROR(OFFSET(assumptions!$F$39,MATCH(B176,assumptions!$E$39:$E$45,0)-1,0),0)</f>
        <v>0</v>
      </c>
      <c r="AG176" s="75">
        <f ca="1">mult_capex * capex_new*WI_current_2 *'forecast production'!I177</f>
        <v>0</v>
      </c>
      <c r="AH176" s="146">
        <f t="shared" ca="1" si="55"/>
        <v>0</v>
      </c>
      <c r="AI176" s="73">
        <f t="shared" ca="1" si="49"/>
        <v>188.17482830050619</v>
      </c>
      <c r="AJ176" s="72">
        <f t="shared" ca="1" si="50"/>
        <v>83.101082377617089</v>
      </c>
      <c r="AK176" s="72">
        <f t="shared" ca="1" si="56"/>
        <v>271.2759106781233</v>
      </c>
      <c r="AL176" s="73">
        <f t="shared" ca="1" si="51"/>
        <v>3052.7673844265601</v>
      </c>
      <c r="AM176" s="321">
        <f ca="1">'monthly calculations (1)'!AM176</f>
        <v>1</v>
      </c>
      <c r="AN176" s="73">
        <f t="shared" ca="1" si="57"/>
        <v>3052.7673844265601</v>
      </c>
      <c r="AO176" s="75">
        <f t="shared" ca="1" si="59"/>
        <v>1101100.4912860247</v>
      </c>
      <c r="AP176" s="72">
        <f ca="1">AL176  /  ( 1 + disc_1/12)^(COUNT($AL$6:AL176)-1)</f>
        <v>744.71926277817931</v>
      </c>
      <c r="AQ176" s="72">
        <f t="shared" ca="1" si="60"/>
        <v>708493.99411643483</v>
      </c>
      <c r="AS176" s="303"/>
      <c r="AT176" s="300"/>
      <c r="AU176" s="297"/>
      <c r="AV176" s="303"/>
    </row>
    <row r="177" spans="2:48" x14ac:dyDescent="0.25">
      <c r="B177" s="43">
        <f t="shared" si="58"/>
        <v>49400</v>
      </c>
      <c r="C177" s="79">
        <f t="shared" si="52"/>
        <v>2035</v>
      </c>
      <c r="D177" s="64">
        <f ca="1">wellcount_base  +  SUM('forecast production'!I$7:I178)</f>
        <v>1</v>
      </c>
      <c r="E177" s="108">
        <f ca="1">'forecast production'!AE178</f>
        <v>154.32271628047368</v>
      </c>
      <c r="F177" s="97">
        <f ca="1">'forecast production'!AF178</f>
        <v>928.14414239245775</v>
      </c>
      <c r="G177" s="97">
        <f ca="1">'forecast production'!AG178</f>
        <v>1.5366186740590762</v>
      </c>
      <c r="H177" s="98">
        <f ca="1">'forecast production'!AH178</f>
        <v>139.22162135886865</v>
      </c>
      <c r="I177" s="307">
        <f ca="1">IF('monthly calculations (1)'!AV176,WI_2_APO, WI_2)</f>
        <v>0</v>
      </c>
      <c r="J177" s="306">
        <f ca="1">IF('monthly calculations (1)'!AV176,NRI_2_APO, NRI_2)</f>
        <v>0.25</v>
      </c>
      <c r="K177" s="112">
        <f t="shared" ca="1" si="41"/>
        <v>38.580679070118421</v>
      </c>
      <c r="L177" s="98">
        <f t="shared" ca="1" si="42"/>
        <v>174.02702669858581</v>
      </c>
      <c r="M177" s="98">
        <f t="shared" ca="1" si="43"/>
        <v>0.38415466851476904</v>
      </c>
      <c r="N177" s="98">
        <f t="shared" ca="1" si="44"/>
        <v>34.805405339717161</v>
      </c>
      <c r="O177" s="67">
        <f>assumptions!M181</f>
        <v>55</v>
      </c>
      <c r="P177" s="68">
        <f>assumptions!N181</f>
        <v>3</v>
      </c>
      <c r="Q177" s="68">
        <f>assumptions!O181</f>
        <v>22</v>
      </c>
      <c r="R177" s="67">
        <f t="shared" si="45"/>
        <v>52.5</v>
      </c>
      <c r="S177" s="68">
        <f t="shared" si="46"/>
        <v>2.3275000000000001</v>
      </c>
      <c r="T177" s="68">
        <f t="shared" si="47"/>
        <v>22</v>
      </c>
      <c r="U177" s="73">
        <f t="shared" ca="1" si="53"/>
        <v>2025.485651181217</v>
      </c>
      <c r="V177" s="72">
        <f t="shared" ca="1" si="53"/>
        <v>405.04790464095851</v>
      </c>
      <c r="W177" s="72">
        <f t="shared" ca="1" si="48"/>
        <v>765.71891747377754</v>
      </c>
      <c r="X177" s="72">
        <f t="shared" ca="1" si="54"/>
        <v>3196.2524732959528</v>
      </c>
      <c r="Y177" s="73">
        <f>mult_opex * fixed_month</f>
        <v>1000</v>
      </c>
      <c r="Z177" s="72">
        <f ca="1">mult_opex * fixed_well *D177</f>
        <v>5000</v>
      </c>
      <c r="AA177" s="72">
        <f ca="1">(Z177+Y177)*WI_current_2</f>
        <v>0</v>
      </c>
      <c r="AB177" s="72">
        <f ca="1">mult_opex * var_bo*E177</f>
        <v>0</v>
      </c>
      <c r="AC177" s="72">
        <f ca="1">mult_opex * var_mcf*F177</f>
        <v>0</v>
      </c>
      <c r="AD177" s="72">
        <f ca="1">mult_opex * var_bw * G177</f>
        <v>3.0732373481181523</v>
      </c>
      <c r="AE177" s="72">
        <f ca="1">SUM(AB177:AD177)*WI_current_2</f>
        <v>0</v>
      </c>
      <c r="AF177" s="73">
        <f ca="1">mult_capex * IFERROR(OFFSET(assumptions!$F$39,MATCH(B177,assumptions!$E$39:$E$45,0)-1,0),0)</f>
        <v>0</v>
      </c>
      <c r="AG177" s="75">
        <f ca="1">mult_capex * capex_new*WI_current_2 *'forecast production'!I178</f>
        <v>0</v>
      </c>
      <c r="AH177" s="146">
        <f t="shared" ca="1" si="55"/>
        <v>0</v>
      </c>
      <c r="AI177" s="73">
        <f t="shared" ca="1" si="49"/>
        <v>180.97985161294119</v>
      </c>
      <c r="AJ177" s="72">
        <f t="shared" ca="1" si="50"/>
        <v>79.906311832398828</v>
      </c>
      <c r="AK177" s="72">
        <f t="shared" ca="1" si="56"/>
        <v>260.88616344534</v>
      </c>
      <c r="AL177" s="73">
        <f t="shared" ca="1" si="51"/>
        <v>2935.3663098506127</v>
      </c>
      <c r="AM177" s="321">
        <f ca="1">'monthly calculations (1)'!AM177</f>
        <v>1</v>
      </c>
      <c r="AN177" s="73">
        <f t="shared" ca="1" si="57"/>
        <v>2935.3663098506127</v>
      </c>
      <c r="AO177" s="75">
        <f t="shared" ca="1" si="59"/>
        <v>1104035.8575958754</v>
      </c>
      <c r="AP177" s="72">
        <f ca="1">AL177  /  ( 1 + disc_1/12)^(COUNT($AL$6:AL177)-1)</f>
        <v>710.16138754485792</v>
      </c>
      <c r="AQ177" s="72">
        <f t="shared" ca="1" si="60"/>
        <v>709204.15550397965</v>
      </c>
      <c r="AS177" s="303"/>
      <c r="AT177" s="300"/>
      <c r="AU177" s="297"/>
      <c r="AV177" s="303"/>
    </row>
    <row r="178" spans="2:48" x14ac:dyDescent="0.25">
      <c r="B178" s="43">
        <f t="shared" si="58"/>
        <v>49430</v>
      </c>
      <c r="C178" s="79">
        <f t="shared" si="52"/>
        <v>2035</v>
      </c>
      <c r="D178" s="64">
        <f ca="1">wellcount_base  +  SUM('forecast production'!I$7:I179)</f>
        <v>1</v>
      </c>
      <c r="E178" s="110">
        <f ca="1">'forecast production'!AE179</f>
        <v>158.37767201592521</v>
      </c>
      <c r="F178" s="98">
        <f ca="1">'forecast production'!AF179</f>
        <v>954.21710580917681</v>
      </c>
      <c r="G178" s="98">
        <f ca="1">'forecast production'!AG179</f>
        <v>1.5344441134062643</v>
      </c>
      <c r="H178" s="98">
        <f ca="1">'forecast production'!AH179</f>
        <v>143.13256587137653</v>
      </c>
      <c r="I178" s="307">
        <f ca="1">IF('monthly calculations (1)'!AV177,WI_2_APO, WI_2)</f>
        <v>0</v>
      </c>
      <c r="J178" s="306">
        <f ca="1">IF('monthly calculations (1)'!AV177,NRI_2_APO, NRI_2)</f>
        <v>0.25</v>
      </c>
      <c r="K178" s="112">
        <f t="shared" ca="1" si="41"/>
        <v>39.594418003981303</v>
      </c>
      <c r="L178" s="98">
        <f t="shared" ca="1" si="42"/>
        <v>178.91570733922066</v>
      </c>
      <c r="M178" s="98">
        <f t="shared" ca="1" si="43"/>
        <v>0.38361102835156607</v>
      </c>
      <c r="N178" s="98">
        <f t="shared" ca="1" si="44"/>
        <v>35.783141467844132</v>
      </c>
      <c r="O178" s="67">
        <f>assumptions!M182</f>
        <v>55</v>
      </c>
      <c r="P178" s="68">
        <f>assumptions!N182</f>
        <v>3</v>
      </c>
      <c r="Q178" s="68">
        <f>assumptions!O182</f>
        <v>22</v>
      </c>
      <c r="R178" s="67">
        <f t="shared" si="45"/>
        <v>52.5</v>
      </c>
      <c r="S178" s="68">
        <f t="shared" si="46"/>
        <v>2.3275000000000001</v>
      </c>
      <c r="T178" s="68">
        <f t="shared" si="47"/>
        <v>22</v>
      </c>
      <c r="U178" s="73">
        <f t="shared" ca="1" si="53"/>
        <v>2078.7069452090186</v>
      </c>
      <c r="V178" s="72">
        <f t="shared" ca="1" si="53"/>
        <v>416.42630883203611</v>
      </c>
      <c r="W178" s="72">
        <f t="shared" ca="1" si="48"/>
        <v>787.2291122925709</v>
      </c>
      <c r="X178" s="72">
        <f t="shared" ca="1" si="54"/>
        <v>3282.3623663336257</v>
      </c>
      <c r="Y178" s="73">
        <f>mult_opex * fixed_month</f>
        <v>1000</v>
      </c>
      <c r="Z178" s="72">
        <f ca="1">mult_opex * fixed_well *D178</f>
        <v>5000</v>
      </c>
      <c r="AA178" s="72">
        <f ca="1">(Z178+Y178)*WI_current_2</f>
        <v>0</v>
      </c>
      <c r="AB178" s="72">
        <f ca="1">mult_opex * var_bo*E178</f>
        <v>0</v>
      </c>
      <c r="AC178" s="72">
        <f ca="1">mult_opex * var_mcf*F178</f>
        <v>0</v>
      </c>
      <c r="AD178" s="72">
        <f ca="1">mult_opex * var_bw * G178</f>
        <v>3.0688882268125286</v>
      </c>
      <c r="AE178" s="72">
        <f ca="1">SUM(AB178:AD178)*WI_current_2</f>
        <v>0</v>
      </c>
      <c r="AF178" s="73">
        <f ca="1">mult_capex * IFERROR(OFFSET(assumptions!$F$39,MATCH(B178,assumptions!$E$39:$E$45,0)-1,0),0)</f>
        <v>0</v>
      </c>
      <c r="AG178" s="75">
        <f ca="1">mult_capex * capex_new*WI_current_2 *'forecast production'!I179</f>
        <v>0</v>
      </c>
      <c r="AH178" s="146">
        <f t="shared" ca="1" si="55"/>
        <v>0</v>
      </c>
      <c r="AI178" s="73">
        <f t="shared" ca="1" si="49"/>
        <v>185.89467606396039</v>
      </c>
      <c r="AJ178" s="72">
        <f t="shared" ca="1" si="50"/>
        <v>82.059059158340645</v>
      </c>
      <c r="AK178" s="72">
        <f t="shared" ca="1" si="56"/>
        <v>267.95373522230102</v>
      </c>
      <c r="AL178" s="73">
        <f t="shared" ca="1" si="51"/>
        <v>3014.4086311113247</v>
      </c>
      <c r="AM178" s="321">
        <f ca="1">'monthly calculations (1)'!AM178</f>
        <v>1</v>
      </c>
      <c r="AN178" s="73">
        <f t="shared" ca="1" si="57"/>
        <v>3014.4086311113247</v>
      </c>
      <c r="AO178" s="75">
        <f t="shared" ca="1" si="59"/>
        <v>1107050.2662269867</v>
      </c>
      <c r="AP178" s="72">
        <f ca="1">AL178  /  ( 1 + disc_1/12)^(COUNT($AL$6:AL178)-1)</f>
        <v>723.25717444953307</v>
      </c>
      <c r="AQ178" s="72">
        <f t="shared" ca="1" si="60"/>
        <v>709927.41267842916</v>
      </c>
      <c r="AS178" s="303"/>
      <c r="AT178" s="300"/>
      <c r="AU178" s="297"/>
      <c r="AV178" s="303"/>
    </row>
    <row r="179" spans="2:48" x14ac:dyDescent="0.25">
      <c r="B179" s="43">
        <f t="shared" si="58"/>
        <v>49461</v>
      </c>
      <c r="C179" s="79">
        <f t="shared" si="52"/>
        <v>2035</v>
      </c>
      <c r="D179" s="64">
        <f ca="1">wellcount_base  +  SUM('forecast production'!I$7:I180)</f>
        <v>1</v>
      </c>
      <c r="E179" s="110">
        <f ca="1">'forecast production'!AE180</f>
        <v>152.18714207955276</v>
      </c>
      <c r="F179" s="98">
        <f ca="1">'forecast production'!AF180</f>
        <v>918.59582386216812</v>
      </c>
      <c r="G179" s="98">
        <f ca="1">'forecast production'!AG180</f>
        <v>1.4333843297186053</v>
      </c>
      <c r="H179" s="98">
        <f ca="1">'forecast production'!AH180</f>
        <v>137.78937357932523</v>
      </c>
      <c r="I179" s="307">
        <f ca="1">IF('monthly calculations (1)'!AV178,WI_2_APO, WI_2)</f>
        <v>0</v>
      </c>
      <c r="J179" s="306">
        <f ca="1">IF('monthly calculations (1)'!AV178,NRI_2_APO, NRI_2)</f>
        <v>0.25</v>
      </c>
      <c r="K179" s="112">
        <f t="shared" ca="1" si="41"/>
        <v>38.046785519888189</v>
      </c>
      <c r="L179" s="98">
        <f t="shared" ca="1" si="42"/>
        <v>172.23671697415654</v>
      </c>
      <c r="M179" s="98">
        <f t="shared" ca="1" si="43"/>
        <v>0.35834608242965132</v>
      </c>
      <c r="N179" s="98">
        <f t="shared" ca="1" si="44"/>
        <v>34.447343394831307</v>
      </c>
      <c r="O179" s="67">
        <f>assumptions!M183</f>
        <v>55</v>
      </c>
      <c r="P179" s="68">
        <f>assumptions!N183</f>
        <v>3</v>
      </c>
      <c r="Q179" s="68">
        <f>assumptions!O183</f>
        <v>22</v>
      </c>
      <c r="R179" s="67">
        <f t="shared" si="45"/>
        <v>52.5</v>
      </c>
      <c r="S179" s="68">
        <f t="shared" si="46"/>
        <v>2.3275000000000001</v>
      </c>
      <c r="T179" s="68">
        <f t="shared" si="47"/>
        <v>22</v>
      </c>
      <c r="U179" s="73">
        <f t="shared" ca="1" si="53"/>
        <v>1997.4562397941299</v>
      </c>
      <c r="V179" s="72">
        <f t="shared" ca="1" si="53"/>
        <v>400.88095875734933</v>
      </c>
      <c r="W179" s="72">
        <f t="shared" ca="1" si="48"/>
        <v>757.84155468628876</v>
      </c>
      <c r="X179" s="72">
        <f t="shared" ca="1" si="54"/>
        <v>3156.178753237768</v>
      </c>
      <c r="Y179" s="73">
        <f>mult_opex * fixed_month</f>
        <v>1000</v>
      </c>
      <c r="Z179" s="72">
        <f ca="1">mult_opex * fixed_well *D179</f>
        <v>5000</v>
      </c>
      <c r="AA179" s="72">
        <f ca="1">(Z179+Y179)*WI_current_2</f>
        <v>0</v>
      </c>
      <c r="AB179" s="72">
        <f ca="1">mult_opex * var_bo*E179</f>
        <v>0</v>
      </c>
      <c r="AC179" s="72">
        <f ca="1">mult_opex * var_mcf*F179</f>
        <v>0</v>
      </c>
      <c r="AD179" s="72">
        <f ca="1">mult_opex * var_bw * G179</f>
        <v>2.8667686594372106</v>
      </c>
      <c r="AE179" s="72">
        <f ca="1">SUM(AB179:AD179)*WI_current_2</f>
        <v>0</v>
      </c>
      <c r="AF179" s="73">
        <f ca="1">mult_capex * IFERROR(OFFSET(assumptions!$F$39,MATCH(B179,assumptions!$E$39:$E$45,0)-1,0),0)</f>
        <v>0</v>
      </c>
      <c r="AG179" s="75">
        <f ca="1">mult_capex * capex_new*WI_current_2 *'forecast production'!I180</f>
        <v>0</v>
      </c>
      <c r="AH179" s="146">
        <f t="shared" ca="1" si="55"/>
        <v>0</v>
      </c>
      <c r="AI179" s="73">
        <f t="shared" ca="1" si="49"/>
        <v>178.78717553880284</v>
      </c>
      <c r="AJ179" s="72">
        <f t="shared" ca="1" si="50"/>
        <v>78.904468830944211</v>
      </c>
      <c r="AK179" s="72">
        <f t="shared" ca="1" si="56"/>
        <v>257.69164436974705</v>
      </c>
      <c r="AL179" s="73">
        <f t="shared" ca="1" si="51"/>
        <v>2898.4871088680211</v>
      </c>
      <c r="AM179" s="321">
        <f ca="1">'monthly calculations (1)'!AM179</f>
        <v>1</v>
      </c>
      <c r="AN179" s="73">
        <f t="shared" ca="1" si="57"/>
        <v>2898.4871088680211</v>
      </c>
      <c r="AO179" s="75">
        <f t="shared" ca="1" si="59"/>
        <v>1109948.7533358547</v>
      </c>
      <c r="AP179" s="72">
        <f ca="1">AL179  /  ( 1 + disc_1/12)^(COUNT($AL$6:AL179)-1)</f>
        <v>689.69626588605649</v>
      </c>
      <c r="AQ179" s="72">
        <f t="shared" ca="1" si="60"/>
        <v>710617.10894431523</v>
      </c>
      <c r="AS179" s="303"/>
      <c r="AT179" s="300"/>
      <c r="AU179" s="297"/>
      <c r="AV179" s="303"/>
    </row>
    <row r="180" spans="2:48" x14ac:dyDescent="0.25">
      <c r="B180" s="43">
        <f t="shared" si="58"/>
        <v>49491</v>
      </c>
      <c r="C180" s="79">
        <f t="shared" si="52"/>
        <v>2035</v>
      </c>
      <c r="D180" s="64">
        <f ca="1">wellcount_base  +  SUM('forecast production'!I$7:I181)</f>
        <v>1</v>
      </c>
      <c r="E180" s="110">
        <f ca="1">'forecast production'!AE181</f>
        <v>156.18598385418744</v>
      </c>
      <c r="F180" s="98">
        <f ca="1">'forecast production'!AF181</f>
        <v>944.40056066584225</v>
      </c>
      <c r="G180" s="98">
        <f ca="1">'forecast production'!AG181</f>
        <v>1.431372883016989</v>
      </c>
      <c r="H180" s="98">
        <f ca="1">'forecast production'!AH181</f>
        <v>141.66008409987634</v>
      </c>
      <c r="I180" s="307">
        <f ca="1">IF('monthly calculations (1)'!AV179,WI_2_APO, WI_2)</f>
        <v>0</v>
      </c>
      <c r="J180" s="306">
        <f ca="1">IF('monthly calculations (1)'!AV179,NRI_2_APO, NRI_2)</f>
        <v>0.25</v>
      </c>
      <c r="K180" s="112">
        <f t="shared" ca="1" si="41"/>
        <v>39.04649596354686</v>
      </c>
      <c r="L180" s="98">
        <f t="shared" ca="1" si="42"/>
        <v>177.07510512484544</v>
      </c>
      <c r="M180" s="98">
        <f t="shared" ca="1" si="43"/>
        <v>0.35784322075424724</v>
      </c>
      <c r="N180" s="98">
        <f t="shared" ca="1" si="44"/>
        <v>35.415021024969086</v>
      </c>
      <c r="O180" s="67">
        <f>assumptions!M184</f>
        <v>55</v>
      </c>
      <c r="P180" s="68">
        <f>assumptions!N184</f>
        <v>3</v>
      </c>
      <c r="Q180" s="68">
        <f>assumptions!O184</f>
        <v>22</v>
      </c>
      <c r="R180" s="67">
        <f t="shared" si="45"/>
        <v>52.5</v>
      </c>
      <c r="S180" s="68">
        <f t="shared" si="46"/>
        <v>2.3275000000000001</v>
      </c>
      <c r="T180" s="68">
        <f t="shared" si="47"/>
        <v>22</v>
      </c>
      <c r="U180" s="73">
        <f t="shared" ca="1" si="53"/>
        <v>2049.94103808621</v>
      </c>
      <c r="V180" s="72">
        <f t="shared" ca="1" si="53"/>
        <v>412.14230717807777</v>
      </c>
      <c r="W180" s="72">
        <f t="shared" ca="1" si="48"/>
        <v>779.13046254931987</v>
      </c>
      <c r="X180" s="72">
        <f t="shared" ca="1" si="54"/>
        <v>3241.2138078136077</v>
      </c>
      <c r="Y180" s="73">
        <f>mult_opex * fixed_month</f>
        <v>1000</v>
      </c>
      <c r="Z180" s="72">
        <f ca="1">mult_opex * fixed_well *D180</f>
        <v>5000</v>
      </c>
      <c r="AA180" s="72">
        <f ca="1">(Z180+Y180)*WI_current_2</f>
        <v>0</v>
      </c>
      <c r="AB180" s="72">
        <f ca="1">mult_opex * var_bo*E180</f>
        <v>0</v>
      </c>
      <c r="AC180" s="72">
        <f ca="1">mult_opex * var_mcf*F180</f>
        <v>0</v>
      </c>
      <c r="AD180" s="72">
        <f ca="1">mult_opex * var_bw * G180</f>
        <v>2.8627457660339779</v>
      </c>
      <c r="AE180" s="72">
        <f ca="1">SUM(AB180:AD180)*WI_current_2</f>
        <v>0</v>
      </c>
      <c r="AF180" s="73">
        <f ca="1">mult_capex * IFERROR(OFFSET(assumptions!$F$39,MATCH(B180,assumptions!$E$39:$E$45,0)-1,0),0)</f>
        <v>0</v>
      </c>
      <c r="AG180" s="75">
        <f ca="1">mult_capex * capex_new*WI_current_2 *'forecast production'!I181</f>
        <v>0</v>
      </c>
      <c r="AH180" s="146">
        <f t="shared" ca="1" si="55"/>
        <v>0</v>
      </c>
      <c r="AI180" s="73">
        <f t="shared" ca="1" si="49"/>
        <v>183.64274548152048</v>
      </c>
      <c r="AJ180" s="72">
        <f t="shared" ca="1" si="50"/>
        <v>81.030345195340203</v>
      </c>
      <c r="AK180" s="72">
        <f t="shared" ca="1" si="56"/>
        <v>264.67309067686068</v>
      </c>
      <c r="AL180" s="73">
        <f t="shared" ca="1" si="51"/>
        <v>2976.5407171367469</v>
      </c>
      <c r="AM180" s="321">
        <f ca="1">'monthly calculations (1)'!AM180</f>
        <v>1</v>
      </c>
      <c r="AN180" s="73">
        <f t="shared" ca="1" si="57"/>
        <v>2976.5407171367469</v>
      </c>
      <c r="AO180" s="75">
        <f t="shared" ca="1" si="59"/>
        <v>1112925.2940529916</v>
      </c>
      <c r="AP180" s="72">
        <f ca="1">AL180  /  ( 1 + disc_1/12)^(COUNT($AL$6:AL180)-1)</f>
        <v>702.41569176129019</v>
      </c>
      <c r="AQ180" s="72">
        <f t="shared" ca="1" si="60"/>
        <v>711319.52463607653</v>
      </c>
      <c r="AS180" s="303"/>
      <c r="AT180" s="300"/>
      <c r="AU180" s="297"/>
      <c r="AV180" s="303"/>
    </row>
    <row r="181" spans="2:48" x14ac:dyDescent="0.25">
      <c r="B181" s="43">
        <f t="shared" si="58"/>
        <v>49522</v>
      </c>
      <c r="C181" s="79">
        <f t="shared" si="52"/>
        <v>2035</v>
      </c>
      <c r="D181" s="64">
        <f ca="1">wellcount_base  +  SUM('forecast production'!I$7:I182)</f>
        <v>1</v>
      </c>
      <c r="E181" s="108">
        <f ca="1">'forecast production'!AE182</f>
        <v>155.08382476016328</v>
      </c>
      <c r="F181" s="97">
        <f ca="1">'forecast production'!AF182</f>
        <v>939.45059182652381</v>
      </c>
      <c r="G181" s="97">
        <f ca="1">'forecast production'!AG182</f>
        <v>1.3816884779227723</v>
      </c>
      <c r="H181" s="98">
        <f ca="1">'forecast production'!AH182</f>
        <v>140.91758877397859</v>
      </c>
      <c r="I181" s="307">
        <f ca="1">IF('monthly calculations (1)'!AV180,WI_2_APO, WI_2)</f>
        <v>0</v>
      </c>
      <c r="J181" s="306">
        <f ca="1">IF('monthly calculations (1)'!AV180,NRI_2_APO, NRI_2)</f>
        <v>0.25</v>
      </c>
      <c r="K181" s="112">
        <f t="shared" ca="1" si="41"/>
        <v>38.77095619004082</v>
      </c>
      <c r="L181" s="98">
        <f t="shared" ca="1" si="42"/>
        <v>176.1469859674732</v>
      </c>
      <c r="M181" s="98">
        <f t="shared" ca="1" si="43"/>
        <v>0.34542211948069307</v>
      </c>
      <c r="N181" s="98">
        <f t="shared" ca="1" si="44"/>
        <v>35.229397193494648</v>
      </c>
      <c r="O181" s="67">
        <f>assumptions!M185</f>
        <v>55</v>
      </c>
      <c r="P181" s="68">
        <f>assumptions!N185</f>
        <v>3</v>
      </c>
      <c r="Q181" s="68">
        <f>assumptions!O185</f>
        <v>22</v>
      </c>
      <c r="R181" s="67">
        <f t="shared" si="45"/>
        <v>52.5</v>
      </c>
      <c r="S181" s="68">
        <f t="shared" si="46"/>
        <v>2.3275000000000001</v>
      </c>
      <c r="T181" s="68">
        <f t="shared" si="47"/>
        <v>22</v>
      </c>
      <c r="U181" s="73">
        <f t="shared" ca="1" si="53"/>
        <v>2035.4751999771431</v>
      </c>
      <c r="V181" s="72">
        <f t="shared" ca="1" si="53"/>
        <v>409.98210983929391</v>
      </c>
      <c r="W181" s="72">
        <f t="shared" ca="1" si="48"/>
        <v>775.04673825688224</v>
      </c>
      <c r="X181" s="72">
        <f t="shared" ca="1" si="54"/>
        <v>3220.5040480733192</v>
      </c>
      <c r="Y181" s="73">
        <f>mult_opex * fixed_month</f>
        <v>1000</v>
      </c>
      <c r="Z181" s="72">
        <f ca="1">mult_opex * fixed_well *D181</f>
        <v>5000</v>
      </c>
      <c r="AA181" s="72">
        <f ca="1">(Z181+Y181)*WI_current_2</f>
        <v>0</v>
      </c>
      <c r="AB181" s="72">
        <f ca="1">mult_opex * var_bo*E181</f>
        <v>0</v>
      </c>
      <c r="AC181" s="72">
        <f ca="1">mult_opex * var_mcf*F181</f>
        <v>0</v>
      </c>
      <c r="AD181" s="72">
        <f ca="1">mult_opex * var_bw * G181</f>
        <v>2.7633769558455445</v>
      </c>
      <c r="AE181" s="72">
        <f ca="1">SUM(AB181:AD181)*WI_current_2</f>
        <v>0</v>
      </c>
      <c r="AF181" s="73">
        <f ca="1">mult_capex * IFERROR(OFFSET(assumptions!$F$39,MATCH(B181,assumptions!$E$39:$E$45,0)-1,0),0)</f>
        <v>0</v>
      </c>
      <c r="AG181" s="75">
        <f ca="1">mult_capex * capex_new*WI_current_2 *'forecast production'!I182</f>
        <v>0</v>
      </c>
      <c r="AH181" s="146">
        <f t="shared" ca="1" si="55"/>
        <v>0</v>
      </c>
      <c r="AI181" s="73">
        <f t="shared" ca="1" si="49"/>
        <v>182.50902280616179</v>
      </c>
      <c r="AJ181" s="72">
        <f t="shared" ca="1" si="50"/>
        <v>80.512601201832979</v>
      </c>
      <c r="AK181" s="72">
        <f t="shared" ca="1" si="56"/>
        <v>263.02162400799477</v>
      </c>
      <c r="AL181" s="73">
        <f t="shared" ca="1" si="51"/>
        <v>2957.4824240653243</v>
      </c>
      <c r="AM181" s="321">
        <f ca="1">'monthly calculations (1)'!AM181</f>
        <v>1</v>
      </c>
      <c r="AN181" s="73">
        <f t="shared" ca="1" si="57"/>
        <v>2957.4824240653243</v>
      </c>
      <c r="AO181" s="75">
        <f t="shared" ca="1" si="59"/>
        <v>1115882.7764770568</v>
      </c>
      <c r="AP181" s="72">
        <f ca="1">AL181  /  ( 1 + disc_1/12)^(COUNT($AL$6:AL181)-1)</f>
        <v>692.15032205362809</v>
      </c>
      <c r="AQ181" s="72">
        <f t="shared" ca="1" si="60"/>
        <v>712011.67495813011</v>
      </c>
      <c r="AS181" s="303"/>
      <c r="AT181" s="300"/>
      <c r="AU181" s="297"/>
      <c r="AV181" s="303"/>
    </row>
    <row r="182" spans="2:48" x14ac:dyDescent="0.25">
      <c r="B182" s="43">
        <f t="shared" si="58"/>
        <v>49553</v>
      </c>
      <c r="C182" s="79">
        <f t="shared" si="52"/>
        <v>2035</v>
      </c>
      <c r="D182" s="64">
        <f ca="1">wellcount_base  +  SUM('forecast production'!I$7:I183)</f>
        <v>1</v>
      </c>
      <c r="E182" s="110">
        <f ca="1">'forecast production'!AE183</f>
        <v>149.02204188632234</v>
      </c>
      <c r="F182" s="98">
        <f ca="1">'forecast production'!AF183</f>
        <v>904.38054937705522</v>
      </c>
      <c r="G182" s="98">
        <f ca="1">'forecast production'!AG183</f>
        <v>1.2907132164190909</v>
      </c>
      <c r="H182" s="98">
        <f ca="1">'forecast production'!AH183</f>
        <v>135.65708240655829</v>
      </c>
      <c r="I182" s="307">
        <f ca="1">IF('monthly calculations (1)'!AV181,WI_2_APO, WI_2)</f>
        <v>0</v>
      </c>
      <c r="J182" s="306">
        <f ca="1">IF('monthly calculations (1)'!AV181,NRI_2_APO, NRI_2)</f>
        <v>0.25</v>
      </c>
      <c r="K182" s="112">
        <f t="shared" ca="1" si="41"/>
        <v>37.255510471580585</v>
      </c>
      <c r="L182" s="98">
        <f t="shared" ca="1" si="42"/>
        <v>169.57135300819786</v>
      </c>
      <c r="M182" s="98">
        <f t="shared" ca="1" si="43"/>
        <v>0.32267830410477272</v>
      </c>
      <c r="N182" s="98">
        <f t="shared" ca="1" si="44"/>
        <v>33.914270601639572</v>
      </c>
      <c r="O182" s="67">
        <f>assumptions!M186</f>
        <v>55</v>
      </c>
      <c r="P182" s="68">
        <f>assumptions!N186</f>
        <v>3</v>
      </c>
      <c r="Q182" s="68">
        <f>assumptions!O186</f>
        <v>22</v>
      </c>
      <c r="R182" s="67">
        <f t="shared" si="45"/>
        <v>52.5</v>
      </c>
      <c r="S182" s="68">
        <f t="shared" si="46"/>
        <v>2.3275000000000001</v>
      </c>
      <c r="T182" s="68">
        <f t="shared" si="47"/>
        <v>22</v>
      </c>
      <c r="U182" s="73">
        <f t="shared" ca="1" si="53"/>
        <v>1955.9142997579806</v>
      </c>
      <c r="V182" s="72">
        <f t="shared" ca="1" si="53"/>
        <v>394.67732412658052</v>
      </c>
      <c r="W182" s="72">
        <f t="shared" ca="1" si="48"/>
        <v>746.11395323607053</v>
      </c>
      <c r="X182" s="72">
        <f t="shared" ca="1" si="54"/>
        <v>3096.7055771206315</v>
      </c>
      <c r="Y182" s="73">
        <f>mult_opex * fixed_month</f>
        <v>1000</v>
      </c>
      <c r="Z182" s="72">
        <f ca="1">mult_opex * fixed_well *D182</f>
        <v>5000</v>
      </c>
      <c r="AA182" s="72">
        <f ca="1">(Z182+Y182)*WI_current_2</f>
        <v>0</v>
      </c>
      <c r="AB182" s="72">
        <f ca="1">mult_opex * var_bo*E182</f>
        <v>0</v>
      </c>
      <c r="AC182" s="72">
        <f ca="1">mult_opex * var_mcf*F182</f>
        <v>0</v>
      </c>
      <c r="AD182" s="72">
        <f ca="1">mult_opex * var_bw * G182</f>
        <v>2.5814264328381817</v>
      </c>
      <c r="AE182" s="72">
        <f ca="1">SUM(AB182:AD182)*WI_current_2</f>
        <v>0</v>
      </c>
      <c r="AF182" s="73">
        <f ca="1">mult_capex * IFERROR(OFFSET(assumptions!$F$39,MATCH(B182,assumptions!$E$39:$E$45,0)-1,0),0)</f>
        <v>0</v>
      </c>
      <c r="AG182" s="75">
        <f ca="1">mult_capex * capex_new*WI_current_2 *'forecast production'!I183</f>
        <v>0</v>
      </c>
      <c r="AH182" s="146">
        <f t="shared" ca="1" si="55"/>
        <v>0</v>
      </c>
      <c r="AI182" s="73">
        <f t="shared" ca="1" si="49"/>
        <v>175.53140359106592</v>
      </c>
      <c r="AJ182" s="72">
        <f t="shared" ca="1" si="50"/>
        <v>77.417639428015789</v>
      </c>
      <c r="AK182" s="72">
        <f t="shared" ca="1" si="56"/>
        <v>252.94904301908173</v>
      </c>
      <c r="AL182" s="73">
        <f t="shared" ca="1" si="51"/>
        <v>2843.7565341015497</v>
      </c>
      <c r="AM182" s="321">
        <f ca="1">'monthly calculations (1)'!AM182</f>
        <v>1</v>
      </c>
      <c r="AN182" s="73">
        <f t="shared" ca="1" si="57"/>
        <v>2843.7565341015497</v>
      </c>
      <c r="AO182" s="75">
        <f t="shared" ca="1" si="59"/>
        <v>1118726.5330111582</v>
      </c>
      <c r="AP182" s="72">
        <f ca="1">AL182  /  ( 1 + disc_1/12)^(COUNT($AL$6:AL182)-1)</f>
        <v>660.03435389131937</v>
      </c>
      <c r="AQ182" s="72">
        <f t="shared" ca="1" si="60"/>
        <v>712671.70931202138</v>
      </c>
      <c r="AS182" s="303"/>
      <c r="AT182" s="300"/>
      <c r="AU182" s="297"/>
      <c r="AV182" s="303"/>
    </row>
    <row r="183" spans="2:48" x14ac:dyDescent="0.25">
      <c r="B183" s="43">
        <f t="shared" si="58"/>
        <v>49583</v>
      </c>
      <c r="C183" s="79">
        <f t="shared" si="52"/>
        <v>2035</v>
      </c>
      <c r="D183" s="64">
        <f ca="1">wellcount_base  +  SUM('forecast production'!I$7:I184)</f>
        <v>1</v>
      </c>
      <c r="E183" s="110">
        <f ca="1">'forecast production'!AE184</f>
        <v>152.93771806167808</v>
      </c>
      <c r="F183" s="98">
        <f ca="1">'forecast production'!AF184</f>
        <v>929.78595776321276</v>
      </c>
      <c r="G183" s="98">
        <f ca="1">'forecast production'!AG184</f>
        <v>1.2889250738484013</v>
      </c>
      <c r="H183" s="98">
        <f ca="1">'forecast production'!AH184</f>
        <v>139.46789366448192</v>
      </c>
      <c r="I183" s="307">
        <f ca="1">IF('monthly calculations (1)'!AV182,WI_2_APO, WI_2)</f>
        <v>0</v>
      </c>
      <c r="J183" s="306">
        <f ca="1">IF('monthly calculations (1)'!AV182,NRI_2_APO, NRI_2)</f>
        <v>0.25</v>
      </c>
      <c r="K183" s="112">
        <f t="shared" ca="1" si="41"/>
        <v>38.234429515419521</v>
      </c>
      <c r="L183" s="98">
        <f t="shared" ca="1" si="42"/>
        <v>174.33486708060241</v>
      </c>
      <c r="M183" s="98">
        <f t="shared" ca="1" si="43"/>
        <v>0.32223126846210032</v>
      </c>
      <c r="N183" s="98">
        <f t="shared" ca="1" si="44"/>
        <v>34.86697341612048</v>
      </c>
      <c r="O183" s="67">
        <f>assumptions!M187</f>
        <v>55</v>
      </c>
      <c r="P183" s="68">
        <f>assumptions!N187</f>
        <v>3</v>
      </c>
      <c r="Q183" s="68">
        <f>assumptions!O187</f>
        <v>22</v>
      </c>
      <c r="R183" s="67">
        <f t="shared" si="45"/>
        <v>52.5</v>
      </c>
      <c r="S183" s="68">
        <f t="shared" si="46"/>
        <v>2.3275000000000001</v>
      </c>
      <c r="T183" s="68">
        <f t="shared" si="47"/>
        <v>22</v>
      </c>
      <c r="U183" s="73">
        <f t="shared" ca="1" si="53"/>
        <v>2007.3075495595249</v>
      </c>
      <c r="V183" s="72">
        <f t="shared" ca="1" si="53"/>
        <v>405.76440313010215</v>
      </c>
      <c r="W183" s="72">
        <f t="shared" ca="1" si="48"/>
        <v>767.07341515465055</v>
      </c>
      <c r="X183" s="72">
        <f t="shared" ca="1" si="54"/>
        <v>3180.1453678442776</v>
      </c>
      <c r="Y183" s="73">
        <f>mult_opex * fixed_month</f>
        <v>1000</v>
      </c>
      <c r="Z183" s="72">
        <f ca="1">mult_opex * fixed_well *D183</f>
        <v>5000</v>
      </c>
      <c r="AA183" s="72">
        <f ca="1">(Z183+Y183)*WI_current_2</f>
        <v>0</v>
      </c>
      <c r="AB183" s="72">
        <f ca="1">mult_opex * var_bo*E183</f>
        <v>0</v>
      </c>
      <c r="AC183" s="72">
        <f ca="1">mult_opex * var_mcf*F183</f>
        <v>0</v>
      </c>
      <c r="AD183" s="72">
        <f ca="1">mult_opex * var_bw * G183</f>
        <v>2.5778501476968025</v>
      </c>
      <c r="AE183" s="72">
        <f ca="1">SUM(AB183:AD183)*WI_current_2</f>
        <v>0</v>
      </c>
      <c r="AF183" s="73">
        <f ca="1">mult_capex * IFERROR(OFFSET(assumptions!$F$39,MATCH(B183,assumptions!$E$39:$E$45,0)-1,0),0)</f>
        <v>0</v>
      </c>
      <c r="AG183" s="75">
        <f ca="1">mult_capex * capex_new*WI_current_2 *'forecast production'!I184</f>
        <v>0</v>
      </c>
      <c r="AH183" s="146">
        <f t="shared" ca="1" si="55"/>
        <v>0</v>
      </c>
      <c r="AI183" s="73">
        <f t="shared" ca="1" si="49"/>
        <v>180.2989836510946</v>
      </c>
      <c r="AJ183" s="72">
        <f t="shared" ca="1" si="50"/>
        <v>79.503634196106944</v>
      </c>
      <c r="AK183" s="72">
        <f t="shared" ca="1" si="56"/>
        <v>259.80261784720153</v>
      </c>
      <c r="AL183" s="73">
        <f t="shared" ca="1" si="51"/>
        <v>2920.3427499970762</v>
      </c>
      <c r="AM183" s="321">
        <f ca="1">'monthly calculations (1)'!AM183</f>
        <v>1</v>
      </c>
      <c r="AN183" s="73">
        <f t="shared" ca="1" si="57"/>
        <v>2920.3427499970762</v>
      </c>
      <c r="AO183" s="75">
        <f t="shared" ca="1" si="59"/>
        <v>1121646.8757611553</v>
      </c>
      <c r="AP183" s="72">
        <f ca="1">AL183  /  ( 1 + disc_1/12)^(COUNT($AL$6:AL183)-1)</f>
        <v>672.20823787342465</v>
      </c>
      <c r="AQ183" s="72">
        <f t="shared" ca="1" si="60"/>
        <v>713343.91754989477</v>
      </c>
      <c r="AS183" s="303"/>
      <c r="AT183" s="300"/>
      <c r="AU183" s="297"/>
      <c r="AV183" s="303"/>
    </row>
    <row r="184" spans="2:48" x14ac:dyDescent="0.25">
      <c r="B184" s="43">
        <f t="shared" si="58"/>
        <v>49614</v>
      </c>
      <c r="C184" s="79">
        <f t="shared" si="52"/>
        <v>2035</v>
      </c>
      <c r="D184" s="64">
        <f ca="1">wellcount_base  +  SUM('forecast production'!I$7:I185)</f>
        <v>1</v>
      </c>
      <c r="E184" s="110">
        <f ca="1">'forecast production'!AE185</f>
        <v>146.95982035671557</v>
      </c>
      <c r="F184" s="98">
        <f ca="1">'forecast production'!AF185</f>
        <v>895.07669972306576</v>
      </c>
      <c r="G184" s="98">
        <f ca="1">'forecast production'!AG185</f>
        <v>1.2040724579199604</v>
      </c>
      <c r="H184" s="98">
        <f ca="1">'forecast production'!AH185</f>
        <v>134.26150495845988</v>
      </c>
      <c r="I184" s="307">
        <f ca="1">IF('monthly calculations (1)'!AV183,WI_2_APO, WI_2)</f>
        <v>0</v>
      </c>
      <c r="J184" s="306">
        <f ca="1">IF('monthly calculations (1)'!AV183,NRI_2_APO, NRI_2)</f>
        <v>0.25</v>
      </c>
      <c r="K184" s="112">
        <f t="shared" ca="1" si="41"/>
        <v>36.739955089178892</v>
      </c>
      <c r="L184" s="98">
        <f t="shared" ca="1" si="42"/>
        <v>167.82688119807483</v>
      </c>
      <c r="M184" s="98">
        <f t="shared" ca="1" si="43"/>
        <v>0.30101811447999011</v>
      </c>
      <c r="N184" s="98">
        <f t="shared" ca="1" si="44"/>
        <v>33.56537623961497</v>
      </c>
      <c r="O184" s="67">
        <f>assumptions!M188</f>
        <v>55</v>
      </c>
      <c r="P184" s="68">
        <f>assumptions!N188</f>
        <v>3</v>
      </c>
      <c r="Q184" s="68">
        <f>assumptions!O188</f>
        <v>22</v>
      </c>
      <c r="R184" s="67">
        <f t="shared" si="45"/>
        <v>52.5</v>
      </c>
      <c r="S184" s="68">
        <f t="shared" si="46"/>
        <v>2.3275000000000001</v>
      </c>
      <c r="T184" s="68">
        <f t="shared" si="47"/>
        <v>22</v>
      </c>
      <c r="U184" s="73">
        <f t="shared" ca="1" si="53"/>
        <v>1928.8476421818918</v>
      </c>
      <c r="V184" s="72">
        <f t="shared" ca="1" si="53"/>
        <v>390.61706598851919</v>
      </c>
      <c r="W184" s="72">
        <f t="shared" ca="1" si="48"/>
        <v>738.43827727152939</v>
      </c>
      <c r="X184" s="72">
        <f t="shared" ca="1" si="54"/>
        <v>3057.9029854419405</v>
      </c>
      <c r="Y184" s="73">
        <f>mult_opex * fixed_month</f>
        <v>1000</v>
      </c>
      <c r="Z184" s="72">
        <f ca="1">mult_opex * fixed_well *D184</f>
        <v>5000</v>
      </c>
      <c r="AA184" s="72">
        <f ca="1">(Z184+Y184)*WI_current_2</f>
        <v>0</v>
      </c>
      <c r="AB184" s="72">
        <f ca="1">mult_opex * var_bo*E184</f>
        <v>0</v>
      </c>
      <c r="AC184" s="72">
        <f ca="1">mult_opex * var_mcf*F184</f>
        <v>0</v>
      </c>
      <c r="AD184" s="72">
        <f ca="1">mult_opex * var_bw * G184</f>
        <v>2.4081449158399209</v>
      </c>
      <c r="AE184" s="72">
        <f ca="1">SUM(AB184:AD184)*WI_current_2</f>
        <v>0</v>
      </c>
      <c r="AF184" s="73">
        <f ca="1">mult_capex * IFERROR(OFFSET(assumptions!$F$39,MATCH(B184,assumptions!$E$39:$E$45,0)-1,0),0)</f>
        <v>0</v>
      </c>
      <c r="AG184" s="75">
        <f ca="1">mult_capex * capex_new*WI_current_2 *'forecast production'!I185</f>
        <v>0</v>
      </c>
      <c r="AH184" s="146">
        <f t="shared" ca="1" si="55"/>
        <v>0</v>
      </c>
      <c r="AI184" s="73">
        <f t="shared" ca="1" si="49"/>
        <v>173.40614228487067</v>
      </c>
      <c r="AJ184" s="72">
        <f t="shared" ca="1" si="50"/>
        <v>76.447574636048515</v>
      </c>
      <c r="AK184" s="72">
        <f t="shared" ca="1" si="56"/>
        <v>249.85371692091917</v>
      </c>
      <c r="AL184" s="73">
        <f t="shared" ca="1" si="51"/>
        <v>2808.0492685210211</v>
      </c>
      <c r="AM184" s="321">
        <f ca="1">'monthly calculations (1)'!AM184</f>
        <v>1</v>
      </c>
      <c r="AN184" s="73">
        <f t="shared" ca="1" si="57"/>
        <v>2808.0492685210211</v>
      </c>
      <c r="AO184" s="75">
        <f t="shared" ca="1" si="59"/>
        <v>1124454.9250296764</v>
      </c>
      <c r="AP184" s="72">
        <f ca="1">AL184  /  ( 1 + disc_1/12)^(COUNT($AL$6:AL184)-1)</f>
        <v>641.01855902947966</v>
      </c>
      <c r="AQ184" s="72">
        <f t="shared" ca="1" si="60"/>
        <v>713984.93610892422</v>
      </c>
      <c r="AS184" s="303"/>
      <c r="AT184" s="300"/>
      <c r="AU184" s="297"/>
      <c r="AV184" s="303"/>
    </row>
    <row r="185" spans="2:48" x14ac:dyDescent="0.25">
      <c r="B185" s="44">
        <f t="shared" si="58"/>
        <v>49644</v>
      </c>
      <c r="C185" s="100">
        <f t="shared" si="52"/>
        <v>2035</v>
      </c>
      <c r="D185" s="65">
        <f ca="1">wellcount_base  +  SUM('forecast production'!I$7:I186)</f>
        <v>1</v>
      </c>
      <c r="E185" s="109">
        <f ca="1">'forecast production'!AE186</f>
        <v>150.82130997275723</v>
      </c>
      <c r="F185" s="101">
        <f ca="1">'forecast production'!AF186</f>
        <v>920.22074899420704</v>
      </c>
      <c r="G185" s="101">
        <f ca="1">'forecast production'!AG186</f>
        <v>1.2024186200922664</v>
      </c>
      <c r="H185" s="102">
        <f ca="1">'forecast production'!AH186</f>
        <v>138.03311234913104</v>
      </c>
      <c r="I185" s="308">
        <f ca="1">IF('monthly calculations (1)'!AV184,WI_2_APO, WI_2)</f>
        <v>0</v>
      </c>
      <c r="J185" s="309">
        <f ca="1">IF('monthly calculations (1)'!AV184,NRI_2_APO, NRI_2)</f>
        <v>0.25</v>
      </c>
      <c r="K185" s="113">
        <f t="shared" ca="1" si="41"/>
        <v>37.705327493189309</v>
      </c>
      <c r="L185" s="102">
        <f t="shared" ca="1" si="42"/>
        <v>172.54139043641382</v>
      </c>
      <c r="M185" s="102">
        <f t="shared" ca="1" si="43"/>
        <v>0.3006046550230666</v>
      </c>
      <c r="N185" s="102">
        <f t="shared" ca="1" si="44"/>
        <v>34.508278087282761</v>
      </c>
      <c r="O185" s="103">
        <f>assumptions!M189</f>
        <v>55</v>
      </c>
      <c r="P185" s="104">
        <f>assumptions!N189</f>
        <v>3</v>
      </c>
      <c r="Q185" s="104">
        <f>assumptions!O189</f>
        <v>22</v>
      </c>
      <c r="R185" s="103">
        <f t="shared" si="45"/>
        <v>52.5</v>
      </c>
      <c r="S185" s="104">
        <f t="shared" si="46"/>
        <v>2.3275000000000001</v>
      </c>
      <c r="T185" s="104">
        <f t="shared" si="47"/>
        <v>22</v>
      </c>
      <c r="U185" s="105">
        <f t="shared" ca="1" si="53"/>
        <v>1979.5296933924387</v>
      </c>
      <c r="V185" s="106">
        <f t="shared" ca="1" si="53"/>
        <v>401.59008624075318</v>
      </c>
      <c r="W185" s="106">
        <f t="shared" ca="1" si="48"/>
        <v>759.18211792022078</v>
      </c>
      <c r="X185" s="106">
        <f t="shared" ca="1" si="54"/>
        <v>3140.3018975534123</v>
      </c>
      <c r="Y185" s="105">
        <f>mult_opex * fixed_month</f>
        <v>1000</v>
      </c>
      <c r="Z185" s="106">
        <f ca="1">mult_opex * fixed_well *D185</f>
        <v>5000</v>
      </c>
      <c r="AA185" s="106">
        <f ca="1">(Z185+Y185)*WI_current_2</f>
        <v>0</v>
      </c>
      <c r="AB185" s="106">
        <f ca="1">mult_opex * var_bo*E185</f>
        <v>0</v>
      </c>
      <c r="AC185" s="106">
        <f ca="1">mult_opex * var_mcf*F185</f>
        <v>0</v>
      </c>
      <c r="AD185" s="106">
        <f ca="1">mult_opex * var_bw * G185</f>
        <v>2.4048372401845328</v>
      </c>
      <c r="AE185" s="106">
        <f ca="1">SUM(AB185:AD185)*WI_current_2</f>
        <v>0</v>
      </c>
      <c r="AF185" s="105">
        <f ca="1">mult_capex * IFERROR(OFFSET(assumptions!$F$39,MATCH(B185,assumptions!$E$39:$E$45,0)-1,0),0)</f>
        <v>0</v>
      </c>
      <c r="AG185" s="106">
        <f ca="1">mult_capex * capex_new*WI_current_2 *'forecast production'!I186</f>
        <v>0</v>
      </c>
      <c r="AH185" s="147">
        <f t="shared" ca="1" si="55"/>
        <v>0</v>
      </c>
      <c r="AI185" s="105">
        <f t="shared" ca="1" si="49"/>
        <v>178.11628120812523</v>
      </c>
      <c r="AJ185" s="106">
        <f t="shared" ca="1" si="50"/>
        <v>78.507547438835317</v>
      </c>
      <c r="AK185" s="106">
        <f t="shared" ca="1" si="56"/>
        <v>256.62382864696053</v>
      </c>
      <c r="AL185" s="105">
        <f t="shared" ca="1" si="51"/>
        <v>2883.6780689064517</v>
      </c>
      <c r="AM185" s="322">
        <f ca="1">'monthly calculations (1)'!AM185</f>
        <v>1</v>
      </c>
      <c r="AN185" s="105">
        <f t="shared" ca="1" si="57"/>
        <v>2883.6780689064517</v>
      </c>
      <c r="AO185" s="106">
        <f t="shared" ca="1" si="59"/>
        <v>1127338.6030985829</v>
      </c>
      <c r="AP185" s="106">
        <f ca="1">AL185  /  ( 1 + disc_1/12)^(COUNT($AL$6:AL185)-1)</f>
        <v>652.84266716266984</v>
      </c>
      <c r="AQ185" s="106">
        <f t="shared" ca="1" si="60"/>
        <v>714637.77877608687</v>
      </c>
      <c r="AS185" s="304"/>
      <c r="AT185" s="301"/>
      <c r="AU185" s="298"/>
      <c r="AV185" s="304"/>
    </row>
    <row r="186" spans="2:48" x14ac:dyDescent="0.25">
      <c r="B186" s="43">
        <f t="shared" si="58"/>
        <v>49675</v>
      </c>
      <c r="C186" s="79">
        <f t="shared" si="52"/>
        <v>2036</v>
      </c>
      <c r="D186" s="64">
        <f ca="1">wellcount_base  +  SUM('forecast production'!I$7:I187)</f>
        <v>1</v>
      </c>
      <c r="E186" s="110">
        <f ca="1">'forecast production'!AE187</f>
        <v>149.75700782312063</v>
      </c>
      <c r="F186" s="98">
        <f ca="1">'forecast production'!AF187</f>
        <v>915.3975159059039</v>
      </c>
      <c r="G186" s="98">
        <f ca="1">'forecast production'!AG187</f>
        <v>1.1607171666169187</v>
      </c>
      <c r="H186" s="98">
        <f ca="1">'forecast production'!AH187</f>
        <v>137.30962738588559</v>
      </c>
      <c r="I186" s="307">
        <f ca="1">IF('monthly calculations (1)'!AV185,WI_2_APO, WI_2)</f>
        <v>0</v>
      </c>
      <c r="J186" s="306">
        <f ca="1">IF('monthly calculations (1)'!AV185,NRI_2_APO, NRI_2)</f>
        <v>0.25</v>
      </c>
      <c r="K186" s="112">
        <f t="shared" ca="1" si="41"/>
        <v>37.439251955780158</v>
      </c>
      <c r="L186" s="98">
        <f t="shared" ca="1" si="42"/>
        <v>171.637034232357</v>
      </c>
      <c r="M186" s="98">
        <f t="shared" ca="1" si="43"/>
        <v>0.29017929165422968</v>
      </c>
      <c r="N186" s="98">
        <f t="shared" ca="1" si="44"/>
        <v>34.327406846471398</v>
      </c>
      <c r="O186" s="67">
        <f>assumptions!M190</f>
        <v>55</v>
      </c>
      <c r="P186" s="68">
        <f>assumptions!N190</f>
        <v>3</v>
      </c>
      <c r="Q186" s="68">
        <f>assumptions!O190</f>
        <v>22</v>
      </c>
      <c r="R186" s="67">
        <f t="shared" si="45"/>
        <v>52.5</v>
      </c>
      <c r="S186" s="68">
        <f t="shared" si="46"/>
        <v>2.3275000000000001</v>
      </c>
      <c r="T186" s="68">
        <f t="shared" si="47"/>
        <v>22</v>
      </c>
      <c r="U186" s="73">
        <f t="shared" ca="1" si="53"/>
        <v>1965.5607276784583</v>
      </c>
      <c r="V186" s="72">
        <f t="shared" ca="1" si="53"/>
        <v>399.48519717581092</v>
      </c>
      <c r="W186" s="72">
        <f t="shared" ca="1" si="48"/>
        <v>755.20295062237074</v>
      </c>
      <c r="X186" s="72">
        <f t="shared" ca="1" si="54"/>
        <v>3120.24887547664</v>
      </c>
      <c r="Y186" s="73">
        <f>mult_opex * fixed_month</f>
        <v>1000</v>
      </c>
      <c r="Z186" s="72">
        <f ca="1">mult_opex * fixed_well *D186</f>
        <v>5000</v>
      </c>
      <c r="AA186" s="72">
        <f ca="1">(Z186+Y186)*WI_current_2</f>
        <v>0</v>
      </c>
      <c r="AB186" s="72">
        <f ca="1">mult_opex * var_bo*E186</f>
        <v>0</v>
      </c>
      <c r="AC186" s="72">
        <f ca="1">mult_opex * var_mcf*F186</f>
        <v>0</v>
      </c>
      <c r="AD186" s="72">
        <f ca="1">mult_opex * var_bw * G186</f>
        <v>2.3214343332338374</v>
      </c>
      <c r="AE186" s="72">
        <f ca="1">SUM(AB186:AD186)*WI_current_2</f>
        <v>0</v>
      </c>
      <c r="AF186" s="73">
        <f ca="1">mult_capex * IFERROR(OFFSET(assumptions!$F$39,MATCH(B186,assumptions!$E$39:$E$45,0)-1,0),0)</f>
        <v>0</v>
      </c>
      <c r="AG186" s="75">
        <f ca="1">mult_capex * capex_new*WI_current_2 *'forecast production'!I187</f>
        <v>0</v>
      </c>
      <c r="AH186" s="146">
        <f t="shared" ca="1" si="55"/>
        <v>0</v>
      </c>
      <c r="AI186" s="73">
        <f t="shared" ca="1" si="49"/>
        <v>177.01740455807268</v>
      </c>
      <c r="AJ186" s="72">
        <f t="shared" ca="1" si="50"/>
        <v>78.006221886916009</v>
      </c>
      <c r="AK186" s="72">
        <f t="shared" ca="1" si="56"/>
        <v>255.02362644498868</v>
      </c>
      <c r="AL186" s="73">
        <f t="shared" ca="1" si="51"/>
        <v>2865.2252490316514</v>
      </c>
      <c r="AM186" s="321">
        <f ca="1">'monthly calculations (1)'!AM186</f>
        <v>1</v>
      </c>
      <c r="AN186" s="73">
        <f t="shared" ca="1" si="57"/>
        <v>2865.2252490316514</v>
      </c>
      <c r="AO186" s="75">
        <f t="shared" ca="1" si="59"/>
        <v>1130203.8283476145</v>
      </c>
      <c r="AP186" s="72">
        <f ca="1">AL186  /  ( 1 + disc_1/12)^(COUNT($AL$6:AL186)-1)</f>
        <v>643.30422131613454</v>
      </c>
      <c r="AQ186" s="72">
        <f t="shared" ca="1" si="60"/>
        <v>715281.08299740299</v>
      </c>
      <c r="AS186" s="303"/>
      <c r="AT186" s="300"/>
      <c r="AU186" s="297"/>
      <c r="AV186" s="303"/>
    </row>
    <row r="187" spans="2:48" x14ac:dyDescent="0.25">
      <c r="B187" s="43">
        <f t="shared" si="58"/>
        <v>49706</v>
      </c>
      <c r="C187" s="79">
        <f t="shared" si="52"/>
        <v>2036</v>
      </c>
      <c r="D187" s="64">
        <f ca="1">wellcount_base  +  SUM('forecast production'!I$7:I188)</f>
        <v>1</v>
      </c>
      <c r="E187" s="110">
        <f ca="1">'forecast production'!AE188</f>
        <v>139.10665381252596</v>
      </c>
      <c r="F187" s="98">
        <f ca="1">'forecast production'!AF188</f>
        <v>851.85120432961503</v>
      </c>
      <c r="G187" s="98">
        <f ca="1">'forecast production'!AG188</f>
        <v>1.0481806332421184</v>
      </c>
      <c r="H187" s="98">
        <f ca="1">'forecast production'!AH188</f>
        <v>127.77768064944226</v>
      </c>
      <c r="I187" s="307">
        <f ca="1">IF('monthly calculations (1)'!AV186,WI_2_APO, WI_2)</f>
        <v>0</v>
      </c>
      <c r="J187" s="306">
        <f ca="1">IF('monthly calculations (1)'!AV186,NRI_2_APO, NRI_2)</f>
        <v>0.25</v>
      </c>
      <c r="K187" s="112">
        <f t="shared" ca="1" si="41"/>
        <v>34.776663453131491</v>
      </c>
      <c r="L187" s="98">
        <f t="shared" ca="1" si="42"/>
        <v>159.72210081180282</v>
      </c>
      <c r="M187" s="98">
        <f t="shared" ca="1" si="43"/>
        <v>0.2620451583105296</v>
      </c>
      <c r="N187" s="98">
        <f t="shared" ca="1" si="44"/>
        <v>31.944420162360565</v>
      </c>
      <c r="O187" s="67">
        <f>assumptions!M191</f>
        <v>55</v>
      </c>
      <c r="P187" s="68">
        <f>assumptions!N191</f>
        <v>3</v>
      </c>
      <c r="Q187" s="68">
        <f>assumptions!O191</f>
        <v>22</v>
      </c>
      <c r="R187" s="67">
        <f t="shared" si="45"/>
        <v>52.5</v>
      </c>
      <c r="S187" s="68">
        <f t="shared" si="46"/>
        <v>2.3275000000000001</v>
      </c>
      <c r="T187" s="68">
        <f t="shared" si="47"/>
        <v>22</v>
      </c>
      <c r="U187" s="73">
        <f t="shared" ca="1" si="53"/>
        <v>1825.7748312894032</v>
      </c>
      <c r="V187" s="72">
        <f t="shared" ca="1" si="53"/>
        <v>371.75318963947109</v>
      </c>
      <c r="W187" s="72">
        <f t="shared" ca="1" si="48"/>
        <v>702.77724357193244</v>
      </c>
      <c r="X187" s="72">
        <f t="shared" ca="1" si="54"/>
        <v>2900.305264500807</v>
      </c>
      <c r="Y187" s="73">
        <f>mult_opex * fixed_month</f>
        <v>1000</v>
      </c>
      <c r="Z187" s="72">
        <f ca="1">mult_opex * fixed_well *D187</f>
        <v>5000</v>
      </c>
      <c r="AA187" s="72">
        <f ca="1">(Z187+Y187)*WI_current_2</f>
        <v>0</v>
      </c>
      <c r="AB187" s="72">
        <f ca="1">mult_opex * var_bo*E187</f>
        <v>0</v>
      </c>
      <c r="AC187" s="72">
        <f ca="1">mult_opex * var_mcf*F187</f>
        <v>0</v>
      </c>
      <c r="AD187" s="72">
        <f ca="1">mult_opex * var_bw * G187</f>
        <v>2.0963612664842368</v>
      </c>
      <c r="AE187" s="72">
        <f ca="1">SUM(AB187:AD187)*WI_current_2</f>
        <v>0</v>
      </c>
      <c r="AF187" s="73">
        <f ca="1">mult_capex * IFERROR(OFFSET(assumptions!$F$39,MATCH(B187,assumptions!$E$39:$E$45,0)-1,0),0)</f>
        <v>0</v>
      </c>
      <c r="AG187" s="75">
        <f ca="1">mult_capex * capex_new*WI_current_2 *'forecast production'!I188</f>
        <v>0</v>
      </c>
      <c r="AH187" s="146">
        <f t="shared" ca="1" si="55"/>
        <v>0</v>
      </c>
      <c r="AI187" s="73">
        <f t="shared" ca="1" si="49"/>
        <v>164.57542473016781</v>
      </c>
      <c r="AJ187" s="72">
        <f t="shared" ca="1" si="50"/>
        <v>72.507631612520171</v>
      </c>
      <c r="AK187" s="72">
        <f t="shared" ca="1" si="56"/>
        <v>237.083056342688</v>
      </c>
      <c r="AL187" s="73">
        <f t="shared" ca="1" si="51"/>
        <v>2663.222208158119</v>
      </c>
      <c r="AM187" s="321">
        <f ca="1">'monthly calculations (1)'!AM187</f>
        <v>1</v>
      </c>
      <c r="AN187" s="73">
        <f t="shared" ca="1" si="57"/>
        <v>2663.222208158119</v>
      </c>
      <c r="AO187" s="75">
        <f t="shared" ca="1" si="59"/>
        <v>1132867.0505557726</v>
      </c>
      <c r="AP187" s="72">
        <f ca="1">AL187  /  ( 1 + disc_1/12)^(COUNT($AL$6:AL187)-1)</f>
        <v>593.00848984512277</v>
      </c>
      <c r="AQ187" s="72">
        <f t="shared" ca="1" si="60"/>
        <v>715874.09148724808</v>
      </c>
      <c r="AS187" s="303"/>
      <c r="AT187" s="300"/>
      <c r="AU187" s="297"/>
      <c r="AV187" s="303"/>
    </row>
    <row r="188" spans="2:48" x14ac:dyDescent="0.25">
      <c r="B188" s="43">
        <f t="shared" si="58"/>
        <v>49735</v>
      </c>
      <c r="C188" s="79">
        <f t="shared" si="52"/>
        <v>2036</v>
      </c>
      <c r="D188" s="64">
        <f ca="1">wellcount_base  +  SUM('forecast production'!I$7:I189)</f>
        <v>1</v>
      </c>
      <c r="E188" s="110">
        <f ca="1">'forecast production'!AE189</f>
        <v>147.71835690166887</v>
      </c>
      <c r="F188" s="98">
        <f ca="1">'forecast production'!AF189</f>
        <v>906.13392508783318</v>
      </c>
      <c r="G188" s="98">
        <f ca="1">'forecast production'!AG189</f>
        <v>1.0840879228431319</v>
      </c>
      <c r="H188" s="98">
        <f ca="1">'forecast production'!AH189</f>
        <v>135.92008876317499</v>
      </c>
      <c r="I188" s="307">
        <f ca="1">IF('monthly calculations (1)'!AV187,WI_2_APO, WI_2)</f>
        <v>0</v>
      </c>
      <c r="J188" s="306">
        <f ca="1">IF('monthly calculations (1)'!AV187,NRI_2_APO, NRI_2)</f>
        <v>0.25</v>
      </c>
      <c r="K188" s="112">
        <f t="shared" ca="1" si="41"/>
        <v>36.929589225417217</v>
      </c>
      <c r="L188" s="98">
        <f t="shared" ca="1" si="42"/>
        <v>169.90011095396872</v>
      </c>
      <c r="M188" s="98">
        <f t="shared" ca="1" si="43"/>
        <v>0.27102198071078298</v>
      </c>
      <c r="N188" s="98">
        <f t="shared" ca="1" si="44"/>
        <v>33.980022190793747</v>
      </c>
      <c r="O188" s="67">
        <f>assumptions!M192</f>
        <v>55</v>
      </c>
      <c r="P188" s="68">
        <f>assumptions!N192</f>
        <v>3</v>
      </c>
      <c r="Q188" s="68">
        <f>assumptions!O192</f>
        <v>22</v>
      </c>
      <c r="R188" s="67">
        <f t="shared" si="45"/>
        <v>52.5</v>
      </c>
      <c r="S188" s="68">
        <f t="shared" si="46"/>
        <v>2.3275000000000001</v>
      </c>
      <c r="T188" s="68">
        <f t="shared" si="47"/>
        <v>22</v>
      </c>
      <c r="U188" s="73">
        <f t="shared" ca="1" si="53"/>
        <v>1938.8034343344038</v>
      </c>
      <c r="V188" s="72">
        <f t="shared" ca="1" si="53"/>
        <v>395.44250824536221</v>
      </c>
      <c r="W188" s="72">
        <f t="shared" ca="1" si="48"/>
        <v>747.5604881974624</v>
      </c>
      <c r="X188" s="72">
        <f t="shared" ca="1" si="54"/>
        <v>3081.8064307772283</v>
      </c>
      <c r="Y188" s="73">
        <f>mult_opex * fixed_month</f>
        <v>1000</v>
      </c>
      <c r="Z188" s="72">
        <f ca="1">mult_opex * fixed_well *D188</f>
        <v>5000</v>
      </c>
      <c r="AA188" s="72">
        <f ca="1">(Z188+Y188)*WI_current_2</f>
        <v>0</v>
      </c>
      <c r="AB188" s="72">
        <f ca="1">mult_opex * var_bo*E188</f>
        <v>0</v>
      </c>
      <c r="AC188" s="72">
        <f ca="1">mult_opex * var_mcf*F188</f>
        <v>0</v>
      </c>
      <c r="AD188" s="72">
        <f ca="1">mult_opex * var_bw * G188</f>
        <v>2.1681758456862639</v>
      </c>
      <c r="AE188" s="72">
        <f ca="1">SUM(AB188:AD188)*WI_current_2</f>
        <v>0</v>
      </c>
      <c r="AF188" s="73">
        <f ca="1">mult_capex * IFERROR(OFFSET(assumptions!$F$39,MATCH(B188,assumptions!$E$39:$E$45,0)-1,0),0)</f>
        <v>0</v>
      </c>
      <c r="AG188" s="75">
        <f ca="1">mult_capex * capex_new*WI_current_2 *'forecast production'!I189</f>
        <v>0</v>
      </c>
      <c r="AH188" s="146">
        <f t="shared" ca="1" si="55"/>
        <v>0</v>
      </c>
      <c r="AI188" s="73">
        <f t="shared" ca="1" si="49"/>
        <v>174.91018271259441</v>
      </c>
      <c r="AJ188" s="72">
        <f t="shared" ca="1" si="50"/>
        <v>77.045160769430709</v>
      </c>
      <c r="AK188" s="72">
        <f t="shared" ca="1" si="56"/>
        <v>251.95534348202511</v>
      </c>
      <c r="AL188" s="73">
        <f t="shared" ca="1" si="51"/>
        <v>2829.8510872952033</v>
      </c>
      <c r="AM188" s="321">
        <f ca="1">'monthly calculations (1)'!AM188</f>
        <v>1</v>
      </c>
      <c r="AN188" s="73">
        <f t="shared" ca="1" si="57"/>
        <v>2829.8510872952033</v>
      </c>
      <c r="AO188" s="75">
        <f t="shared" ca="1" si="59"/>
        <v>1135696.9016430678</v>
      </c>
      <c r="AP188" s="72">
        <f ca="1">AL188  /  ( 1 + disc_1/12)^(COUNT($AL$6:AL188)-1)</f>
        <v>624.90351239341521</v>
      </c>
      <c r="AQ188" s="72">
        <f t="shared" ca="1" si="60"/>
        <v>716498.99499964144</v>
      </c>
      <c r="AS188" s="303"/>
      <c r="AT188" s="300"/>
      <c r="AU188" s="297"/>
      <c r="AV188" s="303"/>
    </row>
    <row r="189" spans="2:48" x14ac:dyDescent="0.25">
      <c r="B189" s="43">
        <f t="shared" si="58"/>
        <v>49766</v>
      </c>
      <c r="C189" s="79">
        <f t="shared" si="52"/>
        <v>2036</v>
      </c>
      <c r="D189" s="64">
        <f ca="1">wellcount_base  +  SUM('forecast production'!I$7:I190)</f>
        <v>1</v>
      </c>
      <c r="E189" s="110">
        <f ca="1">'forecast production'!AE190</f>
        <v>141.94446908710634</v>
      </c>
      <c r="F189" s="98">
        <f ca="1">'forecast production'!AF190</f>
        <v>872.30760628595851</v>
      </c>
      <c r="G189" s="98">
        <f ca="1">'forecast production'!AG190</f>
        <v>1.0127510900105119</v>
      </c>
      <c r="H189" s="98">
        <f ca="1">'forecast production'!AH190</f>
        <v>130.84614094289381</v>
      </c>
      <c r="I189" s="307">
        <f ca="1">IF('monthly calculations (1)'!AV188,WI_2_APO, WI_2)</f>
        <v>0</v>
      </c>
      <c r="J189" s="306">
        <f ca="1">IF('monthly calculations (1)'!AV188,NRI_2_APO, NRI_2)</f>
        <v>0.25</v>
      </c>
      <c r="K189" s="112">
        <f t="shared" ca="1" si="41"/>
        <v>35.486117271776585</v>
      </c>
      <c r="L189" s="98">
        <f t="shared" ca="1" si="42"/>
        <v>163.55767617861721</v>
      </c>
      <c r="M189" s="98">
        <f t="shared" ca="1" si="43"/>
        <v>0.25318777250262797</v>
      </c>
      <c r="N189" s="98">
        <f t="shared" ca="1" si="44"/>
        <v>32.711535235723453</v>
      </c>
      <c r="O189" s="67">
        <f>assumptions!M193</f>
        <v>55</v>
      </c>
      <c r="P189" s="68">
        <f>assumptions!N193</f>
        <v>3</v>
      </c>
      <c r="Q189" s="68">
        <f>assumptions!O193</f>
        <v>22</v>
      </c>
      <c r="R189" s="67">
        <f t="shared" si="45"/>
        <v>52.5</v>
      </c>
      <c r="S189" s="68">
        <f t="shared" si="46"/>
        <v>2.3275000000000001</v>
      </c>
      <c r="T189" s="68">
        <f t="shared" si="47"/>
        <v>22</v>
      </c>
      <c r="U189" s="73">
        <f t="shared" ca="1" si="53"/>
        <v>1863.0211567682707</v>
      </c>
      <c r="V189" s="72">
        <f t="shared" ca="1" si="53"/>
        <v>380.68049130573161</v>
      </c>
      <c r="W189" s="72">
        <f t="shared" ca="1" si="48"/>
        <v>719.65377518591595</v>
      </c>
      <c r="X189" s="72">
        <f t="shared" ca="1" si="54"/>
        <v>2963.3554232599181</v>
      </c>
      <c r="Y189" s="73">
        <f>mult_opex * fixed_month</f>
        <v>1000</v>
      </c>
      <c r="Z189" s="72">
        <f ca="1">mult_opex * fixed_well *D189</f>
        <v>5000</v>
      </c>
      <c r="AA189" s="72">
        <f ca="1">(Z189+Y189)*WI_current_2</f>
        <v>0</v>
      </c>
      <c r="AB189" s="72">
        <f ca="1">mult_opex * var_bo*E189</f>
        <v>0</v>
      </c>
      <c r="AC189" s="72">
        <f ca="1">mult_opex * var_mcf*F189</f>
        <v>0</v>
      </c>
      <c r="AD189" s="72">
        <f ca="1">mult_opex * var_bw * G189</f>
        <v>2.0255021800210238</v>
      </c>
      <c r="AE189" s="72">
        <f ca="1">SUM(AB189:AD189)*WI_current_2</f>
        <v>0</v>
      </c>
      <c r="AF189" s="73">
        <f ca="1">mult_capex * IFERROR(OFFSET(assumptions!$F$39,MATCH(B189,assumptions!$E$39:$E$45,0)-1,0),0)</f>
        <v>0</v>
      </c>
      <c r="AG189" s="75">
        <f ca="1">mult_capex * capex_new*WI_current_2 *'forecast production'!I190</f>
        <v>0</v>
      </c>
      <c r="AH189" s="146">
        <f t="shared" ca="1" si="55"/>
        <v>0</v>
      </c>
      <c r="AI189" s="73">
        <f t="shared" ca="1" si="49"/>
        <v>168.22404319821402</v>
      </c>
      <c r="AJ189" s="72">
        <f t="shared" ca="1" si="50"/>
        <v>74.083885581497952</v>
      </c>
      <c r="AK189" s="72">
        <f t="shared" ca="1" si="56"/>
        <v>242.30792877971197</v>
      </c>
      <c r="AL189" s="73">
        <f t="shared" ca="1" si="51"/>
        <v>2721.0474944802063</v>
      </c>
      <c r="AM189" s="321">
        <f ca="1">'monthly calculations (1)'!AM189</f>
        <v>1</v>
      </c>
      <c r="AN189" s="73">
        <f t="shared" ca="1" si="57"/>
        <v>2721.0474944802063</v>
      </c>
      <c r="AO189" s="75">
        <f t="shared" ca="1" si="59"/>
        <v>1138417.949137548</v>
      </c>
      <c r="AP189" s="72">
        <f ca="1">AL189  /  ( 1 + disc_1/12)^(COUNT($AL$6:AL189)-1)</f>
        <v>595.91097096414751</v>
      </c>
      <c r="AQ189" s="72">
        <f t="shared" ca="1" si="60"/>
        <v>717094.90597060556</v>
      </c>
      <c r="AS189" s="303"/>
      <c r="AT189" s="300"/>
      <c r="AU189" s="297"/>
      <c r="AV189" s="303"/>
    </row>
    <row r="190" spans="2:48" x14ac:dyDescent="0.25">
      <c r="B190" s="43">
        <f t="shared" si="58"/>
        <v>49796</v>
      </c>
      <c r="C190" s="79">
        <f t="shared" si="52"/>
        <v>2036</v>
      </c>
      <c r="D190" s="64">
        <f ca="1">wellcount_base  +  SUM('forecast production'!I$7:I191)</f>
        <v>1</v>
      </c>
      <c r="E190" s="110">
        <f ca="1">'forecast production'!AE191</f>
        <v>145.67417624178276</v>
      </c>
      <c r="F190" s="98">
        <f ca="1">'forecast production'!AF191</f>
        <v>896.81203751384271</v>
      </c>
      <c r="G190" s="98">
        <f ca="1">'forecast production'!AG191</f>
        <v>1.011389918666564</v>
      </c>
      <c r="H190" s="98">
        <f ca="1">'forecast production'!AH191</f>
        <v>134.52180562707642</v>
      </c>
      <c r="I190" s="307">
        <f ca="1">IF('monthly calculations (1)'!AV189,WI_2_APO, WI_2)</f>
        <v>0</v>
      </c>
      <c r="J190" s="306">
        <f ca="1">IF('monthly calculations (1)'!AV189,NRI_2_APO, NRI_2)</f>
        <v>0.25</v>
      </c>
      <c r="K190" s="112">
        <f t="shared" ca="1" si="41"/>
        <v>36.41854406044569</v>
      </c>
      <c r="L190" s="98">
        <f t="shared" ca="1" si="42"/>
        <v>168.1522570338455</v>
      </c>
      <c r="M190" s="98">
        <f t="shared" ca="1" si="43"/>
        <v>0.25284747966664101</v>
      </c>
      <c r="N190" s="98">
        <f t="shared" ca="1" si="44"/>
        <v>33.630451406769104</v>
      </c>
      <c r="O190" s="67">
        <f>assumptions!M194</f>
        <v>55</v>
      </c>
      <c r="P190" s="68">
        <f>assumptions!N194</f>
        <v>3</v>
      </c>
      <c r="Q190" s="68">
        <f>assumptions!O194</f>
        <v>22</v>
      </c>
      <c r="R190" s="67">
        <f t="shared" si="45"/>
        <v>52.5</v>
      </c>
      <c r="S190" s="68">
        <f t="shared" si="46"/>
        <v>2.3275000000000001</v>
      </c>
      <c r="T190" s="68">
        <f t="shared" si="47"/>
        <v>22</v>
      </c>
      <c r="U190" s="73">
        <f t="shared" ca="1" si="53"/>
        <v>1911.9735631733988</v>
      </c>
      <c r="V190" s="72">
        <f t="shared" ca="1" si="53"/>
        <v>391.3743782462754</v>
      </c>
      <c r="W190" s="72">
        <f t="shared" ca="1" si="48"/>
        <v>739.86993094892034</v>
      </c>
      <c r="X190" s="72">
        <f t="shared" ca="1" si="54"/>
        <v>3043.2178723685943</v>
      </c>
      <c r="Y190" s="73">
        <f>mult_opex * fixed_month</f>
        <v>1000</v>
      </c>
      <c r="Z190" s="72">
        <f ca="1">mult_opex * fixed_well *D190</f>
        <v>5000</v>
      </c>
      <c r="AA190" s="72">
        <f ca="1">(Z190+Y190)*WI_current_2</f>
        <v>0</v>
      </c>
      <c r="AB190" s="72">
        <f ca="1">mult_opex * var_bo*E190</f>
        <v>0</v>
      </c>
      <c r="AC190" s="72">
        <f ca="1">mult_opex * var_mcf*F190</f>
        <v>0</v>
      </c>
      <c r="AD190" s="72">
        <f ca="1">mult_opex * var_bw * G190</f>
        <v>2.0227798373331281</v>
      </c>
      <c r="AE190" s="72">
        <f ca="1">SUM(AB190:AD190)*WI_current_2</f>
        <v>0</v>
      </c>
      <c r="AF190" s="73">
        <f ca="1">mult_capex * IFERROR(OFFSET(assumptions!$F$39,MATCH(B190,assumptions!$E$39:$E$45,0)-1,0),0)</f>
        <v>0</v>
      </c>
      <c r="AG190" s="75">
        <f ca="1">mult_capex * capex_new*WI_current_2 *'forecast production'!I191</f>
        <v>0</v>
      </c>
      <c r="AH190" s="146">
        <f t="shared" ca="1" si="55"/>
        <v>0</v>
      </c>
      <c r="AI190" s="73">
        <f t="shared" ca="1" si="49"/>
        <v>172.79410709561603</v>
      </c>
      <c r="AJ190" s="72">
        <f t="shared" ca="1" si="50"/>
        <v>76.080446809214862</v>
      </c>
      <c r="AK190" s="72">
        <f t="shared" ca="1" si="56"/>
        <v>248.87455390483089</v>
      </c>
      <c r="AL190" s="73">
        <f t="shared" ca="1" si="51"/>
        <v>2794.3433184637634</v>
      </c>
      <c r="AM190" s="321">
        <f ca="1">'monthly calculations (1)'!AM190</f>
        <v>1</v>
      </c>
      <c r="AN190" s="73">
        <f t="shared" ca="1" si="57"/>
        <v>2794.3433184637634</v>
      </c>
      <c r="AO190" s="75">
        <f t="shared" ca="1" si="59"/>
        <v>1141212.2924560118</v>
      </c>
      <c r="AP190" s="72">
        <f ca="1">AL190  /  ( 1 + disc_1/12)^(COUNT($AL$6:AL190)-1)</f>
        <v>606.90525490733751</v>
      </c>
      <c r="AQ190" s="72">
        <f t="shared" ca="1" si="60"/>
        <v>717701.81122551288</v>
      </c>
      <c r="AS190" s="303"/>
      <c r="AT190" s="300"/>
      <c r="AU190" s="297"/>
      <c r="AV190" s="303"/>
    </row>
    <row r="191" spans="2:48" x14ac:dyDescent="0.25">
      <c r="B191" s="43">
        <f t="shared" si="58"/>
        <v>49827</v>
      </c>
      <c r="C191" s="79">
        <f t="shared" si="52"/>
        <v>2036</v>
      </c>
      <c r="D191" s="64">
        <f ca="1">wellcount_base  +  SUM('forecast production'!I$7:I192)</f>
        <v>1</v>
      </c>
      <c r="E191" s="110">
        <f ca="1">'forecast production'!AE192</f>
        <v>139.98018959895296</v>
      </c>
      <c r="F191" s="98">
        <f ca="1">'forecast production'!AF192</f>
        <v>863.33370826647297</v>
      </c>
      <c r="G191" s="98">
        <f ca="1">'forecast production'!AG192</f>
        <v>0.9448484382280038</v>
      </c>
      <c r="H191" s="98">
        <f ca="1">'forecast production'!AH192</f>
        <v>129.50005623997095</v>
      </c>
      <c r="I191" s="307">
        <f ca="1">IF('monthly calculations (1)'!AV190,WI_2_APO, WI_2)</f>
        <v>0</v>
      </c>
      <c r="J191" s="306">
        <f ca="1">IF('monthly calculations (1)'!AV190,NRI_2_APO, NRI_2)</f>
        <v>0.25</v>
      </c>
      <c r="K191" s="112">
        <f t="shared" ca="1" si="41"/>
        <v>34.99504739973824</v>
      </c>
      <c r="L191" s="98">
        <f t="shared" ca="1" si="42"/>
        <v>161.87507029996368</v>
      </c>
      <c r="M191" s="98">
        <f t="shared" ca="1" si="43"/>
        <v>0.23621210955700095</v>
      </c>
      <c r="N191" s="98">
        <f t="shared" ca="1" si="44"/>
        <v>32.375014059992736</v>
      </c>
      <c r="O191" s="67">
        <f>assumptions!M195</f>
        <v>55</v>
      </c>
      <c r="P191" s="68">
        <f>assumptions!N195</f>
        <v>3</v>
      </c>
      <c r="Q191" s="68">
        <f>assumptions!O195</f>
        <v>22</v>
      </c>
      <c r="R191" s="67">
        <f t="shared" si="45"/>
        <v>52.5</v>
      </c>
      <c r="S191" s="68">
        <f t="shared" si="46"/>
        <v>2.3275000000000001</v>
      </c>
      <c r="T191" s="68">
        <f t="shared" si="47"/>
        <v>22</v>
      </c>
      <c r="U191" s="73">
        <f t="shared" ca="1" si="53"/>
        <v>1837.2399884862575</v>
      </c>
      <c r="V191" s="72">
        <f t="shared" ca="1" si="53"/>
        <v>376.76422612316549</v>
      </c>
      <c r="W191" s="72">
        <f t="shared" ca="1" si="48"/>
        <v>712.2503093198402</v>
      </c>
      <c r="X191" s="72">
        <f t="shared" ca="1" si="54"/>
        <v>2926.2545239292631</v>
      </c>
      <c r="Y191" s="73">
        <f>mult_opex * fixed_month</f>
        <v>1000</v>
      </c>
      <c r="Z191" s="72">
        <f ca="1">mult_opex * fixed_well *D191</f>
        <v>5000</v>
      </c>
      <c r="AA191" s="72">
        <f ca="1">(Z191+Y191)*WI_current_2</f>
        <v>0</v>
      </c>
      <c r="AB191" s="72">
        <f ca="1">mult_opex * var_bo*E191</f>
        <v>0</v>
      </c>
      <c r="AC191" s="72">
        <f ca="1">mult_opex * var_mcf*F191</f>
        <v>0</v>
      </c>
      <c r="AD191" s="72">
        <f ca="1">mult_opex * var_bw * G191</f>
        <v>1.8896968764560076</v>
      </c>
      <c r="AE191" s="72">
        <f ca="1">SUM(AB191:AD191)*WI_current_2</f>
        <v>0</v>
      </c>
      <c r="AF191" s="73">
        <f ca="1">mult_capex * IFERROR(OFFSET(assumptions!$F$39,MATCH(B191,assumptions!$E$39:$E$45,0)-1,0),0)</f>
        <v>0</v>
      </c>
      <c r="AG191" s="75">
        <f ca="1">mult_capex * capex_new*WI_current_2 *'forecast production'!I192</f>
        <v>0</v>
      </c>
      <c r="AH191" s="146">
        <f t="shared" ca="1" si="55"/>
        <v>0</v>
      </c>
      <c r="AI191" s="73">
        <f t="shared" ca="1" si="49"/>
        <v>166.18912962859326</v>
      </c>
      <c r="AJ191" s="72">
        <f t="shared" ca="1" si="50"/>
        <v>73.15636309823158</v>
      </c>
      <c r="AK191" s="72">
        <f t="shared" ca="1" si="56"/>
        <v>239.34549272682483</v>
      </c>
      <c r="AL191" s="73">
        <f t="shared" ca="1" si="51"/>
        <v>2686.9090312024382</v>
      </c>
      <c r="AM191" s="321">
        <f ca="1">'monthly calculations (1)'!AM191</f>
        <v>1</v>
      </c>
      <c r="AN191" s="73">
        <f t="shared" ca="1" si="57"/>
        <v>2686.9090312024382</v>
      </c>
      <c r="AO191" s="75">
        <f t="shared" ca="1" si="59"/>
        <v>1143899.2014872143</v>
      </c>
      <c r="AP191" s="72">
        <f ca="1">AL191  /  ( 1 + disc_1/12)^(COUNT($AL$6:AL191)-1)</f>
        <v>578.74862649466525</v>
      </c>
      <c r="AQ191" s="72">
        <f t="shared" ca="1" si="60"/>
        <v>718280.55985200754</v>
      </c>
      <c r="AS191" s="303"/>
      <c r="AT191" s="300"/>
      <c r="AU191" s="297"/>
      <c r="AV191" s="303"/>
    </row>
    <row r="192" spans="2:48" x14ac:dyDescent="0.25">
      <c r="B192" s="43">
        <f t="shared" si="58"/>
        <v>49857</v>
      </c>
      <c r="C192" s="79">
        <f t="shared" si="52"/>
        <v>2036</v>
      </c>
      <c r="D192" s="64">
        <f ca="1">wellcount_base  +  SUM('forecast production'!I$7:I193)</f>
        <v>1</v>
      </c>
      <c r="E192" s="110">
        <f ca="1">'forecast production'!AE193</f>
        <v>143.65828370165306</v>
      </c>
      <c r="F192" s="98">
        <f ca="1">'forecast production'!AF193</f>
        <v>887.58604921647827</v>
      </c>
      <c r="G192" s="98">
        <f ca="1">'forecast production'!AG193</f>
        <v>0.94358970415400401</v>
      </c>
      <c r="H192" s="98">
        <f ca="1">'forecast production'!AH193</f>
        <v>133.13790738247175</v>
      </c>
      <c r="I192" s="307">
        <f ca="1">IF('monthly calculations (1)'!AV191,WI_2_APO, WI_2)</f>
        <v>0</v>
      </c>
      <c r="J192" s="306">
        <f ca="1">IF('monthly calculations (1)'!AV191,NRI_2_APO, NRI_2)</f>
        <v>0.25</v>
      </c>
      <c r="K192" s="112">
        <f t="shared" ca="1" si="41"/>
        <v>35.914570925413265</v>
      </c>
      <c r="L192" s="98">
        <f t="shared" ca="1" si="42"/>
        <v>166.42238422808967</v>
      </c>
      <c r="M192" s="98">
        <f t="shared" ca="1" si="43"/>
        <v>0.235897426038501</v>
      </c>
      <c r="N192" s="98">
        <f t="shared" ca="1" si="44"/>
        <v>33.284476845617938</v>
      </c>
      <c r="O192" s="67">
        <f>assumptions!M196</f>
        <v>55</v>
      </c>
      <c r="P192" s="68">
        <f>assumptions!N196</f>
        <v>3</v>
      </c>
      <c r="Q192" s="68">
        <f>assumptions!O196</f>
        <v>22</v>
      </c>
      <c r="R192" s="67">
        <f t="shared" si="45"/>
        <v>52.5</v>
      </c>
      <c r="S192" s="68">
        <f t="shared" si="46"/>
        <v>2.3275000000000001</v>
      </c>
      <c r="T192" s="68">
        <f t="shared" si="47"/>
        <v>22</v>
      </c>
      <c r="U192" s="73">
        <f t="shared" ca="1" si="53"/>
        <v>1885.5149735841965</v>
      </c>
      <c r="V192" s="72">
        <f t="shared" ca="1" si="53"/>
        <v>387.34809929087874</v>
      </c>
      <c r="W192" s="72">
        <f t="shared" ca="1" si="48"/>
        <v>732.25849060359462</v>
      </c>
      <c r="X192" s="72">
        <f t="shared" ca="1" si="54"/>
        <v>3005.1215634786695</v>
      </c>
      <c r="Y192" s="73">
        <f>mult_opex * fixed_month</f>
        <v>1000</v>
      </c>
      <c r="Z192" s="72">
        <f ca="1">mult_opex * fixed_well *D192</f>
        <v>5000</v>
      </c>
      <c r="AA192" s="72">
        <f ca="1">(Z192+Y192)*WI_current_2</f>
        <v>0</v>
      </c>
      <c r="AB192" s="72">
        <f ca="1">mult_opex * var_bo*E192</f>
        <v>0</v>
      </c>
      <c r="AC192" s="72">
        <f ca="1">mult_opex * var_mcf*F192</f>
        <v>0</v>
      </c>
      <c r="AD192" s="72">
        <f ca="1">mult_opex * var_bw * G192</f>
        <v>1.887179408308008</v>
      </c>
      <c r="AE192" s="72">
        <f ca="1">SUM(AB192:AD192)*WI_current_2</f>
        <v>0</v>
      </c>
      <c r="AF192" s="73">
        <f ca="1">mult_capex * IFERROR(OFFSET(assumptions!$F$39,MATCH(B192,assumptions!$E$39:$E$45,0)-1,0),0)</f>
        <v>0</v>
      </c>
      <c r="AG192" s="75">
        <f ca="1">mult_capex * capex_new*WI_current_2 *'forecast production'!I193</f>
        <v>0</v>
      </c>
      <c r="AH192" s="146">
        <f t="shared" ca="1" si="55"/>
        <v>0</v>
      </c>
      <c r="AI192" s="73">
        <f t="shared" ca="1" si="49"/>
        <v>170.70418302695853</v>
      </c>
      <c r="AJ192" s="72">
        <f t="shared" ca="1" si="50"/>
        <v>75.128039086966737</v>
      </c>
      <c r="AK192" s="72">
        <f t="shared" ca="1" si="56"/>
        <v>245.83222211392527</v>
      </c>
      <c r="AL192" s="73">
        <f t="shared" ca="1" si="51"/>
        <v>2759.2893413647444</v>
      </c>
      <c r="AM192" s="321">
        <f ca="1">'monthly calculations (1)'!AM192</f>
        <v>1</v>
      </c>
      <c r="AN192" s="73">
        <f t="shared" ca="1" si="57"/>
        <v>2759.2893413647444</v>
      </c>
      <c r="AO192" s="75">
        <f t="shared" ca="1" si="59"/>
        <v>1146658.4908285791</v>
      </c>
      <c r="AP192" s="72">
        <f ca="1">AL192  /  ( 1 + disc_1/12)^(COUNT($AL$6:AL192)-1)</f>
        <v>589.42714055372585</v>
      </c>
      <c r="AQ192" s="72">
        <f t="shared" ca="1" si="60"/>
        <v>718869.98699256126</v>
      </c>
      <c r="AS192" s="303"/>
      <c r="AT192" s="300"/>
      <c r="AU192" s="297"/>
      <c r="AV192" s="303"/>
    </row>
    <row r="193" spans="2:48" x14ac:dyDescent="0.25">
      <c r="B193" s="43">
        <f t="shared" si="58"/>
        <v>49888</v>
      </c>
      <c r="C193" s="79">
        <f t="shared" si="52"/>
        <v>2036</v>
      </c>
      <c r="D193" s="64">
        <f ca="1">wellcount_base  +  SUM('forecast production'!I$7:I194)</f>
        <v>1</v>
      </c>
      <c r="E193" s="110">
        <f ca="1">'forecast production'!AE194</f>
        <v>142.64452894654326</v>
      </c>
      <c r="F193" s="98">
        <f ca="1">'forecast production'!AF194</f>
        <v>882.9338672199558</v>
      </c>
      <c r="G193" s="98">
        <f ca="1">'forecast production'!AG194</f>
        <v>0.91090371703229123</v>
      </c>
      <c r="H193" s="98">
        <f ca="1">'forecast production'!AH194</f>
        <v>132.44008008299338</v>
      </c>
      <c r="I193" s="307">
        <f ca="1">IF('monthly calculations (1)'!AV192,WI_2_APO, WI_2)</f>
        <v>0</v>
      </c>
      <c r="J193" s="306">
        <f ca="1">IF('monthly calculations (1)'!AV192,NRI_2_APO, NRI_2)</f>
        <v>0.25</v>
      </c>
      <c r="K193" s="112">
        <f t="shared" ca="1" si="41"/>
        <v>35.661132236635815</v>
      </c>
      <c r="L193" s="98">
        <f t="shared" ca="1" si="42"/>
        <v>165.55010010374173</v>
      </c>
      <c r="M193" s="98">
        <f t="shared" ca="1" si="43"/>
        <v>0.22772592925807281</v>
      </c>
      <c r="N193" s="98">
        <f t="shared" ca="1" si="44"/>
        <v>33.110020020748344</v>
      </c>
      <c r="O193" s="67">
        <f>assumptions!M197</f>
        <v>55</v>
      </c>
      <c r="P193" s="68">
        <f>assumptions!N197</f>
        <v>3</v>
      </c>
      <c r="Q193" s="68">
        <f>assumptions!O197</f>
        <v>22</v>
      </c>
      <c r="R193" s="67">
        <f t="shared" si="45"/>
        <v>52.5</v>
      </c>
      <c r="S193" s="68">
        <f t="shared" si="46"/>
        <v>2.3275000000000001</v>
      </c>
      <c r="T193" s="68">
        <f t="shared" si="47"/>
        <v>22</v>
      </c>
      <c r="U193" s="73">
        <f t="shared" ca="1" si="53"/>
        <v>1872.2094424233803</v>
      </c>
      <c r="V193" s="72">
        <f t="shared" ca="1" si="53"/>
        <v>385.31785799145888</v>
      </c>
      <c r="W193" s="72">
        <f t="shared" ca="1" si="48"/>
        <v>728.42044045646355</v>
      </c>
      <c r="X193" s="72">
        <f t="shared" ca="1" si="54"/>
        <v>2985.9477408713028</v>
      </c>
      <c r="Y193" s="73">
        <f>mult_opex * fixed_month</f>
        <v>1000</v>
      </c>
      <c r="Z193" s="72">
        <f ca="1">mult_opex * fixed_well *D193</f>
        <v>5000</v>
      </c>
      <c r="AA193" s="72">
        <f ca="1">(Z193+Y193)*WI_current_2</f>
        <v>0</v>
      </c>
      <c r="AB193" s="72">
        <f ca="1">mult_opex * var_bo*E193</f>
        <v>0</v>
      </c>
      <c r="AC193" s="72">
        <f ca="1">mult_opex * var_mcf*F193</f>
        <v>0</v>
      </c>
      <c r="AD193" s="72">
        <f ca="1">mult_opex * var_bw * G193</f>
        <v>1.8218074340645825</v>
      </c>
      <c r="AE193" s="72">
        <f ca="1">SUM(AB193:AD193)*WI_current_2</f>
        <v>0</v>
      </c>
      <c r="AF193" s="73">
        <f ca="1">mult_capex * IFERROR(OFFSET(assumptions!$F$39,MATCH(B193,assumptions!$E$39:$E$45,0)-1,0),0)</f>
        <v>0</v>
      </c>
      <c r="AG193" s="75">
        <f ca="1">mult_capex * capex_new*WI_current_2 *'forecast production'!I194</f>
        <v>0</v>
      </c>
      <c r="AH193" s="146">
        <f t="shared" ca="1" si="55"/>
        <v>0</v>
      </c>
      <c r="AI193" s="73">
        <f t="shared" ca="1" si="49"/>
        <v>169.65200673506968</v>
      </c>
      <c r="AJ193" s="72">
        <f t="shared" ca="1" si="50"/>
        <v>74.648693521782576</v>
      </c>
      <c r="AK193" s="72">
        <f t="shared" ca="1" si="56"/>
        <v>244.30070025685225</v>
      </c>
      <c r="AL193" s="73">
        <f t="shared" ca="1" si="51"/>
        <v>2741.6470406144504</v>
      </c>
      <c r="AM193" s="321">
        <f ca="1">'monthly calculations (1)'!AM193</f>
        <v>1</v>
      </c>
      <c r="AN193" s="73">
        <f t="shared" ca="1" si="57"/>
        <v>2741.6470406144504</v>
      </c>
      <c r="AO193" s="75">
        <f t="shared" ca="1" si="59"/>
        <v>1149400.1378691935</v>
      </c>
      <c r="AP193" s="72">
        <f ca="1">AL193  /  ( 1 + disc_1/12)^(COUNT($AL$6:AL193)-1)</f>
        <v>580.81831793258709</v>
      </c>
      <c r="AQ193" s="72">
        <f t="shared" ca="1" si="60"/>
        <v>719450.8053104938</v>
      </c>
      <c r="AS193" s="303"/>
      <c r="AT193" s="300"/>
      <c r="AU193" s="297"/>
      <c r="AV193" s="303"/>
    </row>
    <row r="194" spans="2:48" x14ac:dyDescent="0.25">
      <c r="B194" s="43">
        <f t="shared" si="58"/>
        <v>49919</v>
      </c>
      <c r="C194" s="79">
        <f t="shared" si="52"/>
        <v>2036</v>
      </c>
      <c r="D194" s="64">
        <f ca="1">wellcount_base  +  SUM('forecast production'!I$7:I195)</f>
        <v>1</v>
      </c>
      <c r="E194" s="110">
        <f ca="1">'forecast production'!AE195</f>
        <v>137.06896254590487</v>
      </c>
      <c r="F194" s="98">
        <f ca="1">'forecast production'!AF195</f>
        <v>849.97361526750933</v>
      </c>
      <c r="G194" s="98">
        <f ca="1">'forecast production'!AG195</f>
        <v>0.85098913305002366</v>
      </c>
      <c r="H194" s="98">
        <f ca="1">'forecast production'!AH195</f>
        <v>127.49604229012638</v>
      </c>
      <c r="I194" s="307">
        <f ca="1">IF('monthly calculations (1)'!AV193,WI_2_APO, WI_2)</f>
        <v>0</v>
      </c>
      <c r="J194" s="306">
        <f ca="1">IF('monthly calculations (1)'!AV193,NRI_2_APO, NRI_2)</f>
        <v>0.25</v>
      </c>
      <c r="K194" s="112">
        <f t="shared" ca="1" si="41"/>
        <v>34.267240636476217</v>
      </c>
      <c r="L194" s="98">
        <f t="shared" ca="1" si="42"/>
        <v>159.37005286265799</v>
      </c>
      <c r="M194" s="98">
        <f t="shared" ca="1" si="43"/>
        <v>0.21274728326250592</v>
      </c>
      <c r="N194" s="98">
        <f t="shared" ca="1" si="44"/>
        <v>31.874010572531596</v>
      </c>
      <c r="O194" s="67">
        <f>assumptions!M198</f>
        <v>55</v>
      </c>
      <c r="P194" s="68">
        <f>assumptions!N198</f>
        <v>3</v>
      </c>
      <c r="Q194" s="68">
        <f>assumptions!O198</f>
        <v>22</v>
      </c>
      <c r="R194" s="67">
        <f t="shared" si="45"/>
        <v>52.5</v>
      </c>
      <c r="S194" s="68">
        <f t="shared" si="46"/>
        <v>2.3275000000000001</v>
      </c>
      <c r="T194" s="68">
        <f t="shared" si="47"/>
        <v>22</v>
      </c>
      <c r="U194" s="73">
        <f t="shared" ca="1" si="53"/>
        <v>1799.0301334150013</v>
      </c>
      <c r="V194" s="72">
        <f t="shared" ca="1" si="53"/>
        <v>370.93379803783648</v>
      </c>
      <c r="W194" s="72">
        <f t="shared" ca="1" si="48"/>
        <v>701.22823259569509</v>
      </c>
      <c r="X194" s="72">
        <f t="shared" ca="1" si="54"/>
        <v>2871.1921640485325</v>
      </c>
      <c r="Y194" s="73">
        <f>mult_opex * fixed_month</f>
        <v>1000</v>
      </c>
      <c r="Z194" s="72">
        <f ca="1">mult_opex * fixed_well *D194</f>
        <v>5000</v>
      </c>
      <c r="AA194" s="72">
        <f ca="1">(Z194+Y194)*WI_current_2</f>
        <v>0</v>
      </c>
      <c r="AB194" s="72">
        <f ca="1">mult_opex * var_bo*E194</f>
        <v>0</v>
      </c>
      <c r="AC194" s="72">
        <f ca="1">mult_opex * var_mcf*F194</f>
        <v>0</v>
      </c>
      <c r="AD194" s="72">
        <f ca="1">mult_opex * var_bw * G194</f>
        <v>1.7019782661000473</v>
      </c>
      <c r="AE194" s="72">
        <f ca="1">SUM(AB194:AD194)*WI_current_2</f>
        <v>0</v>
      </c>
      <c r="AF194" s="73">
        <f ca="1">mult_capex * IFERROR(OFFSET(assumptions!$F$39,MATCH(B194,assumptions!$E$39:$E$45,0)-1,0),0)</f>
        <v>0</v>
      </c>
      <c r="AG194" s="75">
        <f ca="1">mult_capex * capex_new*WI_current_2 *'forecast production'!I195</f>
        <v>0</v>
      </c>
      <c r="AH194" s="146">
        <f t="shared" ca="1" si="55"/>
        <v>0</v>
      </c>
      <c r="AI194" s="73">
        <f t="shared" ca="1" si="49"/>
        <v>163.16753843460492</v>
      </c>
      <c r="AJ194" s="72">
        <f t="shared" ca="1" si="50"/>
        <v>71.779804101213315</v>
      </c>
      <c r="AK194" s="72">
        <f t="shared" ca="1" si="56"/>
        <v>234.94734253581822</v>
      </c>
      <c r="AL194" s="73">
        <f t="shared" ca="1" si="51"/>
        <v>2636.2448215127142</v>
      </c>
      <c r="AM194" s="321">
        <f ca="1">'monthly calculations (1)'!AM194</f>
        <v>1</v>
      </c>
      <c r="AN194" s="73">
        <f t="shared" ca="1" si="57"/>
        <v>2636.2448215127142</v>
      </c>
      <c r="AO194" s="75">
        <f t="shared" ca="1" si="59"/>
        <v>1152036.3826907061</v>
      </c>
      <c r="AP194" s="72">
        <f ca="1">AL194  /  ( 1 + disc_1/12)^(COUNT($AL$6:AL194)-1)</f>
        <v>553.8732324604498</v>
      </c>
      <c r="AQ194" s="72">
        <f t="shared" ca="1" si="60"/>
        <v>720004.67854295427</v>
      </c>
      <c r="AS194" s="303"/>
      <c r="AT194" s="300"/>
      <c r="AU194" s="297"/>
      <c r="AV194" s="303"/>
    </row>
    <row r="195" spans="2:48" x14ac:dyDescent="0.25">
      <c r="B195" s="43">
        <f t="shared" si="58"/>
        <v>49949</v>
      </c>
      <c r="C195" s="79">
        <f t="shared" si="52"/>
        <v>2036</v>
      </c>
      <c r="D195" s="64">
        <f ca="1">wellcount_base  +  SUM('forecast production'!I$7:I196)</f>
        <v>1</v>
      </c>
      <c r="E195" s="110">
        <f ca="1">'forecast production'!AE196</f>
        <v>140.67056177396503</v>
      </c>
      <c r="F195" s="98">
        <f ca="1">'forecast production'!AF196</f>
        <v>873.85065113278063</v>
      </c>
      <c r="G195" s="98">
        <f ca="1">'forecast production'!AG196</f>
        <v>0.84987060432460937</v>
      </c>
      <c r="H195" s="98">
        <f ca="1">'forecast production'!AH196</f>
        <v>131.07759766991711</v>
      </c>
      <c r="I195" s="307">
        <f ca="1">IF('monthly calculations (1)'!AV194,WI_2_APO, WI_2)</f>
        <v>0</v>
      </c>
      <c r="J195" s="306">
        <f ca="1">IF('monthly calculations (1)'!AV194,NRI_2_APO, NRI_2)</f>
        <v>0.25</v>
      </c>
      <c r="K195" s="112">
        <f t="shared" ca="1" si="41"/>
        <v>35.167640443491258</v>
      </c>
      <c r="L195" s="98">
        <f t="shared" ca="1" si="42"/>
        <v>163.84699708739637</v>
      </c>
      <c r="M195" s="98">
        <f t="shared" ca="1" si="43"/>
        <v>0.21246765108115234</v>
      </c>
      <c r="N195" s="98">
        <f t="shared" ca="1" si="44"/>
        <v>32.769399417479278</v>
      </c>
      <c r="O195" s="67">
        <f>assumptions!M199</f>
        <v>55</v>
      </c>
      <c r="P195" s="68">
        <f>assumptions!N199</f>
        <v>3</v>
      </c>
      <c r="Q195" s="68">
        <f>assumptions!O199</f>
        <v>22</v>
      </c>
      <c r="R195" s="67">
        <f t="shared" si="45"/>
        <v>52.5</v>
      </c>
      <c r="S195" s="68">
        <f t="shared" si="46"/>
        <v>2.3275000000000001</v>
      </c>
      <c r="T195" s="68">
        <f t="shared" si="47"/>
        <v>22</v>
      </c>
      <c r="U195" s="73">
        <f t="shared" ca="1" si="53"/>
        <v>1846.301123283291</v>
      </c>
      <c r="V195" s="72">
        <f t="shared" ca="1" si="53"/>
        <v>381.35388572091506</v>
      </c>
      <c r="W195" s="72">
        <f t="shared" ca="1" si="48"/>
        <v>720.92678718454408</v>
      </c>
      <c r="X195" s="72">
        <f t="shared" ca="1" si="54"/>
        <v>2948.5817961887501</v>
      </c>
      <c r="Y195" s="73">
        <f>mult_opex * fixed_month</f>
        <v>1000</v>
      </c>
      <c r="Z195" s="72">
        <f ca="1">mult_opex * fixed_well *D195</f>
        <v>5000</v>
      </c>
      <c r="AA195" s="72">
        <f ca="1">(Z195+Y195)*WI_current_2</f>
        <v>0</v>
      </c>
      <c r="AB195" s="72">
        <f ca="1">mult_opex * var_bo*E195</f>
        <v>0</v>
      </c>
      <c r="AC195" s="72">
        <f ca="1">mult_opex * var_mcf*F195</f>
        <v>0</v>
      </c>
      <c r="AD195" s="72">
        <f ca="1">mult_opex * var_bw * G195</f>
        <v>1.6997412086492187</v>
      </c>
      <c r="AE195" s="72">
        <f ca="1">SUM(AB195:AD195)*WI_current_2</f>
        <v>0</v>
      </c>
      <c r="AF195" s="73">
        <f ca="1">mult_capex * IFERROR(OFFSET(assumptions!$F$39,MATCH(B195,assumptions!$E$39:$E$45,0)-1,0),0)</f>
        <v>0</v>
      </c>
      <c r="AG195" s="75">
        <f ca="1">mult_capex * capex_new*WI_current_2 *'forecast production'!I196</f>
        <v>0</v>
      </c>
      <c r="AH195" s="146">
        <f t="shared" ca="1" si="55"/>
        <v>0</v>
      </c>
      <c r="AI195" s="73">
        <f t="shared" ca="1" si="49"/>
        <v>167.60090213894082</v>
      </c>
      <c r="AJ195" s="72">
        <f t="shared" ca="1" si="50"/>
        <v>73.71454490471875</v>
      </c>
      <c r="AK195" s="72">
        <f t="shared" ca="1" si="56"/>
        <v>241.31544704365956</v>
      </c>
      <c r="AL195" s="73">
        <f t="shared" ca="1" si="51"/>
        <v>2707.2663491450903</v>
      </c>
      <c r="AM195" s="321">
        <f ca="1">'monthly calculations (1)'!AM195</f>
        <v>1</v>
      </c>
      <c r="AN195" s="73">
        <f t="shared" ca="1" si="57"/>
        <v>2707.2663491450903</v>
      </c>
      <c r="AO195" s="75">
        <f t="shared" ca="1" si="59"/>
        <v>1154743.649039851</v>
      </c>
      <c r="AP195" s="72">
        <f ca="1">AL195  /  ( 1 + disc_1/12)^(COUNT($AL$6:AL195)-1)</f>
        <v>564.0940232736931</v>
      </c>
      <c r="AQ195" s="72">
        <f t="shared" ca="1" si="60"/>
        <v>720568.77256622794</v>
      </c>
      <c r="AS195" s="303"/>
      <c r="AT195" s="300"/>
      <c r="AU195" s="297"/>
      <c r="AV195" s="303"/>
    </row>
    <row r="196" spans="2:48" x14ac:dyDescent="0.25">
      <c r="B196" s="43">
        <f t="shared" si="58"/>
        <v>49980</v>
      </c>
      <c r="C196" s="79">
        <f t="shared" si="52"/>
        <v>2036</v>
      </c>
      <c r="D196" s="64">
        <f ca="1">wellcount_base  +  SUM('forecast production'!I$7:I197)</f>
        <v>1</v>
      </c>
      <c r="E196" s="110">
        <f ca="1">'forecast production'!AE197</f>
        <v>135.17215210078524</v>
      </c>
      <c r="F196" s="98">
        <f ca="1">'forecast production'!AF197</f>
        <v>841.2294790388454</v>
      </c>
      <c r="G196" s="98">
        <f ca="1">'forecast production'!AG197</f>
        <v>0.79398016815571493</v>
      </c>
      <c r="H196" s="98">
        <f ca="1">'forecast production'!AH197</f>
        <v>126.18442185582681</v>
      </c>
      <c r="I196" s="307">
        <f ca="1">IF('monthly calculations (1)'!AV195,WI_2_APO, WI_2)</f>
        <v>0</v>
      </c>
      <c r="J196" s="306">
        <f ca="1">IF('monthly calculations (1)'!AV195,NRI_2_APO, NRI_2)</f>
        <v>0.25</v>
      </c>
      <c r="K196" s="112">
        <f t="shared" ca="1" si="41"/>
        <v>33.79303802519631</v>
      </c>
      <c r="L196" s="98">
        <f t="shared" ca="1" si="42"/>
        <v>157.7305273197835</v>
      </c>
      <c r="M196" s="98">
        <f t="shared" ca="1" si="43"/>
        <v>0.19849504203892873</v>
      </c>
      <c r="N196" s="98">
        <f t="shared" ca="1" si="44"/>
        <v>31.546105463956703</v>
      </c>
      <c r="O196" s="67">
        <f>assumptions!M200</f>
        <v>55</v>
      </c>
      <c r="P196" s="68">
        <f>assumptions!N200</f>
        <v>3</v>
      </c>
      <c r="Q196" s="68">
        <f>assumptions!O200</f>
        <v>22</v>
      </c>
      <c r="R196" s="67">
        <f t="shared" si="45"/>
        <v>52.5</v>
      </c>
      <c r="S196" s="68">
        <f t="shared" si="46"/>
        <v>2.3275000000000001</v>
      </c>
      <c r="T196" s="68">
        <f t="shared" si="47"/>
        <v>22</v>
      </c>
      <c r="U196" s="73">
        <f t="shared" ca="1" si="53"/>
        <v>1774.1344963228062</v>
      </c>
      <c r="V196" s="72">
        <f t="shared" ca="1" si="53"/>
        <v>367.1178023367961</v>
      </c>
      <c r="W196" s="72">
        <f t="shared" ca="1" si="48"/>
        <v>694.01432020704749</v>
      </c>
      <c r="X196" s="72">
        <f t="shared" ca="1" si="54"/>
        <v>2835.2666188666499</v>
      </c>
      <c r="Y196" s="73">
        <f>mult_opex * fixed_month</f>
        <v>1000</v>
      </c>
      <c r="Z196" s="72">
        <f ca="1">mult_opex * fixed_well *D196</f>
        <v>5000</v>
      </c>
      <c r="AA196" s="72">
        <f ca="1">(Z196+Y196)*WI_current_2</f>
        <v>0</v>
      </c>
      <c r="AB196" s="72">
        <f ca="1">mult_opex * var_bo*E196</f>
        <v>0</v>
      </c>
      <c r="AC196" s="72">
        <f ca="1">mult_opex * var_mcf*F196</f>
        <v>0</v>
      </c>
      <c r="AD196" s="72">
        <f ca="1">mult_opex * var_bw * G196</f>
        <v>1.5879603363114299</v>
      </c>
      <c r="AE196" s="72">
        <f ca="1">SUM(AB196:AD196)*WI_current_2</f>
        <v>0</v>
      </c>
      <c r="AF196" s="73">
        <f ca="1">mult_capex * IFERROR(OFFSET(assumptions!$F$39,MATCH(B196,assumptions!$E$39:$E$45,0)-1,0),0)</f>
        <v>0</v>
      </c>
      <c r="AG196" s="75">
        <f ca="1">mult_capex * capex_new*WI_current_2 *'forecast production'!I197</f>
        <v>0</v>
      </c>
      <c r="AH196" s="146">
        <f t="shared" ca="1" si="55"/>
        <v>0</v>
      </c>
      <c r="AI196" s="73">
        <f t="shared" ca="1" si="49"/>
        <v>161.19509602163737</v>
      </c>
      <c r="AJ196" s="72">
        <f t="shared" ca="1" si="50"/>
        <v>70.881665471666253</v>
      </c>
      <c r="AK196" s="72">
        <f t="shared" ca="1" si="56"/>
        <v>232.07676149330362</v>
      </c>
      <c r="AL196" s="73">
        <f t="shared" ca="1" si="51"/>
        <v>2603.1898573733461</v>
      </c>
      <c r="AM196" s="321">
        <f ca="1">'monthly calculations (1)'!AM196</f>
        <v>1</v>
      </c>
      <c r="AN196" s="73">
        <f t="shared" ca="1" si="57"/>
        <v>2603.1898573733461</v>
      </c>
      <c r="AO196" s="75">
        <f t="shared" ca="1" si="59"/>
        <v>1157346.8388972243</v>
      </c>
      <c r="AP196" s="72">
        <f ca="1">AL196  /  ( 1 + disc_1/12)^(COUNT($AL$6:AL196)-1)</f>
        <v>537.92562410670155</v>
      </c>
      <c r="AQ196" s="72">
        <f t="shared" ca="1" si="60"/>
        <v>721106.6981903346</v>
      </c>
      <c r="AS196" s="303"/>
      <c r="AT196" s="300"/>
      <c r="AU196" s="297"/>
      <c r="AV196" s="303"/>
    </row>
    <row r="197" spans="2:48" x14ac:dyDescent="0.25">
      <c r="B197" s="44">
        <f t="shared" si="58"/>
        <v>50010</v>
      </c>
      <c r="C197" s="100">
        <f t="shared" si="52"/>
        <v>2036</v>
      </c>
      <c r="D197" s="65">
        <f ca="1">wellcount_base  +  SUM('forecast production'!I$7:I198)</f>
        <v>1</v>
      </c>
      <c r="E197" s="109">
        <f ca="1">'forecast production'!AE198</f>
        <v>138.72391108122096</v>
      </c>
      <c r="F197" s="101">
        <f ca="1">'forecast production'!AF198</f>
        <v>864.86087898013932</v>
      </c>
      <c r="G197" s="101">
        <f ca="1">'forecast production'!AG198</f>
        <v>0.79294594486402181</v>
      </c>
      <c r="H197" s="102">
        <f ca="1">'forecast production'!AH198</f>
        <v>129.72913184702091</v>
      </c>
      <c r="I197" s="308">
        <f ca="1">IF('monthly calculations (1)'!AV196,WI_2_APO, WI_2)</f>
        <v>0</v>
      </c>
      <c r="J197" s="309">
        <f ca="1">IF('monthly calculations (1)'!AV196,NRI_2_APO, NRI_2)</f>
        <v>0.25</v>
      </c>
      <c r="K197" s="113">
        <f t="shared" ca="1" si="41"/>
        <v>34.68097777030524</v>
      </c>
      <c r="L197" s="102">
        <f t="shared" ca="1" si="42"/>
        <v>162.16141480877613</v>
      </c>
      <c r="M197" s="102">
        <f t="shared" ca="1" si="43"/>
        <v>0.19823648621600545</v>
      </c>
      <c r="N197" s="102">
        <f t="shared" ca="1" si="44"/>
        <v>32.432282961755227</v>
      </c>
      <c r="O197" s="103">
        <f>assumptions!M201</f>
        <v>55</v>
      </c>
      <c r="P197" s="104">
        <f>assumptions!N201</f>
        <v>3</v>
      </c>
      <c r="Q197" s="104">
        <f>assumptions!O201</f>
        <v>22</v>
      </c>
      <c r="R197" s="103">
        <f t="shared" si="45"/>
        <v>52.5</v>
      </c>
      <c r="S197" s="104">
        <f t="shared" si="46"/>
        <v>2.3275000000000001</v>
      </c>
      <c r="T197" s="104">
        <f t="shared" si="47"/>
        <v>22</v>
      </c>
      <c r="U197" s="105">
        <f t="shared" ca="1" si="53"/>
        <v>1820.7513329410251</v>
      </c>
      <c r="V197" s="106">
        <f t="shared" ca="1" si="53"/>
        <v>377.43069296742647</v>
      </c>
      <c r="W197" s="106">
        <f t="shared" ca="1" si="48"/>
        <v>713.51022515861496</v>
      </c>
      <c r="X197" s="106">
        <f t="shared" ca="1" si="54"/>
        <v>2911.6922510670665</v>
      </c>
      <c r="Y197" s="105">
        <f>mult_opex * fixed_month</f>
        <v>1000</v>
      </c>
      <c r="Z197" s="106">
        <f ca="1">mult_opex * fixed_well *D197</f>
        <v>5000</v>
      </c>
      <c r="AA197" s="106">
        <f ca="1">(Z197+Y197)*WI_current_2</f>
        <v>0</v>
      </c>
      <c r="AB197" s="106">
        <f ca="1">mult_opex * var_bo*E197</f>
        <v>0</v>
      </c>
      <c r="AC197" s="106">
        <f ca="1">mult_opex * var_mcf*F197</f>
        <v>0</v>
      </c>
      <c r="AD197" s="106">
        <f ca="1">mult_opex * var_bw * G197</f>
        <v>1.5858918897280436</v>
      </c>
      <c r="AE197" s="106">
        <f ca="1">SUM(AB197:AD197)*WI_current_2</f>
        <v>0</v>
      </c>
      <c r="AF197" s="105">
        <f ca="1">mult_capex * IFERROR(OFFSET(assumptions!$F$39,MATCH(B197,assumptions!$E$39:$E$45,0)-1,0),0)</f>
        <v>0</v>
      </c>
      <c r="AG197" s="106">
        <f ca="1">mult_capex * capex_new*WI_current_2 *'forecast production'!I198</f>
        <v>0</v>
      </c>
      <c r="AH197" s="147">
        <f t="shared" ca="1" si="55"/>
        <v>0</v>
      </c>
      <c r="AI197" s="105">
        <f t="shared" ca="1" si="49"/>
        <v>165.57513017474025</v>
      </c>
      <c r="AJ197" s="106">
        <f t="shared" ca="1" si="50"/>
        <v>72.792306276676669</v>
      </c>
      <c r="AK197" s="106">
        <f t="shared" ca="1" si="56"/>
        <v>238.36743645141692</v>
      </c>
      <c r="AL197" s="105">
        <f t="shared" ca="1" si="51"/>
        <v>2673.3248146156498</v>
      </c>
      <c r="AM197" s="322">
        <f ca="1">'monthly calculations (1)'!AM197</f>
        <v>1</v>
      </c>
      <c r="AN197" s="105">
        <f t="shared" ca="1" si="57"/>
        <v>2673.3248146156498</v>
      </c>
      <c r="AO197" s="106">
        <f t="shared" ca="1" si="59"/>
        <v>1160020.1637118398</v>
      </c>
      <c r="AP197" s="106">
        <f ca="1">AL197  /  ( 1 + disc_1/12)^(COUNT($AL$6:AL197)-1)</f>
        <v>547.85293712840019</v>
      </c>
      <c r="AQ197" s="106">
        <f t="shared" ca="1" si="60"/>
        <v>721654.551127463</v>
      </c>
      <c r="AS197" s="304"/>
      <c r="AT197" s="301"/>
      <c r="AU197" s="298"/>
      <c r="AV197" s="304"/>
    </row>
    <row r="198" spans="2:48" x14ac:dyDescent="0.25">
      <c r="B198" s="43">
        <f t="shared" si="58"/>
        <v>50041</v>
      </c>
      <c r="C198" s="79">
        <f t="shared" si="52"/>
        <v>2037</v>
      </c>
      <c r="D198" s="64">
        <f ca="1">wellcount_base  +  SUM('forecast production'!I$7:I199)</f>
        <v>1</v>
      </c>
      <c r="E198" s="110">
        <f ca="1">'forecast production'!AE199</f>
        <v>137.74497675956306</v>
      </c>
      <c r="F198" s="98">
        <f ca="1">'forecast production'!AF199</f>
        <v>860.32780839589623</v>
      </c>
      <c r="G198" s="98">
        <f ca="1">'forecast production'!AG199</f>
        <v>0.76550172154475316</v>
      </c>
      <c r="H198" s="98">
        <f ca="1">'forecast production'!AH199</f>
        <v>129.04917125938442</v>
      </c>
      <c r="I198" s="307">
        <f ca="1">IF('monthly calculations (1)'!AV197,WI_2_APO, WI_2)</f>
        <v>0</v>
      </c>
      <c r="J198" s="306">
        <f ca="1">IF('monthly calculations (1)'!AV197,NRI_2_APO, NRI_2)</f>
        <v>0.25</v>
      </c>
      <c r="K198" s="112">
        <f t="shared" ref="K198:K261" ca="1" si="61">E198*NRI_current</f>
        <v>34.436244189890765</v>
      </c>
      <c r="L198" s="98">
        <f t="shared" ref="L198:L261" ca="1" si="62">F198 * NRI_current * ( 1-shrink_ngl-shrink_leaseuse) - vol_leaseuse</f>
        <v>161.31146407423054</v>
      </c>
      <c r="M198" s="98">
        <f t="shared" ref="M198:M261" ca="1" si="63">G198*NRI_current</f>
        <v>0.19137543038618829</v>
      </c>
      <c r="N198" s="98">
        <f t="shared" ref="N198:N261" ca="1" si="64">H198 * NRI_current</f>
        <v>32.262292814846106</v>
      </c>
      <c r="O198" s="67">
        <f>assumptions!M202</f>
        <v>55</v>
      </c>
      <c r="P198" s="68">
        <f>assumptions!N202</f>
        <v>3</v>
      </c>
      <c r="Q198" s="68">
        <f>assumptions!O202</f>
        <v>22</v>
      </c>
      <c r="R198" s="67">
        <f t="shared" ref="R198:R261" si="65" xml:space="preserve"> (O198*mult_oilprice )  *  (1+  pdiff_oil)   + diff_oil</f>
        <v>52.5</v>
      </c>
      <c r="S198" s="68">
        <f t="shared" ref="S198:S261" si="66">(  (P198*mult_gasprice )  * (1+   pdiff_gas)  +  diff_gas ) *  energy_residue/1000</f>
        <v>2.3275000000000001</v>
      </c>
      <c r="T198" s="68">
        <f t="shared" ref="T198:T261" si="67">mult_oilprice * (1+pdiff_ngl)*O198</f>
        <v>22</v>
      </c>
      <c r="U198" s="73">
        <f t="shared" ca="1" si="53"/>
        <v>1807.9028199692652</v>
      </c>
      <c r="V198" s="72">
        <f t="shared" ca="1" si="53"/>
        <v>375.4524326327716</v>
      </c>
      <c r="W198" s="72">
        <f t="shared" ref="W198:W261" ca="1" si="68">N198*T198</f>
        <v>709.77044192661435</v>
      </c>
      <c r="X198" s="72">
        <f t="shared" ca="1" si="54"/>
        <v>2893.1256945286509</v>
      </c>
      <c r="Y198" s="73">
        <f>mult_opex * fixed_month</f>
        <v>1000</v>
      </c>
      <c r="Z198" s="72">
        <f ca="1">mult_opex * fixed_well *D198</f>
        <v>5000</v>
      </c>
      <c r="AA198" s="72">
        <f ca="1">(Z198+Y198)*WI_current_2</f>
        <v>0</v>
      </c>
      <c r="AB198" s="72">
        <f ca="1">mult_opex * var_bo*E198</f>
        <v>0</v>
      </c>
      <c r="AC198" s="72">
        <f ca="1">mult_opex * var_mcf*F198</f>
        <v>0</v>
      </c>
      <c r="AD198" s="72">
        <f ca="1">mult_opex * var_bw * G198</f>
        <v>1.5310034430895063</v>
      </c>
      <c r="AE198" s="72">
        <f ca="1">SUM(AB198:AD198)*WI_current_2</f>
        <v>0</v>
      </c>
      <c r="AF198" s="73">
        <f ca="1">mult_capex * IFERROR(OFFSET(assumptions!$F$39,MATCH(B198,assumptions!$E$39:$E$45,0)-1,0),0)</f>
        <v>0</v>
      </c>
      <c r="AG198" s="75">
        <f ca="1">mult_capex * capex_new*WI_current_2 *'forecast production'!I199</f>
        <v>0</v>
      </c>
      <c r="AH198" s="146">
        <f t="shared" ca="1" si="55"/>
        <v>0</v>
      </c>
      <c r="AI198" s="73">
        <f t="shared" ref="AI198:AI261" ca="1" si="69">U198*sev_oil   +  V198*sev_gas  +  W198*sev_ngl</f>
        <v>164.55524531054016</v>
      </c>
      <c r="AJ198" s="72">
        <f t="shared" ref="AJ198:AJ261" ca="1" si="70">adval * X198</f>
        <v>72.328142363216273</v>
      </c>
      <c r="AK198" s="72">
        <f t="shared" ca="1" si="56"/>
        <v>236.88338767375643</v>
      </c>
      <c r="AL198" s="73">
        <f t="shared" ref="AL198:AL261" ca="1" si="71">X198-AE198-AH198-AK198-AA198</f>
        <v>2656.2423068548947</v>
      </c>
      <c r="AM198" s="321">
        <f ca="1">'monthly calculations (1)'!AM198</f>
        <v>1</v>
      </c>
      <c r="AN198" s="73">
        <f t="shared" ca="1" si="57"/>
        <v>2656.2423068548947</v>
      </c>
      <c r="AO198" s="75">
        <f t="shared" ca="1" si="59"/>
        <v>1162676.4060186946</v>
      </c>
      <c r="AP198" s="72">
        <f ca="1">AL198  /  ( 1 + disc_1/12)^(COUNT($AL$6:AL198)-1)</f>
        <v>539.85338638767701</v>
      </c>
      <c r="AQ198" s="72">
        <f t="shared" ca="1" si="60"/>
        <v>722194.40451385069</v>
      </c>
      <c r="AS198" s="303"/>
      <c r="AT198" s="300"/>
      <c r="AU198" s="297"/>
      <c r="AV198" s="303"/>
    </row>
    <row r="199" spans="2:48" x14ac:dyDescent="0.25">
      <c r="B199" s="43">
        <f t="shared" si="58"/>
        <v>50072</v>
      </c>
      <c r="C199" s="79">
        <f t="shared" ref="C199:C262" si="72">YEAR(B199)</f>
        <v>2037</v>
      </c>
      <c r="D199" s="64">
        <f ca="1">wellcount_base  +  SUM('forecast production'!I$7:I200)</f>
        <v>1</v>
      </c>
      <c r="E199" s="110">
        <f ca="1">'forecast production'!AE200</f>
        <v>123.53685850971137</v>
      </c>
      <c r="F199" s="98">
        <f ca="1">'forecast production'!AF200</f>
        <v>772.99735248035893</v>
      </c>
      <c r="G199" s="98">
        <f ca="1">'forecast production'!AG200</f>
        <v>0.66749465461899449</v>
      </c>
      <c r="H199" s="98">
        <f ca="1">'forecast production'!AH200</f>
        <v>115.94960287205384</v>
      </c>
      <c r="I199" s="307">
        <f ca="1">IF('monthly calculations (1)'!AV198,WI_2_APO, WI_2)</f>
        <v>0</v>
      </c>
      <c r="J199" s="306">
        <f ca="1">IF('monthly calculations (1)'!AV198,NRI_2_APO, NRI_2)</f>
        <v>0.25</v>
      </c>
      <c r="K199" s="112">
        <f t="shared" ca="1" si="61"/>
        <v>30.884214627427841</v>
      </c>
      <c r="L199" s="98">
        <f t="shared" ca="1" si="62"/>
        <v>144.93700359006729</v>
      </c>
      <c r="M199" s="98">
        <f t="shared" ca="1" si="63"/>
        <v>0.16687366365474862</v>
      </c>
      <c r="N199" s="98">
        <f t="shared" ca="1" si="64"/>
        <v>28.987400718013461</v>
      </c>
      <c r="O199" s="67">
        <f>assumptions!M203</f>
        <v>55</v>
      </c>
      <c r="P199" s="68">
        <f>assumptions!N203</f>
        <v>3</v>
      </c>
      <c r="Q199" s="68">
        <f>assumptions!O203</f>
        <v>22</v>
      </c>
      <c r="R199" s="67">
        <f t="shared" si="65"/>
        <v>52.5</v>
      </c>
      <c r="S199" s="68">
        <f t="shared" si="66"/>
        <v>2.3275000000000001</v>
      </c>
      <c r="T199" s="68">
        <f t="shared" si="67"/>
        <v>22</v>
      </c>
      <c r="U199" s="73">
        <f t="shared" ref="U199:V262" ca="1" si="73">K199*R199</f>
        <v>1621.4212679399616</v>
      </c>
      <c r="V199" s="72">
        <f t="shared" ca="1" si="73"/>
        <v>337.34087585588162</v>
      </c>
      <c r="W199" s="72">
        <f t="shared" ca="1" si="68"/>
        <v>637.72281579629612</v>
      </c>
      <c r="X199" s="72">
        <f t="shared" ref="X199:X262" ca="1" si="74">SUM(U199:W199)</f>
        <v>2596.4849595921396</v>
      </c>
      <c r="Y199" s="73">
        <f>mult_opex * fixed_month</f>
        <v>1000</v>
      </c>
      <c r="Z199" s="72">
        <f ca="1">mult_opex * fixed_well *D199</f>
        <v>5000</v>
      </c>
      <c r="AA199" s="72">
        <f ca="1">(Z199+Y199)*WI_current_2</f>
        <v>0</v>
      </c>
      <c r="AB199" s="72">
        <f ca="1">mult_opex * var_bo*E199</f>
        <v>0</v>
      </c>
      <c r="AC199" s="72">
        <f ca="1">mult_opex * var_mcf*F199</f>
        <v>0</v>
      </c>
      <c r="AD199" s="72">
        <f ca="1">mult_opex * var_bw * G199</f>
        <v>1.334989309237989</v>
      </c>
      <c r="AE199" s="72">
        <f ca="1">SUM(AB199:AD199)*WI_current_2</f>
        <v>0</v>
      </c>
      <c r="AF199" s="73">
        <f ca="1">mult_capex * IFERROR(OFFSET(assumptions!$F$39,MATCH(B199,assumptions!$E$39:$E$45,0)-1,0),0)</f>
        <v>0</v>
      </c>
      <c r="AG199" s="75">
        <f ca="1">mult_capex * capex_new*WI_current_2 *'forecast production'!I200</f>
        <v>0</v>
      </c>
      <c r="AH199" s="146">
        <f t="shared" ref="AH199:AH262" ca="1" si="75">AG199+AF199</f>
        <v>0</v>
      </c>
      <c r="AI199" s="73">
        <f t="shared" ca="1" si="69"/>
        <v>147.71515519915155</v>
      </c>
      <c r="AJ199" s="72">
        <f t="shared" ca="1" si="70"/>
        <v>64.91212398980349</v>
      </c>
      <c r="AK199" s="72">
        <f t="shared" ref="AK199:AK262" ca="1" si="76">SUM(AI199:AJ199)</f>
        <v>212.62727918895504</v>
      </c>
      <c r="AL199" s="73">
        <f t="shared" ca="1" si="71"/>
        <v>2383.8576804031845</v>
      </c>
      <c r="AM199" s="321">
        <f ca="1">'monthly calculations (1)'!AM199</f>
        <v>1</v>
      </c>
      <c r="AN199" s="73">
        <f t="shared" ref="AN199:AN262" ca="1" si="77">AL199*AM199</f>
        <v>2383.8576804031845</v>
      </c>
      <c r="AO199" s="75">
        <f t="shared" ca="1" si="59"/>
        <v>1165060.2636990978</v>
      </c>
      <c r="AP199" s="72">
        <f ca="1">AL199  /  ( 1 + disc_1/12)^(COUNT($AL$6:AL199)-1)</f>
        <v>480.48998501370824</v>
      </c>
      <c r="AQ199" s="72">
        <f t="shared" ca="1" si="60"/>
        <v>722674.89449886442</v>
      </c>
      <c r="AS199" s="303"/>
      <c r="AT199" s="300"/>
      <c r="AU199" s="297"/>
      <c r="AV199" s="303"/>
    </row>
    <row r="200" spans="2:48" x14ac:dyDescent="0.25">
      <c r="B200" s="43">
        <f t="shared" ref="B200:B263" si="78">EOMONTH(B199,0)+1</f>
        <v>50100</v>
      </c>
      <c r="C200" s="79">
        <f t="shared" si="72"/>
        <v>2037</v>
      </c>
      <c r="D200" s="64">
        <f ca="1">wellcount_base  +  SUM('forecast production'!I$7:I201)</f>
        <v>1</v>
      </c>
      <c r="E200" s="110">
        <f ca="1">'forecast production'!AE201</f>
        <v>135.90088834953536</v>
      </c>
      <c r="F200" s="98">
        <f ca="1">'forecast production'!AF201</f>
        <v>851.7658895825632</v>
      </c>
      <c r="G200" s="98">
        <f ca="1">'forecast production'!AG201</f>
        <v>0.71587828002056597</v>
      </c>
      <c r="H200" s="98">
        <f ca="1">'forecast production'!AH201</f>
        <v>127.76488343738447</v>
      </c>
      <c r="I200" s="307">
        <f ca="1">IF('monthly calculations (1)'!AV199,WI_2_APO, WI_2)</f>
        <v>0</v>
      </c>
      <c r="J200" s="306">
        <f ca="1">IF('monthly calculations (1)'!AV199,NRI_2_APO, NRI_2)</f>
        <v>0.25</v>
      </c>
      <c r="K200" s="112">
        <f t="shared" ca="1" si="61"/>
        <v>33.975222087383841</v>
      </c>
      <c r="L200" s="98">
        <f t="shared" ca="1" si="62"/>
        <v>159.70610429673059</v>
      </c>
      <c r="M200" s="98">
        <f t="shared" ca="1" si="63"/>
        <v>0.17896957000514149</v>
      </c>
      <c r="N200" s="98">
        <f t="shared" ca="1" si="64"/>
        <v>31.941220859346117</v>
      </c>
      <c r="O200" s="67">
        <f>assumptions!M204</f>
        <v>55</v>
      </c>
      <c r="P200" s="68">
        <f>assumptions!N204</f>
        <v>3</v>
      </c>
      <c r="Q200" s="68">
        <f>assumptions!O204</f>
        <v>22</v>
      </c>
      <c r="R200" s="67">
        <f t="shared" si="65"/>
        <v>52.5</v>
      </c>
      <c r="S200" s="68">
        <f t="shared" si="66"/>
        <v>2.3275000000000001</v>
      </c>
      <c r="T200" s="68">
        <f t="shared" si="67"/>
        <v>22</v>
      </c>
      <c r="U200" s="73">
        <f t="shared" ca="1" si="73"/>
        <v>1783.6991595876516</v>
      </c>
      <c r="V200" s="72">
        <f t="shared" ca="1" si="73"/>
        <v>371.71595775064048</v>
      </c>
      <c r="W200" s="72">
        <f t="shared" ca="1" si="68"/>
        <v>702.70685890561458</v>
      </c>
      <c r="X200" s="72">
        <f t="shared" ca="1" si="74"/>
        <v>2858.1219762439068</v>
      </c>
      <c r="Y200" s="73">
        <f>mult_opex * fixed_month</f>
        <v>1000</v>
      </c>
      <c r="Z200" s="72">
        <f ca="1">mult_opex * fixed_well *D200</f>
        <v>5000</v>
      </c>
      <c r="AA200" s="72">
        <f ca="1">(Z200+Y200)*WI_current_2</f>
        <v>0</v>
      </c>
      <c r="AB200" s="72">
        <f ca="1">mult_opex * var_bo*E200</f>
        <v>0</v>
      </c>
      <c r="AC200" s="72">
        <f ca="1">mult_opex * var_mcf*F200</f>
        <v>0</v>
      </c>
      <c r="AD200" s="72">
        <f ca="1">mult_opex * var_bw * G200</f>
        <v>1.4317565600411319</v>
      </c>
      <c r="AE200" s="72">
        <f ca="1">SUM(AB200:AD200)*WI_current_2</f>
        <v>0</v>
      </c>
      <c r="AF200" s="73">
        <f ca="1">mult_capex * IFERROR(OFFSET(assumptions!$F$39,MATCH(B200,assumptions!$E$39:$E$45,0)-1,0),0)</f>
        <v>0</v>
      </c>
      <c r="AG200" s="75">
        <f ca="1">mult_capex * capex_new*WI_current_2 *'forecast production'!I201</f>
        <v>0</v>
      </c>
      <c r="AH200" s="146">
        <f t="shared" ca="1" si="75"/>
        <v>0</v>
      </c>
      <c r="AI200" s="73">
        <f t="shared" ca="1" si="69"/>
        <v>162.63187259025108</v>
      </c>
      <c r="AJ200" s="72">
        <f t="shared" ca="1" si="70"/>
        <v>71.453049406097676</v>
      </c>
      <c r="AK200" s="72">
        <f t="shared" ca="1" si="76"/>
        <v>234.08492199634875</v>
      </c>
      <c r="AL200" s="73">
        <f t="shared" ca="1" si="71"/>
        <v>2624.037054247558</v>
      </c>
      <c r="AM200" s="321">
        <f ca="1">'monthly calculations (1)'!AM200</f>
        <v>1</v>
      </c>
      <c r="AN200" s="73">
        <f t="shared" ca="1" si="77"/>
        <v>2624.037054247558</v>
      </c>
      <c r="AO200" s="75">
        <f t="shared" ref="AO200:AO263" ca="1" si="79">AO199+AN200</f>
        <v>1167684.3007533452</v>
      </c>
      <c r="AP200" s="72">
        <f ca="1">AL200  /  ( 1 + disc_1/12)^(COUNT($AL$6:AL200)-1)</f>
        <v>524.52942389085001</v>
      </c>
      <c r="AQ200" s="72">
        <f t="shared" ref="AQ200:AQ263" ca="1" si="80">AQ199+AP200*AM200</f>
        <v>723199.42392275529</v>
      </c>
      <c r="AS200" s="303"/>
      <c r="AT200" s="300"/>
      <c r="AU200" s="297"/>
      <c r="AV200" s="303"/>
    </row>
    <row r="201" spans="2:48" x14ac:dyDescent="0.25">
      <c r="B201" s="43">
        <f t="shared" si="78"/>
        <v>50131</v>
      </c>
      <c r="C201" s="79">
        <f t="shared" si="72"/>
        <v>2037</v>
      </c>
      <c r="D201" s="64">
        <f ca="1">wellcount_base  +  SUM('forecast production'!I$7:I202)</f>
        <v>1</v>
      </c>
      <c r="E201" s="110">
        <f ca="1">'forecast production'!AE202</f>
        <v>130.58891156013783</v>
      </c>
      <c r="F201" s="98">
        <f ca="1">'forecast production'!AF202</f>
        <v>819.969149908801</v>
      </c>
      <c r="G201" s="98">
        <f ca="1">'forecast production'!AG202</f>
        <v>0.66881984960061935</v>
      </c>
      <c r="H201" s="98">
        <f ca="1">'forecast production'!AH202</f>
        <v>122.99537248632015</v>
      </c>
      <c r="I201" s="307">
        <f ca="1">IF('monthly calculations (1)'!AV200,WI_2_APO, WI_2)</f>
        <v>0</v>
      </c>
      <c r="J201" s="306">
        <f ca="1">IF('monthly calculations (1)'!AV200,NRI_2_APO, NRI_2)</f>
        <v>0.25</v>
      </c>
      <c r="K201" s="112">
        <f t="shared" ca="1" si="61"/>
        <v>32.647227890034458</v>
      </c>
      <c r="L201" s="98">
        <f t="shared" ca="1" si="62"/>
        <v>153.74421560790017</v>
      </c>
      <c r="M201" s="98">
        <f t="shared" ca="1" si="63"/>
        <v>0.16720496240015484</v>
      </c>
      <c r="N201" s="98">
        <f t="shared" ca="1" si="64"/>
        <v>30.748843121580038</v>
      </c>
      <c r="O201" s="67">
        <f>assumptions!M205</f>
        <v>55</v>
      </c>
      <c r="P201" s="68">
        <f>assumptions!N205</f>
        <v>3</v>
      </c>
      <c r="Q201" s="68">
        <f>assumptions!O205</f>
        <v>22</v>
      </c>
      <c r="R201" s="67">
        <f t="shared" si="65"/>
        <v>52.5</v>
      </c>
      <c r="S201" s="68">
        <f t="shared" si="66"/>
        <v>2.3275000000000001</v>
      </c>
      <c r="T201" s="68">
        <f t="shared" si="67"/>
        <v>22</v>
      </c>
      <c r="U201" s="73">
        <f t="shared" ca="1" si="73"/>
        <v>1713.9794642268091</v>
      </c>
      <c r="V201" s="72">
        <f t="shared" ca="1" si="73"/>
        <v>357.83966182738766</v>
      </c>
      <c r="W201" s="72">
        <f t="shared" ca="1" si="68"/>
        <v>676.47454867476085</v>
      </c>
      <c r="X201" s="72">
        <f t="shared" ca="1" si="74"/>
        <v>2748.2936747289577</v>
      </c>
      <c r="Y201" s="73">
        <f>mult_opex * fixed_month</f>
        <v>1000</v>
      </c>
      <c r="Z201" s="72">
        <f ca="1">mult_opex * fixed_well *D201</f>
        <v>5000</v>
      </c>
      <c r="AA201" s="72">
        <f ca="1">(Z201+Y201)*WI_current_2</f>
        <v>0</v>
      </c>
      <c r="AB201" s="72">
        <f ca="1">mult_opex * var_bo*E201</f>
        <v>0</v>
      </c>
      <c r="AC201" s="72">
        <f ca="1">mult_opex * var_mcf*F201</f>
        <v>0</v>
      </c>
      <c r="AD201" s="72">
        <f ca="1">mult_opex * var_bw * G201</f>
        <v>1.3376396992012387</v>
      </c>
      <c r="AE201" s="72">
        <f ca="1">SUM(AB201:AD201)*WI_current_2</f>
        <v>0</v>
      </c>
      <c r="AF201" s="73">
        <f ca="1">mult_capex * IFERROR(OFFSET(assumptions!$F$39,MATCH(B201,assumptions!$E$39:$E$45,0)-1,0),0)</f>
        <v>0</v>
      </c>
      <c r="AG201" s="75">
        <f ca="1">mult_capex * capex_new*WI_current_2 *'forecast production'!I202</f>
        <v>0</v>
      </c>
      <c r="AH201" s="146">
        <f t="shared" ca="1" si="75"/>
        <v>0</v>
      </c>
      <c r="AI201" s="73">
        <f t="shared" ca="1" si="69"/>
        <v>156.41662114209436</v>
      </c>
      <c r="AJ201" s="72">
        <f t="shared" ca="1" si="70"/>
        <v>68.707341868223949</v>
      </c>
      <c r="AK201" s="72">
        <f t="shared" ca="1" si="76"/>
        <v>225.12396301031831</v>
      </c>
      <c r="AL201" s="73">
        <f t="shared" ca="1" si="71"/>
        <v>2523.1697117186395</v>
      </c>
      <c r="AM201" s="321">
        <f ca="1">'monthly calculations (1)'!AM201</f>
        <v>1</v>
      </c>
      <c r="AN201" s="73">
        <f t="shared" ca="1" si="77"/>
        <v>2523.1697117186395</v>
      </c>
      <c r="AO201" s="75">
        <f t="shared" ca="1" si="79"/>
        <v>1170207.4704650638</v>
      </c>
      <c r="AP201" s="72">
        <f ca="1">AL201  /  ( 1 + disc_1/12)^(COUNT($AL$6:AL201)-1)</f>
        <v>500.19832178753256</v>
      </c>
      <c r="AQ201" s="72">
        <f t="shared" ca="1" si="80"/>
        <v>723699.62224454281</v>
      </c>
      <c r="AS201" s="303"/>
      <c r="AT201" s="300"/>
      <c r="AU201" s="297"/>
      <c r="AV201" s="303"/>
    </row>
    <row r="202" spans="2:48" x14ac:dyDescent="0.25">
      <c r="B202" s="43">
        <f t="shared" si="78"/>
        <v>50161</v>
      </c>
      <c r="C202" s="79">
        <f t="shared" si="72"/>
        <v>2037</v>
      </c>
      <c r="D202" s="64">
        <f ca="1">wellcount_base  +  SUM('forecast production'!I$7:I203)</f>
        <v>1</v>
      </c>
      <c r="E202" s="110">
        <f ca="1">'forecast production'!AE203</f>
        <v>134.02024214244017</v>
      </c>
      <c r="F202" s="98">
        <f ca="1">'forecast production'!AF203</f>
        <v>843.00331526301227</v>
      </c>
      <c r="G202" s="98">
        <f ca="1">'forecast production'!AG203</f>
        <v>0.66796818041612616</v>
      </c>
      <c r="H202" s="98">
        <f ca="1">'forecast production'!AH203</f>
        <v>126.45049728945183</v>
      </c>
      <c r="I202" s="307">
        <f ca="1">IF('monthly calculations (1)'!AV201,WI_2_APO, WI_2)</f>
        <v>0</v>
      </c>
      <c r="J202" s="306">
        <f ca="1">IF('monthly calculations (1)'!AV201,NRI_2_APO, NRI_2)</f>
        <v>0.25</v>
      </c>
      <c r="K202" s="112">
        <f t="shared" ca="1" si="61"/>
        <v>33.505060535610042</v>
      </c>
      <c r="L202" s="98">
        <f t="shared" ca="1" si="62"/>
        <v>158.06312161181481</v>
      </c>
      <c r="M202" s="98">
        <f t="shared" ca="1" si="63"/>
        <v>0.16699204510403154</v>
      </c>
      <c r="N202" s="98">
        <f t="shared" ca="1" si="64"/>
        <v>31.612624322362958</v>
      </c>
      <c r="O202" s="67">
        <f>assumptions!M206</f>
        <v>55</v>
      </c>
      <c r="P202" s="68">
        <f>assumptions!N206</f>
        <v>3</v>
      </c>
      <c r="Q202" s="68">
        <f>assumptions!O206</f>
        <v>22</v>
      </c>
      <c r="R202" s="67">
        <f t="shared" si="65"/>
        <v>52.5</v>
      </c>
      <c r="S202" s="68">
        <f t="shared" si="66"/>
        <v>2.3275000000000001</v>
      </c>
      <c r="T202" s="68">
        <f t="shared" si="67"/>
        <v>22</v>
      </c>
      <c r="U202" s="73">
        <f t="shared" ca="1" si="73"/>
        <v>1759.0156781195271</v>
      </c>
      <c r="V202" s="72">
        <f t="shared" ca="1" si="73"/>
        <v>367.89191555149898</v>
      </c>
      <c r="W202" s="72">
        <f t="shared" ca="1" si="68"/>
        <v>695.4777350919851</v>
      </c>
      <c r="X202" s="72">
        <f t="shared" ca="1" si="74"/>
        <v>2822.3853287630109</v>
      </c>
      <c r="Y202" s="73">
        <f>mult_opex * fixed_month</f>
        <v>1000</v>
      </c>
      <c r="Z202" s="72">
        <f ca="1">mult_opex * fixed_well *D202</f>
        <v>5000</v>
      </c>
      <c r="AA202" s="72">
        <f ca="1">(Z202+Y202)*WI_current_2</f>
        <v>0</v>
      </c>
      <c r="AB202" s="72">
        <f ca="1">mult_opex * var_bo*E202</f>
        <v>0</v>
      </c>
      <c r="AC202" s="72">
        <f ca="1">mult_opex * var_mcf*F202</f>
        <v>0</v>
      </c>
      <c r="AD202" s="72">
        <f ca="1">mult_opex * var_bw * G202</f>
        <v>1.3359363608322523</v>
      </c>
      <c r="AE202" s="72">
        <f ca="1">SUM(AB202:AD202)*WI_current_2</f>
        <v>0</v>
      </c>
      <c r="AF202" s="73">
        <f ca="1">mult_capex * IFERROR(OFFSET(assumptions!$F$39,MATCH(B202,assumptions!$E$39:$E$45,0)-1,0),0)</f>
        <v>0</v>
      </c>
      <c r="AG202" s="75">
        <f ca="1">mult_capex * capex_new*WI_current_2 *'forecast production'!I203</f>
        <v>0</v>
      </c>
      <c r="AH202" s="146">
        <f t="shared" ca="1" si="75"/>
        <v>0</v>
      </c>
      <c r="AI202" s="73">
        <f t="shared" ca="1" si="69"/>
        <v>160.66744499175957</v>
      </c>
      <c r="AJ202" s="72">
        <f t="shared" ca="1" si="70"/>
        <v>70.55963321907528</v>
      </c>
      <c r="AK202" s="72">
        <f t="shared" ca="1" si="76"/>
        <v>231.22707821083486</v>
      </c>
      <c r="AL202" s="73">
        <f t="shared" ca="1" si="71"/>
        <v>2591.158250552176</v>
      </c>
      <c r="AM202" s="321">
        <f ca="1">'monthly calculations (1)'!AM202</f>
        <v>1</v>
      </c>
      <c r="AN202" s="73">
        <f t="shared" ca="1" si="77"/>
        <v>2591.158250552176</v>
      </c>
      <c r="AO202" s="75">
        <f t="shared" ca="1" si="79"/>
        <v>1172798.628715616</v>
      </c>
      <c r="AP202" s="72">
        <f ca="1">AL202  /  ( 1 + disc_1/12)^(COUNT($AL$6:AL202)-1)</f>
        <v>509.43124831281085</v>
      </c>
      <c r="AQ202" s="72">
        <f t="shared" ca="1" si="80"/>
        <v>724209.05349285563</v>
      </c>
      <c r="AS202" s="303"/>
      <c r="AT202" s="300"/>
      <c r="AU202" s="297"/>
      <c r="AV202" s="303"/>
    </row>
    <row r="203" spans="2:48" x14ac:dyDescent="0.25">
      <c r="B203" s="43">
        <f t="shared" si="78"/>
        <v>50192</v>
      </c>
      <c r="C203" s="79">
        <f t="shared" si="72"/>
        <v>2037</v>
      </c>
      <c r="D203" s="64">
        <f ca="1">wellcount_base  +  SUM('forecast production'!I$7:I204)</f>
        <v>1</v>
      </c>
      <c r="E203" s="110">
        <f ca="1">'forecast production'!AE204</f>
        <v>128.78177443103675</v>
      </c>
      <c r="F203" s="98">
        <f ca="1">'forecast production'!AF204</f>
        <v>811.53368577048445</v>
      </c>
      <c r="G203" s="98">
        <f ca="1">'forecast production'!AG204</f>
        <v>0.62406673933797474</v>
      </c>
      <c r="H203" s="98">
        <f ca="1">'forecast production'!AH204</f>
        <v>121.73005286557267</v>
      </c>
      <c r="I203" s="307">
        <f ca="1">IF('monthly calculations (1)'!AV202,WI_2_APO, WI_2)</f>
        <v>0</v>
      </c>
      <c r="J203" s="306">
        <f ca="1">IF('monthly calculations (1)'!AV202,NRI_2_APO, NRI_2)</f>
        <v>0.25</v>
      </c>
      <c r="K203" s="112">
        <f t="shared" ca="1" si="61"/>
        <v>32.195443607759188</v>
      </c>
      <c r="L203" s="98">
        <f t="shared" ca="1" si="62"/>
        <v>152.16256608196585</v>
      </c>
      <c r="M203" s="98">
        <f t="shared" ca="1" si="63"/>
        <v>0.15601668483449369</v>
      </c>
      <c r="N203" s="98">
        <f t="shared" ca="1" si="64"/>
        <v>30.432513216393168</v>
      </c>
      <c r="O203" s="67">
        <f>assumptions!M207</f>
        <v>55</v>
      </c>
      <c r="P203" s="68">
        <f>assumptions!N207</f>
        <v>3</v>
      </c>
      <c r="Q203" s="68">
        <f>assumptions!O207</f>
        <v>22</v>
      </c>
      <c r="R203" s="67">
        <f t="shared" si="65"/>
        <v>52.5</v>
      </c>
      <c r="S203" s="68">
        <f t="shared" si="66"/>
        <v>2.3275000000000001</v>
      </c>
      <c r="T203" s="68">
        <f t="shared" si="67"/>
        <v>22</v>
      </c>
      <c r="U203" s="73">
        <f t="shared" ca="1" si="73"/>
        <v>1690.2607894073574</v>
      </c>
      <c r="V203" s="72">
        <f t="shared" ca="1" si="73"/>
        <v>354.15837255577554</v>
      </c>
      <c r="W203" s="72">
        <f t="shared" ca="1" si="68"/>
        <v>669.51529076064969</v>
      </c>
      <c r="X203" s="72">
        <f t="shared" ca="1" si="74"/>
        <v>2713.9344527237827</v>
      </c>
      <c r="Y203" s="73">
        <f>mult_opex * fixed_month</f>
        <v>1000</v>
      </c>
      <c r="Z203" s="72">
        <f ca="1">mult_opex * fixed_well *D203</f>
        <v>5000</v>
      </c>
      <c r="AA203" s="72">
        <f ca="1">(Z203+Y203)*WI_current_2</f>
        <v>0</v>
      </c>
      <c r="AB203" s="72">
        <f ca="1">mult_opex * var_bo*E203</f>
        <v>0</v>
      </c>
      <c r="AC203" s="72">
        <f ca="1">mult_opex * var_mcf*F203</f>
        <v>0</v>
      </c>
      <c r="AD203" s="72">
        <f ca="1">mult_opex * var_bw * G203</f>
        <v>1.2481334786759495</v>
      </c>
      <c r="AE203" s="72">
        <f ca="1">SUM(AB203:AD203)*WI_current_2</f>
        <v>0</v>
      </c>
      <c r="AF203" s="73">
        <f ca="1">mult_capex * IFERROR(OFFSET(assumptions!$F$39,MATCH(B203,assumptions!$E$39:$E$45,0)-1,0),0)</f>
        <v>0</v>
      </c>
      <c r="AG203" s="75">
        <f ca="1">mult_capex * capex_new*WI_current_2 *'forecast production'!I204</f>
        <v>0</v>
      </c>
      <c r="AH203" s="146">
        <f t="shared" ca="1" si="75"/>
        <v>0</v>
      </c>
      <c r="AI203" s="73">
        <f t="shared" ca="1" si="69"/>
        <v>154.52752106147034</v>
      </c>
      <c r="AJ203" s="72">
        <f t="shared" ca="1" si="70"/>
        <v>67.848361318094575</v>
      </c>
      <c r="AK203" s="72">
        <f t="shared" ca="1" si="76"/>
        <v>222.37588237956493</v>
      </c>
      <c r="AL203" s="73">
        <f t="shared" ca="1" si="71"/>
        <v>2491.5585703442175</v>
      </c>
      <c r="AM203" s="321">
        <f ca="1">'monthly calculations (1)'!AM203</f>
        <v>1</v>
      </c>
      <c r="AN203" s="73">
        <f t="shared" ca="1" si="77"/>
        <v>2491.5585703442175</v>
      </c>
      <c r="AO203" s="75">
        <f t="shared" ca="1" si="79"/>
        <v>1175290.1872859602</v>
      </c>
      <c r="AP203" s="72">
        <f ca="1">AL203  /  ( 1 + disc_1/12)^(COUNT($AL$6:AL203)-1)</f>
        <v>485.80124095206367</v>
      </c>
      <c r="AQ203" s="72">
        <f t="shared" ca="1" si="80"/>
        <v>724694.85473380773</v>
      </c>
      <c r="AS203" s="303"/>
      <c r="AT203" s="300"/>
      <c r="AU203" s="297"/>
      <c r="AV203" s="303"/>
    </row>
    <row r="204" spans="2:48" x14ac:dyDescent="0.25">
      <c r="B204" s="43">
        <f t="shared" si="78"/>
        <v>50222</v>
      </c>
      <c r="C204" s="79">
        <f t="shared" si="72"/>
        <v>2037</v>
      </c>
      <c r="D204" s="64">
        <f ca="1">wellcount_base  +  SUM('forecast production'!I$7:I205)</f>
        <v>1</v>
      </c>
      <c r="E204" s="110">
        <f ca="1">'forecast production'!AE205</f>
        <v>132.16562100552082</v>
      </c>
      <c r="F204" s="98">
        <f ca="1">'forecast production'!AF205</f>
        <v>834.33088626348956</v>
      </c>
      <c r="G204" s="98">
        <f ca="1">'forecast production'!AG205</f>
        <v>0.6232794085821548</v>
      </c>
      <c r="H204" s="98">
        <f ca="1">'forecast production'!AH205</f>
        <v>125.14963293952343</v>
      </c>
      <c r="I204" s="307">
        <f ca="1">IF('monthly calculations (1)'!AV203,WI_2_APO, WI_2)</f>
        <v>0</v>
      </c>
      <c r="J204" s="306">
        <f ca="1">IF('monthly calculations (1)'!AV203,NRI_2_APO, NRI_2)</f>
        <v>0.25</v>
      </c>
      <c r="K204" s="112">
        <f t="shared" ca="1" si="61"/>
        <v>33.041405251380205</v>
      </c>
      <c r="L204" s="98">
        <f t="shared" ca="1" si="62"/>
        <v>156.4370411744043</v>
      </c>
      <c r="M204" s="98">
        <f t="shared" ca="1" si="63"/>
        <v>0.1558198521455387</v>
      </c>
      <c r="N204" s="98">
        <f t="shared" ca="1" si="64"/>
        <v>31.287408234880857</v>
      </c>
      <c r="O204" s="67">
        <f>assumptions!M208</f>
        <v>55</v>
      </c>
      <c r="P204" s="68">
        <f>assumptions!N208</f>
        <v>3</v>
      </c>
      <c r="Q204" s="68">
        <f>assumptions!O208</f>
        <v>22</v>
      </c>
      <c r="R204" s="67">
        <f t="shared" si="65"/>
        <v>52.5</v>
      </c>
      <c r="S204" s="68">
        <f t="shared" si="66"/>
        <v>2.3275000000000001</v>
      </c>
      <c r="T204" s="68">
        <f t="shared" si="67"/>
        <v>22</v>
      </c>
      <c r="U204" s="73">
        <f t="shared" ca="1" si="73"/>
        <v>1734.6737756974608</v>
      </c>
      <c r="V204" s="72">
        <f t="shared" ca="1" si="73"/>
        <v>364.10721333342605</v>
      </c>
      <c r="W204" s="72">
        <f t="shared" ca="1" si="68"/>
        <v>688.32298116737888</v>
      </c>
      <c r="X204" s="72">
        <f t="shared" ca="1" si="74"/>
        <v>2787.1039701982654</v>
      </c>
      <c r="Y204" s="73">
        <f>mult_opex * fixed_month</f>
        <v>1000</v>
      </c>
      <c r="Z204" s="72">
        <f ca="1">mult_opex * fixed_well *D204</f>
        <v>5000</v>
      </c>
      <c r="AA204" s="72">
        <f ca="1">(Z204+Y204)*WI_current_2</f>
        <v>0</v>
      </c>
      <c r="AB204" s="72">
        <f ca="1">mult_opex * var_bo*E204</f>
        <v>0</v>
      </c>
      <c r="AC204" s="72">
        <f ca="1">mult_opex * var_mcf*F204</f>
        <v>0</v>
      </c>
      <c r="AD204" s="72">
        <f ca="1">mult_opex * var_bw * G204</f>
        <v>1.2465588171643096</v>
      </c>
      <c r="AE204" s="72">
        <f ca="1">SUM(AB204:AD204)*WI_current_2</f>
        <v>0</v>
      </c>
      <c r="AF204" s="73">
        <f ca="1">mult_capex * IFERROR(OFFSET(assumptions!$F$39,MATCH(B204,assumptions!$E$39:$E$45,0)-1,0),0)</f>
        <v>0</v>
      </c>
      <c r="AG204" s="75">
        <f ca="1">mult_capex * capex_new*WI_current_2 *'forecast production'!I205</f>
        <v>0</v>
      </c>
      <c r="AH204" s="146">
        <f t="shared" ca="1" si="75"/>
        <v>0</v>
      </c>
      <c r="AI204" s="73">
        <f t="shared" ca="1" si="69"/>
        <v>158.72725826964356</v>
      </c>
      <c r="AJ204" s="72">
        <f t="shared" ca="1" si="70"/>
        <v>69.677599254956633</v>
      </c>
      <c r="AK204" s="72">
        <f t="shared" ca="1" si="76"/>
        <v>228.40485752460017</v>
      </c>
      <c r="AL204" s="73">
        <f t="shared" ca="1" si="71"/>
        <v>2558.6991126736652</v>
      </c>
      <c r="AM204" s="321">
        <f ca="1">'monthly calculations (1)'!AM204</f>
        <v>1</v>
      </c>
      <c r="AN204" s="73">
        <f t="shared" ca="1" si="77"/>
        <v>2558.6991126736652</v>
      </c>
      <c r="AO204" s="75">
        <f t="shared" ca="1" si="79"/>
        <v>1177848.8863986339</v>
      </c>
      <c r="AP204" s="72">
        <f ca="1">AL204  /  ( 1 + disc_1/12)^(COUNT($AL$6:AL204)-1)</f>
        <v>494.76915086315256</v>
      </c>
      <c r="AQ204" s="72">
        <f t="shared" ca="1" si="80"/>
        <v>725189.6238846709</v>
      </c>
      <c r="AS204" s="303"/>
      <c r="AT204" s="300"/>
      <c r="AU204" s="297"/>
      <c r="AV204" s="303"/>
    </row>
    <row r="205" spans="2:48" x14ac:dyDescent="0.25">
      <c r="B205" s="43">
        <f t="shared" si="78"/>
        <v>50253</v>
      </c>
      <c r="C205" s="79">
        <f t="shared" si="72"/>
        <v>2037</v>
      </c>
      <c r="D205" s="64">
        <f ca="1">wellcount_base  +  SUM('forecast production'!I$7:I206)</f>
        <v>1</v>
      </c>
      <c r="E205" s="110">
        <f ca="1">'forecast production'!AE206</f>
        <v>131.23296663081982</v>
      </c>
      <c r="F205" s="98">
        <f ca="1">'forecast production'!AF206</f>
        <v>829.95783518675853</v>
      </c>
      <c r="G205" s="98">
        <f ca="1">'forecast production'!AG206</f>
        <v>0.60173291866008161</v>
      </c>
      <c r="H205" s="98">
        <f ca="1">'forecast production'!AH206</f>
        <v>124.49367527801378</v>
      </c>
      <c r="I205" s="307">
        <f ca="1">IF('monthly calculations (1)'!AV204,WI_2_APO, WI_2)</f>
        <v>0</v>
      </c>
      <c r="J205" s="306">
        <f ca="1">IF('monthly calculations (1)'!AV204,NRI_2_APO, NRI_2)</f>
        <v>0.25</v>
      </c>
      <c r="K205" s="112">
        <f t="shared" ca="1" si="61"/>
        <v>32.808241657704954</v>
      </c>
      <c r="L205" s="98">
        <f t="shared" ca="1" si="62"/>
        <v>155.61709409751722</v>
      </c>
      <c r="M205" s="98">
        <f t="shared" ca="1" si="63"/>
        <v>0.1504332296650204</v>
      </c>
      <c r="N205" s="98">
        <f t="shared" ca="1" si="64"/>
        <v>31.123418819503446</v>
      </c>
      <c r="O205" s="67">
        <f>assumptions!M209</f>
        <v>55</v>
      </c>
      <c r="P205" s="68">
        <f>assumptions!N209</f>
        <v>3</v>
      </c>
      <c r="Q205" s="68">
        <f>assumptions!O209</f>
        <v>22</v>
      </c>
      <c r="R205" s="67">
        <f t="shared" si="65"/>
        <v>52.5</v>
      </c>
      <c r="S205" s="68">
        <f t="shared" si="66"/>
        <v>2.3275000000000001</v>
      </c>
      <c r="T205" s="68">
        <f t="shared" si="67"/>
        <v>22</v>
      </c>
      <c r="U205" s="73">
        <f t="shared" ca="1" si="73"/>
        <v>1722.4326870295101</v>
      </c>
      <c r="V205" s="72">
        <f t="shared" ca="1" si="73"/>
        <v>362.19878651197138</v>
      </c>
      <c r="W205" s="72">
        <f t="shared" ca="1" si="68"/>
        <v>684.71521402907581</v>
      </c>
      <c r="X205" s="72">
        <f t="shared" ca="1" si="74"/>
        <v>2769.3466875705576</v>
      </c>
      <c r="Y205" s="73">
        <f>mult_opex * fixed_month</f>
        <v>1000</v>
      </c>
      <c r="Z205" s="72">
        <f ca="1">mult_opex * fixed_well *D205</f>
        <v>5000</v>
      </c>
      <c r="AA205" s="72">
        <f ca="1">(Z205+Y205)*WI_current_2</f>
        <v>0</v>
      </c>
      <c r="AB205" s="72">
        <f ca="1">mult_opex * var_bo*E205</f>
        <v>0</v>
      </c>
      <c r="AC205" s="72">
        <f ca="1">mult_opex * var_mcf*F205</f>
        <v>0</v>
      </c>
      <c r="AD205" s="72">
        <f ca="1">mult_opex * var_bw * G205</f>
        <v>1.2034658373201632</v>
      </c>
      <c r="AE205" s="72">
        <f ca="1">SUM(AB205:AD205)*WI_current_2</f>
        <v>0</v>
      </c>
      <c r="AF205" s="73">
        <f ca="1">mult_capex * IFERROR(OFFSET(assumptions!$F$39,MATCH(B205,assumptions!$E$39:$E$45,0)-1,0),0)</f>
        <v>0</v>
      </c>
      <c r="AG205" s="75">
        <f ca="1">mult_capex * capex_new*WI_current_2 *'forecast production'!I206</f>
        <v>0</v>
      </c>
      <c r="AH205" s="146">
        <f t="shared" ca="1" si="75"/>
        <v>0</v>
      </c>
      <c r="AI205" s="73">
        <f t="shared" ca="1" si="69"/>
        <v>157.750453643936</v>
      </c>
      <c r="AJ205" s="72">
        <f t="shared" ca="1" si="70"/>
        <v>69.23366718926394</v>
      </c>
      <c r="AK205" s="72">
        <f t="shared" ca="1" si="76"/>
        <v>226.98412083319994</v>
      </c>
      <c r="AL205" s="73">
        <f t="shared" ca="1" si="71"/>
        <v>2542.3625667373576</v>
      </c>
      <c r="AM205" s="321">
        <f ca="1">'monthly calculations (1)'!AM205</f>
        <v>1</v>
      </c>
      <c r="AN205" s="73">
        <f t="shared" ca="1" si="77"/>
        <v>2542.3625667373576</v>
      </c>
      <c r="AO205" s="75">
        <f t="shared" ca="1" si="79"/>
        <v>1180391.2489653714</v>
      </c>
      <c r="AP205" s="72">
        <f ca="1">AL205  /  ( 1 + disc_1/12)^(COUNT($AL$6:AL205)-1)</f>
        <v>487.54730028500893</v>
      </c>
      <c r="AQ205" s="72">
        <f t="shared" ca="1" si="80"/>
        <v>725677.17118495586</v>
      </c>
      <c r="AS205" s="303"/>
      <c r="AT205" s="300"/>
      <c r="AU205" s="297"/>
      <c r="AV205" s="303"/>
    </row>
    <row r="206" spans="2:48" x14ac:dyDescent="0.25">
      <c r="B206" s="43">
        <f t="shared" si="78"/>
        <v>50284</v>
      </c>
      <c r="C206" s="79">
        <f t="shared" si="72"/>
        <v>2037</v>
      </c>
      <c r="D206" s="64">
        <f ca="1">wellcount_base  +  SUM('forecast production'!I$7:I207)</f>
        <v>1</v>
      </c>
      <c r="E206" s="110">
        <f ca="1">'forecast production'!AE207</f>
        <v>126.10344554223248</v>
      </c>
      <c r="F206" s="98">
        <f ca="1">'forecast production'!AF207</f>
        <v>798.97519835145863</v>
      </c>
      <c r="G206" s="98">
        <f ca="1">'forecast production'!AG207</f>
        <v>0.56219504106394225</v>
      </c>
      <c r="H206" s="98">
        <f ca="1">'forecast production'!AH207</f>
        <v>119.8462797527188</v>
      </c>
      <c r="I206" s="307">
        <f ca="1">IF('monthly calculations (1)'!AV205,WI_2_APO, WI_2)</f>
        <v>0</v>
      </c>
      <c r="J206" s="306">
        <f ca="1">IF('monthly calculations (1)'!AV205,NRI_2_APO, NRI_2)</f>
        <v>0.25</v>
      </c>
      <c r="K206" s="112">
        <f t="shared" ca="1" si="61"/>
        <v>31.52586138555812</v>
      </c>
      <c r="L206" s="98">
        <f t="shared" ca="1" si="62"/>
        <v>149.80784969089848</v>
      </c>
      <c r="M206" s="98">
        <f t="shared" ca="1" si="63"/>
        <v>0.14054876026598556</v>
      </c>
      <c r="N206" s="98">
        <f t="shared" ca="1" si="64"/>
        <v>29.9615699381797</v>
      </c>
      <c r="O206" s="67">
        <f>assumptions!M210</f>
        <v>55</v>
      </c>
      <c r="P206" s="68">
        <f>assumptions!N210</f>
        <v>3</v>
      </c>
      <c r="Q206" s="68">
        <f>assumptions!O210</f>
        <v>22</v>
      </c>
      <c r="R206" s="67">
        <f t="shared" si="65"/>
        <v>52.5</v>
      </c>
      <c r="S206" s="68">
        <f t="shared" si="66"/>
        <v>2.3275000000000001</v>
      </c>
      <c r="T206" s="68">
        <f t="shared" si="67"/>
        <v>22</v>
      </c>
      <c r="U206" s="73">
        <f t="shared" ca="1" si="73"/>
        <v>1655.1077227418014</v>
      </c>
      <c r="V206" s="72">
        <f t="shared" ca="1" si="73"/>
        <v>348.67777015556624</v>
      </c>
      <c r="W206" s="72">
        <f t="shared" ca="1" si="68"/>
        <v>659.15453863995344</v>
      </c>
      <c r="X206" s="72">
        <f t="shared" ca="1" si="74"/>
        <v>2662.9400315373209</v>
      </c>
      <c r="Y206" s="73">
        <f>mult_opex * fixed_month</f>
        <v>1000</v>
      </c>
      <c r="Z206" s="72">
        <f ca="1">mult_opex * fixed_well *D206</f>
        <v>5000</v>
      </c>
      <c r="AA206" s="72">
        <f ca="1">(Z206+Y206)*WI_current_2</f>
        <v>0</v>
      </c>
      <c r="AB206" s="72">
        <f ca="1">mult_opex * var_bo*E206</f>
        <v>0</v>
      </c>
      <c r="AC206" s="72">
        <f ca="1">mult_opex * var_mcf*F206</f>
        <v>0</v>
      </c>
      <c r="AD206" s="72">
        <f ca="1">mult_opex * var_bw * G206</f>
        <v>1.1243900821278845</v>
      </c>
      <c r="AE206" s="72">
        <f ca="1">SUM(AB206:AD206)*WI_current_2</f>
        <v>0</v>
      </c>
      <c r="AF206" s="73">
        <f ca="1">mult_capex * IFERROR(OFFSET(assumptions!$F$39,MATCH(B206,assumptions!$E$39:$E$45,0)-1,0),0)</f>
        <v>0</v>
      </c>
      <c r="AG206" s="75">
        <f ca="1">mult_capex * capex_new*WI_current_2 *'forecast production'!I207</f>
        <v>0</v>
      </c>
      <c r="AH206" s="146">
        <f t="shared" ca="1" si="75"/>
        <v>0</v>
      </c>
      <c r="AI206" s="73">
        <f t="shared" ca="1" si="69"/>
        <v>151.72237840578683</v>
      </c>
      <c r="AJ206" s="72">
        <f t="shared" ca="1" si="70"/>
        <v>66.573500788433023</v>
      </c>
      <c r="AK206" s="72">
        <f t="shared" ca="1" si="76"/>
        <v>218.29587919421985</v>
      </c>
      <c r="AL206" s="73">
        <f t="shared" ca="1" si="71"/>
        <v>2444.6441523431013</v>
      </c>
      <c r="AM206" s="321">
        <f ca="1">'monthly calculations (1)'!AM206</f>
        <v>1</v>
      </c>
      <c r="AN206" s="73">
        <f t="shared" ca="1" si="77"/>
        <v>2444.6441523431013</v>
      </c>
      <c r="AO206" s="75">
        <f t="shared" ca="1" si="79"/>
        <v>1182835.8931177144</v>
      </c>
      <c r="AP206" s="72">
        <f ca="1">AL206  /  ( 1 + disc_1/12)^(COUNT($AL$6:AL206)-1)</f>
        <v>464.93345481136038</v>
      </c>
      <c r="AQ206" s="72">
        <f t="shared" ca="1" si="80"/>
        <v>726142.1046397672</v>
      </c>
      <c r="AS206" s="303"/>
      <c r="AT206" s="300"/>
      <c r="AU206" s="297"/>
      <c r="AV206" s="303"/>
    </row>
    <row r="207" spans="2:48" x14ac:dyDescent="0.25">
      <c r="B207" s="43">
        <f t="shared" si="78"/>
        <v>50314</v>
      </c>
      <c r="C207" s="79">
        <f t="shared" si="72"/>
        <v>2037</v>
      </c>
      <c r="D207" s="64">
        <f ca="1">wellcount_base  +  SUM('forecast production'!I$7:I208)</f>
        <v>1</v>
      </c>
      <c r="E207" s="110">
        <f ca="1">'forecast production'!AE208</f>
        <v>129.41691683204783</v>
      </c>
      <c r="F207" s="98">
        <f ca="1">'forecast production'!AF208</f>
        <v>821.4196120648138</v>
      </c>
      <c r="G207" s="98">
        <f ca="1">'forecast production'!AG208</f>
        <v>0.56149574645528</v>
      </c>
      <c r="H207" s="98">
        <f ca="1">'forecast production'!AH208</f>
        <v>123.21294180972205</v>
      </c>
      <c r="I207" s="307">
        <f ca="1">IF('monthly calculations (1)'!AV206,WI_2_APO, WI_2)</f>
        <v>0</v>
      </c>
      <c r="J207" s="306">
        <f ca="1">IF('monthly calculations (1)'!AV206,NRI_2_APO, NRI_2)</f>
        <v>0.25</v>
      </c>
      <c r="K207" s="112">
        <f t="shared" ca="1" si="61"/>
        <v>32.354229208011958</v>
      </c>
      <c r="L207" s="98">
        <f t="shared" ca="1" si="62"/>
        <v>154.01617726215258</v>
      </c>
      <c r="M207" s="98">
        <f t="shared" ca="1" si="63"/>
        <v>0.14037393661382</v>
      </c>
      <c r="N207" s="98">
        <f t="shared" ca="1" si="64"/>
        <v>30.803235452430513</v>
      </c>
      <c r="O207" s="67">
        <f>assumptions!M211</f>
        <v>55</v>
      </c>
      <c r="P207" s="68">
        <f>assumptions!N211</f>
        <v>3</v>
      </c>
      <c r="Q207" s="68">
        <f>assumptions!O211</f>
        <v>22</v>
      </c>
      <c r="R207" s="67">
        <f t="shared" si="65"/>
        <v>52.5</v>
      </c>
      <c r="S207" s="68">
        <f t="shared" si="66"/>
        <v>2.3275000000000001</v>
      </c>
      <c r="T207" s="68">
        <f t="shared" si="67"/>
        <v>22</v>
      </c>
      <c r="U207" s="73">
        <f t="shared" ca="1" si="73"/>
        <v>1698.5970334206279</v>
      </c>
      <c r="V207" s="72">
        <f t="shared" ca="1" si="73"/>
        <v>358.47265257766014</v>
      </c>
      <c r="W207" s="72">
        <f t="shared" ca="1" si="68"/>
        <v>677.67117995347132</v>
      </c>
      <c r="X207" s="72">
        <f t="shared" ca="1" si="74"/>
        <v>2734.7408659517596</v>
      </c>
      <c r="Y207" s="73">
        <f>mult_opex * fixed_month</f>
        <v>1000</v>
      </c>
      <c r="Z207" s="72">
        <f ca="1">mult_opex * fixed_well *D207</f>
        <v>5000</v>
      </c>
      <c r="AA207" s="72">
        <f ca="1">(Z207+Y207)*WI_current_2</f>
        <v>0</v>
      </c>
      <c r="AB207" s="72">
        <f ca="1">mult_opex * var_bo*E207</f>
        <v>0</v>
      </c>
      <c r="AC207" s="72">
        <f ca="1">mult_opex * var_mcf*F207</f>
        <v>0</v>
      </c>
      <c r="AD207" s="72">
        <f ca="1">mult_opex * var_bw * G207</f>
        <v>1.12299149291056</v>
      </c>
      <c r="AE207" s="72">
        <f ca="1">SUM(AB207:AD207)*WI_current_2</f>
        <v>0</v>
      </c>
      <c r="AF207" s="73">
        <f ca="1">mult_capex * IFERROR(OFFSET(assumptions!$F$39,MATCH(B207,assumptions!$E$39:$E$45,0)-1,0),0)</f>
        <v>0</v>
      </c>
      <c r="AG207" s="75">
        <f ca="1">mult_capex * capex_new*WI_current_2 *'forecast production'!I208</f>
        <v>0</v>
      </c>
      <c r="AH207" s="146">
        <f t="shared" ca="1" si="75"/>
        <v>0</v>
      </c>
      <c r="AI207" s="73">
        <f t="shared" ca="1" si="69"/>
        <v>155.84625097718373</v>
      </c>
      <c r="AJ207" s="72">
        <f t="shared" ca="1" si="70"/>
        <v>68.368521648793987</v>
      </c>
      <c r="AK207" s="72">
        <f t="shared" ca="1" si="76"/>
        <v>224.21477262597773</v>
      </c>
      <c r="AL207" s="73">
        <f t="shared" ca="1" si="71"/>
        <v>2510.5260933257819</v>
      </c>
      <c r="AM207" s="321">
        <f ca="1">'monthly calculations (1)'!AM207</f>
        <v>1</v>
      </c>
      <c r="AN207" s="73">
        <f t="shared" ca="1" si="77"/>
        <v>2510.5260933257819</v>
      </c>
      <c r="AO207" s="75">
        <f t="shared" ca="1" si="79"/>
        <v>1185346.4192110403</v>
      </c>
      <c r="AP207" s="72">
        <f ca="1">AL207  /  ( 1 + disc_1/12)^(COUNT($AL$6:AL207)-1)</f>
        <v>473.51720290736262</v>
      </c>
      <c r="AQ207" s="72">
        <f t="shared" ca="1" si="80"/>
        <v>726615.62184267456</v>
      </c>
      <c r="AS207" s="303"/>
      <c r="AT207" s="300"/>
      <c r="AU207" s="297"/>
      <c r="AV207" s="303"/>
    </row>
    <row r="208" spans="2:48" x14ac:dyDescent="0.25">
      <c r="B208" s="43">
        <f t="shared" si="78"/>
        <v>50345</v>
      </c>
      <c r="C208" s="79">
        <f t="shared" si="72"/>
        <v>2037</v>
      </c>
      <c r="D208" s="64">
        <f ca="1">wellcount_base  +  SUM('forecast production'!I$7:I209)</f>
        <v>1</v>
      </c>
      <c r="E208" s="110">
        <f ca="1">'forecast production'!AE209</f>
        <v>124.35837993272244</v>
      </c>
      <c r="F208" s="98">
        <f ca="1">'forecast production'!AF209</f>
        <v>790.75571029651462</v>
      </c>
      <c r="G208" s="98">
        <f ca="1">'forecast production'!AG209</f>
        <v>0.52460810415476822</v>
      </c>
      <c r="H208" s="98">
        <f ca="1">'forecast production'!AH209</f>
        <v>118.6133565444772</v>
      </c>
      <c r="I208" s="307">
        <f ca="1">IF('monthly calculations (1)'!AV207,WI_2_APO, WI_2)</f>
        <v>0</v>
      </c>
      <c r="J208" s="306">
        <f ca="1">IF('monthly calculations (1)'!AV207,NRI_2_APO, NRI_2)</f>
        <v>0.25</v>
      </c>
      <c r="K208" s="112">
        <f t="shared" ca="1" si="61"/>
        <v>31.089594983180611</v>
      </c>
      <c r="L208" s="98">
        <f t="shared" ca="1" si="62"/>
        <v>148.26669568059648</v>
      </c>
      <c r="M208" s="98">
        <f t="shared" ca="1" si="63"/>
        <v>0.13115202603869205</v>
      </c>
      <c r="N208" s="98">
        <f t="shared" ca="1" si="64"/>
        <v>29.6533391361193</v>
      </c>
      <c r="O208" s="67">
        <f>assumptions!M212</f>
        <v>55</v>
      </c>
      <c r="P208" s="68">
        <f>assumptions!N212</f>
        <v>3</v>
      </c>
      <c r="Q208" s="68">
        <f>assumptions!O212</f>
        <v>22</v>
      </c>
      <c r="R208" s="67">
        <f t="shared" si="65"/>
        <v>52.5</v>
      </c>
      <c r="S208" s="68">
        <f t="shared" si="66"/>
        <v>2.3275000000000001</v>
      </c>
      <c r="T208" s="68">
        <f t="shared" si="67"/>
        <v>22</v>
      </c>
      <c r="U208" s="73">
        <f t="shared" ca="1" si="73"/>
        <v>1632.203736616982</v>
      </c>
      <c r="V208" s="72">
        <f t="shared" ca="1" si="73"/>
        <v>345.09073419658836</v>
      </c>
      <c r="W208" s="72">
        <f t="shared" ca="1" si="68"/>
        <v>652.37346099462457</v>
      </c>
      <c r="X208" s="72">
        <f t="shared" ca="1" si="74"/>
        <v>2629.6679318081951</v>
      </c>
      <c r="Y208" s="73">
        <f>mult_opex * fixed_month</f>
        <v>1000</v>
      </c>
      <c r="Z208" s="72">
        <f ca="1">mult_opex * fixed_well *D208</f>
        <v>5000</v>
      </c>
      <c r="AA208" s="72">
        <f ca="1">(Z208+Y208)*WI_current_2</f>
        <v>0</v>
      </c>
      <c r="AB208" s="72">
        <f ca="1">mult_opex * var_bo*E208</f>
        <v>0</v>
      </c>
      <c r="AC208" s="72">
        <f ca="1">mult_opex * var_mcf*F208</f>
        <v>0</v>
      </c>
      <c r="AD208" s="72">
        <f ca="1">mult_opex * var_bw * G208</f>
        <v>1.0492162083095364</v>
      </c>
      <c r="AE208" s="72">
        <f ca="1">SUM(AB208:AD208)*WI_current_2</f>
        <v>0</v>
      </c>
      <c r="AF208" s="73">
        <f ca="1">mult_capex * IFERROR(OFFSET(assumptions!$F$39,MATCH(B208,assumptions!$E$39:$E$45,0)-1,0),0)</f>
        <v>0</v>
      </c>
      <c r="AG208" s="75">
        <f ca="1">mult_capex * capex_new*WI_current_2 *'forecast production'!I209</f>
        <v>0</v>
      </c>
      <c r="AH208" s="146">
        <f t="shared" ca="1" si="75"/>
        <v>0</v>
      </c>
      <c r="AI208" s="73">
        <f t="shared" ca="1" si="69"/>
        <v>149.89118652372213</v>
      </c>
      <c r="AJ208" s="72">
        <f t="shared" ca="1" si="70"/>
        <v>65.741698295204884</v>
      </c>
      <c r="AK208" s="72">
        <f t="shared" ca="1" si="76"/>
        <v>215.63288481892701</v>
      </c>
      <c r="AL208" s="73">
        <f t="shared" ca="1" si="71"/>
        <v>2414.0350469892683</v>
      </c>
      <c r="AM208" s="321">
        <f ca="1">'monthly calculations (1)'!AM208</f>
        <v>1</v>
      </c>
      <c r="AN208" s="73">
        <f t="shared" ca="1" si="77"/>
        <v>2414.0350469892683</v>
      </c>
      <c r="AO208" s="75">
        <f t="shared" ca="1" si="79"/>
        <v>1187760.4542580296</v>
      </c>
      <c r="AP208" s="72">
        <f ca="1">AL208  /  ( 1 + disc_1/12)^(COUNT($AL$6:AL208)-1)</f>
        <v>451.55480565071099</v>
      </c>
      <c r="AQ208" s="72">
        <f t="shared" ca="1" si="80"/>
        <v>727067.17664832529</v>
      </c>
      <c r="AS208" s="303"/>
      <c r="AT208" s="300"/>
      <c r="AU208" s="297"/>
      <c r="AV208" s="303"/>
    </row>
    <row r="209" spans="2:48" x14ac:dyDescent="0.25">
      <c r="B209" s="44">
        <f t="shared" si="78"/>
        <v>50375</v>
      </c>
      <c r="C209" s="100">
        <f t="shared" si="72"/>
        <v>2037</v>
      </c>
      <c r="D209" s="65">
        <f ca="1">wellcount_base  +  SUM('forecast production'!I$7:I210)</f>
        <v>1</v>
      </c>
      <c r="E209" s="109">
        <f ca="1">'forecast production'!AE210</f>
        <v>127.62599819472328</v>
      </c>
      <c r="F209" s="101">
        <f ca="1">'forecast production'!AF210</f>
        <v>812.96922624133094</v>
      </c>
      <c r="G209" s="101">
        <f ca="1">'forecast production'!AG210</f>
        <v>0.52396173087940856</v>
      </c>
      <c r="H209" s="102">
        <f ca="1">'forecast production'!AH210</f>
        <v>121.94538393619965</v>
      </c>
      <c r="I209" s="308">
        <f ca="1">IF('monthly calculations (1)'!AV208,WI_2_APO, WI_2)</f>
        <v>0</v>
      </c>
      <c r="J209" s="309">
        <f ca="1">IF('monthly calculations (1)'!AV208,NRI_2_APO, NRI_2)</f>
        <v>0.25</v>
      </c>
      <c r="K209" s="113">
        <f t="shared" ca="1" si="61"/>
        <v>31.90649954868082</v>
      </c>
      <c r="L209" s="102">
        <f t="shared" ca="1" si="62"/>
        <v>152.43172992024955</v>
      </c>
      <c r="M209" s="102">
        <f t="shared" ca="1" si="63"/>
        <v>0.13099043271985214</v>
      </c>
      <c r="N209" s="102">
        <f t="shared" ca="1" si="64"/>
        <v>30.486345984049912</v>
      </c>
      <c r="O209" s="103">
        <f>assumptions!M213</f>
        <v>55</v>
      </c>
      <c r="P209" s="104">
        <f>assumptions!N213</f>
        <v>3</v>
      </c>
      <c r="Q209" s="104">
        <f>assumptions!O213</f>
        <v>22</v>
      </c>
      <c r="R209" s="103">
        <f t="shared" si="65"/>
        <v>52.5</v>
      </c>
      <c r="S209" s="104">
        <f t="shared" si="66"/>
        <v>2.3275000000000001</v>
      </c>
      <c r="T209" s="104">
        <f t="shared" si="67"/>
        <v>22</v>
      </c>
      <c r="U209" s="105">
        <f t="shared" ca="1" si="73"/>
        <v>1675.091226305743</v>
      </c>
      <c r="V209" s="106">
        <f t="shared" ca="1" si="73"/>
        <v>354.78485138938083</v>
      </c>
      <c r="W209" s="106">
        <f t="shared" ca="1" si="68"/>
        <v>670.69961164909807</v>
      </c>
      <c r="X209" s="106">
        <f t="shared" ca="1" si="74"/>
        <v>2700.5756893442222</v>
      </c>
      <c r="Y209" s="105">
        <f>mult_opex * fixed_month</f>
        <v>1000</v>
      </c>
      <c r="Z209" s="106">
        <f ca="1">mult_opex * fixed_well *D209</f>
        <v>5000</v>
      </c>
      <c r="AA209" s="106">
        <f ca="1">(Z209+Y209)*WI_current_2</f>
        <v>0</v>
      </c>
      <c r="AB209" s="106">
        <f ca="1">mult_opex * var_bo*E209</f>
        <v>0</v>
      </c>
      <c r="AC209" s="106">
        <f ca="1">mult_opex * var_mcf*F209</f>
        <v>0</v>
      </c>
      <c r="AD209" s="106">
        <f ca="1">mult_opex * var_bw * G209</f>
        <v>1.0479234617588171</v>
      </c>
      <c r="AE209" s="106">
        <f ca="1">SUM(AB209:AD209)*WI_current_2</f>
        <v>0</v>
      </c>
      <c r="AF209" s="105">
        <f ca="1">mult_capex * IFERROR(OFFSET(assumptions!$F$39,MATCH(B209,assumptions!$E$39:$E$45,0)-1,0),0)</f>
        <v>0</v>
      </c>
      <c r="AG209" s="106">
        <f ca="1">mult_capex * capex_new*WI_current_2 *'forecast production'!I210</f>
        <v>0</v>
      </c>
      <c r="AH209" s="147">
        <f t="shared" ca="1" si="75"/>
        <v>0</v>
      </c>
      <c r="AI209" s="105">
        <f t="shared" ca="1" si="69"/>
        <v>153.96553113795011</v>
      </c>
      <c r="AJ209" s="106">
        <f t="shared" ca="1" si="70"/>
        <v>67.514392233605562</v>
      </c>
      <c r="AK209" s="106">
        <f t="shared" ca="1" si="76"/>
        <v>221.47992337155569</v>
      </c>
      <c r="AL209" s="105">
        <f t="shared" ca="1" si="71"/>
        <v>2479.0957659726664</v>
      </c>
      <c r="AM209" s="322">
        <f ca="1">'monthly calculations (1)'!AM209</f>
        <v>1</v>
      </c>
      <c r="AN209" s="105">
        <f t="shared" ca="1" si="77"/>
        <v>2479.0957659726664</v>
      </c>
      <c r="AO209" s="106">
        <f t="shared" ca="1" si="79"/>
        <v>1190239.5500240023</v>
      </c>
      <c r="AP209" s="106">
        <f ca="1">AL209  /  ( 1 + disc_1/12)^(COUNT($AL$6:AL209)-1)</f>
        <v>459.89223522827723</v>
      </c>
      <c r="AQ209" s="106">
        <f t="shared" ca="1" si="80"/>
        <v>727527.06888355361</v>
      </c>
      <c r="AS209" s="304"/>
      <c r="AT209" s="301"/>
      <c r="AU209" s="298"/>
      <c r="AV209" s="304"/>
    </row>
    <row r="210" spans="2:48" x14ac:dyDescent="0.25">
      <c r="B210" s="43">
        <f t="shared" si="78"/>
        <v>50406</v>
      </c>
      <c r="C210" s="79">
        <f t="shared" si="72"/>
        <v>2038</v>
      </c>
      <c r="D210" s="64">
        <f ca="1">wellcount_base  +  SUM('forecast production'!I$7:I211)</f>
        <v>1</v>
      </c>
      <c r="E210" s="110">
        <f ca="1">'forecast production'!AE211</f>
        <v>126.72537861879802</v>
      </c>
      <c r="F210" s="98">
        <f ca="1">'forecast production'!AF211</f>
        <v>808.70813989214241</v>
      </c>
      <c r="G210" s="98">
        <f ca="1">'forecast production'!AG211</f>
        <v>0.50586404589551259</v>
      </c>
      <c r="H210" s="98">
        <f ca="1">'forecast production'!AH211</f>
        <v>121.30622098382136</v>
      </c>
      <c r="I210" s="307">
        <f ca="1">IF('monthly calculations (1)'!AV209,WI_2_APO, WI_2)</f>
        <v>0</v>
      </c>
      <c r="J210" s="306">
        <f ca="1">IF('monthly calculations (1)'!AV209,NRI_2_APO, NRI_2)</f>
        <v>0.25</v>
      </c>
      <c r="K210" s="112">
        <f t="shared" ca="1" si="61"/>
        <v>31.681344654699505</v>
      </c>
      <c r="L210" s="98">
        <f t="shared" ca="1" si="62"/>
        <v>151.63277622977671</v>
      </c>
      <c r="M210" s="98">
        <f t="shared" ca="1" si="63"/>
        <v>0.12646601147387815</v>
      </c>
      <c r="N210" s="98">
        <f t="shared" ca="1" si="64"/>
        <v>30.32655524595534</v>
      </c>
      <c r="O210" s="67">
        <f>assumptions!M214</f>
        <v>55</v>
      </c>
      <c r="P210" s="68">
        <f>assumptions!N214</f>
        <v>3</v>
      </c>
      <c r="Q210" s="68">
        <f>assumptions!O214</f>
        <v>22</v>
      </c>
      <c r="R210" s="67">
        <f t="shared" si="65"/>
        <v>52.5</v>
      </c>
      <c r="S210" s="68">
        <f t="shared" si="66"/>
        <v>2.3275000000000001</v>
      </c>
      <c r="T210" s="68">
        <f t="shared" si="67"/>
        <v>22</v>
      </c>
      <c r="U210" s="73">
        <f t="shared" ca="1" si="73"/>
        <v>1663.270594371724</v>
      </c>
      <c r="V210" s="72">
        <f t="shared" ca="1" si="73"/>
        <v>352.92528667480531</v>
      </c>
      <c r="W210" s="72">
        <f t="shared" ca="1" si="68"/>
        <v>667.18421541101748</v>
      </c>
      <c r="X210" s="72">
        <f t="shared" ca="1" si="74"/>
        <v>2683.3800964575466</v>
      </c>
      <c r="Y210" s="73">
        <f>mult_opex * fixed_month</f>
        <v>1000</v>
      </c>
      <c r="Z210" s="72">
        <f ca="1">mult_opex * fixed_well *D210</f>
        <v>5000</v>
      </c>
      <c r="AA210" s="72">
        <f ca="1">(Z210+Y210)*WI_current_2</f>
        <v>0</v>
      </c>
      <c r="AB210" s="72">
        <f ca="1">mult_opex * var_bo*E210</f>
        <v>0</v>
      </c>
      <c r="AC210" s="72">
        <f ca="1">mult_opex * var_mcf*F210</f>
        <v>0</v>
      </c>
      <c r="AD210" s="72">
        <f ca="1">mult_opex * var_bw * G210</f>
        <v>1.0117280917910252</v>
      </c>
      <c r="AE210" s="72">
        <f ca="1">SUM(AB210:AD210)*WI_current_2</f>
        <v>0</v>
      </c>
      <c r="AF210" s="73">
        <f ca="1">mult_capex * IFERROR(OFFSET(assumptions!$F$39,MATCH(B210,assumptions!$E$39:$E$45,0)-1,0),0)</f>
        <v>0</v>
      </c>
      <c r="AG210" s="75">
        <f ca="1">mult_capex * capex_new*WI_current_2 *'forecast production'!I211</f>
        <v>0</v>
      </c>
      <c r="AH210" s="146">
        <f t="shared" ca="1" si="75"/>
        <v>0</v>
      </c>
      <c r="AI210" s="73">
        <f t="shared" ca="1" si="69"/>
        <v>153.01865999753602</v>
      </c>
      <c r="AJ210" s="72">
        <f t="shared" ca="1" si="70"/>
        <v>67.084502411438663</v>
      </c>
      <c r="AK210" s="72">
        <f t="shared" ca="1" si="76"/>
        <v>220.1031624089747</v>
      </c>
      <c r="AL210" s="73">
        <f t="shared" ca="1" si="71"/>
        <v>2463.276934048572</v>
      </c>
      <c r="AM210" s="321">
        <f ca="1">'monthly calculations (1)'!AM210</f>
        <v>1</v>
      </c>
      <c r="AN210" s="73">
        <f t="shared" ca="1" si="77"/>
        <v>2463.276934048572</v>
      </c>
      <c r="AO210" s="75">
        <f t="shared" ca="1" si="79"/>
        <v>1192702.826958051</v>
      </c>
      <c r="AP210" s="72">
        <f ca="1">AL210  /  ( 1 + disc_1/12)^(COUNT($AL$6:AL210)-1)</f>
        <v>453.18120443895117</v>
      </c>
      <c r="AQ210" s="72">
        <f t="shared" ca="1" si="80"/>
        <v>727980.25008799252</v>
      </c>
      <c r="AS210" s="303"/>
      <c r="AT210" s="300"/>
      <c r="AU210" s="297"/>
      <c r="AV210" s="303"/>
    </row>
    <row r="211" spans="2:48" x14ac:dyDescent="0.25">
      <c r="B211" s="43">
        <f t="shared" si="78"/>
        <v>50437</v>
      </c>
      <c r="C211" s="79">
        <f t="shared" si="72"/>
        <v>2038</v>
      </c>
      <c r="D211" s="64">
        <f ca="1">wellcount_base  +  SUM('forecast production'!I$7:I212)</f>
        <v>1</v>
      </c>
      <c r="E211" s="110">
        <f ca="1">'forecast production'!AE212</f>
        <v>113.65390982893446</v>
      </c>
      <c r="F211" s="98">
        <f ca="1">'forecast production'!AF212</f>
        <v>726.61751133153734</v>
      </c>
      <c r="G211" s="98">
        <f ca="1">'forecast production'!AG212</f>
        <v>0.44113049197666443</v>
      </c>
      <c r="H211" s="98">
        <f ca="1">'forecast production'!AH212</f>
        <v>108.99262669973061</v>
      </c>
      <c r="I211" s="307">
        <f ca="1">IF('monthly calculations (1)'!AV210,WI_2_APO, WI_2)</f>
        <v>0</v>
      </c>
      <c r="J211" s="306">
        <f ca="1">IF('monthly calculations (1)'!AV210,NRI_2_APO, NRI_2)</f>
        <v>0.25</v>
      </c>
      <c r="K211" s="112">
        <f t="shared" ca="1" si="61"/>
        <v>28.413477457233615</v>
      </c>
      <c r="L211" s="98">
        <f t="shared" ca="1" si="62"/>
        <v>136.24078337466324</v>
      </c>
      <c r="M211" s="98">
        <f t="shared" ca="1" si="63"/>
        <v>0.11028262299416611</v>
      </c>
      <c r="N211" s="98">
        <f t="shared" ca="1" si="64"/>
        <v>27.248156674932652</v>
      </c>
      <c r="O211" s="67">
        <f>assumptions!M215</f>
        <v>55</v>
      </c>
      <c r="P211" s="68">
        <f>assumptions!N215</f>
        <v>3</v>
      </c>
      <c r="Q211" s="68">
        <f>assumptions!O215</f>
        <v>22</v>
      </c>
      <c r="R211" s="67">
        <f t="shared" si="65"/>
        <v>52.5</v>
      </c>
      <c r="S211" s="68">
        <f t="shared" si="66"/>
        <v>2.3275000000000001</v>
      </c>
      <c r="T211" s="68">
        <f t="shared" si="67"/>
        <v>22</v>
      </c>
      <c r="U211" s="73">
        <f t="shared" ca="1" si="73"/>
        <v>1491.7075665047648</v>
      </c>
      <c r="V211" s="72">
        <f t="shared" ca="1" si="73"/>
        <v>317.1004233045287</v>
      </c>
      <c r="W211" s="72">
        <f t="shared" ca="1" si="68"/>
        <v>599.45944684851838</v>
      </c>
      <c r="X211" s="72">
        <f t="shared" ca="1" si="74"/>
        <v>2408.2674366578121</v>
      </c>
      <c r="Y211" s="73">
        <f>mult_opex * fixed_month</f>
        <v>1000</v>
      </c>
      <c r="Z211" s="72">
        <f ca="1">mult_opex * fixed_well *D211</f>
        <v>5000</v>
      </c>
      <c r="AA211" s="72">
        <f ca="1">(Z211+Y211)*WI_current_2</f>
        <v>0</v>
      </c>
      <c r="AB211" s="72">
        <f ca="1">mult_opex * var_bo*E211</f>
        <v>0</v>
      </c>
      <c r="AC211" s="72">
        <f ca="1">mult_opex * var_mcf*F211</f>
        <v>0</v>
      </c>
      <c r="AD211" s="72">
        <f ca="1">mult_opex * var_bw * G211</f>
        <v>0.88226098395332886</v>
      </c>
      <c r="AE211" s="72">
        <f ca="1">SUM(AB211:AD211)*WI_current_2</f>
        <v>0</v>
      </c>
      <c r="AF211" s="73">
        <f ca="1">mult_capex * IFERROR(OFFSET(assumptions!$F$39,MATCH(B211,assumptions!$E$39:$E$45,0)-1,0),0)</f>
        <v>0</v>
      </c>
      <c r="AG211" s="75">
        <f ca="1">mult_capex * capex_new*WI_current_2 *'forecast production'!I212</f>
        <v>0</v>
      </c>
      <c r="AH211" s="146">
        <f t="shared" ca="1" si="75"/>
        <v>0</v>
      </c>
      <c r="AI211" s="73">
        <f t="shared" ca="1" si="69"/>
        <v>137.36053832069771</v>
      </c>
      <c r="AJ211" s="72">
        <f t="shared" ca="1" si="70"/>
        <v>60.206685916445309</v>
      </c>
      <c r="AK211" s="72">
        <f t="shared" ca="1" si="76"/>
        <v>197.56722423714302</v>
      </c>
      <c r="AL211" s="73">
        <f t="shared" ca="1" si="71"/>
        <v>2210.7002124206692</v>
      </c>
      <c r="AM211" s="321">
        <f ca="1">'monthly calculations (1)'!AM211</f>
        <v>1</v>
      </c>
      <c r="AN211" s="73">
        <f t="shared" ca="1" si="77"/>
        <v>2210.7002124206692</v>
      </c>
      <c r="AO211" s="75">
        <f t="shared" ca="1" si="79"/>
        <v>1194913.5271704716</v>
      </c>
      <c r="AP211" s="72">
        <f ca="1">AL211  /  ( 1 + disc_1/12)^(COUNT($AL$6:AL211)-1)</f>
        <v>403.35215152832575</v>
      </c>
      <c r="AQ211" s="72">
        <f t="shared" ca="1" si="80"/>
        <v>728383.60223952087</v>
      </c>
      <c r="AS211" s="303"/>
      <c r="AT211" s="300"/>
      <c r="AU211" s="297"/>
      <c r="AV211" s="303"/>
    </row>
    <row r="212" spans="2:48" x14ac:dyDescent="0.25">
      <c r="B212" s="43">
        <f t="shared" si="78"/>
        <v>50465</v>
      </c>
      <c r="C212" s="79">
        <f t="shared" si="72"/>
        <v>2038</v>
      </c>
      <c r="D212" s="64">
        <f ca="1">wellcount_base  +  SUM('forecast production'!I$7:I213)</f>
        <v>1</v>
      </c>
      <c r="E212" s="110">
        <f ca="1">'forecast production'!AE213</f>
        <v>125.02881728157254</v>
      </c>
      <c r="F212" s="98">
        <f ca="1">'forecast production'!AF213</f>
        <v>800.65993620760946</v>
      </c>
      <c r="G212" s="98">
        <f ca="1">'forecast production'!AG213</f>
        <v>0.47313714483998043</v>
      </c>
      <c r="H212" s="98">
        <f ca="1">'forecast production'!AH213</f>
        <v>120.09899043114142</v>
      </c>
      <c r="I212" s="307">
        <f ca="1">IF('monthly calculations (1)'!AV211,WI_2_APO, WI_2)</f>
        <v>0</v>
      </c>
      <c r="J212" s="306">
        <f ca="1">IF('monthly calculations (1)'!AV211,NRI_2_APO, NRI_2)</f>
        <v>0.25</v>
      </c>
      <c r="K212" s="112">
        <f t="shared" ca="1" si="61"/>
        <v>31.257204320393136</v>
      </c>
      <c r="L212" s="98">
        <f t="shared" ca="1" si="62"/>
        <v>150.12373803892677</v>
      </c>
      <c r="M212" s="98">
        <f t="shared" ca="1" si="63"/>
        <v>0.11828428620999511</v>
      </c>
      <c r="N212" s="98">
        <f t="shared" ca="1" si="64"/>
        <v>30.024747607785354</v>
      </c>
      <c r="O212" s="67">
        <f>assumptions!M216</f>
        <v>55</v>
      </c>
      <c r="P212" s="68">
        <f>assumptions!N216</f>
        <v>3</v>
      </c>
      <c r="Q212" s="68">
        <f>assumptions!O216</f>
        <v>22</v>
      </c>
      <c r="R212" s="67">
        <f t="shared" si="65"/>
        <v>52.5</v>
      </c>
      <c r="S212" s="68">
        <f t="shared" si="66"/>
        <v>2.3275000000000001</v>
      </c>
      <c r="T212" s="68">
        <f t="shared" si="67"/>
        <v>22</v>
      </c>
      <c r="U212" s="73">
        <f t="shared" ca="1" si="73"/>
        <v>1641.0032268206396</v>
      </c>
      <c r="V212" s="72">
        <f t="shared" ca="1" si="73"/>
        <v>349.4130002856021</v>
      </c>
      <c r="W212" s="72">
        <f t="shared" ca="1" si="68"/>
        <v>660.54444737127778</v>
      </c>
      <c r="X212" s="72">
        <f t="shared" ca="1" si="74"/>
        <v>2650.9606744775192</v>
      </c>
      <c r="Y212" s="73">
        <f>mult_opex * fixed_month</f>
        <v>1000</v>
      </c>
      <c r="Z212" s="72">
        <f ca="1">mult_opex * fixed_well *D212</f>
        <v>5000</v>
      </c>
      <c r="AA212" s="72">
        <f ca="1">(Z212+Y212)*WI_current_2</f>
        <v>0</v>
      </c>
      <c r="AB212" s="72">
        <f ca="1">mult_opex * var_bo*E212</f>
        <v>0</v>
      </c>
      <c r="AC212" s="72">
        <f ca="1">mult_opex * var_mcf*F212</f>
        <v>0</v>
      </c>
      <c r="AD212" s="72">
        <f ca="1">mult_opex * var_bw * G212</f>
        <v>0.94627428967996086</v>
      </c>
      <c r="AE212" s="72">
        <f ca="1">SUM(AB212:AD212)*WI_current_2</f>
        <v>0</v>
      </c>
      <c r="AF212" s="73">
        <f ca="1">mult_capex * IFERROR(OFFSET(assumptions!$F$39,MATCH(B212,assumptions!$E$39:$E$45,0)-1,0),0)</f>
        <v>0</v>
      </c>
      <c r="AG212" s="75">
        <f ca="1">mult_capex * capex_new*WI_current_2 *'forecast production'!I213</f>
        <v>0</v>
      </c>
      <c r="AH212" s="146">
        <f t="shared" ca="1" si="75"/>
        <v>0</v>
      </c>
      <c r="AI212" s="73">
        <f t="shared" ca="1" si="69"/>
        <v>151.2329570080154</v>
      </c>
      <c r="AJ212" s="72">
        <f t="shared" ca="1" si="70"/>
        <v>66.27401686193798</v>
      </c>
      <c r="AK212" s="72">
        <f t="shared" ca="1" si="76"/>
        <v>217.50697386995338</v>
      </c>
      <c r="AL212" s="73">
        <f t="shared" ca="1" si="71"/>
        <v>2433.4537006075657</v>
      </c>
      <c r="AM212" s="321">
        <f ca="1">'monthly calculations (1)'!AM212</f>
        <v>1</v>
      </c>
      <c r="AN212" s="73">
        <f t="shared" ca="1" si="77"/>
        <v>2433.4537006075657</v>
      </c>
      <c r="AO212" s="75">
        <f t="shared" ca="1" si="79"/>
        <v>1197346.9808710793</v>
      </c>
      <c r="AP212" s="72">
        <f ca="1">AL212  /  ( 1 + disc_1/12)^(COUNT($AL$6:AL212)-1)</f>
        <v>440.32514654130227</v>
      </c>
      <c r="AQ212" s="72">
        <f t="shared" ca="1" si="80"/>
        <v>728823.92738606222</v>
      </c>
      <c r="AS212" s="303"/>
      <c r="AT212" s="300"/>
      <c r="AU212" s="297"/>
      <c r="AV212" s="303"/>
    </row>
    <row r="213" spans="2:48" x14ac:dyDescent="0.25">
      <c r="B213" s="43">
        <f t="shared" si="78"/>
        <v>50496</v>
      </c>
      <c r="C213" s="79">
        <f t="shared" si="72"/>
        <v>2038</v>
      </c>
      <c r="D213" s="64">
        <f ca="1">wellcount_base  +  SUM('forecast production'!I$7:I214)</f>
        <v>1</v>
      </c>
      <c r="E213" s="110">
        <f ca="1">'forecast production'!AE214</f>
        <v>120.14179863532682</v>
      </c>
      <c r="F213" s="98">
        <f ca="1">'forecast production'!AF214</f>
        <v>770.77100091427292</v>
      </c>
      <c r="G213" s="98">
        <f ca="1">'forecast production'!AG214</f>
        <v>0.44206754945608429</v>
      </c>
      <c r="H213" s="98">
        <f ca="1">'forecast production'!AH214</f>
        <v>115.61565013714093</v>
      </c>
      <c r="I213" s="307">
        <f ca="1">IF('monthly calculations (1)'!AV212,WI_2_APO, WI_2)</f>
        <v>0</v>
      </c>
      <c r="J213" s="306">
        <f ca="1">IF('monthly calculations (1)'!AV212,NRI_2_APO, NRI_2)</f>
        <v>0.25</v>
      </c>
      <c r="K213" s="112">
        <f t="shared" ca="1" si="61"/>
        <v>30.035449658831705</v>
      </c>
      <c r="L213" s="98">
        <f t="shared" ca="1" si="62"/>
        <v>144.51956267142617</v>
      </c>
      <c r="M213" s="98">
        <f t="shared" ca="1" si="63"/>
        <v>0.11051688736402107</v>
      </c>
      <c r="N213" s="98">
        <f t="shared" ca="1" si="64"/>
        <v>28.903912534285233</v>
      </c>
      <c r="O213" s="67">
        <f>assumptions!M217</f>
        <v>55</v>
      </c>
      <c r="P213" s="68">
        <f>assumptions!N217</f>
        <v>3</v>
      </c>
      <c r="Q213" s="68">
        <f>assumptions!O217</f>
        <v>22</v>
      </c>
      <c r="R213" s="67">
        <f t="shared" si="65"/>
        <v>52.5</v>
      </c>
      <c r="S213" s="68">
        <f t="shared" si="66"/>
        <v>2.3275000000000001</v>
      </c>
      <c r="T213" s="68">
        <f t="shared" si="67"/>
        <v>22</v>
      </c>
      <c r="U213" s="73">
        <f t="shared" ca="1" si="73"/>
        <v>1576.8611070886645</v>
      </c>
      <c r="V213" s="72">
        <f t="shared" ca="1" si="73"/>
        <v>336.36928211774443</v>
      </c>
      <c r="W213" s="72">
        <f t="shared" ca="1" si="68"/>
        <v>635.88607575427511</v>
      </c>
      <c r="X213" s="72">
        <f t="shared" ca="1" si="74"/>
        <v>2549.116464960684</v>
      </c>
      <c r="Y213" s="73">
        <f>mult_opex * fixed_month</f>
        <v>1000</v>
      </c>
      <c r="Z213" s="72">
        <f ca="1">mult_opex * fixed_well *D213</f>
        <v>5000</v>
      </c>
      <c r="AA213" s="72">
        <f ca="1">(Z213+Y213)*WI_current_2</f>
        <v>0</v>
      </c>
      <c r="AB213" s="72">
        <f ca="1">mult_opex * var_bo*E213</f>
        <v>0</v>
      </c>
      <c r="AC213" s="72">
        <f ca="1">mult_opex * var_mcf*F213</f>
        <v>0</v>
      </c>
      <c r="AD213" s="72">
        <f ca="1">mult_opex * var_bw * G213</f>
        <v>0.88413509891216857</v>
      </c>
      <c r="AE213" s="72">
        <f ca="1">SUM(AB213:AD213)*WI_current_2</f>
        <v>0</v>
      </c>
      <c r="AF213" s="73">
        <f ca="1">mult_capex * IFERROR(OFFSET(assumptions!$F$39,MATCH(B213,assumptions!$E$39:$E$45,0)-1,0),0)</f>
        <v>0</v>
      </c>
      <c r="AG213" s="75">
        <f ca="1">mult_capex * capex_new*WI_current_2 *'forecast production'!I214</f>
        <v>0</v>
      </c>
      <c r="AH213" s="146">
        <f t="shared" ca="1" si="75"/>
        <v>0</v>
      </c>
      <c r="AI213" s="73">
        <f t="shared" ca="1" si="69"/>
        <v>145.45476276648003</v>
      </c>
      <c r="AJ213" s="72">
        <f t="shared" ca="1" si="70"/>
        <v>63.727911624017104</v>
      </c>
      <c r="AK213" s="72">
        <f t="shared" ca="1" si="76"/>
        <v>209.18267439049714</v>
      </c>
      <c r="AL213" s="73">
        <f t="shared" ca="1" si="71"/>
        <v>2339.9337905701868</v>
      </c>
      <c r="AM213" s="321">
        <f ca="1">'monthly calculations (1)'!AM213</f>
        <v>1</v>
      </c>
      <c r="AN213" s="73">
        <f t="shared" ca="1" si="77"/>
        <v>2339.9337905701868</v>
      </c>
      <c r="AO213" s="75">
        <f t="shared" ca="1" si="79"/>
        <v>1199686.9146616494</v>
      </c>
      <c r="AP213" s="72">
        <f ca="1">AL213  /  ( 1 + disc_1/12)^(COUNT($AL$6:AL213)-1)</f>
        <v>419.90383915959637</v>
      </c>
      <c r="AQ213" s="72">
        <f t="shared" ca="1" si="80"/>
        <v>729243.83122522186</v>
      </c>
      <c r="AS213" s="303"/>
      <c r="AT213" s="300"/>
      <c r="AU213" s="297"/>
      <c r="AV213" s="303"/>
    </row>
    <row r="214" spans="2:48" x14ac:dyDescent="0.25">
      <c r="B214" s="43">
        <f t="shared" si="78"/>
        <v>50526</v>
      </c>
      <c r="C214" s="79">
        <f t="shared" si="72"/>
        <v>2038</v>
      </c>
      <c r="D214" s="64">
        <f ca="1">wellcount_base  +  SUM('forecast production'!I$7:I215)</f>
        <v>1</v>
      </c>
      <c r="E214" s="110">
        <f ca="1">'forecast production'!AE215</f>
        <v>123.29862277104493</v>
      </c>
      <c r="F214" s="98">
        <f ca="1">'forecast production'!AF215</f>
        <v>792.42311634723137</v>
      </c>
      <c r="G214" s="98">
        <f ca="1">'forecast production'!AG215</f>
        <v>0.44153572638019045</v>
      </c>
      <c r="H214" s="98">
        <f ca="1">'forecast production'!AH215</f>
        <v>118.86346745208471</v>
      </c>
      <c r="I214" s="307">
        <f ca="1">IF('monthly calculations (1)'!AV213,WI_2_APO, WI_2)</f>
        <v>0</v>
      </c>
      <c r="J214" s="306">
        <f ca="1">IF('monthly calculations (1)'!AV213,NRI_2_APO, NRI_2)</f>
        <v>0.25</v>
      </c>
      <c r="K214" s="112">
        <f t="shared" ca="1" si="61"/>
        <v>30.824655692761233</v>
      </c>
      <c r="L214" s="98">
        <f t="shared" ca="1" si="62"/>
        <v>148.57933431510588</v>
      </c>
      <c r="M214" s="98">
        <f t="shared" ca="1" si="63"/>
        <v>0.11038393159504761</v>
      </c>
      <c r="N214" s="98">
        <f t="shared" ca="1" si="64"/>
        <v>29.715866863021176</v>
      </c>
      <c r="O214" s="67">
        <f>assumptions!M218</f>
        <v>55</v>
      </c>
      <c r="P214" s="68">
        <f>assumptions!N218</f>
        <v>3</v>
      </c>
      <c r="Q214" s="68">
        <f>assumptions!O218</f>
        <v>22</v>
      </c>
      <c r="R214" s="67">
        <f t="shared" si="65"/>
        <v>52.5</v>
      </c>
      <c r="S214" s="68">
        <f t="shared" si="66"/>
        <v>2.3275000000000001</v>
      </c>
      <c r="T214" s="68">
        <f t="shared" si="67"/>
        <v>22</v>
      </c>
      <c r="U214" s="73">
        <f t="shared" ca="1" si="73"/>
        <v>1618.2944238699647</v>
      </c>
      <c r="V214" s="72">
        <f t="shared" ca="1" si="73"/>
        <v>345.81840061840899</v>
      </c>
      <c r="W214" s="72">
        <f t="shared" ca="1" si="68"/>
        <v>653.74907098646588</v>
      </c>
      <c r="X214" s="72">
        <f t="shared" ca="1" si="74"/>
        <v>2617.8618954748395</v>
      </c>
      <c r="Y214" s="73">
        <f>mult_opex * fixed_month</f>
        <v>1000</v>
      </c>
      <c r="Z214" s="72">
        <f ca="1">mult_opex * fixed_well *D214</f>
        <v>5000</v>
      </c>
      <c r="AA214" s="72">
        <f ca="1">(Z214+Y214)*WI_current_2</f>
        <v>0</v>
      </c>
      <c r="AB214" s="72">
        <f ca="1">mult_opex * var_bo*E214</f>
        <v>0</v>
      </c>
      <c r="AC214" s="72">
        <f ca="1">mult_opex * var_mcf*F214</f>
        <v>0</v>
      </c>
      <c r="AD214" s="72">
        <f ca="1">mult_opex * var_bw * G214</f>
        <v>0.8830714527603809</v>
      </c>
      <c r="AE214" s="72">
        <f ca="1">SUM(AB214:AD214)*WI_current_2</f>
        <v>0</v>
      </c>
      <c r="AF214" s="73">
        <f ca="1">mult_capex * IFERROR(OFFSET(assumptions!$F$39,MATCH(B214,assumptions!$E$39:$E$45,0)-1,0),0)</f>
        <v>0</v>
      </c>
      <c r="AG214" s="75">
        <f ca="1">mult_capex * capex_new*WI_current_2 *'forecast production'!I215</f>
        <v>0</v>
      </c>
      <c r="AH214" s="146">
        <f t="shared" ca="1" si="75"/>
        <v>0</v>
      </c>
      <c r="AI214" s="73">
        <f t="shared" ca="1" si="69"/>
        <v>149.40910386838399</v>
      </c>
      <c r="AJ214" s="72">
        <f t="shared" ca="1" si="70"/>
        <v>65.446547386870989</v>
      </c>
      <c r="AK214" s="72">
        <f t="shared" ca="1" si="76"/>
        <v>214.855651255255</v>
      </c>
      <c r="AL214" s="73">
        <f t="shared" ca="1" si="71"/>
        <v>2403.0062442195845</v>
      </c>
      <c r="AM214" s="321">
        <f ca="1">'monthly calculations (1)'!AM214</f>
        <v>1</v>
      </c>
      <c r="AN214" s="73">
        <f t="shared" ca="1" si="77"/>
        <v>2403.0062442195845</v>
      </c>
      <c r="AO214" s="75">
        <f t="shared" ca="1" si="79"/>
        <v>1202089.920905869</v>
      </c>
      <c r="AP214" s="72">
        <f ca="1">AL214  /  ( 1 + disc_1/12)^(COUNT($AL$6:AL214)-1)</f>
        <v>427.65844392986992</v>
      </c>
      <c r="AQ214" s="72">
        <f t="shared" ca="1" si="80"/>
        <v>729671.48966915172</v>
      </c>
      <c r="AS214" s="303"/>
      <c r="AT214" s="300"/>
      <c r="AU214" s="297"/>
      <c r="AV214" s="303"/>
    </row>
    <row r="215" spans="2:48" x14ac:dyDescent="0.25">
      <c r="B215" s="43">
        <f t="shared" si="78"/>
        <v>50557</v>
      </c>
      <c r="C215" s="79">
        <f t="shared" si="72"/>
        <v>2038</v>
      </c>
      <c r="D215" s="64">
        <f ca="1">wellcount_base  +  SUM('forecast production'!I$7:I216)</f>
        <v>1</v>
      </c>
      <c r="E215" s="110">
        <f ca="1">'forecast production'!AE216</f>
        <v>118.47923247655382</v>
      </c>
      <c r="F215" s="98">
        <f ca="1">'forecast production'!AF216</f>
        <v>762.84166462425537</v>
      </c>
      <c r="G215" s="98">
        <f ca="1">'forecast production'!AG216</f>
        <v>0.41254631613618148</v>
      </c>
      <c r="H215" s="98">
        <f ca="1">'forecast production'!AH216</f>
        <v>114.42624969363831</v>
      </c>
      <c r="I215" s="307">
        <f ca="1">IF('monthly calculations (1)'!AV214,WI_2_APO, WI_2)</f>
        <v>0</v>
      </c>
      <c r="J215" s="306">
        <f ca="1">IF('monthly calculations (1)'!AV214,NRI_2_APO, NRI_2)</f>
        <v>0.25</v>
      </c>
      <c r="K215" s="112">
        <f t="shared" ca="1" si="61"/>
        <v>29.619808119138455</v>
      </c>
      <c r="L215" s="98">
        <f t="shared" ca="1" si="62"/>
        <v>143.03281211704788</v>
      </c>
      <c r="M215" s="98">
        <f t="shared" ca="1" si="63"/>
        <v>0.10313657903404537</v>
      </c>
      <c r="N215" s="98">
        <f t="shared" ca="1" si="64"/>
        <v>28.606562423409578</v>
      </c>
      <c r="O215" s="67">
        <f>assumptions!M219</f>
        <v>55</v>
      </c>
      <c r="P215" s="68">
        <f>assumptions!N219</f>
        <v>3</v>
      </c>
      <c r="Q215" s="68">
        <f>assumptions!O219</f>
        <v>22</v>
      </c>
      <c r="R215" s="67">
        <f t="shared" si="65"/>
        <v>52.5</v>
      </c>
      <c r="S215" s="68">
        <f t="shared" si="66"/>
        <v>2.3275000000000001</v>
      </c>
      <c r="T215" s="68">
        <f t="shared" si="67"/>
        <v>22</v>
      </c>
      <c r="U215" s="73">
        <f t="shared" ca="1" si="73"/>
        <v>1555.0399262547689</v>
      </c>
      <c r="V215" s="72">
        <f t="shared" ca="1" si="73"/>
        <v>332.90887020242894</v>
      </c>
      <c r="W215" s="72">
        <f t="shared" ca="1" si="68"/>
        <v>629.34437331501067</v>
      </c>
      <c r="X215" s="72">
        <f t="shared" ca="1" si="74"/>
        <v>2517.2931697722088</v>
      </c>
      <c r="Y215" s="73">
        <f>mult_opex * fixed_month</f>
        <v>1000</v>
      </c>
      <c r="Z215" s="72">
        <f ca="1">mult_opex * fixed_well *D215</f>
        <v>5000</v>
      </c>
      <c r="AA215" s="72">
        <f ca="1">(Z215+Y215)*WI_current_2</f>
        <v>0</v>
      </c>
      <c r="AB215" s="72">
        <f ca="1">mult_opex * var_bo*E215</f>
        <v>0</v>
      </c>
      <c r="AC215" s="72">
        <f ca="1">mult_opex * var_mcf*F215</f>
        <v>0</v>
      </c>
      <c r="AD215" s="72">
        <f ca="1">mult_opex * var_bw * G215</f>
        <v>0.82509263227236296</v>
      </c>
      <c r="AE215" s="72">
        <f ca="1">SUM(AB215:AD215)*WI_current_2</f>
        <v>0</v>
      </c>
      <c r="AF215" s="73">
        <f ca="1">mult_capex * IFERROR(OFFSET(assumptions!$F$39,MATCH(B215,assumptions!$E$39:$E$45,0)-1,0),0)</f>
        <v>0</v>
      </c>
      <c r="AG215" s="75">
        <f ca="1">mult_capex * capex_new*WI_current_2 *'forecast production'!I216</f>
        <v>0</v>
      </c>
      <c r="AH215" s="146">
        <f t="shared" ca="1" si="75"/>
        <v>0</v>
      </c>
      <c r="AI215" s="73">
        <f t="shared" ca="1" si="69"/>
        <v>143.70082987152733</v>
      </c>
      <c r="AJ215" s="72">
        <f t="shared" ca="1" si="70"/>
        <v>62.932329244305222</v>
      </c>
      <c r="AK215" s="72">
        <f t="shared" ca="1" si="76"/>
        <v>206.63315911583254</v>
      </c>
      <c r="AL215" s="73">
        <f t="shared" ca="1" si="71"/>
        <v>2310.6600106563765</v>
      </c>
      <c r="AM215" s="321">
        <f ca="1">'monthly calculations (1)'!AM215</f>
        <v>1</v>
      </c>
      <c r="AN215" s="73">
        <f t="shared" ca="1" si="77"/>
        <v>2310.6600106563765</v>
      </c>
      <c r="AO215" s="75">
        <f t="shared" ca="1" si="79"/>
        <v>1204400.5809165253</v>
      </c>
      <c r="AP215" s="72">
        <f ca="1">AL215  /  ( 1 + disc_1/12)^(COUNT($AL$6:AL215)-1)</f>
        <v>407.82521717143766</v>
      </c>
      <c r="AQ215" s="72">
        <f t="shared" ca="1" si="80"/>
        <v>730079.31488632318</v>
      </c>
      <c r="AS215" s="303"/>
      <c r="AT215" s="300"/>
      <c r="AU215" s="297"/>
      <c r="AV215" s="303"/>
    </row>
    <row r="216" spans="2:48" x14ac:dyDescent="0.25">
      <c r="B216" s="43">
        <f t="shared" si="78"/>
        <v>50587</v>
      </c>
      <c r="C216" s="79">
        <f t="shared" si="72"/>
        <v>2038</v>
      </c>
      <c r="D216" s="64">
        <f ca="1">wellcount_base  +  SUM('forecast production'!I$7:I217)</f>
        <v>1</v>
      </c>
      <c r="E216" s="110">
        <f ca="1">'forecast production'!AE217</f>
        <v>121.59237132507916</v>
      </c>
      <c r="F216" s="98">
        <f ca="1">'forecast production'!AF217</f>
        <v>784.27103308768017</v>
      </c>
      <c r="G216" s="98">
        <f ca="1">'forecast production'!AG217</f>
        <v>0.41205484737455772</v>
      </c>
      <c r="H216" s="98">
        <f ca="1">'forecast production'!AH217</f>
        <v>117.64065496315203</v>
      </c>
      <c r="I216" s="307">
        <f ca="1">IF('monthly calculations (1)'!AV215,WI_2_APO, WI_2)</f>
        <v>0</v>
      </c>
      <c r="J216" s="306">
        <f ca="1">IF('monthly calculations (1)'!AV215,NRI_2_APO, NRI_2)</f>
        <v>0.25</v>
      </c>
      <c r="K216" s="112">
        <f t="shared" ca="1" si="61"/>
        <v>30.398092831269789</v>
      </c>
      <c r="L216" s="98">
        <f t="shared" ca="1" si="62"/>
        <v>147.05081870394002</v>
      </c>
      <c r="M216" s="98">
        <f t="shared" ca="1" si="63"/>
        <v>0.10301371184363943</v>
      </c>
      <c r="N216" s="98">
        <f t="shared" ca="1" si="64"/>
        <v>29.410163740788008</v>
      </c>
      <c r="O216" s="67">
        <f>assumptions!M220</f>
        <v>55</v>
      </c>
      <c r="P216" s="68">
        <f>assumptions!N220</f>
        <v>3</v>
      </c>
      <c r="Q216" s="68">
        <f>assumptions!O220</f>
        <v>22</v>
      </c>
      <c r="R216" s="67">
        <f t="shared" si="65"/>
        <v>52.5</v>
      </c>
      <c r="S216" s="68">
        <f t="shared" si="66"/>
        <v>2.3275000000000001</v>
      </c>
      <c r="T216" s="68">
        <f t="shared" si="67"/>
        <v>22</v>
      </c>
      <c r="U216" s="73">
        <f t="shared" ca="1" si="73"/>
        <v>1595.8998736416638</v>
      </c>
      <c r="V216" s="72">
        <f t="shared" ca="1" si="73"/>
        <v>342.26078053342042</v>
      </c>
      <c r="W216" s="72">
        <f t="shared" ca="1" si="68"/>
        <v>647.0236022973362</v>
      </c>
      <c r="X216" s="72">
        <f t="shared" ca="1" si="74"/>
        <v>2585.1842564724207</v>
      </c>
      <c r="Y216" s="73">
        <f>mult_opex * fixed_month</f>
        <v>1000</v>
      </c>
      <c r="Z216" s="72">
        <f ca="1">mult_opex * fixed_well *D216</f>
        <v>5000</v>
      </c>
      <c r="AA216" s="72">
        <f ca="1">(Z216+Y216)*WI_current_2</f>
        <v>0</v>
      </c>
      <c r="AB216" s="72">
        <f ca="1">mult_opex * var_bo*E216</f>
        <v>0</v>
      </c>
      <c r="AC216" s="72">
        <f ca="1">mult_opex * var_mcf*F216</f>
        <v>0</v>
      </c>
      <c r="AD216" s="72">
        <f ca="1">mult_opex * var_bw * G216</f>
        <v>0.82410969474911544</v>
      </c>
      <c r="AE216" s="72">
        <f ca="1">SUM(AB216:AD216)*WI_current_2</f>
        <v>0</v>
      </c>
      <c r="AF216" s="73">
        <f ca="1">mult_capex * IFERROR(OFFSET(assumptions!$F$39,MATCH(B216,assumptions!$E$39:$E$45,0)-1,0),0)</f>
        <v>0</v>
      </c>
      <c r="AG216" s="75">
        <f ca="1">mult_capex * capex_new*WI_current_2 *'forecast production'!I217</f>
        <v>0</v>
      </c>
      <c r="AH216" s="146">
        <f t="shared" ca="1" si="75"/>
        <v>0</v>
      </c>
      <c r="AI216" s="73">
        <f t="shared" ca="1" si="69"/>
        <v>147.60772289982327</v>
      </c>
      <c r="AJ216" s="72">
        <f t="shared" ca="1" si="70"/>
        <v>64.629606411810514</v>
      </c>
      <c r="AK216" s="72">
        <f t="shared" ca="1" si="76"/>
        <v>212.2373293116338</v>
      </c>
      <c r="AL216" s="73">
        <f t="shared" ca="1" si="71"/>
        <v>2372.9469271607868</v>
      </c>
      <c r="AM216" s="321">
        <f ca="1">'monthly calculations (1)'!AM216</f>
        <v>1</v>
      </c>
      <c r="AN216" s="73">
        <f t="shared" ca="1" si="77"/>
        <v>2372.9469271607868</v>
      </c>
      <c r="AO216" s="75">
        <f t="shared" ca="1" si="79"/>
        <v>1206773.5278436861</v>
      </c>
      <c r="AP216" s="72">
        <f ca="1">AL216  /  ( 1 + disc_1/12)^(COUNT($AL$6:AL216)-1)</f>
        <v>415.35737731370676</v>
      </c>
      <c r="AQ216" s="72">
        <f t="shared" ca="1" si="80"/>
        <v>730494.67226363684</v>
      </c>
      <c r="AS216" s="303"/>
      <c r="AT216" s="300"/>
      <c r="AU216" s="297"/>
      <c r="AV216" s="303"/>
    </row>
    <row r="217" spans="2:48" x14ac:dyDescent="0.25">
      <c r="B217" s="43">
        <f t="shared" si="78"/>
        <v>50618</v>
      </c>
      <c r="C217" s="79">
        <f t="shared" si="72"/>
        <v>2038</v>
      </c>
      <c r="D217" s="64">
        <f ca="1">wellcount_base  +  SUM('forecast production'!I$7:I218)</f>
        <v>1</v>
      </c>
      <c r="E217" s="108">
        <f ca="1">'forecast production'!AE218</f>
        <v>120.73432930035422</v>
      </c>
      <c r="F217" s="97">
        <f ca="1">'forecast production'!AF218</f>
        <v>780.16036507555293</v>
      </c>
      <c r="G217" s="97">
        <f ca="1">'forecast production'!AG218</f>
        <v>0.39783922375269049</v>
      </c>
      <c r="H217" s="98">
        <f ca="1">'forecast production'!AH218</f>
        <v>117.02405476133295</v>
      </c>
      <c r="I217" s="307">
        <f ca="1">IF('monthly calculations (1)'!AV216,WI_2_APO, WI_2)</f>
        <v>0</v>
      </c>
      <c r="J217" s="306">
        <f ca="1">IF('monthly calculations (1)'!AV216,NRI_2_APO, NRI_2)</f>
        <v>0.25</v>
      </c>
      <c r="K217" s="112">
        <f t="shared" ca="1" si="61"/>
        <v>30.183582325088555</v>
      </c>
      <c r="L217" s="98">
        <f t="shared" ca="1" si="62"/>
        <v>146.28006845166618</v>
      </c>
      <c r="M217" s="98">
        <f t="shared" ca="1" si="63"/>
        <v>9.9459805938172621E-2</v>
      </c>
      <c r="N217" s="98">
        <f t="shared" ca="1" si="64"/>
        <v>29.256013690333237</v>
      </c>
      <c r="O217" s="67">
        <f>assumptions!M221</f>
        <v>55</v>
      </c>
      <c r="P217" s="68">
        <f>assumptions!N221</f>
        <v>3</v>
      </c>
      <c r="Q217" s="68">
        <f>assumptions!O221</f>
        <v>22</v>
      </c>
      <c r="R217" s="67">
        <f t="shared" si="65"/>
        <v>52.5</v>
      </c>
      <c r="S217" s="68">
        <f t="shared" si="66"/>
        <v>2.3275000000000001</v>
      </c>
      <c r="T217" s="68">
        <f t="shared" si="67"/>
        <v>22</v>
      </c>
      <c r="U217" s="73">
        <f t="shared" ca="1" si="73"/>
        <v>1584.6380720671491</v>
      </c>
      <c r="V217" s="72">
        <f t="shared" ca="1" si="73"/>
        <v>340.46685932125308</v>
      </c>
      <c r="W217" s="72">
        <f t="shared" ca="1" si="68"/>
        <v>643.63230118733122</v>
      </c>
      <c r="X217" s="72">
        <f t="shared" ca="1" si="74"/>
        <v>2568.7372325757333</v>
      </c>
      <c r="Y217" s="73">
        <f>mult_opex * fixed_month</f>
        <v>1000</v>
      </c>
      <c r="Z217" s="72">
        <f ca="1">mult_opex * fixed_well *D217</f>
        <v>5000</v>
      </c>
      <c r="AA217" s="72">
        <f ca="1">(Z217+Y217)*WI_current_2</f>
        <v>0</v>
      </c>
      <c r="AB217" s="72">
        <f ca="1">mult_opex * var_bo*E217</f>
        <v>0</v>
      </c>
      <c r="AC217" s="72">
        <f ca="1">mult_opex * var_mcf*F217</f>
        <v>0</v>
      </c>
      <c r="AD217" s="72">
        <f ca="1">mult_opex * var_bw * G217</f>
        <v>0.79567844750538097</v>
      </c>
      <c r="AE217" s="72">
        <f ca="1">SUM(AB217:AD217)*WI_current_2</f>
        <v>0</v>
      </c>
      <c r="AF217" s="73">
        <f ca="1">mult_capex * IFERROR(OFFSET(assumptions!$F$39,MATCH(B217,assumptions!$E$39:$E$45,0)-1,0),0)</f>
        <v>0</v>
      </c>
      <c r="AG217" s="75">
        <f ca="1">mult_capex * capex_new*WI_current_2 *'forecast production'!I218</f>
        <v>0</v>
      </c>
      <c r="AH217" s="146">
        <f t="shared" ca="1" si="75"/>
        <v>0</v>
      </c>
      <c r="AI217" s="73">
        <f t="shared" ca="1" si="69"/>
        <v>146.70078835323267</v>
      </c>
      <c r="AJ217" s="72">
        <f t="shared" ca="1" si="70"/>
        <v>64.218430814393329</v>
      </c>
      <c r="AK217" s="72">
        <f t="shared" ca="1" si="76"/>
        <v>210.91921916762601</v>
      </c>
      <c r="AL217" s="73">
        <f t="shared" ca="1" si="71"/>
        <v>2357.8180134081072</v>
      </c>
      <c r="AM217" s="321">
        <f ca="1">'monthly calculations (1)'!AM217</f>
        <v>1</v>
      </c>
      <c r="AN217" s="73">
        <f t="shared" ca="1" si="77"/>
        <v>2357.8180134081072</v>
      </c>
      <c r="AO217" s="75">
        <f t="shared" ca="1" si="79"/>
        <v>1209131.3458570943</v>
      </c>
      <c r="AP217" s="72">
        <f ca="1">AL217  /  ( 1 + disc_1/12)^(COUNT($AL$6:AL217)-1)</f>
        <v>409.29841288168348</v>
      </c>
      <c r="AQ217" s="72">
        <f t="shared" ca="1" si="80"/>
        <v>730903.97067651851</v>
      </c>
      <c r="AS217" s="303"/>
      <c r="AT217" s="300"/>
      <c r="AU217" s="297"/>
      <c r="AV217" s="303"/>
    </row>
    <row r="218" spans="2:48" x14ac:dyDescent="0.25">
      <c r="B218" s="43">
        <f t="shared" si="78"/>
        <v>50649</v>
      </c>
      <c r="C218" s="79">
        <f t="shared" si="72"/>
        <v>2038</v>
      </c>
      <c r="D218" s="64">
        <f ca="1">wellcount_base  +  SUM('forecast production'!I$7:I219)</f>
        <v>1</v>
      </c>
      <c r="E218" s="110">
        <f ca="1">'forecast production'!AE219</f>
        <v>116.01516989885387</v>
      </c>
      <c r="F218" s="98">
        <f ca="1">'forecast production'!AF219</f>
        <v>751.03668645037123</v>
      </c>
      <c r="G218" s="98">
        <f ca="1">'forecast production'!AG219</f>
        <v>0.37172554526966128</v>
      </c>
      <c r="H218" s="98">
        <f ca="1">'forecast production'!AH219</f>
        <v>112.65550296755568</v>
      </c>
      <c r="I218" s="307">
        <f ca="1">IF('monthly calculations (1)'!AV217,WI_2_APO, WI_2)</f>
        <v>0</v>
      </c>
      <c r="J218" s="306">
        <f ca="1">IF('monthly calculations (1)'!AV217,NRI_2_APO, NRI_2)</f>
        <v>0.25</v>
      </c>
      <c r="K218" s="112">
        <f t="shared" ca="1" si="61"/>
        <v>29.003792474713467</v>
      </c>
      <c r="L218" s="98">
        <f t="shared" ca="1" si="62"/>
        <v>140.81937870944461</v>
      </c>
      <c r="M218" s="98">
        <f t="shared" ca="1" si="63"/>
        <v>9.2931386317415321E-2</v>
      </c>
      <c r="N218" s="98">
        <f t="shared" ca="1" si="64"/>
        <v>28.163875741888919</v>
      </c>
      <c r="O218" s="67">
        <f>assumptions!M222</f>
        <v>55</v>
      </c>
      <c r="P218" s="68">
        <f>assumptions!N222</f>
        <v>3</v>
      </c>
      <c r="Q218" s="68">
        <f>assumptions!O222</f>
        <v>22</v>
      </c>
      <c r="R218" s="67">
        <f t="shared" si="65"/>
        <v>52.5</v>
      </c>
      <c r="S218" s="68">
        <f t="shared" si="66"/>
        <v>2.3275000000000001</v>
      </c>
      <c r="T218" s="68">
        <f t="shared" si="67"/>
        <v>22</v>
      </c>
      <c r="U218" s="73">
        <f t="shared" ca="1" si="73"/>
        <v>1522.6991049224571</v>
      </c>
      <c r="V218" s="72">
        <f t="shared" ca="1" si="73"/>
        <v>327.75710394623235</v>
      </c>
      <c r="W218" s="72">
        <f t="shared" ca="1" si="68"/>
        <v>619.6052663215562</v>
      </c>
      <c r="X218" s="72">
        <f t="shared" ca="1" si="74"/>
        <v>2470.0614751902458</v>
      </c>
      <c r="Y218" s="73">
        <f>mult_opex * fixed_month</f>
        <v>1000</v>
      </c>
      <c r="Z218" s="72">
        <f ca="1">mult_opex * fixed_well *D218</f>
        <v>5000</v>
      </c>
      <c r="AA218" s="72">
        <f ca="1">(Z218+Y218)*WI_current_2</f>
        <v>0</v>
      </c>
      <c r="AB218" s="72">
        <f ca="1">mult_opex * var_bo*E218</f>
        <v>0</v>
      </c>
      <c r="AC218" s="72">
        <f ca="1">mult_opex * var_mcf*F218</f>
        <v>0</v>
      </c>
      <c r="AD218" s="72">
        <f ca="1">mult_opex * var_bw * G218</f>
        <v>0.74345109053932257</v>
      </c>
      <c r="AE218" s="72">
        <f ca="1">SUM(AB218:AD218)*WI_current_2</f>
        <v>0</v>
      </c>
      <c r="AF218" s="73">
        <f ca="1">mult_capex * IFERROR(OFFSET(assumptions!$F$39,MATCH(B218,assumptions!$E$39:$E$45,0)-1,0),0)</f>
        <v>0</v>
      </c>
      <c r="AG218" s="75">
        <f ca="1">mult_capex * capex_new*WI_current_2 *'forecast production'!I219</f>
        <v>0</v>
      </c>
      <c r="AH218" s="146">
        <f t="shared" ca="1" si="75"/>
        <v>0</v>
      </c>
      <c r="AI218" s="73">
        <f t="shared" ca="1" si="69"/>
        <v>141.09633659651718</v>
      </c>
      <c r="AJ218" s="72">
        <f t="shared" ca="1" si="70"/>
        <v>61.751536879756145</v>
      </c>
      <c r="AK218" s="72">
        <f t="shared" ca="1" si="76"/>
        <v>202.84787347627332</v>
      </c>
      <c r="AL218" s="73">
        <f t="shared" ca="1" si="71"/>
        <v>2267.2136017139724</v>
      </c>
      <c r="AM218" s="321">
        <f ca="1">'monthly calculations (1)'!AM218</f>
        <v>1</v>
      </c>
      <c r="AN218" s="73">
        <f t="shared" ca="1" si="77"/>
        <v>2267.2136017139724</v>
      </c>
      <c r="AO218" s="75">
        <f t="shared" ca="1" si="79"/>
        <v>1211398.5594588083</v>
      </c>
      <c r="AP218" s="72">
        <f ca="1">AL218  /  ( 1 + disc_1/12)^(COUNT($AL$6:AL218)-1)</f>
        <v>390.3175628651573</v>
      </c>
      <c r="AQ218" s="72">
        <f t="shared" ca="1" si="80"/>
        <v>731294.28823938372</v>
      </c>
      <c r="AS218" s="303"/>
      <c r="AT218" s="300"/>
      <c r="AU218" s="297"/>
      <c r="AV218" s="303"/>
    </row>
    <row r="219" spans="2:48" x14ac:dyDescent="0.25">
      <c r="B219" s="43">
        <f t="shared" si="78"/>
        <v>50679</v>
      </c>
      <c r="C219" s="79">
        <f t="shared" si="72"/>
        <v>2038</v>
      </c>
      <c r="D219" s="64">
        <f ca="1">wellcount_base  +  SUM('forecast production'!I$7:I220)</f>
        <v>1</v>
      </c>
      <c r="E219" s="110">
        <f ca="1">'forecast production'!AE220</f>
        <v>119.06356348548404</v>
      </c>
      <c r="F219" s="98">
        <f ca="1">'forecast production'!AF220</f>
        <v>772.13443534092482</v>
      </c>
      <c r="G219" s="98">
        <f ca="1">'forecast production'!AG220</f>
        <v>0.3712892772388568</v>
      </c>
      <c r="H219" s="98">
        <f ca="1">'forecast production'!AH220</f>
        <v>115.82016530113873</v>
      </c>
      <c r="I219" s="307">
        <f ca="1">IF('monthly calculations (1)'!AV218,WI_2_APO, WI_2)</f>
        <v>0</v>
      </c>
      <c r="J219" s="306">
        <f ca="1">IF('monthly calculations (1)'!AV218,NRI_2_APO, NRI_2)</f>
        <v>0.25</v>
      </c>
      <c r="K219" s="112">
        <f t="shared" ca="1" si="61"/>
        <v>29.76589087137101</v>
      </c>
      <c r="L219" s="98">
        <f t="shared" ca="1" si="62"/>
        <v>144.7752066264234</v>
      </c>
      <c r="M219" s="98">
        <f t="shared" ca="1" si="63"/>
        <v>9.2822319309714199E-2</v>
      </c>
      <c r="N219" s="98">
        <f t="shared" ca="1" si="64"/>
        <v>28.955041325284682</v>
      </c>
      <c r="O219" s="67">
        <f>assumptions!M223</f>
        <v>55</v>
      </c>
      <c r="P219" s="68">
        <f>assumptions!N223</f>
        <v>3</v>
      </c>
      <c r="Q219" s="68">
        <f>assumptions!O223</f>
        <v>22</v>
      </c>
      <c r="R219" s="67">
        <f t="shared" si="65"/>
        <v>52.5</v>
      </c>
      <c r="S219" s="68">
        <f t="shared" si="66"/>
        <v>2.3275000000000001</v>
      </c>
      <c r="T219" s="68">
        <f t="shared" si="67"/>
        <v>22</v>
      </c>
      <c r="U219" s="73">
        <f t="shared" ca="1" si="73"/>
        <v>1562.7092707469781</v>
      </c>
      <c r="V219" s="72">
        <f t="shared" ca="1" si="73"/>
        <v>336.96429342300047</v>
      </c>
      <c r="W219" s="72">
        <f t="shared" ca="1" si="68"/>
        <v>637.01090915626298</v>
      </c>
      <c r="X219" s="72">
        <f t="shared" ca="1" si="74"/>
        <v>2536.6844733262415</v>
      </c>
      <c r="Y219" s="73">
        <f>mult_opex * fixed_month</f>
        <v>1000</v>
      </c>
      <c r="Z219" s="72">
        <f ca="1">mult_opex * fixed_well *D219</f>
        <v>5000</v>
      </c>
      <c r="AA219" s="72">
        <f ca="1">(Z219+Y219)*WI_current_2</f>
        <v>0</v>
      </c>
      <c r="AB219" s="72">
        <f ca="1">mult_opex * var_bo*E219</f>
        <v>0</v>
      </c>
      <c r="AC219" s="72">
        <f ca="1">mult_opex * var_mcf*F219</f>
        <v>0</v>
      </c>
      <c r="AD219" s="72">
        <f ca="1">mult_opex * var_bw * G219</f>
        <v>0.74257855447771359</v>
      </c>
      <c r="AE219" s="72">
        <f ca="1">SUM(AB219:AD219)*WI_current_2</f>
        <v>0</v>
      </c>
      <c r="AF219" s="73">
        <f ca="1">mult_capex * IFERROR(OFFSET(assumptions!$F$39,MATCH(B219,assumptions!$E$39:$E$45,0)-1,0),0)</f>
        <v>0</v>
      </c>
      <c r="AG219" s="75">
        <f ca="1">mult_capex * capex_new*WI_current_2 *'forecast production'!I220</f>
        <v>0</v>
      </c>
      <c r="AH219" s="146">
        <f t="shared" ca="1" si="75"/>
        <v>0</v>
      </c>
      <c r="AI219" s="73">
        <f t="shared" ca="1" si="69"/>
        <v>144.93276664780575</v>
      </c>
      <c r="AJ219" s="72">
        <f t="shared" ca="1" si="70"/>
        <v>63.417111833156042</v>
      </c>
      <c r="AK219" s="72">
        <f t="shared" ca="1" si="76"/>
        <v>208.34987848096179</v>
      </c>
      <c r="AL219" s="73">
        <f t="shared" ca="1" si="71"/>
        <v>2328.3345948452798</v>
      </c>
      <c r="AM219" s="321">
        <f ca="1">'monthly calculations (1)'!AM219</f>
        <v>1</v>
      </c>
      <c r="AN219" s="73">
        <f t="shared" ca="1" si="77"/>
        <v>2328.3345948452798</v>
      </c>
      <c r="AO219" s="75">
        <f t="shared" ca="1" si="79"/>
        <v>1213726.8940536536</v>
      </c>
      <c r="AP219" s="72">
        <f ca="1">AL219  /  ( 1 + disc_1/12)^(COUNT($AL$6:AL219)-1)</f>
        <v>397.52726594002024</v>
      </c>
      <c r="AQ219" s="72">
        <f t="shared" ca="1" si="80"/>
        <v>731691.8155053237</v>
      </c>
      <c r="AS219" s="303"/>
      <c r="AT219" s="300"/>
      <c r="AU219" s="297"/>
      <c r="AV219" s="303"/>
    </row>
    <row r="220" spans="2:48" x14ac:dyDescent="0.25">
      <c r="B220" s="43">
        <f t="shared" si="78"/>
        <v>50710</v>
      </c>
      <c r="C220" s="79">
        <f t="shared" si="72"/>
        <v>2038</v>
      </c>
      <c r="D220" s="64">
        <f ca="1">wellcount_base  +  SUM('forecast production'!I$7:I221)</f>
        <v>1</v>
      </c>
      <c r="E220" s="110">
        <f ca="1">'forecast production'!AE221</f>
        <v>114.40970953810464</v>
      </c>
      <c r="F220" s="98">
        <f ca="1">'forecast production'!AF221</f>
        <v>743.31036767872376</v>
      </c>
      <c r="G220" s="98">
        <f ca="1">'forecast production'!AG221</f>
        <v>0.34692250893300969</v>
      </c>
      <c r="H220" s="98">
        <f ca="1">'forecast production'!AH221</f>
        <v>111.49655515180855</v>
      </c>
      <c r="I220" s="307">
        <f ca="1">IF('monthly calculations (1)'!AV219,WI_2_APO, WI_2)</f>
        <v>0</v>
      </c>
      <c r="J220" s="306">
        <f ca="1">IF('monthly calculations (1)'!AV219,NRI_2_APO, NRI_2)</f>
        <v>0.25</v>
      </c>
      <c r="K220" s="112">
        <f t="shared" ca="1" si="61"/>
        <v>28.602427384526159</v>
      </c>
      <c r="L220" s="98">
        <f t="shared" ca="1" si="62"/>
        <v>139.37069393976071</v>
      </c>
      <c r="M220" s="98">
        <f t="shared" ca="1" si="63"/>
        <v>8.6730627233252422E-2</v>
      </c>
      <c r="N220" s="98">
        <f t="shared" ca="1" si="64"/>
        <v>27.874138787952138</v>
      </c>
      <c r="O220" s="67">
        <f>assumptions!M224</f>
        <v>55</v>
      </c>
      <c r="P220" s="68">
        <f>assumptions!N224</f>
        <v>3</v>
      </c>
      <c r="Q220" s="68">
        <f>assumptions!O224</f>
        <v>22</v>
      </c>
      <c r="R220" s="67">
        <f t="shared" si="65"/>
        <v>52.5</v>
      </c>
      <c r="S220" s="68">
        <f t="shared" si="66"/>
        <v>2.3275000000000001</v>
      </c>
      <c r="T220" s="68">
        <f t="shared" si="67"/>
        <v>22</v>
      </c>
      <c r="U220" s="73">
        <f t="shared" ca="1" si="73"/>
        <v>1501.6274376876233</v>
      </c>
      <c r="V220" s="72">
        <f t="shared" ca="1" si="73"/>
        <v>324.38529014479309</v>
      </c>
      <c r="W220" s="72">
        <f t="shared" ca="1" si="68"/>
        <v>613.23105333494698</v>
      </c>
      <c r="X220" s="72">
        <f t="shared" ca="1" si="74"/>
        <v>2439.2437811673635</v>
      </c>
      <c r="Y220" s="73">
        <f>mult_opex * fixed_month</f>
        <v>1000</v>
      </c>
      <c r="Z220" s="72">
        <f ca="1">mult_opex * fixed_well *D220</f>
        <v>5000</v>
      </c>
      <c r="AA220" s="72">
        <f ca="1">(Z220+Y220)*WI_current_2</f>
        <v>0</v>
      </c>
      <c r="AB220" s="72">
        <f ca="1">mult_opex * var_bo*E220</f>
        <v>0</v>
      </c>
      <c r="AC220" s="72">
        <f ca="1">mult_opex * var_mcf*F220</f>
        <v>0</v>
      </c>
      <c r="AD220" s="72">
        <f ca="1">mult_opex * var_bw * G220</f>
        <v>0.69384501786601938</v>
      </c>
      <c r="AE220" s="72">
        <f ca="1">SUM(AB220:AD220)*WI_current_2</f>
        <v>0</v>
      </c>
      <c r="AF220" s="73">
        <f ca="1">mult_capex * IFERROR(OFFSET(assumptions!$F$39,MATCH(B220,assumptions!$E$39:$E$45,0)-1,0),0)</f>
        <v>0</v>
      </c>
      <c r="AG220" s="75">
        <f ca="1">mult_capex * capex_new*WI_current_2 *'forecast production'!I221</f>
        <v>0</v>
      </c>
      <c r="AH220" s="146">
        <f t="shared" ca="1" si="75"/>
        <v>0</v>
      </c>
      <c r="AI220" s="73">
        <f t="shared" ca="1" si="69"/>
        <v>139.39608789461118</v>
      </c>
      <c r="AJ220" s="72">
        <f t="shared" ca="1" si="70"/>
        <v>60.981094529184091</v>
      </c>
      <c r="AK220" s="72">
        <f t="shared" ca="1" si="76"/>
        <v>200.37718242379526</v>
      </c>
      <c r="AL220" s="73">
        <f t="shared" ca="1" si="71"/>
        <v>2238.8665987435684</v>
      </c>
      <c r="AM220" s="321">
        <f ca="1">'monthly calculations (1)'!AM220</f>
        <v>1</v>
      </c>
      <c r="AN220" s="73">
        <f t="shared" ca="1" si="77"/>
        <v>2238.8665987435684</v>
      </c>
      <c r="AO220" s="75">
        <f t="shared" ca="1" si="79"/>
        <v>1215965.7606523971</v>
      </c>
      <c r="AP220" s="72">
        <f ca="1">AL220  /  ( 1 + disc_1/12)^(COUNT($AL$6:AL220)-1)</f>
        <v>379.09287648444632</v>
      </c>
      <c r="AQ220" s="72">
        <f t="shared" ca="1" si="80"/>
        <v>732070.9083818082</v>
      </c>
      <c r="AS220" s="303"/>
      <c r="AT220" s="300"/>
      <c r="AU220" s="297"/>
      <c r="AV220" s="303"/>
    </row>
    <row r="221" spans="2:48" x14ac:dyDescent="0.25">
      <c r="B221" s="44">
        <f t="shared" si="78"/>
        <v>50740</v>
      </c>
      <c r="C221" s="100">
        <f t="shared" si="72"/>
        <v>2038</v>
      </c>
      <c r="D221" s="65">
        <f ca="1">wellcount_base  +  SUM('forecast production'!I$7:I222)</f>
        <v>1</v>
      </c>
      <c r="E221" s="109">
        <f ca="1">'forecast production'!AE222</f>
        <v>117.41591833914543</v>
      </c>
      <c r="F221" s="101">
        <f ca="1">'forecast production'!AF222</f>
        <v>764.19107266685126</v>
      </c>
      <c r="G221" s="101">
        <f ca="1">'forecast production'!AG222</f>
        <v>0.34651941298979327</v>
      </c>
      <c r="H221" s="102">
        <f ca="1">'forecast production'!AH222</f>
        <v>114.62866090002768</v>
      </c>
      <c r="I221" s="308">
        <f ca="1">IF('monthly calculations (1)'!AV220,WI_2_APO, WI_2)</f>
        <v>0</v>
      </c>
      <c r="J221" s="309">
        <f ca="1">IF('monthly calculations (1)'!AV220,NRI_2_APO, NRI_2)</f>
        <v>0.25</v>
      </c>
      <c r="K221" s="113">
        <f t="shared" ca="1" si="61"/>
        <v>29.353979584786359</v>
      </c>
      <c r="L221" s="102">
        <f t="shared" ca="1" si="62"/>
        <v>143.28582612503462</v>
      </c>
      <c r="M221" s="102">
        <f t="shared" ca="1" si="63"/>
        <v>8.6629853247448318E-2</v>
      </c>
      <c r="N221" s="102">
        <f t="shared" ca="1" si="64"/>
        <v>28.657165225006921</v>
      </c>
      <c r="O221" s="103">
        <f>assumptions!M225</f>
        <v>55</v>
      </c>
      <c r="P221" s="104">
        <f>assumptions!N225</f>
        <v>3</v>
      </c>
      <c r="Q221" s="104">
        <f>assumptions!O225</f>
        <v>22</v>
      </c>
      <c r="R221" s="103">
        <f t="shared" si="65"/>
        <v>52.5</v>
      </c>
      <c r="S221" s="104">
        <f t="shared" si="66"/>
        <v>2.3275000000000001</v>
      </c>
      <c r="T221" s="104">
        <f t="shared" si="67"/>
        <v>22</v>
      </c>
      <c r="U221" s="105">
        <f t="shared" ca="1" si="73"/>
        <v>1541.0839282012839</v>
      </c>
      <c r="V221" s="106">
        <f t="shared" ca="1" si="73"/>
        <v>333.49776030601811</v>
      </c>
      <c r="W221" s="106">
        <f t="shared" ca="1" si="68"/>
        <v>630.45763495015228</v>
      </c>
      <c r="X221" s="106">
        <f t="shared" ca="1" si="74"/>
        <v>2505.0393234574544</v>
      </c>
      <c r="Y221" s="105">
        <f>mult_opex * fixed_month</f>
        <v>1000</v>
      </c>
      <c r="Z221" s="106">
        <f ca="1">mult_opex * fixed_well *D221</f>
        <v>5000</v>
      </c>
      <c r="AA221" s="106">
        <f ca="1">(Z221+Y221)*WI_current_2</f>
        <v>0</v>
      </c>
      <c r="AB221" s="106">
        <f ca="1">mult_opex * var_bo*E221</f>
        <v>0</v>
      </c>
      <c r="AC221" s="106">
        <f ca="1">mult_opex * var_mcf*F221</f>
        <v>0</v>
      </c>
      <c r="AD221" s="106">
        <f ca="1">mult_opex * var_bw * G221</f>
        <v>0.69303882597958655</v>
      </c>
      <c r="AE221" s="106">
        <f ca="1">SUM(AB221:AD221)*WI_current_2</f>
        <v>0</v>
      </c>
      <c r="AF221" s="105">
        <f ca="1">mult_capex * IFERROR(OFFSET(assumptions!$F$39,MATCH(B221,assumptions!$E$39:$E$45,0)-1,0),0)</f>
        <v>0</v>
      </c>
      <c r="AG221" s="106">
        <f ca="1">mult_capex * capex_new*WI_current_2 *'forecast production'!I222</f>
        <v>0</v>
      </c>
      <c r="AH221" s="147">
        <f t="shared" ca="1" si="75"/>
        <v>0</v>
      </c>
      <c r="AI221" s="105">
        <f t="shared" ca="1" si="69"/>
        <v>143.18651534147182</v>
      </c>
      <c r="AJ221" s="106">
        <f t="shared" ca="1" si="70"/>
        <v>62.625983086436364</v>
      </c>
      <c r="AK221" s="106">
        <f t="shared" ca="1" si="76"/>
        <v>205.81249842790817</v>
      </c>
      <c r="AL221" s="105">
        <f t="shared" ca="1" si="71"/>
        <v>2299.2268250295465</v>
      </c>
      <c r="AM221" s="322">
        <f ca="1">'monthly calculations (1)'!AM221</f>
        <v>1</v>
      </c>
      <c r="AN221" s="105">
        <f t="shared" ca="1" si="77"/>
        <v>2299.2268250295465</v>
      </c>
      <c r="AO221" s="106">
        <f t="shared" ca="1" si="79"/>
        <v>1218264.9874774267</v>
      </c>
      <c r="AP221" s="106">
        <f ca="1">AL221  /  ( 1 + disc_1/12)^(COUNT($AL$6:AL221)-1)</f>
        <v>386.09582008144849</v>
      </c>
      <c r="AQ221" s="106">
        <f t="shared" ca="1" si="80"/>
        <v>732457.00420188962</v>
      </c>
      <c r="AS221" s="304"/>
      <c r="AT221" s="301"/>
      <c r="AU221" s="298"/>
      <c r="AV221" s="304"/>
    </row>
    <row r="222" spans="2:48" x14ac:dyDescent="0.25">
      <c r="B222" s="43">
        <f t="shared" si="78"/>
        <v>50771</v>
      </c>
      <c r="C222" s="79">
        <f t="shared" si="72"/>
        <v>2039</v>
      </c>
      <c r="D222" s="64">
        <f ca="1">wellcount_base  +  SUM('forecast production'!I$7:I223)</f>
        <v>1</v>
      </c>
      <c r="E222" s="110">
        <f ca="1">'forecast production'!AE223</f>
        <v>116.58734832929419</v>
      </c>
      <c r="F222" s="98">
        <f ca="1">'forecast production'!AF223</f>
        <v>760.18565149861365</v>
      </c>
      <c r="G222" s="98">
        <f ca="1">'forecast production'!AG223</f>
        <v>0.33457488711945244</v>
      </c>
      <c r="H222" s="98">
        <f ca="1">'forecast production'!AH223</f>
        <v>114.02784772479205</v>
      </c>
      <c r="I222" s="307">
        <f ca="1">IF('monthly calculations (1)'!AV221,WI_2_APO, WI_2)</f>
        <v>0</v>
      </c>
      <c r="J222" s="306">
        <f ca="1">IF('monthly calculations (1)'!AV221,NRI_2_APO, NRI_2)</f>
        <v>0.25</v>
      </c>
      <c r="K222" s="112">
        <f t="shared" ca="1" si="61"/>
        <v>29.146837082323547</v>
      </c>
      <c r="L222" s="98">
        <f t="shared" ca="1" si="62"/>
        <v>142.53480965599005</v>
      </c>
      <c r="M222" s="98">
        <f t="shared" ca="1" si="63"/>
        <v>8.3643721779863109E-2</v>
      </c>
      <c r="N222" s="98">
        <f t="shared" ca="1" si="64"/>
        <v>28.506961931198013</v>
      </c>
      <c r="O222" s="67">
        <f>assumptions!M226</f>
        <v>55</v>
      </c>
      <c r="P222" s="68">
        <f>assumptions!N226</f>
        <v>3</v>
      </c>
      <c r="Q222" s="68">
        <f>assumptions!O226</f>
        <v>22</v>
      </c>
      <c r="R222" s="67">
        <f t="shared" si="65"/>
        <v>52.5</v>
      </c>
      <c r="S222" s="68">
        <f t="shared" si="66"/>
        <v>2.3275000000000001</v>
      </c>
      <c r="T222" s="68">
        <f t="shared" si="67"/>
        <v>22</v>
      </c>
      <c r="U222" s="73">
        <f t="shared" ca="1" si="73"/>
        <v>1530.2089468219863</v>
      </c>
      <c r="V222" s="72">
        <f t="shared" ca="1" si="73"/>
        <v>331.74976947431685</v>
      </c>
      <c r="W222" s="72">
        <f t="shared" ca="1" si="68"/>
        <v>627.15316248635634</v>
      </c>
      <c r="X222" s="72">
        <f t="shared" ca="1" si="74"/>
        <v>2489.1118787826595</v>
      </c>
      <c r="Y222" s="73">
        <f>mult_opex * fixed_month</f>
        <v>1000</v>
      </c>
      <c r="Z222" s="72">
        <f ca="1">mult_opex * fixed_well *D222</f>
        <v>5000</v>
      </c>
      <c r="AA222" s="72">
        <f ca="1">(Z222+Y222)*WI_current_2</f>
        <v>0</v>
      </c>
      <c r="AB222" s="72">
        <f ca="1">mult_opex * var_bo*E222</f>
        <v>0</v>
      </c>
      <c r="AC222" s="72">
        <f ca="1">mult_opex * var_mcf*F222</f>
        <v>0</v>
      </c>
      <c r="AD222" s="72">
        <f ca="1">mult_opex * var_bw * G222</f>
        <v>0.66914977423890487</v>
      </c>
      <c r="AE222" s="72">
        <f ca="1">SUM(AB222:AD222)*WI_current_2</f>
        <v>0</v>
      </c>
      <c r="AF222" s="73">
        <f ca="1">mult_capex * IFERROR(OFFSET(assumptions!$F$39,MATCH(B222,assumptions!$E$39:$E$45,0)-1,0),0)</f>
        <v>0</v>
      </c>
      <c r="AG222" s="75">
        <f ca="1">mult_capex * capex_new*WI_current_2 *'forecast production'!I223</f>
        <v>0</v>
      </c>
      <c r="AH222" s="146">
        <f t="shared" ca="1" si="75"/>
        <v>0</v>
      </c>
      <c r="AI222" s="73">
        <f t="shared" ca="1" si="69"/>
        <v>142.30733145086185</v>
      </c>
      <c r="AJ222" s="72">
        <f t="shared" ca="1" si="70"/>
        <v>62.227796969566491</v>
      </c>
      <c r="AK222" s="72">
        <f t="shared" ca="1" si="76"/>
        <v>204.53512842042835</v>
      </c>
      <c r="AL222" s="73">
        <f t="shared" ca="1" si="71"/>
        <v>2284.576750362231</v>
      </c>
      <c r="AM222" s="321">
        <f ca="1">'monthly calculations (1)'!AM222</f>
        <v>1</v>
      </c>
      <c r="AN222" s="73">
        <f t="shared" ca="1" si="77"/>
        <v>2284.576750362231</v>
      </c>
      <c r="AO222" s="75">
        <f t="shared" ca="1" si="79"/>
        <v>1220549.5642277889</v>
      </c>
      <c r="AP222" s="72">
        <f ca="1">AL222  /  ( 1 + disc_1/12)^(COUNT($AL$6:AL222)-1)</f>
        <v>380.46517492134291</v>
      </c>
      <c r="AQ222" s="72">
        <f t="shared" ca="1" si="80"/>
        <v>732837.46937681094</v>
      </c>
      <c r="AS222" s="303"/>
      <c r="AT222" s="300"/>
      <c r="AU222" s="297"/>
      <c r="AV222" s="303"/>
    </row>
    <row r="223" spans="2:48" x14ac:dyDescent="0.25">
      <c r="B223" s="43">
        <f t="shared" si="78"/>
        <v>50802</v>
      </c>
      <c r="C223" s="79">
        <f t="shared" si="72"/>
        <v>2039</v>
      </c>
      <c r="D223" s="64">
        <f ca="1">wellcount_base  +  SUM('forecast production'!I$7:I224)</f>
        <v>1</v>
      </c>
      <c r="E223" s="110">
        <f ca="1">'forecast production'!AE224</f>
        <v>104.56159704261972</v>
      </c>
      <c r="F223" s="98">
        <f ca="1">'forecast production'!AF224</f>
        <v>683.02046065164507</v>
      </c>
      <c r="G223" s="98">
        <f ca="1">'forecast production'!AG224</f>
        <v>0.29178174628711206</v>
      </c>
      <c r="H223" s="98">
        <f ca="1">'forecast production'!AH224</f>
        <v>102.45306909774676</v>
      </c>
      <c r="I223" s="307">
        <f ca="1">IF('monthly calculations (1)'!AV222,WI_2_APO, WI_2)</f>
        <v>0</v>
      </c>
      <c r="J223" s="306">
        <f ca="1">IF('monthly calculations (1)'!AV222,NRI_2_APO, NRI_2)</f>
        <v>0.25</v>
      </c>
      <c r="K223" s="112">
        <f t="shared" ca="1" si="61"/>
        <v>26.140399260654931</v>
      </c>
      <c r="L223" s="98">
        <f t="shared" ca="1" si="62"/>
        <v>128.06633637218346</v>
      </c>
      <c r="M223" s="98">
        <f t="shared" ca="1" si="63"/>
        <v>7.2945436571778016E-2</v>
      </c>
      <c r="N223" s="98">
        <f t="shared" ca="1" si="64"/>
        <v>25.613267274436691</v>
      </c>
      <c r="O223" s="67">
        <f>assumptions!M227</f>
        <v>55</v>
      </c>
      <c r="P223" s="68">
        <f>assumptions!N227</f>
        <v>3</v>
      </c>
      <c r="Q223" s="68">
        <f>assumptions!O227</f>
        <v>22</v>
      </c>
      <c r="R223" s="67">
        <f t="shared" si="65"/>
        <v>52.5</v>
      </c>
      <c r="S223" s="68">
        <f t="shared" si="66"/>
        <v>2.3275000000000001</v>
      </c>
      <c r="T223" s="68">
        <f t="shared" si="67"/>
        <v>22</v>
      </c>
      <c r="U223" s="73">
        <f t="shared" ca="1" si="73"/>
        <v>1372.3709611843838</v>
      </c>
      <c r="V223" s="72">
        <f t="shared" ca="1" si="73"/>
        <v>298.07439790625699</v>
      </c>
      <c r="W223" s="72">
        <f t="shared" ca="1" si="68"/>
        <v>563.49188003760719</v>
      </c>
      <c r="X223" s="72">
        <f t="shared" ca="1" si="74"/>
        <v>2233.9372391282477</v>
      </c>
      <c r="Y223" s="73">
        <f>mult_opex * fixed_month</f>
        <v>1000</v>
      </c>
      <c r="Z223" s="72">
        <f ca="1">mult_opex * fixed_well *D223</f>
        <v>5000</v>
      </c>
      <c r="AA223" s="72">
        <f ca="1">(Z223+Y223)*WI_current_2</f>
        <v>0</v>
      </c>
      <c r="AB223" s="72">
        <f ca="1">mult_opex * var_bo*E223</f>
        <v>0</v>
      </c>
      <c r="AC223" s="72">
        <f ca="1">mult_opex * var_mcf*F223</f>
        <v>0</v>
      </c>
      <c r="AD223" s="72">
        <f ca="1">mult_opex * var_bw * G223</f>
        <v>0.58356349257422413</v>
      </c>
      <c r="AE223" s="72">
        <f ca="1">SUM(AB223:AD223)*WI_current_2</f>
        <v>0</v>
      </c>
      <c r="AF223" s="73">
        <f ca="1">mult_capex * IFERROR(OFFSET(assumptions!$F$39,MATCH(B223,assumptions!$E$39:$E$45,0)-1,0),0)</f>
        <v>0</v>
      </c>
      <c r="AG223" s="75">
        <f ca="1">mult_capex * capex_new*WI_current_2 *'forecast production'!I224</f>
        <v>0</v>
      </c>
      <c r="AH223" s="146">
        <f t="shared" ca="1" si="75"/>
        <v>0</v>
      </c>
      <c r="AI223" s="73">
        <f t="shared" ca="1" si="69"/>
        <v>127.74653506027147</v>
      </c>
      <c r="AJ223" s="72">
        <f t="shared" ca="1" si="70"/>
        <v>55.848430978206196</v>
      </c>
      <c r="AK223" s="72">
        <f t="shared" ca="1" si="76"/>
        <v>183.59496603847765</v>
      </c>
      <c r="AL223" s="73">
        <f t="shared" ca="1" si="71"/>
        <v>2050.3422730897701</v>
      </c>
      <c r="AM223" s="321">
        <f ca="1">'monthly calculations (1)'!AM223</f>
        <v>1</v>
      </c>
      <c r="AN223" s="73">
        <f t="shared" ca="1" si="77"/>
        <v>2050.3422730897701</v>
      </c>
      <c r="AO223" s="75">
        <f t="shared" ca="1" si="79"/>
        <v>1222599.9065008787</v>
      </c>
      <c r="AP223" s="72">
        <f ca="1">AL223  /  ( 1 + disc_1/12)^(COUNT($AL$6:AL223)-1)</f>
        <v>338.63465416180514</v>
      </c>
      <c r="AQ223" s="72">
        <f t="shared" ca="1" si="80"/>
        <v>733176.1040309727</v>
      </c>
      <c r="AS223" s="303"/>
      <c r="AT223" s="300"/>
      <c r="AU223" s="297"/>
      <c r="AV223" s="303"/>
    </row>
    <row r="224" spans="2:48" x14ac:dyDescent="0.25">
      <c r="B224" s="43">
        <f t="shared" si="78"/>
        <v>50830</v>
      </c>
      <c r="C224" s="79">
        <f t="shared" si="72"/>
        <v>2039</v>
      </c>
      <c r="D224" s="64">
        <f ca="1">wellcount_base  +  SUM('forecast production'!I$7:I225)</f>
        <v>1</v>
      </c>
      <c r="E224" s="110">
        <f ca="1">'forecast production'!AE225</f>
        <v>115.02651189904674</v>
      </c>
      <c r="F224" s="98">
        <f ca="1">'forecast production'!AF225</f>
        <v>752.62034003515282</v>
      </c>
      <c r="G224" s="98">
        <f ca="1">'forecast production'!AG225</f>
        <v>0.31297276044567807</v>
      </c>
      <c r="H224" s="98">
        <f ca="1">'forecast production'!AH225</f>
        <v>112.89305100527292</v>
      </c>
      <c r="I224" s="307">
        <f ca="1">IF('monthly calculations (1)'!AV223,WI_2_APO, WI_2)</f>
        <v>0</v>
      </c>
      <c r="J224" s="306">
        <f ca="1">IF('monthly calculations (1)'!AV223,NRI_2_APO, NRI_2)</f>
        <v>0.25</v>
      </c>
      <c r="K224" s="112">
        <f t="shared" ca="1" si="61"/>
        <v>28.756627974761685</v>
      </c>
      <c r="L224" s="98">
        <f t="shared" ca="1" si="62"/>
        <v>141.11631375659115</v>
      </c>
      <c r="M224" s="98">
        <f t="shared" ca="1" si="63"/>
        <v>7.8243190111419517E-2</v>
      </c>
      <c r="N224" s="98">
        <f t="shared" ca="1" si="64"/>
        <v>28.223262751318231</v>
      </c>
      <c r="O224" s="67">
        <f>assumptions!M228</f>
        <v>55</v>
      </c>
      <c r="P224" s="68">
        <f>assumptions!N228</f>
        <v>3</v>
      </c>
      <c r="Q224" s="68">
        <f>assumptions!O228</f>
        <v>22</v>
      </c>
      <c r="R224" s="67">
        <f t="shared" si="65"/>
        <v>52.5</v>
      </c>
      <c r="S224" s="68">
        <f t="shared" si="66"/>
        <v>2.3275000000000001</v>
      </c>
      <c r="T224" s="68">
        <f t="shared" si="67"/>
        <v>22</v>
      </c>
      <c r="U224" s="73">
        <f t="shared" ca="1" si="73"/>
        <v>1509.7229686749884</v>
      </c>
      <c r="V224" s="72">
        <f t="shared" ca="1" si="73"/>
        <v>328.44822026846595</v>
      </c>
      <c r="W224" s="72">
        <f t="shared" ca="1" si="68"/>
        <v>620.91178052900113</v>
      </c>
      <c r="X224" s="72">
        <f t="shared" ca="1" si="74"/>
        <v>2459.0829694724553</v>
      </c>
      <c r="Y224" s="73">
        <f>mult_opex * fixed_month</f>
        <v>1000</v>
      </c>
      <c r="Z224" s="72">
        <f ca="1">mult_opex * fixed_well *D224</f>
        <v>5000</v>
      </c>
      <c r="AA224" s="72">
        <f ca="1">(Z224+Y224)*WI_current_2</f>
        <v>0</v>
      </c>
      <c r="AB224" s="72">
        <f ca="1">mult_opex * var_bo*E224</f>
        <v>0</v>
      </c>
      <c r="AC224" s="72">
        <f ca="1">mult_opex * var_mcf*F224</f>
        <v>0</v>
      </c>
      <c r="AD224" s="72">
        <f ca="1">mult_opex * var_bw * G224</f>
        <v>0.62594552089135613</v>
      </c>
      <c r="AE224" s="72">
        <f ca="1">SUM(AB224:AD224)*WI_current_2</f>
        <v>0</v>
      </c>
      <c r="AF224" s="73">
        <f ca="1">mult_capex * IFERROR(OFFSET(assumptions!$F$39,MATCH(B224,assumptions!$E$39:$E$45,0)-1,0),0)</f>
        <v>0</v>
      </c>
      <c r="AG224" s="75">
        <f ca="1">mult_capex * capex_new*WI_current_2 *'forecast production'!I225</f>
        <v>0</v>
      </c>
      <c r="AH224" s="146">
        <f t="shared" ca="1" si="75"/>
        <v>0</v>
      </c>
      <c r="AI224" s="73">
        <f t="shared" ca="1" si="69"/>
        <v>140.64925661885951</v>
      </c>
      <c r="AJ224" s="72">
        <f t="shared" ca="1" si="70"/>
        <v>61.477074236811383</v>
      </c>
      <c r="AK224" s="72">
        <f t="shared" ca="1" si="76"/>
        <v>202.12633085567089</v>
      </c>
      <c r="AL224" s="73">
        <f t="shared" ca="1" si="71"/>
        <v>2256.9566386167844</v>
      </c>
      <c r="AM224" s="321">
        <f ca="1">'monthly calculations (1)'!AM224</f>
        <v>1</v>
      </c>
      <c r="AN224" s="73">
        <f t="shared" ca="1" si="77"/>
        <v>2256.9566386167844</v>
      </c>
      <c r="AO224" s="75">
        <f t="shared" ca="1" si="79"/>
        <v>1224856.8631394955</v>
      </c>
      <c r="AP224" s="72">
        <f ca="1">AL224  /  ( 1 + disc_1/12)^(COUNT($AL$6:AL224)-1)</f>
        <v>369.67844162171963</v>
      </c>
      <c r="AQ224" s="72">
        <f t="shared" ca="1" si="80"/>
        <v>733545.78247259441</v>
      </c>
      <c r="AS224" s="303"/>
      <c r="AT224" s="300"/>
      <c r="AU224" s="297"/>
      <c r="AV224" s="303"/>
    </row>
    <row r="225" spans="2:48" x14ac:dyDescent="0.25">
      <c r="B225" s="43">
        <f t="shared" si="78"/>
        <v>50861</v>
      </c>
      <c r="C225" s="79">
        <f t="shared" si="72"/>
        <v>2039</v>
      </c>
      <c r="D225" s="64">
        <f ca="1">wellcount_base  +  SUM('forecast production'!I$7:I226)</f>
        <v>1</v>
      </c>
      <c r="E225" s="108">
        <f ca="1">'forecast production'!AE226</f>
        <v>110.53045474450067</v>
      </c>
      <c r="F225" s="97">
        <f ca="1">'forecast production'!AF226</f>
        <v>724.52474085941651</v>
      </c>
      <c r="G225" s="97">
        <f ca="1">'forecast production'!AG226</f>
        <v>0.29244191873260711</v>
      </c>
      <c r="H225" s="98">
        <f ca="1">'forecast production'!AH226</f>
        <v>108.67871112891248</v>
      </c>
      <c r="I225" s="307">
        <f ca="1">IF('monthly calculations (1)'!AV224,WI_2_APO, WI_2)</f>
        <v>0</v>
      </c>
      <c r="J225" s="306">
        <f ca="1">IF('monthly calculations (1)'!AV224,NRI_2_APO, NRI_2)</f>
        <v>0.25</v>
      </c>
      <c r="K225" s="112">
        <f t="shared" ca="1" si="61"/>
        <v>27.632613686125168</v>
      </c>
      <c r="L225" s="98">
        <f t="shared" ca="1" si="62"/>
        <v>135.8483889111406</v>
      </c>
      <c r="M225" s="98">
        <f t="shared" ca="1" si="63"/>
        <v>7.3110479683151777E-2</v>
      </c>
      <c r="N225" s="98">
        <f t="shared" ca="1" si="64"/>
        <v>27.169677782228121</v>
      </c>
      <c r="O225" s="67">
        <f>assumptions!M229</f>
        <v>55</v>
      </c>
      <c r="P225" s="68">
        <f>assumptions!N229</f>
        <v>3</v>
      </c>
      <c r="Q225" s="68">
        <f>assumptions!O229</f>
        <v>22</v>
      </c>
      <c r="R225" s="67">
        <f t="shared" si="65"/>
        <v>52.5</v>
      </c>
      <c r="S225" s="68">
        <f t="shared" si="66"/>
        <v>2.3275000000000001</v>
      </c>
      <c r="T225" s="68">
        <f t="shared" si="67"/>
        <v>22</v>
      </c>
      <c r="U225" s="73">
        <f t="shared" ca="1" si="73"/>
        <v>1450.7122185215712</v>
      </c>
      <c r="V225" s="72">
        <f t="shared" ca="1" si="73"/>
        <v>316.18712519067975</v>
      </c>
      <c r="W225" s="72">
        <f t="shared" ca="1" si="68"/>
        <v>597.73291120901865</v>
      </c>
      <c r="X225" s="72">
        <f t="shared" ca="1" si="74"/>
        <v>2364.6322549212696</v>
      </c>
      <c r="Y225" s="73">
        <f>mult_opex * fixed_month</f>
        <v>1000</v>
      </c>
      <c r="Z225" s="72">
        <f ca="1">mult_opex * fixed_well *D225</f>
        <v>5000</v>
      </c>
      <c r="AA225" s="72">
        <f ca="1">(Z225+Y225)*WI_current_2</f>
        <v>0</v>
      </c>
      <c r="AB225" s="72">
        <f ca="1">mult_opex * var_bo*E225</f>
        <v>0</v>
      </c>
      <c r="AC225" s="72">
        <f ca="1">mult_opex * var_mcf*F225</f>
        <v>0</v>
      </c>
      <c r="AD225" s="72">
        <f ca="1">mult_opex * var_bw * G225</f>
        <v>0.58488383746521422</v>
      </c>
      <c r="AE225" s="72">
        <f ca="1">SUM(AB225:AD225)*WI_current_2</f>
        <v>0</v>
      </c>
      <c r="AF225" s="73">
        <f ca="1">mult_capex * IFERROR(OFFSET(assumptions!$F$39,MATCH(B225,assumptions!$E$39:$E$45,0)-1,0),0)</f>
        <v>0</v>
      </c>
      <c r="AG225" s="75">
        <f ca="1">mult_capex * capex_new*WI_current_2 *'forecast production'!I226</f>
        <v>0</v>
      </c>
      <c r="AH225" s="146">
        <f t="shared" ca="1" si="75"/>
        <v>0</v>
      </c>
      <c r="AI225" s="73">
        <f t="shared" ca="1" si="69"/>
        <v>135.27676478196966</v>
      </c>
      <c r="AJ225" s="72">
        <f t="shared" ca="1" si="70"/>
        <v>59.115806373031745</v>
      </c>
      <c r="AK225" s="72">
        <f t="shared" ca="1" si="76"/>
        <v>194.39257115500141</v>
      </c>
      <c r="AL225" s="73">
        <f t="shared" ca="1" si="71"/>
        <v>2170.2396837662682</v>
      </c>
      <c r="AM225" s="321">
        <f ca="1">'monthly calculations (1)'!AM225</f>
        <v>1</v>
      </c>
      <c r="AN225" s="73">
        <f t="shared" ca="1" si="77"/>
        <v>2170.2396837662682</v>
      </c>
      <c r="AO225" s="75">
        <f t="shared" ca="1" si="79"/>
        <v>1227027.1028232619</v>
      </c>
      <c r="AP225" s="72">
        <f ca="1">AL225  /  ( 1 + disc_1/12)^(COUNT($AL$6:AL225)-1)</f>
        <v>352.53682235042402</v>
      </c>
      <c r="AQ225" s="72">
        <f t="shared" ca="1" si="80"/>
        <v>733898.31929494487</v>
      </c>
      <c r="AS225" s="303"/>
      <c r="AT225" s="300"/>
      <c r="AU225" s="297"/>
      <c r="AV225" s="303"/>
    </row>
    <row r="226" spans="2:48" x14ac:dyDescent="0.25">
      <c r="B226" s="43">
        <f t="shared" si="78"/>
        <v>50891</v>
      </c>
      <c r="C226" s="79">
        <f t="shared" si="72"/>
        <v>2039</v>
      </c>
      <c r="D226" s="64">
        <f ca="1">wellcount_base  +  SUM('forecast production'!I$7:I227)</f>
        <v>1</v>
      </c>
      <c r="E226" s="110">
        <f ca="1">'forecast production'!AE227</f>
        <v>113.43473294936135</v>
      </c>
      <c r="F226" s="98">
        <f ca="1">'forecast production'!AF227</f>
        <v>744.87772936639749</v>
      </c>
      <c r="G226" s="98">
        <f ca="1">'forecast production'!AG227</f>
        <v>0.29211059198482398</v>
      </c>
      <c r="H226" s="98">
        <f ca="1">'forecast production'!AH227</f>
        <v>111.73165940495963</v>
      </c>
      <c r="I226" s="307">
        <f ca="1">IF('monthly calculations (1)'!AV225,WI_2_APO, WI_2)</f>
        <v>0</v>
      </c>
      <c r="J226" s="306">
        <f ca="1">IF('monthly calculations (1)'!AV225,NRI_2_APO, NRI_2)</f>
        <v>0.25</v>
      </c>
      <c r="K226" s="112">
        <f t="shared" ca="1" si="61"/>
        <v>28.358683237340337</v>
      </c>
      <c r="L226" s="98">
        <f t="shared" ca="1" si="62"/>
        <v>139.66457425619953</v>
      </c>
      <c r="M226" s="98">
        <f t="shared" ca="1" si="63"/>
        <v>7.3027647996205994E-2</v>
      </c>
      <c r="N226" s="98">
        <f t="shared" ca="1" si="64"/>
        <v>27.932914851239907</v>
      </c>
      <c r="O226" s="67">
        <f>assumptions!M230</f>
        <v>55</v>
      </c>
      <c r="P226" s="68">
        <f>assumptions!N230</f>
        <v>3</v>
      </c>
      <c r="Q226" s="68">
        <f>assumptions!O230</f>
        <v>22</v>
      </c>
      <c r="R226" s="67">
        <f t="shared" si="65"/>
        <v>52.5</v>
      </c>
      <c r="S226" s="68">
        <f t="shared" si="66"/>
        <v>2.3275000000000001</v>
      </c>
      <c r="T226" s="68">
        <f t="shared" si="67"/>
        <v>22</v>
      </c>
      <c r="U226" s="73">
        <f t="shared" ca="1" si="73"/>
        <v>1488.8308699603676</v>
      </c>
      <c r="V226" s="72">
        <f t="shared" ca="1" si="73"/>
        <v>325.0692965813044</v>
      </c>
      <c r="W226" s="72">
        <f t="shared" ca="1" si="68"/>
        <v>614.52412672727792</v>
      </c>
      <c r="X226" s="72">
        <f t="shared" ca="1" si="74"/>
        <v>2428.4242932689499</v>
      </c>
      <c r="Y226" s="73">
        <f>mult_opex * fixed_month</f>
        <v>1000</v>
      </c>
      <c r="Z226" s="72">
        <f ca="1">mult_opex * fixed_well *D226</f>
        <v>5000</v>
      </c>
      <c r="AA226" s="72">
        <f ca="1">(Z226+Y226)*WI_current_2</f>
        <v>0</v>
      </c>
      <c r="AB226" s="72">
        <f ca="1">mult_opex * var_bo*E226</f>
        <v>0</v>
      </c>
      <c r="AC226" s="72">
        <f ca="1">mult_opex * var_mcf*F226</f>
        <v>0</v>
      </c>
      <c r="AD226" s="72">
        <f ca="1">mult_opex * var_bw * G226</f>
        <v>0.58422118396964795</v>
      </c>
      <c r="AE226" s="72">
        <f ca="1">SUM(AB226:AD226)*WI_current_2</f>
        <v>0</v>
      </c>
      <c r="AF226" s="73">
        <f ca="1">mult_capex * IFERROR(OFFSET(assumptions!$F$39,MATCH(B226,assumptions!$E$39:$E$45,0)-1,0),0)</f>
        <v>0</v>
      </c>
      <c r="AG226" s="75">
        <f ca="1">mult_capex * capex_new*WI_current_2 *'forecast production'!I227</f>
        <v>0</v>
      </c>
      <c r="AH226" s="146">
        <f t="shared" ca="1" si="75"/>
        <v>0</v>
      </c>
      <c r="AI226" s="73">
        <f t="shared" ca="1" si="69"/>
        <v>138.95572676632059</v>
      </c>
      <c r="AJ226" s="72">
        <f t="shared" ca="1" si="70"/>
        <v>60.71060733172375</v>
      </c>
      <c r="AK226" s="72">
        <f t="shared" ca="1" si="76"/>
        <v>199.66633409804433</v>
      </c>
      <c r="AL226" s="73">
        <f t="shared" ca="1" si="71"/>
        <v>2228.7579591709055</v>
      </c>
      <c r="AM226" s="321">
        <f ca="1">'monthly calculations (1)'!AM226</f>
        <v>1</v>
      </c>
      <c r="AN226" s="73">
        <f t="shared" ca="1" si="77"/>
        <v>2228.7579591709055</v>
      </c>
      <c r="AO226" s="75">
        <f t="shared" ca="1" si="79"/>
        <v>1229255.8607824328</v>
      </c>
      <c r="AP226" s="72">
        <f ca="1">AL226  /  ( 1 + disc_1/12)^(COUNT($AL$6:AL226)-1)</f>
        <v>359.05052655382775</v>
      </c>
      <c r="AQ226" s="72">
        <f t="shared" ca="1" si="80"/>
        <v>734257.36982149875</v>
      </c>
      <c r="AS226" s="303"/>
      <c r="AT226" s="300"/>
      <c r="AU226" s="297"/>
      <c r="AV226" s="303"/>
    </row>
    <row r="227" spans="2:48" x14ac:dyDescent="0.25">
      <c r="B227" s="43">
        <f t="shared" si="78"/>
        <v>50922</v>
      </c>
      <c r="C227" s="79">
        <f t="shared" si="72"/>
        <v>2039</v>
      </c>
      <c r="D227" s="64">
        <f ca="1">wellcount_base  +  SUM('forecast production'!I$7:I228)</f>
        <v>1</v>
      </c>
      <c r="E227" s="110">
        <f ca="1">'forecast production'!AE228</f>
        <v>109.00089387842952</v>
      </c>
      <c r="F227" s="98">
        <f ca="1">'forecast production'!AF228</f>
        <v>717.07116474680004</v>
      </c>
      <c r="G227" s="98">
        <f ca="1">'forecast production'!AG228</f>
        <v>0.2729515970056377</v>
      </c>
      <c r="H227" s="98">
        <f ca="1">'forecast production'!AH228</f>
        <v>107.56067471202002</v>
      </c>
      <c r="I227" s="307">
        <f ca="1">IF('monthly calculations (1)'!AV226,WI_2_APO, WI_2)</f>
        <v>0</v>
      </c>
      <c r="J227" s="306">
        <f ca="1">IF('monthly calculations (1)'!AV226,NRI_2_APO, NRI_2)</f>
        <v>0.25</v>
      </c>
      <c r="K227" s="112">
        <f t="shared" ca="1" si="61"/>
        <v>27.250223469607381</v>
      </c>
      <c r="L227" s="98">
        <f t="shared" ca="1" si="62"/>
        <v>134.450843390025</v>
      </c>
      <c r="M227" s="98">
        <f t="shared" ca="1" si="63"/>
        <v>6.8237899251409426E-2</v>
      </c>
      <c r="N227" s="98">
        <f t="shared" ca="1" si="64"/>
        <v>26.890168678005004</v>
      </c>
      <c r="O227" s="67">
        <f>assumptions!M231</f>
        <v>55</v>
      </c>
      <c r="P227" s="68">
        <f>assumptions!N231</f>
        <v>3</v>
      </c>
      <c r="Q227" s="68">
        <f>assumptions!O231</f>
        <v>22</v>
      </c>
      <c r="R227" s="67">
        <f t="shared" si="65"/>
        <v>52.5</v>
      </c>
      <c r="S227" s="68">
        <f t="shared" si="66"/>
        <v>2.3275000000000001</v>
      </c>
      <c r="T227" s="68">
        <f t="shared" si="67"/>
        <v>22</v>
      </c>
      <c r="U227" s="73">
        <f t="shared" ca="1" si="73"/>
        <v>1430.6367321543876</v>
      </c>
      <c r="V227" s="72">
        <f t="shared" ca="1" si="73"/>
        <v>312.93433799028321</v>
      </c>
      <c r="W227" s="72">
        <f t="shared" ca="1" si="68"/>
        <v>591.58371091611014</v>
      </c>
      <c r="X227" s="72">
        <f t="shared" ca="1" si="74"/>
        <v>2335.1547810607808</v>
      </c>
      <c r="Y227" s="73">
        <f>mult_opex * fixed_month</f>
        <v>1000</v>
      </c>
      <c r="Z227" s="72">
        <f ca="1">mult_opex * fixed_well *D227</f>
        <v>5000</v>
      </c>
      <c r="AA227" s="72">
        <f ca="1">(Z227+Y227)*WI_current_2</f>
        <v>0</v>
      </c>
      <c r="AB227" s="72">
        <f ca="1">mult_opex * var_bo*E227</f>
        <v>0</v>
      </c>
      <c r="AC227" s="72">
        <f ca="1">mult_opex * var_mcf*F227</f>
        <v>0</v>
      </c>
      <c r="AD227" s="72">
        <f ca="1">mult_opex * var_bw * G227</f>
        <v>0.54590319401127541</v>
      </c>
      <c r="AE227" s="72">
        <f ca="1">SUM(AB227:AD227)*WI_current_2</f>
        <v>0</v>
      </c>
      <c r="AF227" s="73">
        <f ca="1">mult_capex * IFERROR(OFFSET(assumptions!$F$39,MATCH(B227,assumptions!$E$39:$E$45,0)-1,0),0)</f>
        <v>0</v>
      </c>
      <c r="AG227" s="75">
        <f ca="1">mult_capex * capex_new*WI_current_2 *'forecast production'!I228</f>
        <v>0</v>
      </c>
      <c r="AH227" s="146">
        <f t="shared" ca="1" si="75"/>
        <v>0</v>
      </c>
      <c r="AI227" s="73">
        <f t="shared" ca="1" si="69"/>
        <v>133.64814334708132</v>
      </c>
      <c r="AJ227" s="72">
        <f t="shared" ca="1" si="70"/>
        <v>58.378869526519523</v>
      </c>
      <c r="AK227" s="72">
        <f t="shared" ca="1" si="76"/>
        <v>192.02701287360082</v>
      </c>
      <c r="AL227" s="73">
        <f t="shared" ca="1" si="71"/>
        <v>2143.1277681871798</v>
      </c>
      <c r="AM227" s="321">
        <f ca="1">'monthly calculations (1)'!AM227</f>
        <v>1</v>
      </c>
      <c r="AN227" s="73">
        <f t="shared" ca="1" si="77"/>
        <v>2143.1277681871798</v>
      </c>
      <c r="AO227" s="75">
        <f t="shared" ca="1" si="79"/>
        <v>1231398.9885506199</v>
      </c>
      <c r="AP227" s="72">
        <f ca="1">AL227  /  ( 1 + disc_1/12)^(COUNT($AL$6:AL227)-1)</f>
        <v>342.4022422344168</v>
      </c>
      <c r="AQ227" s="72">
        <f t="shared" ca="1" si="80"/>
        <v>734599.77206373319</v>
      </c>
      <c r="AS227" s="303"/>
      <c r="AT227" s="300"/>
      <c r="AU227" s="297"/>
      <c r="AV227" s="303"/>
    </row>
    <row r="228" spans="2:48" x14ac:dyDescent="0.25">
      <c r="B228" s="43">
        <f t="shared" si="78"/>
        <v>50952</v>
      </c>
      <c r="C228" s="79">
        <f t="shared" si="72"/>
        <v>2039</v>
      </c>
      <c r="D228" s="64">
        <f ca="1">wellcount_base  +  SUM('forecast production'!I$7:I229)</f>
        <v>1</v>
      </c>
      <c r="E228" s="110">
        <f ca="1">'forecast production'!AE229</f>
        <v>111.86498161907282</v>
      </c>
      <c r="F228" s="98">
        <f ca="1">'forecast production'!AF229</f>
        <v>737.21477110241926</v>
      </c>
      <c r="G228" s="98">
        <f ca="1">'forecast production'!AG229</f>
        <v>0.27264554090710458</v>
      </c>
      <c r="H228" s="98">
        <f ca="1">'forecast production'!AH229</f>
        <v>110.58221566536288</v>
      </c>
      <c r="I228" s="307">
        <f ca="1">IF('monthly calculations (1)'!AV227,WI_2_APO, WI_2)</f>
        <v>0</v>
      </c>
      <c r="J228" s="306">
        <f ca="1">IF('monthly calculations (1)'!AV227,NRI_2_APO, NRI_2)</f>
        <v>0.25</v>
      </c>
      <c r="K228" s="112">
        <f t="shared" ca="1" si="61"/>
        <v>27.966245404768205</v>
      </c>
      <c r="L228" s="98">
        <f t="shared" ca="1" si="62"/>
        <v>138.22776958170363</v>
      </c>
      <c r="M228" s="98">
        <f t="shared" ca="1" si="63"/>
        <v>6.8161385226776144E-2</v>
      </c>
      <c r="N228" s="98">
        <f t="shared" ca="1" si="64"/>
        <v>27.64555391634072</v>
      </c>
      <c r="O228" s="67">
        <f>assumptions!M232</f>
        <v>55</v>
      </c>
      <c r="P228" s="68">
        <f>assumptions!N232</f>
        <v>3</v>
      </c>
      <c r="Q228" s="68">
        <f>assumptions!O232</f>
        <v>22</v>
      </c>
      <c r="R228" s="67">
        <f t="shared" si="65"/>
        <v>52.5</v>
      </c>
      <c r="S228" s="68">
        <f t="shared" si="66"/>
        <v>2.3275000000000001</v>
      </c>
      <c r="T228" s="68">
        <f t="shared" si="67"/>
        <v>22</v>
      </c>
      <c r="U228" s="73">
        <f t="shared" ca="1" si="73"/>
        <v>1468.2278837503309</v>
      </c>
      <c r="V228" s="72">
        <f t="shared" ca="1" si="73"/>
        <v>321.72513370141519</v>
      </c>
      <c r="W228" s="72">
        <f t="shared" ca="1" si="68"/>
        <v>608.2021861594958</v>
      </c>
      <c r="X228" s="72">
        <f t="shared" ca="1" si="74"/>
        <v>2398.1552036112416</v>
      </c>
      <c r="Y228" s="73">
        <f>mult_opex * fixed_month</f>
        <v>1000</v>
      </c>
      <c r="Z228" s="72">
        <f ca="1">mult_opex * fixed_well *D228</f>
        <v>5000</v>
      </c>
      <c r="AA228" s="72">
        <f ca="1">(Z228+Y228)*WI_current_2</f>
        <v>0</v>
      </c>
      <c r="AB228" s="72">
        <f ca="1">mult_opex * var_bo*E228</f>
        <v>0</v>
      </c>
      <c r="AC228" s="72">
        <f ca="1">mult_opex * var_mcf*F228</f>
        <v>0</v>
      </c>
      <c r="AD228" s="72">
        <f ca="1">mult_opex * var_bw * G228</f>
        <v>0.54529108181420916</v>
      </c>
      <c r="AE228" s="72">
        <f ca="1">SUM(AB228:AD228)*WI_current_2</f>
        <v>0</v>
      </c>
      <c r="AF228" s="73">
        <f ca="1">mult_capex * IFERROR(OFFSET(assumptions!$F$39,MATCH(B228,assumptions!$E$39:$E$45,0)-1,0),0)</f>
        <v>0</v>
      </c>
      <c r="AG228" s="75">
        <f ca="1">mult_capex * capex_new*WI_current_2 *'forecast production'!I229</f>
        <v>0</v>
      </c>
      <c r="AH228" s="146">
        <f t="shared" ca="1" si="75"/>
        <v>0</v>
      </c>
      <c r="AI228" s="73">
        <f t="shared" ca="1" si="69"/>
        <v>137.28303164208353</v>
      </c>
      <c r="AJ228" s="72">
        <f t="shared" ca="1" si="70"/>
        <v>59.953880090281046</v>
      </c>
      <c r="AK228" s="72">
        <f t="shared" ca="1" si="76"/>
        <v>197.23691173236458</v>
      </c>
      <c r="AL228" s="73">
        <f t="shared" ca="1" si="71"/>
        <v>2200.918291878877</v>
      </c>
      <c r="AM228" s="321">
        <f ca="1">'monthly calculations (1)'!AM228</f>
        <v>1</v>
      </c>
      <c r="AN228" s="73">
        <f t="shared" ca="1" si="77"/>
        <v>2200.918291878877</v>
      </c>
      <c r="AO228" s="75">
        <f t="shared" ca="1" si="79"/>
        <v>1233599.9068424988</v>
      </c>
      <c r="AP228" s="72">
        <f ca="1">AL228  /  ( 1 + disc_1/12)^(COUNT($AL$6:AL228)-1)</f>
        <v>348.72921500034602</v>
      </c>
      <c r="AQ228" s="72">
        <f t="shared" ca="1" si="80"/>
        <v>734948.50127873349</v>
      </c>
      <c r="AS228" s="303"/>
      <c r="AT228" s="300"/>
      <c r="AU228" s="297"/>
      <c r="AV228" s="303"/>
    </row>
    <row r="229" spans="2:48" x14ac:dyDescent="0.25">
      <c r="B229" s="43">
        <f t="shared" si="78"/>
        <v>50983</v>
      </c>
      <c r="C229" s="79">
        <f t="shared" si="72"/>
        <v>2039</v>
      </c>
      <c r="D229" s="64">
        <f ca="1">wellcount_base  +  SUM('forecast production'!I$7:I230)</f>
        <v>1</v>
      </c>
      <c r="E229" s="110">
        <f ca="1">'forecast production'!AE230</f>
        <v>111.07558295632589</v>
      </c>
      <c r="F229" s="98">
        <f ca="1">'forecast production'!AF230</f>
        <v>733.35074317101964</v>
      </c>
      <c r="G229" s="98">
        <f ca="1">'forecast production'!AG230</f>
        <v>0.26325851067770517</v>
      </c>
      <c r="H229" s="98">
        <f ca="1">'forecast production'!AH230</f>
        <v>110.00261147565296</v>
      </c>
      <c r="I229" s="307">
        <f ca="1">IF('monthly calculations (1)'!AV228,WI_2_APO, WI_2)</f>
        <v>0</v>
      </c>
      <c r="J229" s="306">
        <f ca="1">IF('monthly calculations (1)'!AV228,NRI_2_APO, NRI_2)</f>
        <v>0.25</v>
      </c>
      <c r="K229" s="112">
        <f t="shared" ca="1" si="61"/>
        <v>27.768895739081472</v>
      </c>
      <c r="L229" s="98">
        <f t="shared" ca="1" si="62"/>
        <v>137.50326434456619</v>
      </c>
      <c r="M229" s="98">
        <f t="shared" ca="1" si="63"/>
        <v>6.5814627669426293E-2</v>
      </c>
      <c r="N229" s="98">
        <f t="shared" ca="1" si="64"/>
        <v>27.500652868913239</v>
      </c>
      <c r="O229" s="67">
        <f>assumptions!M233</f>
        <v>55</v>
      </c>
      <c r="P229" s="68">
        <f>assumptions!N233</f>
        <v>3</v>
      </c>
      <c r="Q229" s="68">
        <f>assumptions!O233</f>
        <v>22</v>
      </c>
      <c r="R229" s="67">
        <f t="shared" si="65"/>
        <v>52.5</v>
      </c>
      <c r="S229" s="68">
        <f t="shared" si="66"/>
        <v>2.3275000000000001</v>
      </c>
      <c r="T229" s="68">
        <f t="shared" si="67"/>
        <v>22</v>
      </c>
      <c r="U229" s="73">
        <f t="shared" ca="1" si="73"/>
        <v>1457.8670263017773</v>
      </c>
      <c r="V229" s="72">
        <f t="shared" ca="1" si="73"/>
        <v>320.03884776197782</v>
      </c>
      <c r="W229" s="72">
        <f t="shared" ca="1" si="68"/>
        <v>605.0143631160912</v>
      </c>
      <c r="X229" s="72">
        <f t="shared" ca="1" si="74"/>
        <v>2382.9202371798465</v>
      </c>
      <c r="Y229" s="73">
        <f>mult_opex * fixed_month</f>
        <v>1000</v>
      </c>
      <c r="Z229" s="72">
        <f ca="1">mult_opex * fixed_well *D229</f>
        <v>5000</v>
      </c>
      <c r="AA229" s="72">
        <f ca="1">(Z229+Y229)*WI_current_2</f>
        <v>0</v>
      </c>
      <c r="AB229" s="72">
        <f ca="1">mult_opex * var_bo*E229</f>
        <v>0</v>
      </c>
      <c r="AC229" s="72">
        <f ca="1">mult_opex * var_mcf*F229</f>
        <v>0</v>
      </c>
      <c r="AD229" s="72">
        <f ca="1">mult_opex * var_bw * G229</f>
        <v>0.52651702135541034</v>
      </c>
      <c r="AE229" s="72">
        <f ca="1">SUM(AB229:AD229)*WI_current_2</f>
        <v>0</v>
      </c>
      <c r="AF229" s="73">
        <f ca="1">mult_capex * IFERROR(OFFSET(assumptions!$F$39,MATCH(B229,assumptions!$E$39:$E$45,0)-1,0),0)</f>
        <v>0</v>
      </c>
      <c r="AG229" s="75">
        <f ca="1">mult_capex * capex_new*WI_current_2 *'forecast production'!I230</f>
        <v>0</v>
      </c>
      <c r="AH229" s="146">
        <f t="shared" ca="1" si="75"/>
        <v>0</v>
      </c>
      <c r="AI229" s="73">
        <f t="shared" ca="1" si="69"/>
        <v>136.44087402573695</v>
      </c>
      <c r="AJ229" s="72">
        <f t="shared" ca="1" si="70"/>
        <v>59.573005929496162</v>
      </c>
      <c r="AK229" s="72">
        <f t="shared" ca="1" si="76"/>
        <v>196.01387995523311</v>
      </c>
      <c r="AL229" s="73">
        <f t="shared" ca="1" si="71"/>
        <v>2186.9063572246132</v>
      </c>
      <c r="AM229" s="321">
        <f ca="1">'monthly calculations (1)'!AM229</f>
        <v>1</v>
      </c>
      <c r="AN229" s="73">
        <f t="shared" ca="1" si="77"/>
        <v>2186.9063572246132</v>
      </c>
      <c r="AO229" s="75">
        <f t="shared" ca="1" si="79"/>
        <v>1235786.8131997234</v>
      </c>
      <c r="AP229" s="72">
        <f ca="1">AL229  /  ( 1 + disc_1/12)^(COUNT($AL$6:AL229)-1)</f>
        <v>343.64535271590734</v>
      </c>
      <c r="AQ229" s="72">
        <f t="shared" ca="1" si="80"/>
        <v>735292.14663144934</v>
      </c>
      <c r="AS229" s="303"/>
      <c r="AT229" s="300"/>
      <c r="AU229" s="297"/>
      <c r="AV229" s="303"/>
    </row>
    <row r="230" spans="2:48" x14ac:dyDescent="0.25">
      <c r="B230" s="43">
        <f t="shared" si="78"/>
        <v>51014</v>
      </c>
      <c r="C230" s="79">
        <f t="shared" si="72"/>
        <v>2039</v>
      </c>
      <c r="D230" s="64">
        <f ca="1">wellcount_base  +  SUM('forecast production'!I$7:I231)</f>
        <v>1</v>
      </c>
      <c r="E230" s="110">
        <f ca="1">'forecast production'!AE231</f>
        <v>106.73395630694557</v>
      </c>
      <c r="F230" s="98">
        <f ca="1">'forecast production'!AF231</f>
        <v>705.97448526334881</v>
      </c>
      <c r="G230" s="98">
        <f ca="1">'forecast production'!AG231</f>
        <v>0.24599635202231604</v>
      </c>
      <c r="H230" s="98">
        <f ca="1">'forecast production'!AH231</f>
        <v>105.89617278950233</v>
      </c>
      <c r="I230" s="307">
        <f ca="1">IF('monthly calculations (1)'!AV229,WI_2_APO, WI_2)</f>
        <v>0</v>
      </c>
      <c r="J230" s="306">
        <f ca="1">IF('monthly calculations (1)'!AV229,NRI_2_APO, NRI_2)</f>
        <v>0.25</v>
      </c>
      <c r="K230" s="112">
        <f t="shared" ca="1" si="61"/>
        <v>26.683489076736393</v>
      </c>
      <c r="L230" s="98">
        <f t="shared" ca="1" si="62"/>
        <v>132.37021598687789</v>
      </c>
      <c r="M230" s="98">
        <f t="shared" ca="1" si="63"/>
        <v>6.149908800557901E-2</v>
      </c>
      <c r="N230" s="98">
        <f t="shared" ca="1" si="64"/>
        <v>26.474043197375583</v>
      </c>
      <c r="O230" s="67">
        <f>assumptions!M234</f>
        <v>55</v>
      </c>
      <c r="P230" s="68">
        <f>assumptions!N234</f>
        <v>3</v>
      </c>
      <c r="Q230" s="68">
        <f>assumptions!O234</f>
        <v>22</v>
      </c>
      <c r="R230" s="67">
        <f t="shared" si="65"/>
        <v>52.5</v>
      </c>
      <c r="S230" s="68">
        <f t="shared" si="66"/>
        <v>2.3275000000000001</v>
      </c>
      <c r="T230" s="68">
        <f t="shared" si="67"/>
        <v>22</v>
      </c>
      <c r="U230" s="73">
        <f t="shared" ca="1" si="73"/>
        <v>1400.8831765286607</v>
      </c>
      <c r="V230" s="72">
        <f t="shared" ca="1" si="73"/>
        <v>308.09167770945834</v>
      </c>
      <c r="W230" s="72">
        <f t="shared" ca="1" si="68"/>
        <v>582.42895034226285</v>
      </c>
      <c r="X230" s="72">
        <f t="shared" ca="1" si="74"/>
        <v>2291.4038045803818</v>
      </c>
      <c r="Y230" s="73">
        <f>mult_opex * fixed_month</f>
        <v>1000</v>
      </c>
      <c r="Z230" s="72">
        <f ca="1">mult_opex * fixed_well *D230</f>
        <v>5000</v>
      </c>
      <c r="AA230" s="72">
        <f ca="1">(Z230+Y230)*WI_current_2</f>
        <v>0</v>
      </c>
      <c r="AB230" s="72">
        <f ca="1">mult_opex * var_bo*E230</f>
        <v>0</v>
      </c>
      <c r="AC230" s="72">
        <f ca="1">mult_opex * var_mcf*F230</f>
        <v>0</v>
      </c>
      <c r="AD230" s="72">
        <f ca="1">mult_opex * var_bw * G230</f>
        <v>0.49199270404463208</v>
      </c>
      <c r="AE230" s="72">
        <f ca="1">SUM(AB230:AD230)*WI_current_2</f>
        <v>0</v>
      </c>
      <c r="AF230" s="73">
        <f ca="1">mult_capex * IFERROR(OFFSET(assumptions!$F$39,MATCH(B230,assumptions!$E$39:$E$45,0)-1,0),0)</f>
        <v>0</v>
      </c>
      <c r="AG230" s="75">
        <f ca="1">mult_capex * capex_new*WI_current_2 *'forecast production'!I231</f>
        <v>0</v>
      </c>
      <c r="AH230" s="146">
        <f t="shared" ca="1" si="75"/>
        <v>0</v>
      </c>
      <c r="AI230" s="73">
        <f t="shared" ca="1" si="69"/>
        <v>131.22967322419746</v>
      </c>
      <c r="AJ230" s="72">
        <f t="shared" ca="1" si="70"/>
        <v>57.285095114509545</v>
      </c>
      <c r="AK230" s="72">
        <f t="shared" ca="1" si="76"/>
        <v>188.514768338707</v>
      </c>
      <c r="AL230" s="73">
        <f t="shared" ca="1" si="71"/>
        <v>2102.8890362416746</v>
      </c>
      <c r="AM230" s="321">
        <f ca="1">'monthly calculations (1)'!AM230</f>
        <v>1</v>
      </c>
      <c r="AN230" s="73">
        <f t="shared" ca="1" si="77"/>
        <v>2102.8890362416746</v>
      </c>
      <c r="AO230" s="75">
        <f t="shared" ca="1" si="79"/>
        <v>1237889.7022359651</v>
      </c>
      <c r="AP230" s="72">
        <f ca="1">AL230  /  ( 1 + disc_1/12)^(COUNT($AL$6:AL230)-1)</f>
        <v>327.71213286064415</v>
      </c>
      <c r="AQ230" s="72">
        <f t="shared" ca="1" si="80"/>
        <v>735619.85876431002</v>
      </c>
      <c r="AS230" s="303"/>
      <c r="AT230" s="300"/>
      <c r="AU230" s="297"/>
      <c r="AV230" s="303"/>
    </row>
    <row r="231" spans="2:48" x14ac:dyDescent="0.25">
      <c r="B231" s="43">
        <f t="shared" si="78"/>
        <v>51044</v>
      </c>
      <c r="C231" s="79">
        <f t="shared" si="72"/>
        <v>2039</v>
      </c>
      <c r="D231" s="64">
        <f ca="1">wellcount_base  +  SUM('forecast production'!I$7:I232)</f>
        <v>1</v>
      </c>
      <c r="E231" s="110">
        <f ca="1">'forecast production'!AE232</f>
        <v>109.53847840664532</v>
      </c>
      <c r="F231" s="98">
        <f ca="1">'forecast production'!AF232</f>
        <v>725.80636922046938</v>
      </c>
      <c r="G231" s="98">
        <f ca="1">'forecast production'!AG232</f>
        <v>0.24572485107288655</v>
      </c>
      <c r="H231" s="98">
        <f ca="1">'forecast production'!AH232</f>
        <v>108.8709553830704</v>
      </c>
      <c r="I231" s="307">
        <f ca="1">IF('monthly calculations (1)'!AV230,WI_2_APO, WI_2)</f>
        <v>0</v>
      </c>
      <c r="J231" s="306">
        <f ca="1">IF('monthly calculations (1)'!AV230,NRI_2_APO, NRI_2)</f>
        <v>0.25</v>
      </c>
      <c r="K231" s="112">
        <f t="shared" ca="1" si="61"/>
        <v>27.384619601661331</v>
      </c>
      <c r="L231" s="98">
        <f t="shared" ca="1" si="62"/>
        <v>136.08869422883799</v>
      </c>
      <c r="M231" s="98">
        <f t="shared" ca="1" si="63"/>
        <v>6.1431212768221638E-2</v>
      </c>
      <c r="N231" s="98">
        <f t="shared" ca="1" si="64"/>
        <v>27.217738845767599</v>
      </c>
      <c r="O231" s="67">
        <f>assumptions!M235</f>
        <v>55</v>
      </c>
      <c r="P231" s="68">
        <f>assumptions!N235</f>
        <v>3</v>
      </c>
      <c r="Q231" s="68">
        <f>assumptions!O235</f>
        <v>22</v>
      </c>
      <c r="R231" s="67">
        <f t="shared" si="65"/>
        <v>52.5</v>
      </c>
      <c r="S231" s="68">
        <f t="shared" si="66"/>
        <v>2.3275000000000001</v>
      </c>
      <c r="T231" s="68">
        <f t="shared" si="67"/>
        <v>22</v>
      </c>
      <c r="U231" s="73">
        <f t="shared" ca="1" si="73"/>
        <v>1437.6925290872198</v>
      </c>
      <c r="V231" s="72">
        <f t="shared" ca="1" si="73"/>
        <v>316.74643581762047</v>
      </c>
      <c r="W231" s="72">
        <f t="shared" ca="1" si="68"/>
        <v>598.79025460688717</v>
      </c>
      <c r="X231" s="72">
        <f t="shared" ca="1" si="74"/>
        <v>2353.2292195117275</v>
      </c>
      <c r="Y231" s="73">
        <f>mult_opex * fixed_month</f>
        <v>1000</v>
      </c>
      <c r="Z231" s="72">
        <f ca="1">mult_opex * fixed_well *D231</f>
        <v>5000</v>
      </c>
      <c r="AA231" s="72">
        <f ca="1">(Z231+Y231)*WI_current_2</f>
        <v>0</v>
      </c>
      <c r="AB231" s="72">
        <f ca="1">mult_opex * var_bo*E231</f>
        <v>0</v>
      </c>
      <c r="AC231" s="72">
        <f ca="1">mult_opex * var_mcf*F231</f>
        <v>0</v>
      </c>
      <c r="AD231" s="72">
        <f ca="1">mult_opex * var_bw * G231</f>
        <v>0.4914497021457731</v>
      </c>
      <c r="AE231" s="72">
        <f ca="1">SUM(AB231:AD231)*WI_current_2</f>
        <v>0</v>
      </c>
      <c r="AF231" s="73">
        <f ca="1">mult_capex * IFERROR(OFFSET(assumptions!$F$39,MATCH(B231,assumptions!$E$39:$E$45,0)-1,0),0)</f>
        <v>0</v>
      </c>
      <c r="AG231" s="75">
        <f ca="1">mult_capex * capex_new*WI_current_2 *'forecast production'!I232</f>
        <v>0</v>
      </c>
      <c r="AH231" s="146">
        <f t="shared" ca="1" si="75"/>
        <v>0</v>
      </c>
      <c r="AI231" s="73">
        <f t="shared" ca="1" si="69"/>
        <v>134.79910811985019</v>
      </c>
      <c r="AJ231" s="72">
        <f t="shared" ca="1" si="70"/>
        <v>58.83073048779319</v>
      </c>
      <c r="AK231" s="72">
        <f t="shared" ca="1" si="76"/>
        <v>193.62983860764336</v>
      </c>
      <c r="AL231" s="73">
        <f t="shared" ca="1" si="71"/>
        <v>2159.5993809040842</v>
      </c>
      <c r="AM231" s="321">
        <f ca="1">'monthly calculations (1)'!AM231</f>
        <v>1</v>
      </c>
      <c r="AN231" s="73">
        <f t="shared" ca="1" si="77"/>
        <v>2159.5993809040842</v>
      </c>
      <c r="AO231" s="75">
        <f t="shared" ca="1" si="79"/>
        <v>1240049.3016168692</v>
      </c>
      <c r="AP231" s="72">
        <f ca="1">AL231  /  ( 1 + disc_1/12)^(COUNT($AL$6:AL231)-1)</f>
        <v>333.76841304540409</v>
      </c>
      <c r="AQ231" s="72">
        <f t="shared" ca="1" si="80"/>
        <v>735953.62717735546</v>
      </c>
      <c r="AS231" s="303"/>
      <c r="AT231" s="300"/>
      <c r="AU231" s="297"/>
      <c r="AV231" s="303"/>
    </row>
    <row r="232" spans="2:48" x14ac:dyDescent="0.25">
      <c r="B232" s="43">
        <f t="shared" si="78"/>
        <v>51075</v>
      </c>
      <c r="C232" s="79">
        <f t="shared" si="72"/>
        <v>2039</v>
      </c>
      <c r="D232" s="64">
        <f ca="1">wellcount_base  +  SUM('forecast production'!I$7:I233)</f>
        <v>1</v>
      </c>
      <c r="E232" s="110">
        <f ca="1">'forecast production'!AE233</f>
        <v>105.25693277505627</v>
      </c>
      <c r="F232" s="98">
        <f ca="1">'forecast production'!AF233</f>
        <v>698.71174561800035</v>
      </c>
      <c r="G232" s="98">
        <f ca="1">'forecast production'!AG233</f>
        <v>0.22961516551742667</v>
      </c>
      <c r="H232" s="98">
        <f ca="1">'forecast production'!AH233</f>
        <v>104.80676184270006</v>
      </c>
      <c r="I232" s="307">
        <f ca="1">IF('monthly calculations (1)'!AV231,WI_2_APO, WI_2)</f>
        <v>0</v>
      </c>
      <c r="J232" s="306">
        <f ca="1">IF('monthly calculations (1)'!AV231,NRI_2_APO, NRI_2)</f>
        <v>0.25</v>
      </c>
      <c r="K232" s="112">
        <f t="shared" ca="1" si="61"/>
        <v>26.314233193764068</v>
      </c>
      <c r="L232" s="98">
        <f t="shared" ca="1" si="62"/>
        <v>131.00845230337507</v>
      </c>
      <c r="M232" s="98">
        <f t="shared" ca="1" si="63"/>
        <v>5.7403791379356667E-2</v>
      </c>
      <c r="N232" s="98">
        <f t="shared" ca="1" si="64"/>
        <v>26.201690460675014</v>
      </c>
      <c r="O232" s="67">
        <f>assumptions!M236</f>
        <v>55</v>
      </c>
      <c r="P232" s="68">
        <f>assumptions!N236</f>
        <v>3</v>
      </c>
      <c r="Q232" s="68">
        <f>assumptions!O236</f>
        <v>22</v>
      </c>
      <c r="R232" s="67">
        <f t="shared" si="65"/>
        <v>52.5</v>
      </c>
      <c r="S232" s="68">
        <f t="shared" si="66"/>
        <v>2.3275000000000001</v>
      </c>
      <c r="T232" s="68">
        <f t="shared" si="67"/>
        <v>22</v>
      </c>
      <c r="U232" s="73">
        <f t="shared" ca="1" si="73"/>
        <v>1381.4972426726135</v>
      </c>
      <c r="V232" s="72">
        <f t="shared" ca="1" si="73"/>
        <v>304.92217273610549</v>
      </c>
      <c r="W232" s="72">
        <f t="shared" ca="1" si="68"/>
        <v>576.43719013485031</v>
      </c>
      <c r="X232" s="72">
        <f t="shared" ca="1" si="74"/>
        <v>2262.8566055435695</v>
      </c>
      <c r="Y232" s="73">
        <f>mult_opex * fixed_month</f>
        <v>1000</v>
      </c>
      <c r="Z232" s="72">
        <f ca="1">mult_opex * fixed_well *D232</f>
        <v>5000</v>
      </c>
      <c r="AA232" s="72">
        <f ca="1">(Z232+Y232)*WI_current_2</f>
        <v>0</v>
      </c>
      <c r="AB232" s="72">
        <f ca="1">mult_opex * var_bo*E232</f>
        <v>0</v>
      </c>
      <c r="AC232" s="72">
        <f ca="1">mult_opex * var_mcf*F232</f>
        <v>0</v>
      </c>
      <c r="AD232" s="72">
        <f ca="1">mult_opex * var_bw * G232</f>
        <v>0.45923033103485333</v>
      </c>
      <c r="AE232" s="72">
        <f ca="1">SUM(AB232:AD232)*WI_current_2</f>
        <v>0</v>
      </c>
      <c r="AF232" s="73">
        <f ca="1">mult_capex * IFERROR(OFFSET(assumptions!$F$39,MATCH(B232,assumptions!$E$39:$E$45,0)-1,0),0)</f>
        <v>0</v>
      </c>
      <c r="AG232" s="75">
        <f ca="1">mult_capex * capex_new*WI_current_2 *'forecast production'!I233</f>
        <v>0</v>
      </c>
      <c r="AH232" s="146">
        <f t="shared" ca="1" si="75"/>
        <v>0</v>
      </c>
      <c r="AI232" s="73">
        <f t="shared" ca="1" si="69"/>
        <v>129.65082537826191</v>
      </c>
      <c r="AJ232" s="72">
        <f t="shared" ca="1" si="70"/>
        <v>56.571415138589238</v>
      </c>
      <c r="AK232" s="72">
        <f t="shared" ca="1" si="76"/>
        <v>186.22224051685114</v>
      </c>
      <c r="AL232" s="73">
        <f t="shared" ca="1" si="71"/>
        <v>2076.6343650267181</v>
      </c>
      <c r="AM232" s="321">
        <f ca="1">'monthly calculations (1)'!AM232</f>
        <v>1</v>
      </c>
      <c r="AN232" s="73">
        <f t="shared" ca="1" si="77"/>
        <v>2076.6343650267181</v>
      </c>
      <c r="AO232" s="75">
        <f t="shared" ca="1" si="79"/>
        <v>1242125.9359818958</v>
      </c>
      <c r="AP232" s="72">
        <f ca="1">AL232  /  ( 1 + disc_1/12)^(COUNT($AL$6:AL232)-1)</f>
        <v>318.29363343391975</v>
      </c>
      <c r="AQ232" s="72">
        <f t="shared" ca="1" si="80"/>
        <v>736271.92081078934</v>
      </c>
      <c r="AS232" s="303"/>
      <c r="AT232" s="300"/>
      <c r="AU232" s="297"/>
      <c r="AV232" s="303"/>
    </row>
    <row r="233" spans="2:48" x14ac:dyDescent="0.25">
      <c r="B233" s="44">
        <f t="shared" si="78"/>
        <v>51105</v>
      </c>
      <c r="C233" s="100">
        <f t="shared" si="72"/>
        <v>2039</v>
      </c>
      <c r="D233" s="65">
        <f ca="1">wellcount_base  +  SUM('forecast production'!I$7:I234)</f>
        <v>1</v>
      </c>
      <c r="E233" s="109">
        <f ca="1">'forecast production'!AE234</f>
        <v>108.02264487201379</v>
      </c>
      <c r="F233" s="101">
        <f ca="1">'forecast production'!AF234</f>
        <v>718.33960830683998</v>
      </c>
      <c r="G233" s="101">
        <f ca="1">'forecast production'!AG234</f>
        <v>0.22936442207645535</v>
      </c>
      <c r="H233" s="102">
        <f ca="1">'forecast production'!AH234</f>
        <v>107.75094124602602</v>
      </c>
      <c r="I233" s="308">
        <f ca="1">IF('monthly calculations (1)'!AV232,WI_2_APO, WI_2)</f>
        <v>0</v>
      </c>
      <c r="J233" s="309">
        <f ca="1">IF('monthly calculations (1)'!AV232,NRI_2_APO, NRI_2)</f>
        <v>0.25</v>
      </c>
      <c r="K233" s="113">
        <f t="shared" ca="1" si="61"/>
        <v>27.005661218003446</v>
      </c>
      <c r="L233" s="102">
        <f t="shared" ca="1" si="62"/>
        <v>134.68867655753249</v>
      </c>
      <c r="M233" s="102">
        <f t="shared" ca="1" si="63"/>
        <v>5.7341105519113839E-2</v>
      </c>
      <c r="N233" s="102">
        <f t="shared" ca="1" si="64"/>
        <v>26.937735311506504</v>
      </c>
      <c r="O233" s="103">
        <f>assumptions!M237</f>
        <v>55</v>
      </c>
      <c r="P233" s="104">
        <f>assumptions!N237</f>
        <v>3</v>
      </c>
      <c r="Q233" s="104">
        <f>assumptions!O237</f>
        <v>22</v>
      </c>
      <c r="R233" s="103">
        <f t="shared" si="65"/>
        <v>52.5</v>
      </c>
      <c r="S233" s="104">
        <f t="shared" si="66"/>
        <v>2.3275000000000001</v>
      </c>
      <c r="T233" s="104">
        <f t="shared" si="67"/>
        <v>22</v>
      </c>
      <c r="U233" s="105">
        <f t="shared" ca="1" si="73"/>
        <v>1417.7972139451808</v>
      </c>
      <c r="V233" s="106">
        <f t="shared" ca="1" si="73"/>
        <v>313.48789468765688</v>
      </c>
      <c r="W233" s="106">
        <f t="shared" ca="1" si="68"/>
        <v>592.6301768531431</v>
      </c>
      <c r="X233" s="106">
        <f t="shared" ca="1" si="74"/>
        <v>2323.9152854859808</v>
      </c>
      <c r="Y233" s="105">
        <f>mult_opex * fixed_month</f>
        <v>1000</v>
      </c>
      <c r="Z233" s="106">
        <f ca="1">mult_opex * fixed_well *D233</f>
        <v>5000</v>
      </c>
      <c r="AA233" s="106">
        <f ca="1">(Z233+Y233)*WI_current_2</f>
        <v>0</v>
      </c>
      <c r="AB233" s="106">
        <f ca="1">mult_opex * var_bo*E233</f>
        <v>0</v>
      </c>
      <c r="AC233" s="106">
        <f ca="1">mult_opex * var_mcf*F233</f>
        <v>0</v>
      </c>
      <c r="AD233" s="106">
        <f ca="1">mult_opex * var_bw * G233</f>
        <v>0.45872884415291071</v>
      </c>
      <c r="AE233" s="106">
        <f ca="1">SUM(AB233:AD233)*WI_current_2</f>
        <v>0</v>
      </c>
      <c r="AF233" s="105">
        <f ca="1">mult_capex * IFERROR(OFFSET(assumptions!$F$39,MATCH(B233,assumptions!$E$39:$E$45,0)-1,0),0)</f>
        <v>0</v>
      </c>
      <c r="AG233" s="106">
        <f ca="1">mult_capex * capex_new*WI_current_2 *'forecast production'!I234</f>
        <v>0</v>
      </c>
      <c r="AH233" s="147">
        <f t="shared" ca="1" si="75"/>
        <v>0</v>
      </c>
      <c r="AI233" s="105">
        <f t="shared" ca="1" si="69"/>
        <v>133.17752720703831</v>
      </c>
      <c r="AJ233" s="106">
        <f t="shared" ca="1" si="70"/>
        <v>58.097882137149526</v>
      </c>
      <c r="AK233" s="106">
        <f t="shared" ca="1" si="76"/>
        <v>191.27540934418784</v>
      </c>
      <c r="AL233" s="105">
        <f t="shared" ca="1" si="71"/>
        <v>2132.6398761417931</v>
      </c>
      <c r="AM233" s="322">
        <f ca="1">'monthly calculations (1)'!AM233</f>
        <v>1</v>
      </c>
      <c r="AN233" s="105">
        <f t="shared" ca="1" si="77"/>
        <v>2132.6398761417931</v>
      </c>
      <c r="AO233" s="106">
        <f t="shared" ca="1" si="79"/>
        <v>1244258.5758580375</v>
      </c>
      <c r="AP233" s="106">
        <f ca="1">AL233  /  ( 1 + disc_1/12)^(COUNT($AL$6:AL233)-1)</f>
        <v>324.17634124687402</v>
      </c>
      <c r="AQ233" s="106">
        <f t="shared" ca="1" si="80"/>
        <v>736596.09715203627</v>
      </c>
      <c r="AS233" s="304"/>
      <c r="AT233" s="301"/>
      <c r="AU233" s="298"/>
      <c r="AV233" s="304"/>
    </row>
    <row r="234" spans="2:48" x14ac:dyDescent="0.25">
      <c r="B234" s="43">
        <f t="shared" si="78"/>
        <v>51136</v>
      </c>
      <c r="C234" s="79">
        <f t="shared" si="72"/>
        <v>2040</v>
      </c>
      <c r="D234" s="64">
        <f ca="1">wellcount_base  +  SUM('forecast production'!I$7:I235)</f>
        <v>1</v>
      </c>
      <c r="E234" s="110">
        <f ca="1">'forecast production'!AE235</f>
        <v>107.26036046295064</v>
      </c>
      <c r="F234" s="98">
        <f ca="1">'forecast production'!AF235</f>
        <v>714.57451240869682</v>
      </c>
      <c r="G234" s="98">
        <f ca="1">'forecast production'!AG235</f>
        <v>0.22147423909156261</v>
      </c>
      <c r="H234" s="98">
        <f ca="1">'forecast production'!AH235</f>
        <v>107.18617686130452</v>
      </c>
      <c r="I234" s="307">
        <f ca="1">IF('monthly calculations (1)'!AV233,WI_2_APO, WI_2)</f>
        <v>0</v>
      </c>
      <c r="J234" s="306">
        <f ca="1">IF('monthly calculations (1)'!AV233,NRI_2_APO, NRI_2)</f>
        <v>0.25</v>
      </c>
      <c r="K234" s="112">
        <f t="shared" ca="1" si="61"/>
        <v>26.815090115737661</v>
      </c>
      <c r="L234" s="98">
        <f t="shared" ca="1" si="62"/>
        <v>133.98272107663064</v>
      </c>
      <c r="M234" s="98">
        <f t="shared" ca="1" si="63"/>
        <v>5.5368559772890652E-2</v>
      </c>
      <c r="N234" s="98">
        <f t="shared" ca="1" si="64"/>
        <v>26.796544215326129</v>
      </c>
      <c r="O234" s="67">
        <f>assumptions!M238</f>
        <v>55</v>
      </c>
      <c r="P234" s="68">
        <f>assumptions!N238</f>
        <v>3</v>
      </c>
      <c r="Q234" s="68">
        <f>assumptions!O238</f>
        <v>22</v>
      </c>
      <c r="R234" s="67">
        <f t="shared" si="65"/>
        <v>52.5</v>
      </c>
      <c r="S234" s="68">
        <f t="shared" si="66"/>
        <v>2.3275000000000001</v>
      </c>
      <c r="T234" s="68">
        <f t="shared" si="67"/>
        <v>22</v>
      </c>
      <c r="U234" s="73">
        <f t="shared" ca="1" si="73"/>
        <v>1407.7922310762272</v>
      </c>
      <c r="V234" s="72">
        <f t="shared" ca="1" si="73"/>
        <v>311.84478330585785</v>
      </c>
      <c r="W234" s="72">
        <f t="shared" ca="1" si="68"/>
        <v>589.52397273717486</v>
      </c>
      <c r="X234" s="72">
        <f t="shared" ca="1" si="74"/>
        <v>2309.16098711926</v>
      </c>
      <c r="Y234" s="73">
        <f>mult_opex * fixed_month</f>
        <v>1000</v>
      </c>
      <c r="Z234" s="72">
        <f ca="1">mult_opex * fixed_well *D234</f>
        <v>5000</v>
      </c>
      <c r="AA234" s="72">
        <f ca="1">(Z234+Y234)*WI_current_2</f>
        <v>0</v>
      </c>
      <c r="AB234" s="72">
        <f ca="1">mult_opex * var_bo*E234</f>
        <v>0</v>
      </c>
      <c r="AC234" s="72">
        <f ca="1">mult_opex * var_mcf*F234</f>
        <v>0</v>
      </c>
      <c r="AD234" s="72">
        <f ca="1">mult_opex * var_bw * G234</f>
        <v>0.44294847818312522</v>
      </c>
      <c r="AE234" s="72">
        <f ca="1">SUM(AB234:AD234)*WI_current_2</f>
        <v>0</v>
      </c>
      <c r="AF234" s="73">
        <f ca="1">mult_capex * IFERROR(OFFSET(assumptions!$F$39,MATCH(B234,assumptions!$E$39:$E$45,0)-1,0),0)</f>
        <v>0</v>
      </c>
      <c r="AG234" s="75">
        <f ca="1">mult_capex * capex_new*WI_current_2 *'forecast production'!I235</f>
        <v>0</v>
      </c>
      <c r="AH234" s="146">
        <f t="shared" ca="1" si="75"/>
        <v>0</v>
      </c>
      <c r="AI234" s="73">
        <f t="shared" ca="1" si="69"/>
        <v>132.36109933273389</v>
      </c>
      <c r="AJ234" s="72">
        <f t="shared" ca="1" si="70"/>
        <v>57.729024677981499</v>
      </c>
      <c r="AK234" s="72">
        <f t="shared" ca="1" si="76"/>
        <v>190.09012401071539</v>
      </c>
      <c r="AL234" s="73">
        <f t="shared" ca="1" si="71"/>
        <v>2119.0708631085445</v>
      </c>
      <c r="AM234" s="321">
        <f ca="1">'monthly calculations (1)'!AM234</f>
        <v>1</v>
      </c>
      <c r="AN234" s="73">
        <f t="shared" ca="1" si="77"/>
        <v>2119.0708631085445</v>
      </c>
      <c r="AO234" s="75">
        <f t="shared" ca="1" si="79"/>
        <v>1246377.6467211461</v>
      </c>
      <c r="AP234" s="72">
        <f ca="1">AL234  /  ( 1 + disc_1/12)^(COUNT($AL$6:AL234)-1)</f>
        <v>319.45165816681435</v>
      </c>
      <c r="AQ234" s="72">
        <f t="shared" ca="1" si="80"/>
        <v>736915.54881020309</v>
      </c>
      <c r="AS234" s="303"/>
      <c r="AT234" s="300"/>
      <c r="AU234" s="297"/>
      <c r="AV234" s="303"/>
    </row>
    <row r="235" spans="2:48" x14ac:dyDescent="0.25">
      <c r="B235" s="43">
        <f t="shared" si="78"/>
        <v>51167</v>
      </c>
      <c r="C235" s="79">
        <f t="shared" si="72"/>
        <v>2040</v>
      </c>
      <c r="D235" s="64">
        <f ca="1">wellcount_base  +  SUM('forecast production'!I$7:I236)</f>
        <v>1</v>
      </c>
      <c r="E235" s="110">
        <f ca="1">'forecast production'!AE236</f>
        <v>99.632264610610505</v>
      </c>
      <c r="F235" s="98">
        <f ca="1">'forecast production'!AF236</f>
        <v>664.96920562013725</v>
      </c>
      <c r="G235" s="98">
        <f ca="1">'forecast production'!AG236</f>
        <v>0.2000595778249806</v>
      </c>
      <c r="H235" s="98">
        <f ca="1">'forecast production'!AH236</f>
        <v>99.745380843020598</v>
      </c>
      <c r="I235" s="307">
        <f ca="1">IF('monthly calculations (1)'!AV234,WI_2_APO, WI_2)</f>
        <v>0</v>
      </c>
      <c r="J235" s="306">
        <f ca="1">IF('monthly calculations (1)'!AV234,NRI_2_APO, NRI_2)</f>
        <v>0.25</v>
      </c>
      <c r="K235" s="112">
        <f t="shared" ca="1" si="61"/>
        <v>24.908066152652626</v>
      </c>
      <c r="L235" s="98">
        <f t="shared" ca="1" si="62"/>
        <v>124.68172605377573</v>
      </c>
      <c r="M235" s="98">
        <f t="shared" ca="1" si="63"/>
        <v>5.001489445624515E-2</v>
      </c>
      <c r="N235" s="98">
        <f t="shared" ca="1" si="64"/>
        <v>24.93634521075515</v>
      </c>
      <c r="O235" s="67">
        <f>assumptions!M239</f>
        <v>55</v>
      </c>
      <c r="P235" s="68">
        <f>assumptions!N239</f>
        <v>3</v>
      </c>
      <c r="Q235" s="68">
        <f>assumptions!O239</f>
        <v>22</v>
      </c>
      <c r="R235" s="67">
        <f t="shared" si="65"/>
        <v>52.5</v>
      </c>
      <c r="S235" s="68">
        <f t="shared" si="66"/>
        <v>2.3275000000000001</v>
      </c>
      <c r="T235" s="68">
        <f t="shared" si="67"/>
        <v>22</v>
      </c>
      <c r="U235" s="73">
        <f t="shared" ca="1" si="73"/>
        <v>1307.673473014263</v>
      </c>
      <c r="V235" s="72">
        <f t="shared" ca="1" si="73"/>
        <v>290.19671739016303</v>
      </c>
      <c r="W235" s="72">
        <f t="shared" ca="1" si="68"/>
        <v>548.59959463661335</v>
      </c>
      <c r="X235" s="72">
        <f t="shared" ca="1" si="74"/>
        <v>2146.4697850410394</v>
      </c>
      <c r="Y235" s="73">
        <f>mult_opex * fixed_month</f>
        <v>1000</v>
      </c>
      <c r="Z235" s="72">
        <f ca="1">mult_opex * fixed_well *D235</f>
        <v>5000</v>
      </c>
      <c r="AA235" s="72">
        <f ca="1">(Z235+Y235)*WI_current_2</f>
        <v>0</v>
      </c>
      <c r="AB235" s="72">
        <f ca="1">mult_opex * var_bo*E235</f>
        <v>0</v>
      </c>
      <c r="AC235" s="72">
        <f ca="1">mult_opex * var_mcf*F235</f>
        <v>0</v>
      </c>
      <c r="AD235" s="72">
        <f ca="1">mult_opex * var_bw * G235</f>
        <v>0.4001191556499612</v>
      </c>
      <c r="AE235" s="72">
        <f ca="1">SUM(AB235:AD235)*WI_current_2</f>
        <v>0</v>
      </c>
      <c r="AF235" s="73">
        <f ca="1">mult_capex * IFERROR(OFFSET(assumptions!$F$39,MATCH(B235,assumptions!$E$39:$E$45,0)-1,0),0)</f>
        <v>0</v>
      </c>
      <c r="AG235" s="75">
        <f ca="1">mult_capex * capex_new*WI_current_2 *'forecast production'!I236</f>
        <v>0</v>
      </c>
      <c r="AH235" s="146">
        <f t="shared" ca="1" si="75"/>
        <v>0</v>
      </c>
      <c r="AI235" s="73">
        <f t="shared" ca="1" si="69"/>
        <v>123.06270316066433</v>
      </c>
      <c r="AJ235" s="72">
        <f t="shared" ca="1" si="70"/>
        <v>53.661744626025985</v>
      </c>
      <c r="AK235" s="72">
        <f t="shared" ca="1" si="76"/>
        <v>176.72444778669032</v>
      </c>
      <c r="AL235" s="73">
        <f t="shared" ca="1" si="71"/>
        <v>1969.7453372543491</v>
      </c>
      <c r="AM235" s="321">
        <f ca="1">'monthly calculations (1)'!AM235</f>
        <v>0</v>
      </c>
      <c r="AN235" s="73">
        <f t="shared" ca="1" si="77"/>
        <v>0</v>
      </c>
      <c r="AO235" s="75">
        <f t="shared" ca="1" si="79"/>
        <v>1246377.6467211461</v>
      </c>
      <c r="AP235" s="72">
        <f ca="1">AL235  /  ( 1 + disc_1/12)^(COUNT($AL$6:AL235)-1)</f>
        <v>294.48665806508012</v>
      </c>
      <c r="AQ235" s="72">
        <f t="shared" ca="1" si="80"/>
        <v>736915.54881020309</v>
      </c>
      <c r="AS235" s="303"/>
      <c r="AT235" s="300"/>
      <c r="AU235" s="297"/>
      <c r="AV235" s="303"/>
    </row>
    <row r="236" spans="2:48" x14ac:dyDescent="0.25">
      <c r="B236" s="43">
        <f t="shared" si="78"/>
        <v>51196</v>
      </c>
      <c r="C236" s="79">
        <f t="shared" si="72"/>
        <v>2040</v>
      </c>
      <c r="D236" s="64">
        <f ca="1">wellcount_base  +  SUM('forecast production'!I$7:I237)</f>
        <v>1</v>
      </c>
      <c r="E236" s="110">
        <f ca="1">'forecast production'!AE237</f>
        <v>105.80021889180418</v>
      </c>
      <c r="F236" s="98">
        <f ca="1">'forecast production'!AF237</f>
        <v>707.3431994796623</v>
      </c>
      <c r="G236" s="98">
        <f ca="1">'forecast production'!AG237</f>
        <v>0.20696930138500388</v>
      </c>
      <c r="H236" s="98">
        <f ca="1">'forecast production'!AH237</f>
        <v>106.10147992194933</v>
      </c>
      <c r="I236" s="307">
        <f ca="1">IF('monthly calculations (1)'!AV235,WI_2_APO, WI_2)</f>
        <v>0</v>
      </c>
      <c r="J236" s="306">
        <f ca="1">IF('monthly calculations (1)'!AV235,NRI_2_APO, NRI_2)</f>
        <v>0.25</v>
      </c>
      <c r="K236" s="112">
        <f t="shared" ca="1" si="61"/>
        <v>26.450054722951045</v>
      </c>
      <c r="L236" s="98">
        <f t="shared" ca="1" si="62"/>
        <v>132.62684990243667</v>
      </c>
      <c r="M236" s="98">
        <f t="shared" ca="1" si="63"/>
        <v>5.1742325346250971E-2</v>
      </c>
      <c r="N236" s="98">
        <f t="shared" ca="1" si="64"/>
        <v>26.525369980487334</v>
      </c>
      <c r="O236" s="67">
        <f>assumptions!M240</f>
        <v>55</v>
      </c>
      <c r="P236" s="68">
        <f>assumptions!N240</f>
        <v>3</v>
      </c>
      <c r="Q236" s="68">
        <f>assumptions!O240</f>
        <v>22</v>
      </c>
      <c r="R236" s="67">
        <f t="shared" si="65"/>
        <v>52.5</v>
      </c>
      <c r="S236" s="68">
        <f t="shared" si="66"/>
        <v>2.3275000000000001</v>
      </c>
      <c r="T236" s="68">
        <f t="shared" si="67"/>
        <v>22</v>
      </c>
      <c r="U236" s="73">
        <f t="shared" ca="1" si="73"/>
        <v>1388.6278729549299</v>
      </c>
      <c r="V236" s="72">
        <f t="shared" ca="1" si="73"/>
        <v>308.68899314792139</v>
      </c>
      <c r="W236" s="72">
        <f t="shared" ca="1" si="68"/>
        <v>583.55813957072132</v>
      </c>
      <c r="X236" s="72">
        <f t="shared" ca="1" si="74"/>
        <v>2280.8750056735726</v>
      </c>
      <c r="Y236" s="73">
        <f>mult_opex * fixed_month</f>
        <v>1000</v>
      </c>
      <c r="Z236" s="72">
        <f ca="1">mult_opex * fixed_well *D236</f>
        <v>5000</v>
      </c>
      <c r="AA236" s="72">
        <f ca="1">(Z236+Y236)*WI_current_2</f>
        <v>0</v>
      </c>
      <c r="AB236" s="72">
        <f ca="1">mult_opex * var_bo*E236</f>
        <v>0</v>
      </c>
      <c r="AC236" s="72">
        <f ca="1">mult_opex * var_mcf*F236</f>
        <v>0</v>
      </c>
      <c r="AD236" s="72">
        <f ca="1">mult_opex * var_bw * G236</f>
        <v>0.41393860277000777</v>
      </c>
      <c r="AE236" s="72">
        <f ca="1">SUM(AB236:AD236)*WI_current_2</f>
        <v>0</v>
      </c>
      <c r="AF236" s="73">
        <f ca="1">mult_capex * IFERROR(OFFSET(assumptions!$F$39,MATCH(B236,assumptions!$E$39:$E$45,0)-1,0),0)</f>
        <v>0</v>
      </c>
      <c r="AG236" s="75">
        <f ca="1">mult_capex * capex_new*WI_current_2 *'forecast production'!I237</f>
        <v>0</v>
      </c>
      <c r="AH236" s="146">
        <f t="shared" ca="1" si="75"/>
        <v>0</v>
      </c>
      <c r="AI236" s="73">
        <f t="shared" ca="1" si="69"/>
        <v>130.79541710982497</v>
      </c>
      <c r="AJ236" s="72">
        <f t="shared" ca="1" si="70"/>
        <v>57.021875141839317</v>
      </c>
      <c r="AK236" s="72">
        <f t="shared" ca="1" si="76"/>
        <v>187.8172922516643</v>
      </c>
      <c r="AL236" s="73">
        <f t="shared" ca="1" si="71"/>
        <v>2093.0577134219084</v>
      </c>
      <c r="AM236" s="321">
        <f ca="1">'monthly calculations (1)'!AM236</f>
        <v>1</v>
      </c>
      <c r="AN236" s="73">
        <f t="shared" ca="1" si="77"/>
        <v>2093.0577134219084</v>
      </c>
      <c r="AO236" s="75">
        <f t="shared" ca="1" si="79"/>
        <v>1248470.7044345681</v>
      </c>
      <c r="AP236" s="72">
        <f ca="1">AL236  /  ( 1 + disc_1/12)^(COUNT($AL$6:AL236)-1)</f>
        <v>310.33633134590269</v>
      </c>
      <c r="AQ236" s="72">
        <f t="shared" ca="1" si="80"/>
        <v>737225.88514154905</v>
      </c>
      <c r="AS236" s="303"/>
      <c r="AT236" s="300"/>
      <c r="AU236" s="297"/>
      <c r="AV236" s="303"/>
    </row>
    <row r="237" spans="2:48" x14ac:dyDescent="0.25">
      <c r="B237" s="43">
        <f t="shared" si="78"/>
        <v>51227</v>
      </c>
      <c r="C237" s="79">
        <f t="shared" si="72"/>
        <v>2040</v>
      </c>
      <c r="D237" s="64">
        <f ca="1">wellcount_base  +  SUM('forecast production'!I$7:I238)</f>
        <v>1</v>
      </c>
      <c r="E237" s="110">
        <f ca="1">'forecast production'!AE238</f>
        <v>101.66479112608597</v>
      </c>
      <c r="F237" s="98">
        <f ca="1">'forecast production'!AF238</f>
        <v>680.93781291871016</v>
      </c>
      <c r="G237" s="98">
        <f ca="1">'forecast production'!AG238</f>
        <v>0.19340623332734777</v>
      </c>
      <c r="H237" s="98">
        <f ca="1">'forecast production'!AH238</f>
        <v>102.14067193780653</v>
      </c>
      <c r="I237" s="307">
        <f ca="1">IF('monthly calculations (1)'!AV236,WI_2_APO, WI_2)</f>
        <v>0</v>
      </c>
      <c r="J237" s="306">
        <f ca="1">IF('monthly calculations (1)'!AV236,NRI_2_APO, NRI_2)</f>
        <v>0.25</v>
      </c>
      <c r="K237" s="112">
        <f t="shared" ca="1" si="61"/>
        <v>25.416197781521493</v>
      </c>
      <c r="L237" s="98">
        <f t="shared" ca="1" si="62"/>
        <v>127.67583992225815</v>
      </c>
      <c r="M237" s="98">
        <f t="shared" ca="1" si="63"/>
        <v>4.8351558331836943E-2</v>
      </c>
      <c r="N237" s="98">
        <f t="shared" ca="1" si="64"/>
        <v>25.535167984451633</v>
      </c>
      <c r="O237" s="67">
        <f>assumptions!M241</f>
        <v>55</v>
      </c>
      <c r="P237" s="68">
        <f>assumptions!N241</f>
        <v>3</v>
      </c>
      <c r="Q237" s="68">
        <f>assumptions!O241</f>
        <v>22</v>
      </c>
      <c r="R237" s="67">
        <f t="shared" si="65"/>
        <v>52.5</v>
      </c>
      <c r="S237" s="68">
        <f t="shared" si="66"/>
        <v>2.3275000000000001</v>
      </c>
      <c r="T237" s="68">
        <f t="shared" si="67"/>
        <v>22</v>
      </c>
      <c r="U237" s="73">
        <f t="shared" ca="1" si="73"/>
        <v>1334.3503835298784</v>
      </c>
      <c r="V237" s="72">
        <f t="shared" ca="1" si="73"/>
        <v>297.16551741905585</v>
      </c>
      <c r="W237" s="72">
        <f t="shared" ca="1" si="68"/>
        <v>561.77369565793595</v>
      </c>
      <c r="X237" s="72">
        <f t="shared" ca="1" si="74"/>
        <v>2193.2895966068704</v>
      </c>
      <c r="Y237" s="73">
        <f>mult_opex * fixed_month</f>
        <v>1000</v>
      </c>
      <c r="Z237" s="72">
        <f ca="1">mult_opex * fixed_well *D237</f>
        <v>5000</v>
      </c>
      <c r="AA237" s="72">
        <f ca="1">(Z237+Y237)*WI_current_2</f>
        <v>0</v>
      </c>
      <c r="AB237" s="72">
        <f ca="1">mult_opex * var_bo*E237</f>
        <v>0</v>
      </c>
      <c r="AC237" s="72">
        <f ca="1">mult_opex * var_mcf*F237</f>
        <v>0</v>
      </c>
      <c r="AD237" s="72">
        <f ca="1">mult_opex * var_bw * G237</f>
        <v>0.38681246665469554</v>
      </c>
      <c r="AE237" s="72">
        <f ca="1">SUM(AB237:AD237)*WI_current_2</f>
        <v>0</v>
      </c>
      <c r="AF237" s="73">
        <f ca="1">mult_capex * IFERROR(OFFSET(assumptions!$F$39,MATCH(B237,assumptions!$E$39:$E$45,0)-1,0),0)</f>
        <v>0</v>
      </c>
      <c r="AG237" s="75">
        <f ca="1">mult_capex * capex_new*WI_current_2 *'forecast production'!I238</f>
        <v>0</v>
      </c>
      <c r="AH237" s="146">
        <f t="shared" ca="1" si="75"/>
        <v>0</v>
      </c>
      <c r="AI237" s="73">
        <f t="shared" ca="1" si="69"/>
        <v>125.80055862314879</v>
      </c>
      <c r="AJ237" s="72">
        <f t="shared" ca="1" si="70"/>
        <v>54.832239915171762</v>
      </c>
      <c r="AK237" s="72">
        <f t="shared" ca="1" si="76"/>
        <v>180.63279853832054</v>
      </c>
      <c r="AL237" s="73">
        <f t="shared" ca="1" si="71"/>
        <v>2012.65679806855</v>
      </c>
      <c r="AM237" s="321">
        <f ca="1">'monthly calculations (1)'!AM237</f>
        <v>1</v>
      </c>
      <c r="AN237" s="73">
        <f t="shared" ca="1" si="77"/>
        <v>2012.65679806855</v>
      </c>
      <c r="AO237" s="75">
        <f t="shared" ca="1" si="79"/>
        <v>1250483.3612326365</v>
      </c>
      <c r="AP237" s="72">
        <f ca="1">AL237  /  ( 1 + disc_1/12)^(COUNT($AL$6:AL237)-1)</f>
        <v>295.94909646904489</v>
      </c>
      <c r="AQ237" s="72">
        <f t="shared" ca="1" si="80"/>
        <v>737521.83423801814</v>
      </c>
      <c r="AS237" s="303"/>
      <c r="AT237" s="300"/>
      <c r="AU237" s="297"/>
      <c r="AV237" s="303"/>
    </row>
    <row r="238" spans="2:48" x14ac:dyDescent="0.25">
      <c r="B238" s="43">
        <f t="shared" si="78"/>
        <v>51257</v>
      </c>
      <c r="C238" s="79">
        <f t="shared" si="72"/>
        <v>2040</v>
      </c>
      <c r="D238" s="64">
        <f ca="1">wellcount_base  +  SUM('forecast production'!I$7:I239)</f>
        <v>1</v>
      </c>
      <c r="E238" s="110">
        <f ca="1">'forecast production'!AE239</f>
        <v>104.33611675983757</v>
      </c>
      <c r="F238" s="98">
        <f ca="1">'forecast production'!AF239</f>
        <v>700.06637913421844</v>
      </c>
      <c r="G238" s="98">
        <f ca="1">'forecast production'!AG239</f>
        <v>0.19320064460535349</v>
      </c>
      <c r="H238" s="98">
        <f ca="1">'forecast production'!AH239</f>
        <v>105.00995687013275</v>
      </c>
      <c r="I238" s="307">
        <f ca="1">IF('monthly calculations (1)'!AV237,WI_2_APO, WI_2)</f>
        <v>0</v>
      </c>
      <c r="J238" s="306">
        <f ca="1">IF('monthly calculations (1)'!AV237,NRI_2_APO, NRI_2)</f>
        <v>0.25</v>
      </c>
      <c r="K238" s="112">
        <f t="shared" ca="1" si="61"/>
        <v>26.084029189959391</v>
      </c>
      <c r="L238" s="98">
        <f t="shared" ca="1" si="62"/>
        <v>131.26244608766595</v>
      </c>
      <c r="M238" s="98">
        <f t="shared" ca="1" si="63"/>
        <v>4.8300161151338374E-2</v>
      </c>
      <c r="N238" s="98">
        <f t="shared" ca="1" si="64"/>
        <v>26.252489217533189</v>
      </c>
      <c r="O238" s="67">
        <f>assumptions!M242</f>
        <v>55</v>
      </c>
      <c r="P238" s="68">
        <f>assumptions!N242</f>
        <v>3</v>
      </c>
      <c r="Q238" s="68">
        <f>assumptions!O242</f>
        <v>22</v>
      </c>
      <c r="R238" s="67">
        <f t="shared" si="65"/>
        <v>52.5</v>
      </c>
      <c r="S238" s="68">
        <f t="shared" si="66"/>
        <v>2.3275000000000001</v>
      </c>
      <c r="T238" s="68">
        <f t="shared" si="67"/>
        <v>22</v>
      </c>
      <c r="U238" s="73">
        <f t="shared" ca="1" si="73"/>
        <v>1369.411532472868</v>
      </c>
      <c r="V238" s="72">
        <f t="shared" ca="1" si="73"/>
        <v>305.51334326904254</v>
      </c>
      <c r="W238" s="72">
        <f t="shared" ca="1" si="68"/>
        <v>577.55476278573019</v>
      </c>
      <c r="X238" s="72">
        <f t="shared" ca="1" si="74"/>
        <v>2252.4796385276404</v>
      </c>
      <c r="Y238" s="73">
        <f>mult_opex * fixed_month</f>
        <v>1000</v>
      </c>
      <c r="Z238" s="72">
        <f ca="1">mult_opex * fixed_well *D238</f>
        <v>5000</v>
      </c>
      <c r="AA238" s="72">
        <f ca="1">(Z238+Y238)*WI_current_2</f>
        <v>0</v>
      </c>
      <c r="AB238" s="72">
        <f ca="1">mult_opex * var_bo*E238</f>
        <v>0</v>
      </c>
      <c r="AC238" s="72">
        <f ca="1">mult_opex * var_mcf*F238</f>
        <v>0</v>
      </c>
      <c r="AD238" s="72">
        <f ca="1">mult_opex * var_bw * G238</f>
        <v>0.38640128921070699</v>
      </c>
      <c r="AE238" s="72">
        <f ca="1">SUM(AB238:AD238)*WI_current_2</f>
        <v>0</v>
      </c>
      <c r="AF238" s="73">
        <f ca="1">mult_capex * IFERROR(OFFSET(assumptions!$F$39,MATCH(B238,assumptions!$E$39:$E$45,0)-1,0),0)</f>
        <v>0</v>
      </c>
      <c r="AG238" s="75">
        <f ca="1">mult_capex * capex_new*WI_current_2 *'forecast production'!I239</f>
        <v>0</v>
      </c>
      <c r="AH238" s="146">
        <f t="shared" ca="1" si="75"/>
        <v>0</v>
      </c>
      <c r="AI238" s="73">
        <f t="shared" ca="1" si="69"/>
        <v>129.22303844785986</v>
      </c>
      <c r="AJ238" s="72">
        <f t="shared" ca="1" si="70"/>
        <v>56.311990963191015</v>
      </c>
      <c r="AK238" s="72">
        <f t="shared" ca="1" si="76"/>
        <v>185.53502941105089</v>
      </c>
      <c r="AL238" s="73">
        <f t="shared" ca="1" si="71"/>
        <v>2066.9446091165896</v>
      </c>
      <c r="AM238" s="321">
        <f ca="1">'monthly calculations (1)'!AM238</f>
        <v>1</v>
      </c>
      <c r="AN238" s="73">
        <f t="shared" ca="1" si="77"/>
        <v>2066.9446091165896</v>
      </c>
      <c r="AO238" s="75">
        <f t="shared" ca="1" si="79"/>
        <v>1252550.305841753</v>
      </c>
      <c r="AP238" s="72">
        <f ca="1">AL238  /  ( 1 + disc_1/12)^(COUNT($AL$6:AL238)-1)</f>
        <v>301.41996009313181</v>
      </c>
      <c r="AQ238" s="72">
        <f t="shared" ca="1" si="80"/>
        <v>737823.25419811124</v>
      </c>
      <c r="AS238" s="303"/>
      <c r="AT238" s="300"/>
      <c r="AU238" s="297"/>
      <c r="AV238" s="303"/>
    </row>
    <row r="239" spans="2:48" x14ac:dyDescent="0.25">
      <c r="B239" s="43">
        <f t="shared" si="78"/>
        <v>51288</v>
      </c>
      <c r="C239" s="79">
        <f t="shared" si="72"/>
        <v>2040</v>
      </c>
      <c r="D239" s="64">
        <f ca="1">wellcount_base  +  SUM('forecast production'!I$7:I240)</f>
        <v>1</v>
      </c>
      <c r="E239" s="110">
        <f ca="1">'forecast production'!AE240</f>
        <v>100.25791655632858</v>
      </c>
      <c r="F239" s="98">
        <f ca="1">'forecast production'!AF240</f>
        <v>673.9326390021813</v>
      </c>
      <c r="G239" s="98">
        <f ca="1">'forecast production'!AG240</f>
        <v>0.18054203491909288</v>
      </c>
      <c r="H239" s="98">
        <f ca="1">'forecast production'!AH240</f>
        <v>101.0898958503272</v>
      </c>
      <c r="I239" s="307">
        <f ca="1">IF('monthly calculations (1)'!AV238,WI_2_APO, WI_2)</f>
        <v>0</v>
      </c>
      <c r="J239" s="306">
        <f ca="1">IF('monthly calculations (1)'!AV238,NRI_2_APO, NRI_2)</f>
        <v>0.25</v>
      </c>
      <c r="K239" s="112">
        <f t="shared" ca="1" si="61"/>
        <v>25.064479139082145</v>
      </c>
      <c r="L239" s="98">
        <f t="shared" ca="1" si="62"/>
        <v>126.36236981290899</v>
      </c>
      <c r="M239" s="98">
        <f t="shared" ca="1" si="63"/>
        <v>4.5135508729773219E-2</v>
      </c>
      <c r="N239" s="98">
        <f t="shared" ca="1" si="64"/>
        <v>25.272473962581799</v>
      </c>
      <c r="O239" s="67">
        <f>assumptions!M243</f>
        <v>55</v>
      </c>
      <c r="P239" s="68">
        <f>assumptions!N243</f>
        <v>3</v>
      </c>
      <c r="Q239" s="68">
        <f>assumptions!O243</f>
        <v>22</v>
      </c>
      <c r="R239" s="67">
        <f t="shared" si="65"/>
        <v>52.5</v>
      </c>
      <c r="S239" s="68">
        <f t="shared" si="66"/>
        <v>2.3275000000000001</v>
      </c>
      <c r="T239" s="68">
        <f t="shared" si="67"/>
        <v>22</v>
      </c>
      <c r="U239" s="73">
        <f t="shared" ca="1" si="73"/>
        <v>1315.8851548018126</v>
      </c>
      <c r="V239" s="72">
        <f t="shared" ca="1" si="73"/>
        <v>294.10841573954571</v>
      </c>
      <c r="W239" s="72">
        <f t="shared" ca="1" si="68"/>
        <v>555.9944271767996</v>
      </c>
      <c r="X239" s="72">
        <f t="shared" ca="1" si="74"/>
        <v>2165.9879977181581</v>
      </c>
      <c r="Y239" s="73">
        <f>mult_opex * fixed_month</f>
        <v>1000</v>
      </c>
      <c r="Z239" s="72">
        <f ca="1">mult_opex * fixed_well *D239</f>
        <v>5000</v>
      </c>
      <c r="AA239" s="72">
        <f ca="1">(Z239+Y239)*WI_current_2</f>
        <v>0</v>
      </c>
      <c r="AB239" s="72">
        <f ca="1">mult_opex * var_bo*E239</f>
        <v>0</v>
      </c>
      <c r="AC239" s="72">
        <f ca="1">mult_opex * var_mcf*F239</f>
        <v>0</v>
      </c>
      <c r="AD239" s="72">
        <f ca="1">mult_opex * var_bw * G239</f>
        <v>0.36108406983818575</v>
      </c>
      <c r="AE239" s="72">
        <f ca="1">SUM(AB239:AD239)*WI_current_2</f>
        <v>0</v>
      </c>
      <c r="AF239" s="73">
        <f ca="1">mult_capex * IFERROR(OFFSET(assumptions!$F$39,MATCH(B239,assumptions!$E$39:$E$45,0)-1,0),0)</f>
        <v>0</v>
      </c>
      <c r="AG239" s="75">
        <f ca="1">mult_capex * capex_new*WI_current_2 *'forecast production'!I240</f>
        <v>0</v>
      </c>
      <c r="AH239" s="146">
        <f t="shared" ca="1" si="75"/>
        <v>0</v>
      </c>
      <c r="AI239" s="73">
        <f t="shared" ca="1" si="69"/>
        <v>124.28843033960928</v>
      </c>
      <c r="AJ239" s="72">
        <f t="shared" ca="1" si="70"/>
        <v>54.149699942953958</v>
      </c>
      <c r="AK239" s="72">
        <f t="shared" ca="1" si="76"/>
        <v>178.43813028256324</v>
      </c>
      <c r="AL239" s="73">
        <f t="shared" ca="1" si="71"/>
        <v>1987.5498674355949</v>
      </c>
      <c r="AM239" s="321">
        <f ca="1">'monthly calculations (1)'!AM239</f>
        <v>0</v>
      </c>
      <c r="AN239" s="73">
        <f t="shared" ca="1" si="77"/>
        <v>0</v>
      </c>
      <c r="AO239" s="75">
        <f t="shared" ca="1" si="79"/>
        <v>1252550.305841753</v>
      </c>
      <c r="AP239" s="72">
        <f ca="1">AL239  /  ( 1 + disc_1/12)^(COUNT($AL$6:AL239)-1)</f>
        <v>287.44653591898697</v>
      </c>
      <c r="AQ239" s="72">
        <f t="shared" ca="1" si="80"/>
        <v>737823.25419811124</v>
      </c>
      <c r="AS239" s="303"/>
      <c r="AT239" s="300"/>
      <c r="AU239" s="297"/>
      <c r="AV239" s="303"/>
    </row>
    <row r="240" spans="2:48" x14ac:dyDescent="0.25">
      <c r="B240" s="43">
        <f t="shared" si="78"/>
        <v>51318</v>
      </c>
      <c r="C240" s="79">
        <f t="shared" si="72"/>
        <v>2040</v>
      </c>
      <c r="D240" s="64">
        <f ca="1">wellcount_base  +  SUM('forecast production'!I$7:I241)</f>
        <v>1</v>
      </c>
      <c r="E240" s="110">
        <f ca="1">'forecast production'!AE241</f>
        <v>102.89227540875854</v>
      </c>
      <c r="F240" s="98">
        <f ca="1">'forecast production'!AF241</f>
        <v>692.86441935770165</v>
      </c>
      <c r="G240" s="98">
        <f ca="1">'forecast production'!AG241</f>
        <v>0.18035222134236673</v>
      </c>
      <c r="H240" s="98">
        <f ca="1">'forecast production'!AH241</f>
        <v>103.92966290365524</v>
      </c>
      <c r="I240" s="307">
        <f ca="1">IF('monthly calculations (1)'!AV239,WI_2_APO, WI_2)</f>
        <v>0</v>
      </c>
      <c r="J240" s="306">
        <f ca="1">IF('monthly calculations (1)'!AV239,NRI_2_APO, NRI_2)</f>
        <v>0.25</v>
      </c>
      <c r="K240" s="112">
        <f t="shared" ca="1" si="61"/>
        <v>25.723068852189634</v>
      </c>
      <c r="L240" s="98">
        <f t="shared" ca="1" si="62"/>
        <v>129.91207862956907</v>
      </c>
      <c r="M240" s="98">
        <f t="shared" ca="1" si="63"/>
        <v>4.5088055335591681E-2</v>
      </c>
      <c r="N240" s="98">
        <f t="shared" ca="1" si="64"/>
        <v>25.98241572591381</v>
      </c>
      <c r="O240" s="67">
        <f>assumptions!M244</f>
        <v>55</v>
      </c>
      <c r="P240" s="68">
        <f>assumptions!N244</f>
        <v>3</v>
      </c>
      <c r="Q240" s="68">
        <f>assumptions!O244</f>
        <v>22</v>
      </c>
      <c r="R240" s="67">
        <f t="shared" si="65"/>
        <v>52.5</v>
      </c>
      <c r="S240" s="68">
        <f t="shared" si="66"/>
        <v>2.3275000000000001</v>
      </c>
      <c r="T240" s="68">
        <f t="shared" si="67"/>
        <v>22</v>
      </c>
      <c r="U240" s="73">
        <f t="shared" ca="1" si="73"/>
        <v>1350.4611147399557</v>
      </c>
      <c r="V240" s="72">
        <f t="shared" ca="1" si="73"/>
        <v>302.37036301032202</v>
      </c>
      <c r="W240" s="72">
        <f t="shared" ca="1" si="68"/>
        <v>571.6131459701038</v>
      </c>
      <c r="X240" s="72">
        <f t="shared" ca="1" si="74"/>
        <v>2224.4446237203815</v>
      </c>
      <c r="Y240" s="73">
        <f>mult_opex * fixed_month</f>
        <v>1000</v>
      </c>
      <c r="Z240" s="72">
        <f ca="1">mult_opex * fixed_well *D240</f>
        <v>5000</v>
      </c>
      <c r="AA240" s="72">
        <f ca="1">(Z240+Y240)*WI_current_2</f>
        <v>0</v>
      </c>
      <c r="AB240" s="72">
        <f ca="1">mult_opex * var_bo*E240</f>
        <v>0</v>
      </c>
      <c r="AC240" s="72">
        <f ca="1">mult_opex * var_mcf*F240</f>
        <v>0</v>
      </c>
      <c r="AD240" s="72">
        <f ca="1">mult_opex * var_bw * G240</f>
        <v>0.36070444268473345</v>
      </c>
      <c r="AE240" s="72">
        <f ca="1">SUM(AB240:AD240)*WI_current_2</f>
        <v>0</v>
      </c>
      <c r="AF240" s="73">
        <f ca="1">mult_capex * IFERROR(OFFSET(assumptions!$F$39,MATCH(B240,assumptions!$E$39:$E$45,0)-1,0),0)</f>
        <v>0</v>
      </c>
      <c r="AG240" s="75">
        <f ca="1">mult_capex * capex_new*WI_current_2 *'forecast production'!I241</f>
        <v>0</v>
      </c>
      <c r="AH240" s="146">
        <f t="shared" ca="1" si="75"/>
        <v>0</v>
      </c>
      <c r="AI240" s="73">
        <f t="shared" ca="1" si="69"/>
        <v>127.66997445156989</v>
      </c>
      <c r="AJ240" s="72">
        <f t="shared" ca="1" si="70"/>
        <v>55.611115593009544</v>
      </c>
      <c r="AK240" s="72">
        <f t="shared" ca="1" si="76"/>
        <v>183.28109004457943</v>
      </c>
      <c r="AL240" s="73">
        <f t="shared" ca="1" si="71"/>
        <v>2041.163533675802</v>
      </c>
      <c r="AM240" s="321">
        <f ca="1">'monthly calculations (1)'!AM240</f>
        <v>1</v>
      </c>
      <c r="AN240" s="73">
        <f t="shared" ca="1" si="77"/>
        <v>2041.163533675802</v>
      </c>
      <c r="AO240" s="75">
        <f t="shared" ca="1" si="79"/>
        <v>1254591.4693754287</v>
      </c>
      <c r="AP240" s="72">
        <f ca="1">AL240  /  ( 1 + disc_1/12)^(COUNT($AL$6:AL240)-1)</f>
        <v>292.76066296114362</v>
      </c>
      <c r="AQ240" s="72">
        <f t="shared" ca="1" si="80"/>
        <v>738116.01486107241</v>
      </c>
      <c r="AS240" s="303"/>
      <c r="AT240" s="300"/>
      <c r="AU240" s="297"/>
      <c r="AV240" s="303"/>
    </row>
    <row r="241" spans="2:48" x14ac:dyDescent="0.25">
      <c r="B241" s="43">
        <f t="shared" si="78"/>
        <v>51349</v>
      </c>
      <c r="C241" s="79">
        <f t="shared" si="72"/>
        <v>2040</v>
      </c>
      <c r="D241" s="64">
        <f ca="1">wellcount_base  +  SUM('forecast production'!I$7:I242)</f>
        <v>1</v>
      </c>
      <c r="E241" s="110">
        <f ca="1">'forecast production'!AE242</f>
        <v>102.16619452590238</v>
      </c>
      <c r="F241" s="98">
        <f ca="1">'forecast production'!AF242</f>
        <v>689.23284878422066</v>
      </c>
      <c r="G241" s="98">
        <f ca="1">'forecast production'!AG242</f>
        <v>0.17415539082814735</v>
      </c>
      <c r="H241" s="98">
        <f ca="1">'forecast production'!AH242</f>
        <v>103.3849273176331</v>
      </c>
      <c r="I241" s="307">
        <f ca="1">IF('monthly calculations (1)'!AV240,WI_2_APO, WI_2)</f>
        <v>0</v>
      </c>
      <c r="J241" s="306">
        <f ca="1">IF('monthly calculations (1)'!AV240,NRI_2_APO, NRI_2)</f>
        <v>0.25</v>
      </c>
      <c r="K241" s="112">
        <f t="shared" ca="1" si="61"/>
        <v>25.541548631475596</v>
      </c>
      <c r="L241" s="98">
        <f t="shared" ca="1" si="62"/>
        <v>129.23115914704138</v>
      </c>
      <c r="M241" s="98">
        <f t="shared" ca="1" si="63"/>
        <v>4.3538847707036837E-2</v>
      </c>
      <c r="N241" s="98">
        <f t="shared" ca="1" si="64"/>
        <v>25.846231829408275</v>
      </c>
      <c r="O241" s="67">
        <f>assumptions!M245</f>
        <v>55</v>
      </c>
      <c r="P241" s="68">
        <f>assumptions!N245</f>
        <v>3</v>
      </c>
      <c r="Q241" s="68">
        <f>assumptions!O245</f>
        <v>22</v>
      </c>
      <c r="R241" s="67">
        <f t="shared" si="65"/>
        <v>52.5</v>
      </c>
      <c r="S241" s="68">
        <f t="shared" si="66"/>
        <v>2.3275000000000001</v>
      </c>
      <c r="T241" s="68">
        <f t="shared" si="67"/>
        <v>22</v>
      </c>
      <c r="U241" s="73">
        <f t="shared" ca="1" si="73"/>
        <v>1340.9313031524689</v>
      </c>
      <c r="V241" s="72">
        <f t="shared" ca="1" si="73"/>
        <v>300.78552291473881</v>
      </c>
      <c r="W241" s="72">
        <f t="shared" ca="1" si="68"/>
        <v>568.61710024698209</v>
      </c>
      <c r="X241" s="72">
        <f t="shared" ca="1" si="74"/>
        <v>2210.3339263141897</v>
      </c>
      <c r="Y241" s="73">
        <f>mult_opex * fixed_month</f>
        <v>1000</v>
      </c>
      <c r="Z241" s="72">
        <f ca="1">mult_opex * fixed_well *D241</f>
        <v>5000</v>
      </c>
      <c r="AA241" s="72">
        <f ca="1">(Z241+Y241)*WI_current_2</f>
        <v>0</v>
      </c>
      <c r="AB241" s="72">
        <f ca="1">mult_opex * var_bo*E241</f>
        <v>0</v>
      </c>
      <c r="AC241" s="72">
        <f ca="1">mult_opex * var_mcf*F241</f>
        <v>0</v>
      </c>
      <c r="AD241" s="72">
        <f ca="1">mult_opex * var_bw * G241</f>
        <v>0.3483107816562947</v>
      </c>
      <c r="AE241" s="72">
        <f ca="1">SUM(AB241:AD241)*WI_current_2</f>
        <v>0</v>
      </c>
      <c r="AF241" s="73">
        <f ca="1">mult_capex * IFERROR(OFFSET(assumptions!$F$39,MATCH(B241,assumptions!$E$39:$E$45,0)-1,0),0)</f>
        <v>0</v>
      </c>
      <c r="AG241" s="75">
        <f ca="1">mult_capex * capex_new*WI_current_2 *'forecast production'!I242</f>
        <v>0</v>
      </c>
      <c r="AH241" s="146">
        <f t="shared" ca="1" si="75"/>
        <v>0</v>
      </c>
      <c r="AI241" s="73">
        <f t="shared" ca="1" si="69"/>
        <v>126.88803668214263</v>
      </c>
      <c r="AJ241" s="72">
        <f t="shared" ca="1" si="70"/>
        <v>55.258348157854748</v>
      </c>
      <c r="AK241" s="72">
        <f t="shared" ca="1" si="76"/>
        <v>182.14638483999738</v>
      </c>
      <c r="AL241" s="73">
        <f t="shared" ca="1" si="71"/>
        <v>2028.1875414741924</v>
      </c>
      <c r="AM241" s="321">
        <f ca="1">'monthly calculations (1)'!AM241</f>
        <v>1</v>
      </c>
      <c r="AN241" s="73">
        <f t="shared" ca="1" si="77"/>
        <v>2028.1875414741924</v>
      </c>
      <c r="AO241" s="75">
        <f t="shared" ca="1" si="79"/>
        <v>1256619.6569169029</v>
      </c>
      <c r="AP241" s="72">
        <f ca="1">AL241  /  ( 1 + disc_1/12)^(COUNT($AL$6:AL241)-1)</f>
        <v>288.49540974360445</v>
      </c>
      <c r="AQ241" s="72">
        <f t="shared" ca="1" si="80"/>
        <v>738404.51027081604</v>
      </c>
      <c r="AS241" s="303"/>
      <c r="AT241" s="300"/>
      <c r="AU241" s="297"/>
      <c r="AV241" s="303"/>
    </row>
    <row r="242" spans="2:48" x14ac:dyDescent="0.25">
      <c r="B242" s="43">
        <f t="shared" si="78"/>
        <v>51380</v>
      </c>
      <c r="C242" s="79">
        <f t="shared" si="72"/>
        <v>2040</v>
      </c>
      <c r="D242" s="64">
        <f ca="1">wellcount_base  +  SUM('forecast production'!I$7:I243)</f>
        <v>1</v>
      </c>
      <c r="E242" s="110">
        <f ca="1">'forecast production'!AE243</f>
        <v>98.172810372394594</v>
      </c>
      <c r="F242" s="98">
        <f ca="1">'forecast production'!AF243</f>
        <v>663.50352839767913</v>
      </c>
      <c r="G242" s="98">
        <f ca="1">'forecast production'!AG243</f>
        <v>0.16274758905054587</v>
      </c>
      <c r="H242" s="98">
        <f ca="1">'forecast production'!AH243</f>
        <v>99.525529259651876</v>
      </c>
      <c r="I242" s="307">
        <f ca="1">IF('monthly calculations (1)'!AV241,WI_2_APO, WI_2)</f>
        <v>0</v>
      </c>
      <c r="J242" s="306">
        <f ca="1">IF('monthly calculations (1)'!AV241,NRI_2_APO, NRI_2)</f>
        <v>0.25</v>
      </c>
      <c r="K242" s="112">
        <f t="shared" ca="1" si="61"/>
        <v>24.543202593098648</v>
      </c>
      <c r="L242" s="98">
        <f t="shared" ca="1" si="62"/>
        <v>124.40691157456484</v>
      </c>
      <c r="M242" s="98">
        <f t="shared" ca="1" si="63"/>
        <v>4.0686897262636468E-2</v>
      </c>
      <c r="N242" s="98">
        <f t="shared" ca="1" si="64"/>
        <v>24.881382314912969</v>
      </c>
      <c r="O242" s="67">
        <f>assumptions!M246</f>
        <v>55</v>
      </c>
      <c r="P242" s="68">
        <f>assumptions!N246</f>
        <v>3</v>
      </c>
      <c r="Q242" s="68">
        <f>assumptions!O246</f>
        <v>22</v>
      </c>
      <c r="R242" s="67">
        <f t="shared" si="65"/>
        <v>52.5</v>
      </c>
      <c r="S242" s="68">
        <f t="shared" si="66"/>
        <v>2.3275000000000001</v>
      </c>
      <c r="T242" s="68">
        <f t="shared" si="67"/>
        <v>22</v>
      </c>
      <c r="U242" s="73">
        <f t="shared" ca="1" si="73"/>
        <v>1288.518136137679</v>
      </c>
      <c r="V242" s="72">
        <f t="shared" ca="1" si="73"/>
        <v>289.55708668979969</v>
      </c>
      <c r="W242" s="72">
        <f t="shared" ca="1" si="68"/>
        <v>547.39041092808532</v>
      </c>
      <c r="X242" s="72">
        <f t="shared" ca="1" si="74"/>
        <v>2125.4656337555639</v>
      </c>
      <c r="Y242" s="73">
        <f>mult_opex * fixed_month</f>
        <v>1000</v>
      </c>
      <c r="Z242" s="72">
        <f ca="1">mult_opex * fixed_well *D242</f>
        <v>5000</v>
      </c>
      <c r="AA242" s="72">
        <f ca="1">(Z242+Y242)*WI_current_2</f>
        <v>0</v>
      </c>
      <c r="AB242" s="72">
        <f ca="1">mult_opex * var_bo*E242</f>
        <v>0</v>
      </c>
      <c r="AC242" s="72">
        <f ca="1">mult_opex * var_mcf*F242</f>
        <v>0</v>
      </c>
      <c r="AD242" s="72">
        <f ca="1">mult_opex * var_bw * G242</f>
        <v>0.32549517810109174</v>
      </c>
      <c r="AE242" s="72">
        <f ca="1">SUM(AB242:AD242)*WI_current_2</f>
        <v>0</v>
      </c>
      <c r="AF242" s="73">
        <f ca="1">mult_capex * IFERROR(OFFSET(assumptions!$F$39,MATCH(B242,assumptions!$E$39:$E$45,0)-1,0),0)</f>
        <v>0</v>
      </c>
      <c r="AG242" s="75">
        <f ca="1">mult_capex * capex_new*WI_current_2 *'forecast production'!I243</f>
        <v>0</v>
      </c>
      <c r="AH242" s="146">
        <f t="shared" ca="1" si="75"/>
        <v>0</v>
      </c>
      <c r="AI242" s="73">
        <f t="shared" ca="1" si="69"/>
        <v>122.0428965836746</v>
      </c>
      <c r="AJ242" s="72">
        <f t="shared" ca="1" si="70"/>
        <v>53.136640843889097</v>
      </c>
      <c r="AK242" s="72">
        <f t="shared" ca="1" si="76"/>
        <v>175.1795374275637</v>
      </c>
      <c r="AL242" s="73">
        <f t="shared" ca="1" si="71"/>
        <v>1950.2860963280002</v>
      </c>
      <c r="AM242" s="321">
        <f ca="1">'monthly calculations (1)'!AM242</f>
        <v>0</v>
      </c>
      <c r="AN242" s="73">
        <f t="shared" ca="1" si="77"/>
        <v>0</v>
      </c>
      <c r="AO242" s="75">
        <f t="shared" ca="1" si="79"/>
        <v>1256619.6569169029</v>
      </c>
      <c r="AP242" s="72">
        <f ca="1">AL242  /  ( 1 + disc_1/12)^(COUNT($AL$6:AL242)-1)</f>
        <v>275.12179556818677</v>
      </c>
      <c r="AQ242" s="72">
        <f t="shared" ca="1" si="80"/>
        <v>738404.51027081604</v>
      </c>
      <c r="AS242" s="303"/>
      <c r="AT242" s="300"/>
      <c r="AU242" s="297"/>
      <c r="AV242" s="303"/>
    </row>
    <row r="243" spans="2:48" x14ac:dyDescent="0.25">
      <c r="B243" s="43">
        <f t="shared" si="78"/>
        <v>51410</v>
      </c>
      <c r="C243" s="79">
        <f t="shared" si="72"/>
        <v>2040</v>
      </c>
      <c r="D243" s="64">
        <f ca="1">wellcount_base  +  SUM('forecast production'!I$7:I244)</f>
        <v>1</v>
      </c>
      <c r="E243" s="110">
        <f ca="1">'forecast production'!AE244</f>
        <v>100.75238135247918</v>
      </c>
      <c r="F243" s="98">
        <f ca="1">'forecast production'!AF244</f>
        <v>682.14233936747542</v>
      </c>
      <c r="G243" s="98">
        <f ca="1">'forecast production'!AG244</f>
        <v>0.16257933723459012</v>
      </c>
      <c r="H243" s="98">
        <f ca="1">'forecast production'!AH244</f>
        <v>102.32135090512131</v>
      </c>
      <c r="I243" s="307">
        <f ca="1">IF('monthly calculations (1)'!AV242,WI_2_APO, WI_2)</f>
        <v>0</v>
      </c>
      <c r="J243" s="306">
        <f ca="1">IF('monthly calculations (1)'!AV242,NRI_2_APO, NRI_2)</f>
        <v>0.25</v>
      </c>
      <c r="K243" s="112">
        <f t="shared" ca="1" si="61"/>
        <v>25.188095338119794</v>
      </c>
      <c r="L243" s="98">
        <f t="shared" ca="1" si="62"/>
        <v>127.90168863140164</v>
      </c>
      <c r="M243" s="98">
        <f t="shared" ca="1" si="63"/>
        <v>4.0644834308647529E-2</v>
      </c>
      <c r="N243" s="98">
        <f t="shared" ca="1" si="64"/>
        <v>25.580337726280327</v>
      </c>
      <c r="O243" s="67">
        <f>assumptions!M247</f>
        <v>55</v>
      </c>
      <c r="P243" s="68">
        <f>assumptions!N247</f>
        <v>3</v>
      </c>
      <c r="Q243" s="68">
        <f>assumptions!O247</f>
        <v>22</v>
      </c>
      <c r="R243" s="67">
        <f t="shared" si="65"/>
        <v>52.5</v>
      </c>
      <c r="S243" s="68">
        <f t="shared" si="66"/>
        <v>2.3275000000000001</v>
      </c>
      <c r="T243" s="68">
        <f t="shared" si="67"/>
        <v>22</v>
      </c>
      <c r="U243" s="73">
        <f t="shared" ca="1" si="73"/>
        <v>1322.3750052512892</v>
      </c>
      <c r="V243" s="72">
        <f t="shared" ca="1" si="73"/>
        <v>297.69118028958735</v>
      </c>
      <c r="W243" s="72">
        <f t="shared" ca="1" si="68"/>
        <v>562.76742997816723</v>
      </c>
      <c r="X243" s="72">
        <f t="shared" ca="1" si="74"/>
        <v>2182.8336155190436</v>
      </c>
      <c r="Y243" s="73">
        <f>mult_opex * fixed_month</f>
        <v>1000</v>
      </c>
      <c r="Z243" s="72">
        <f ca="1">mult_opex * fixed_well *D243</f>
        <v>5000</v>
      </c>
      <c r="AA243" s="72">
        <f ca="1">(Z243+Y243)*WI_current_2</f>
        <v>0</v>
      </c>
      <c r="AB243" s="72">
        <f ca="1">mult_opex * var_bo*E243</f>
        <v>0</v>
      </c>
      <c r="AC243" s="72">
        <f ca="1">mult_opex * var_mcf*F243</f>
        <v>0</v>
      </c>
      <c r="AD243" s="72">
        <f ca="1">mult_opex * var_bw * G243</f>
        <v>0.32515867446918023</v>
      </c>
      <c r="AE243" s="72">
        <f ca="1">SUM(AB243:AD243)*WI_current_2</f>
        <v>0</v>
      </c>
      <c r="AF243" s="73">
        <f ca="1">mult_capex * IFERROR(OFFSET(assumptions!$F$39,MATCH(B243,assumptions!$E$39:$E$45,0)-1,0),0)</f>
        <v>0</v>
      </c>
      <c r="AG243" s="75">
        <f ca="1">mult_capex * capex_new*WI_current_2 *'forecast production'!I244</f>
        <v>0</v>
      </c>
      <c r="AH243" s="146">
        <f t="shared" ca="1" si="75"/>
        <v>0</v>
      </c>
      <c r="AI243" s="73">
        <f t="shared" ca="1" si="69"/>
        <v>125.3636460116409</v>
      </c>
      <c r="AJ243" s="72">
        <f t="shared" ca="1" si="70"/>
        <v>54.570840387976091</v>
      </c>
      <c r="AK243" s="72">
        <f t="shared" ca="1" si="76"/>
        <v>179.93448639961699</v>
      </c>
      <c r="AL243" s="73">
        <f t="shared" ca="1" si="71"/>
        <v>2002.8991291194266</v>
      </c>
      <c r="AM243" s="321">
        <f ca="1">'monthly calculations (1)'!AM243</f>
        <v>1</v>
      </c>
      <c r="AN243" s="73">
        <f t="shared" ca="1" si="77"/>
        <v>2002.8991291194266</v>
      </c>
      <c r="AO243" s="75">
        <f t="shared" ca="1" si="79"/>
        <v>1258622.5560460223</v>
      </c>
      <c r="AP243" s="72">
        <f ca="1">AL243  /  ( 1 + disc_1/12)^(COUNT($AL$6:AL243)-1)</f>
        <v>280.2087069332398</v>
      </c>
      <c r="AQ243" s="72">
        <f t="shared" ca="1" si="80"/>
        <v>738684.71897774923</v>
      </c>
      <c r="AS243" s="303"/>
      <c r="AT243" s="300"/>
      <c r="AU243" s="297"/>
      <c r="AV243" s="303"/>
    </row>
    <row r="244" spans="2:48" x14ac:dyDescent="0.25">
      <c r="B244" s="43">
        <f t="shared" si="78"/>
        <v>51441</v>
      </c>
      <c r="C244" s="79">
        <f t="shared" si="72"/>
        <v>2040</v>
      </c>
      <c r="D244" s="64">
        <f ca="1">wellcount_base  +  SUM('forecast production'!I$7:I245)</f>
        <v>1</v>
      </c>
      <c r="E244" s="110">
        <f ca="1">'forecast production'!AE245</f>
        <v>96.814259109713674</v>
      </c>
      <c r="F244" s="98">
        <f ca="1">'forecast production'!AF245</f>
        <v>656.67771035310057</v>
      </c>
      <c r="G244" s="98">
        <f ca="1">'forecast production'!AG245</f>
        <v>0.1519316345003191</v>
      </c>
      <c r="H244" s="98">
        <f ca="1">'forecast production'!AH245</f>
        <v>98.501656552965088</v>
      </c>
      <c r="I244" s="307">
        <f ca="1">IF('monthly calculations (1)'!AV243,WI_2_APO, WI_2)</f>
        <v>0</v>
      </c>
      <c r="J244" s="306">
        <f ca="1">IF('monthly calculations (1)'!AV243,NRI_2_APO, NRI_2)</f>
        <v>0.25</v>
      </c>
      <c r="K244" s="112">
        <f t="shared" ca="1" si="61"/>
        <v>24.203564777428419</v>
      </c>
      <c r="L244" s="98">
        <f t="shared" ca="1" si="62"/>
        <v>123.12707069120636</v>
      </c>
      <c r="M244" s="98">
        <f t="shared" ca="1" si="63"/>
        <v>3.7982908625079775E-2</v>
      </c>
      <c r="N244" s="98">
        <f t="shared" ca="1" si="64"/>
        <v>24.625414138241272</v>
      </c>
      <c r="O244" s="67">
        <f>assumptions!M248</f>
        <v>55</v>
      </c>
      <c r="P244" s="68">
        <f>assumptions!N248</f>
        <v>3</v>
      </c>
      <c r="Q244" s="68">
        <f>assumptions!O248</f>
        <v>22</v>
      </c>
      <c r="R244" s="67">
        <f t="shared" si="65"/>
        <v>52.5</v>
      </c>
      <c r="S244" s="68">
        <f t="shared" si="66"/>
        <v>2.3275000000000001</v>
      </c>
      <c r="T244" s="68">
        <f t="shared" si="67"/>
        <v>22</v>
      </c>
      <c r="U244" s="73">
        <f t="shared" ca="1" si="73"/>
        <v>1270.687150814992</v>
      </c>
      <c r="V244" s="72">
        <f t="shared" ca="1" si="73"/>
        <v>286.57825703378279</v>
      </c>
      <c r="W244" s="72">
        <f t="shared" ca="1" si="68"/>
        <v>541.75911104130796</v>
      </c>
      <c r="X244" s="72">
        <f t="shared" ca="1" si="74"/>
        <v>2099.0245188900826</v>
      </c>
      <c r="Y244" s="73">
        <f>mult_opex * fixed_month</f>
        <v>1000</v>
      </c>
      <c r="Z244" s="72">
        <f ca="1">mult_opex * fixed_well *D244</f>
        <v>5000</v>
      </c>
      <c r="AA244" s="72">
        <f ca="1">(Z244+Y244)*WI_current_2</f>
        <v>0</v>
      </c>
      <c r="AB244" s="72">
        <f ca="1">mult_opex * var_bo*E244</f>
        <v>0</v>
      </c>
      <c r="AC244" s="72">
        <f ca="1">mult_opex * var_mcf*F244</f>
        <v>0</v>
      </c>
      <c r="AD244" s="72">
        <f ca="1">mult_opex * var_bw * G244</f>
        <v>0.3038632690006382</v>
      </c>
      <c r="AE244" s="72">
        <f ca="1">SUM(AB244:AD244)*WI_current_2</f>
        <v>0</v>
      </c>
      <c r="AF244" s="73">
        <f ca="1">mult_capex * IFERROR(OFFSET(assumptions!$F$39,MATCH(B244,assumptions!$E$39:$E$45,0)-1,0),0)</f>
        <v>0</v>
      </c>
      <c r="AG244" s="75">
        <f ca="1">mult_capex * capex_new*WI_current_2 *'forecast production'!I245</f>
        <v>0</v>
      </c>
      <c r="AH244" s="146">
        <f t="shared" ca="1" si="75"/>
        <v>0</v>
      </c>
      <c r="AI244" s="73">
        <f t="shared" ca="1" si="69"/>
        <v>120.57691154312144</v>
      </c>
      <c r="AJ244" s="72">
        <f t="shared" ca="1" si="70"/>
        <v>52.475612972252065</v>
      </c>
      <c r="AK244" s="72">
        <f t="shared" ca="1" si="76"/>
        <v>173.05252451537351</v>
      </c>
      <c r="AL244" s="73">
        <f t="shared" ca="1" si="71"/>
        <v>1925.9719943747091</v>
      </c>
      <c r="AM244" s="321">
        <f ca="1">'monthly calculations (1)'!AM244</f>
        <v>0</v>
      </c>
      <c r="AN244" s="73">
        <f t="shared" ca="1" si="77"/>
        <v>0</v>
      </c>
      <c r="AO244" s="75">
        <f t="shared" ca="1" si="79"/>
        <v>1258622.5560460223</v>
      </c>
      <c r="AP244" s="72">
        <f ca="1">AL244  /  ( 1 + disc_1/12)^(COUNT($AL$6:AL244)-1)</f>
        <v>267.21965057562863</v>
      </c>
      <c r="AQ244" s="72">
        <f t="shared" ca="1" si="80"/>
        <v>738684.71897774923</v>
      </c>
      <c r="AS244" s="303"/>
      <c r="AT244" s="300"/>
      <c r="AU244" s="297"/>
      <c r="AV244" s="303"/>
    </row>
    <row r="245" spans="2:48" x14ac:dyDescent="0.25">
      <c r="B245" s="44">
        <f t="shared" si="78"/>
        <v>51471</v>
      </c>
      <c r="C245" s="100">
        <f t="shared" si="72"/>
        <v>2040</v>
      </c>
      <c r="D245" s="65">
        <f ca="1">wellcount_base  +  SUM('forecast production'!I$7:I246)</f>
        <v>1</v>
      </c>
      <c r="E245" s="109">
        <f ca="1">'forecast production'!AE246</f>
        <v>99.358133042938974</v>
      </c>
      <c r="F245" s="101">
        <f ca="1">'forecast production'!AF246</f>
        <v>675.12477383881901</v>
      </c>
      <c r="G245" s="101">
        <f ca="1">'forecast production'!AG246</f>
        <v>0.15177632919992209</v>
      </c>
      <c r="H245" s="102">
        <f ca="1">'forecast production'!AH246</f>
        <v>101.26871607582285</v>
      </c>
      <c r="I245" s="308">
        <f ca="1">IF('monthly calculations (1)'!AV244,WI_2_APO, WI_2)</f>
        <v>0</v>
      </c>
      <c r="J245" s="309">
        <f ca="1">IF('monthly calculations (1)'!AV244,NRI_2_APO, NRI_2)</f>
        <v>0.25</v>
      </c>
      <c r="K245" s="113">
        <f t="shared" ca="1" si="61"/>
        <v>24.839533260734743</v>
      </c>
      <c r="L245" s="102">
        <f t="shared" ca="1" si="62"/>
        <v>126.58589509477856</v>
      </c>
      <c r="M245" s="102">
        <f t="shared" ca="1" si="63"/>
        <v>3.7944082299980524E-2</v>
      </c>
      <c r="N245" s="102">
        <f t="shared" ca="1" si="64"/>
        <v>25.317179018955713</v>
      </c>
      <c r="O245" s="103">
        <f>assumptions!M249</f>
        <v>55</v>
      </c>
      <c r="P245" s="104">
        <f>assumptions!N249</f>
        <v>3</v>
      </c>
      <c r="Q245" s="104">
        <f>assumptions!O249</f>
        <v>22</v>
      </c>
      <c r="R245" s="103">
        <f t="shared" si="65"/>
        <v>52.5</v>
      </c>
      <c r="S245" s="104">
        <f t="shared" si="66"/>
        <v>2.3275000000000001</v>
      </c>
      <c r="T245" s="104">
        <f t="shared" si="67"/>
        <v>22</v>
      </c>
      <c r="U245" s="105">
        <f t="shared" ca="1" si="73"/>
        <v>1304.0754961885741</v>
      </c>
      <c r="V245" s="106">
        <f t="shared" ca="1" si="73"/>
        <v>294.62867083309715</v>
      </c>
      <c r="W245" s="106">
        <f t="shared" ca="1" si="68"/>
        <v>556.97793841702571</v>
      </c>
      <c r="X245" s="106">
        <f t="shared" ca="1" si="74"/>
        <v>2155.6821054386969</v>
      </c>
      <c r="Y245" s="105">
        <f>mult_opex * fixed_month</f>
        <v>1000</v>
      </c>
      <c r="Z245" s="106">
        <f ca="1">mult_opex * fixed_well *D245</f>
        <v>5000</v>
      </c>
      <c r="AA245" s="106">
        <f ca="1">(Z245+Y245)*WI_current_2</f>
        <v>0</v>
      </c>
      <c r="AB245" s="106">
        <f ca="1">mult_opex * var_bo*E245</f>
        <v>0</v>
      </c>
      <c r="AC245" s="106">
        <f ca="1">mult_opex * var_mcf*F245</f>
        <v>0</v>
      </c>
      <c r="AD245" s="106">
        <f ca="1">mult_opex * var_bw * G245</f>
        <v>0.30355265839984419</v>
      </c>
      <c r="AE245" s="106">
        <f ca="1">SUM(AB245:AD245)*WI_current_2</f>
        <v>0</v>
      </c>
      <c r="AF245" s="105">
        <f ca="1">mult_capex * IFERROR(OFFSET(assumptions!$F$39,MATCH(B245,assumptions!$E$39:$E$45,0)-1,0),0)</f>
        <v>0</v>
      </c>
      <c r="AG245" s="106">
        <f ca="1">mult_capex * capex_new*WI_current_2 *'forecast production'!I246</f>
        <v>0</v>
      </c>
      <c r="AH245" s="147">
        <f t="shared" ca="1" si="75"/>
        <v>0</v>
      </c>
      <c r="AI245" s="105">
        <f t="shared" ca="1" si="69"/>
        <v>123.85796851843361</v>
      </c>
      <c r="AJ245" s="106">
        <f t="shared" ca="1" si="70"/>
        <v>53.892052635967424</v>
      </c>
      <c r="AK245" s="106">
        <f t="shared" ca="1" si="76"/>
        <v>177.75002115440103</v>
      </c>
      <c r="AL245" s="105">
        <f t="shared" ca="1" si="71"/>
        <v>1977.9320842842958</v>
      </c>
      <c r="AM245" s="322">
        <f ca="1">'monthly calculations (1)'!AM245</f>
        <v>0</v>
      </c>
      <c r="AN245" s="105">
        <f t="shared" ca="1" si="77"/>
        <v>0</v>
      </c>
      <c r="AO245" s="106">
        <f t="shared" ca="1" si="79"/>
        <v>1258622.5560460223</v>
      </c>
      <c r="AP245" s="106">
        <f ca="1">AL245  /  ( 1 + disc_1/12)^(COUNT($AL$6:AL245)-1)</f>
        <v>272.1608640235375</v>
      </c>
      <c r="AQ245" s="106">
        <f t="shared" ca="1" si="80"/>
        <v>738684.71897774923</v>
      </c>
      <c r="AS245" s="304"/>
      <c r="AT245" s="301"/>
      <c r="AU245" s="298"/>
      <c r="AV245" s="304"/>
    </row>
    <row r="246" spans="2:48" x14ac:dyDescent="0.25">
      <c r="B246" s="43">
        <f t="shared" si="78"/>
        <v>51502</v>
      </c>
      <c r="C246" s="79">
        <f t="shared" si="72"/>
        <v>2041</v>
      </c>
      <c r="D246" s="64">
        <f ca="1">wellcount_base  +  SUM('forecast production'!I$7:I247)</f>
        <v>1</v>
      </c>
      <c r="E246" s="110">
        <f ca="1">'forecast production'!AE247</f>
        <v>98.656991575592102</v>
      </c>
      <c r="F246" s="98">
        <f ca="1">'forecast production'!AF247</f>
        <v>671.58618361308072</v>
      </c>
      <c r="G246" s="98">
        <f ca="1">'forecast production'!AG247</f>
        <v>0.14656577257577377</v>
      </c>
      <c r="H246" s="98">
        <f ca="1">'forecast production'!AH247</f>
        <v>100.73792754196209</v>
      </c>
      <c r="I246" s="307">
        <f ca="1">IF('monthly calculations (1)'!AV245,WI_2_APO, WI_2)</f>
        <v>0</v>
      </c>
      <c r="J246" s="306">
        <f ca="1">IF('monthly calculations (1)'!AV245,NRI_2_APO, NRI_2)</f>
        <v>0.25</v>
      </c>
      <c r="K246" s="112">
        <f t="shared" ca="1" si="61"/>
        <v>24.664247893898025</v>
      </c>
      <c r="L246" s="98">
        <f t="shared" ca="1" si="62"/>
        <v>125.92240942745264</v>
      </c>
      <c r="M246" s="98">
        <f t="shared" ca="1" si="63"/>
        <v>3.6641443143943443E-2</v>
      </c>
      <c r="N246" s="98">
        <f t="shared" ca="1" si="64"/>
        <v>25.184481885490523</v>
      </c>
      <c r="O246" s="67">
        <f>assumptions!M250</f>
        <v>55</v>
      </c>
      <c r="P246" s="68">
        <f>assumptions!N250</f>
        <v>3</v>
      </c>
      <c r="Q246" s="68">
        <f>assumptions!O250</f>
        <v>22</v>
      </c>
      <c r="R246" s="67">
        <f t="shared" si="65"/>
        <v>52.5</v>
      </c>
      <c r="S246" s="68">
        <f t="shared" si="66"/>
        <v>2.3275000000000001</v>
      </c>
      <c r="T246" s="68">
        <f t="shared" si="67"/>
        <v>22</v>
      </c>
      <c r="U246" s="73">
        <f t="shared" ca="1" si="73"/>
        <v>1294.8730144296464</v>
      </c>
      <c r="V246" s="72">
        <f t="shared" ca="1" si="73"/>
        <v>293.08440794239601</v>
      </c>
      <c r="W246" s="72">
        <f t="shared" ca="1" si="68"/>
        <v>554.05860148079148</v>
      </c>
      <c r="X246" s="72">
        <f t="shared" ca="1" si="74"/>
        <v>2142.0160238528338</v>
      </c>
      <c r="Y246" s="73">
        <f>mult_opex * fixed_month</f>
        <v>1000</v>
      </c>
      <c r="Z246" s="72">
        <f ca="1">mult_opex * fixed_well *D246</f>
        <v>5000</v>
      </c>
      <c r="AA246" s="72">
        <f ca="1">(Z246+Y246)*WI_current_2</f>
        <v>0</v>
      </c>
      <c r="AB246" s="72">
        <f ca="1">mult_opex * var_bo*E246</f>
        <v>0</v>
      </c>
      <c r="AC246" s="72">
        <f ca="1">mult_opex * var_mcf*F246</f>
        <v>0</v>
      </c>
      <c r="AD246" s="72">
        <f ca="1">mult_opex * var_bw * G246</f>
        <v>0.29313154515154755</v>
      </c>
      <c r="AE246" s="72">
        <f ca="1">SUM(AB246:AD246)*WI_current_2</f>
        <v>0</v>
      </c>
      <c r="AF246" s="73">
        <f ca="1">mult_capex * IFERROR(OFFSET(assumptions!$F$39,MATCH(B246,assumptions!$E$39:$E$45,0)-1,0),0)</f>
        <v>0</v>
      </c>
      <c r="AG246" s="75">
        <f ca="1">mult_capex * capex_new*WI_current_2 *'forecast production'!I247</f>
        <v>0</v>
      </c>
      <c r="AH246" s="146">
        <f t="shared" ca="1" si="75"/>
        <v>0</v>
      </c>
      <c r="AI246" s="73">
        <f t="shared" ca="1" si="69"/>
        <v>123.09988437050279</v>
      </c>
      <c r="AJ246" s="72">
        <f t="shared" ca="1" si="70"/>
        <v>53.550400596320848</v>
      </c>
      <c r="AK246" s="72">
        <f t="shared" ca="1" si="76"/>
        <v>176.65028496682365</v>
      </c>
      <c r="AL246" s="73">
        <f t="shared" ca="1" si="71"/>
        <v>1965.3657388860101</v>
      </c>
      <c r="AM246" s="321">
        <f ca="1">'monthly calculations (1)'!AM246</f>
        <v>0</v>
      </c>
      <c r="AN246" s="73">
        <f t="shared" ca="1" si="77"/>
        <v>0</v>
      </c>
      <c r="AO246" s="75">
        <f t="shared" ca="1" si="79"/>
        <v>1258622.5560460223</v>
      </c>
      <c r="AP246" s="72">
        <f ca="1">AL246  /  ( 1 + disc_1/12)^(COUNT($AL$6:AL246)-1)</f>
        <v>268.19677820492382</v>
      </c>
      <c r="AQ246" s="72">
        <f t="shared" ca="1" si="80"/>
        <v>738684.71897774923</v>
      </c>
      <c r="AS246" s="303"/>
      <c r="AT246" s="300"/>
      <c r="AU246" s="297"/>
      <c r="AV246" s="303"/>
    </row>
    <row r="247" spans="2:48" x14ac:dyDescent="0.25">
      <c r="B247" s="43">
        <f t="shared" si="78"/>
        <v>51533</v>
      </c>
      <c r="C247" s="79">
        <f t="shared" si="72"/>
        <v>2041</v>
      </c>
      <c r="D247" s="64">
        <f ca="1">wellcount_base  +  SUM('forecast production'!I$7:I248)</f>
        <v>1</v>
      </c>
      <c r="E247" s="110">
        <f ca="1">'forecast production'!AE248</f>
        <v>88.480720647561199</v>
      </c>
      <c r="F247" s="98">
        <f ca="1">'forecast production'!AF248</f>
        <v>603.4145785235504</v>
      </c>
      <c r="G247" s="98">
        <f ca="1">'forecast production'!AG248</f>
        <v>0.12783802875491737</v>
      </c>
      <c r="H247" s="98">
        <f ca="1">'forecast production'!AH248</f>
        <v>90.512186778532552</v>
      </c>
      <c r="I247" s="307">
        <f ca="1">IF('monthly calculations (1)'!AV246,WI_2_APO, WI_2)</f>
        <v>0</v>
      </c>
      <c r="J247" s="306">
        <f ca="1">IF('monthly calculations (1)'!AV246,NRI_2_APO, NRI_2)</f>
        <v>0.25</v>
      </c>
      <c r="K247" s="112">
        <f t="shared" ca="1" si="61"/>
        <v>22.1201801618903</v>
      </c>
      <c r="L247" s="98">
        <f t="shared" ca="1" si="62"/>
        <v>113.14023347316569</v>
      </c>
      <c r="M247" s="98">
        <f t="shared" ca="1" si="63"/>
        <v>3.1959507188729343E-2</v>
      </c>
      <c r="N247" s="98">
        <f t="shared" ca="1" si="64"/>
        <v>22.628046694633138</v>
      </c>
      <c r="O247" s="67">
        <f>assumptions!M251</f>
        <v>55</v>
      </c>
      <c r="P247" s="68">
        <f>assumptions!N251</f>
        <v>3</v>
      </c>
      <c r="Q247" s="68">
        <f>assumptions!O251</f>
        <v>22</v>
      </c>
      <c r="R247" s="67">
        <f t="shared" si="65"/>
        <v>52.5</v>
      </c>
      <c r="S247" s="68">
        <f t="shared" si="66"/>
        <v>2.3275000000000001</v>
      </c>
      <c r="T247" s="68">
        <f t="shared" si="67"/>
        <v>22</v>
      </c>
      <c r="U247" s="73">
        <f t="shared" ca="1" si="73"/>
        <v>1161.3094584992407</v>
      </c>
      <c r="V247" s="72">
        <f t="shared" ca="1" si="73"/>
        <v>263.33389340879319</v>
      </c>
      <c r="W247" s="72">
        <f t="shared" ca="1" si="68"/>
        <v>497.81702728192903</v>
      </c>
      <c r="X247" s="72">
        <f t="shared" ca="1" si="74"/>
        <v>1922.4603791899629</v>
      </c>
      <c r="Y247" s="73">
        <f>mult_opex * fixed_month</f>
        <v>1000</v>
      </c>
      <c r="Z247" s="72">
        <f ca="1">mult_opex * fixed_well *D247</f>
        <v>5000</v>
      </c>
      <c r="AA247" s="72">
        <f ca="1">(Z247+Y247)*WI_current_2</f>
        <v>0</v>
      </c>
      <c r="AB247" s="72">
        <f ca="1">mult_opex * var_bo*E247</f>
        <v>0</v>
      </c>
      <c r="AC247" s="72">
        <f ca="1">mult_opex * var_mcf*F247</f>
        <v>0</v>
      </c>
      <c r="AD247" s="72">
        <f ca="1">mult_opex * var_bw * G247</f>
        <v>0.25567605750983474</v>
      </c>
      <c r="AE247" s="72">
        <f ca="1">SUM(AB247:AD247)*WI_current_2</f>
        <v>0</v>
      </c>
      <c r="AF247" s="73">
        <f ca="1">mult_capex * IFERROR(OFFSET(assumptions!$F$39,MATCH(B247,assumptions!$E$39:$E$45,0)-1,0),0)</f>
        <v>0</v>
      </c>
      <c r="AG247" s="75">
        <f ca="1">mult_capex * capex_new*WI_current_2 *'forecast production'!I248</f>
        <v>0</v>
      </c>
      <c r="AH247" s="146">
        <f t="shared" ca="1" si="75"/>
        <v>0</v>
      </c>
      <c r="AI247" s="73">
        <f t="shared" ca="1" si="69"/>
        <v>110.50655414276923</v>
      </c>
      <c r="AJ247" s="72">
        <f t="shared" ca="1" si="70"/>
        <v>48.061509479749077</v>
      </c>
      <c r="AK247" s="72">
        <f t="shared" ca="1" si="76"/>
        <v>158.56806362251831</v>
      </c>
      <c r="AL247" s="73">
        <f t="shared" ca="1" si="71"/>
        <v>1763.8923155674445</v>
      </c>
      <c r="AM247" s="321">
        <f ca="1">'monthly calculations (1)'!AM247</f>
        <v>0</v>
      </c>
      <c r="AN247" s="73">
        <f t="shared" ca="1" si="77"/>
        <v>0</v>
      </c>
      <c r="AO247" s="75">
        <f t="shared" ca="1" si="79"/>
        <v>1258622.5560460223</v>
      </c>
      <c r="AP247" s="72">
        <f ca="1">AL247  /  ( 1 + disc_1/12)^(COUNT($AL$6:AL247)-1)</f>
        <v>238.71412606821721</v>
      </c>
      <c r="AQ247" s="72">
        <f t="shared" ca="1" si="80"/>
        <v>738684.71897774923</v>
      </c>
      <c r="AS247" s="303"/>
      <c r="AT247" s="300"/>
      <c r="AU247" s="297"/>
      <c r="AV247" s="303"/>
    </row>
    <row r="248" spans="2:48" x14ac:dyDescent="0.25">
      <c r="B248" s="43">
        <f t="shared" si="78"/>
        <v>51561</v>
      </c>
      <c r="C248" s="79">
        <f t="shared" si="72"/>
        <v>2041</v>
      </c>
      <c r="D248" s="64">
        <f ca="1">wellcount_base  +  SUM('forecast production'!I$7:I249)</f>
        <v>1</v>
      </c>
      <c r="E248" s="110">
        <f ca="1">'forecast production'!AE249</f>
        <v>97.336201380459869</v>
      </c>
      <c r="F248" s="98">
        <f ca="1">'forecast production'!AF249</f>
        <v>664.90260751088249</v>
      </c>
      <c r="G248" s="98">
        <f ca="1">'forecast production'!AG249</f>
        <v>0.13714030850907394</v>
      </c>
      <c r="H248" s="98">
        <f ca="1">'forecast production'!AH249</f>
        <v>99.735391126632379</v>
      </c>
      <c r="I248" s="307">
        <f ca="1">IF('monthly calculations (1)'!AV247,WI_2_APO, WI_2)</f>
        <v>0</v>
      </c>
      <c r="J248" s="306">
        <f ca="1">IF('monthly calculations (1)'!AV247,NRI_2_APO, NRI_2)</f>
        <v>0.25</v>
      </c>
      <c r="K248" s="112">
        <f t="shared" ca="1" si="61"/>
        <v>24.334050345114967</v>
      </c>
      <c r="L248" s="98">
        <f t="shared" ca="1" si="62"/>
        <v>124.66923890829047</v>
      </c>
      <c r="M248" s="98">
        <f t="shared" ca="1" si="63"/>
        <v>3.4285077127268485E-2</v>
      </c>
      <c r="N248" s="98">
        <f t="shared" ca="1" si="64"/>
        <v>24.933847781658095</v>
      </c>
      <c r="O248" s="67">
        <f>assumptions!M252</f>
        <v>55</v>
      </c>
      <c r="P248" s="68">
        <f>assumptions!N252</f>
        <v>3</v>
      </c>
      <c r="Q248" s="68">
        <f>assumptions!O252</f>
        <v>22</v>
      </c>
      <c r="R248" s="67">
        <f t="shared" si="65"/>
        <v>52.5</v>
      </c>
      <c r="S248" s="68">
        <f t="shared" si="66"/>
        <v>2.3275000000000001</v>
      </c>
      <c r="T248" s="68">
        <f t="shared" si="67"/>
        <v>22</v>
      </c>
      <c r="U248" s="73">
        <f t="shared" ca="1" si="73"/>
        <v>1277.5376431185357</v>
      </c>
      <c r="V248" s="72">
        <f t="shared" ca="1" si="73"/>
        <v>290.16765355904607</v>
      </c>
      <c r="W248" s="72">
        <f t="shared" ca="1" si="68"/>
        <v>548.54465119647807</v>
      </c>
      <c r="X248" s="72">
        <f t="shared" ca="1" si="74"/>
        <v>2116.2499478740601</v>
      </c>
      <c r="Y248" s="73">
        <f>mult_opex * fixed_month</f>
        <v>1000</v>
      </c>
      <c r="Z248" s="72">
        <f ca="1">mult_opex * fixed_well *D248</f>
        <v>5000</v>
      </c>
      <c r="AA248" s="72">
        <f ca="1">(Z248+Y248)*WI_current_2</f>
        <v>0</v>
      </c>
      <c r="AB248" s="72">
        <f ca="1">mult_opex * var_bo*E248</f>
        <v>0</v>
      </c>
      <c r="AC248" s="72">
        <f ca="1">mult_opex * var_mcf*F248</f>
        <v>0</v>
      </c>
      <c r="AD248" s="72">
        <f ca="1">mult_opex * var_bw * G248</f>
        <v>0.27428061701814788</v>
      </c>
      <c r="AE248" s="72">
        <f ca="1">SUM(AB248:AD248)*WI_current_2</f>
        <v>0</v>
      </c>
      <c r="AF248" s="73">
        <f ca="1">mult_capex * IFERROR(OFFSET(assumptions!$F$39,MATCH(B248,assumptions!$E$39:$E$45,0)-1,0),0)</f>
        <v>0</v>
      </c>
      <c r="AG248" s="75">
        <f ca="1">mult_capex * capex_new*WI_current_2 *'forecast production'!I249</f>
        <v>0</v>
      </c>
      <c r="AH248" s="146">
        <f t="shared" ca="1" si="75"/>
        <v>0</v>
      </c>
      <c r="AI248" s="73">
        <f t="shared" ca="1" si="69"/>
        <v>121.67015444011695</v>
      </c>
      <c r="AJ248" s="72">
        <f t="shared" ca="1" si="70"/>
        <v>52.906248696851506</v>
      </c>
      <c r="AK248" s="72">
        <f t="shared" ca="1" si="76"/>
        <v>174.57640313696845</v>
      </c>
      <c r="AL248" s="73">
        <f t="shared" ca="1" si="71"/>
        <v>1941.6735447370916</v>
      </c>
      <c r="AM248" s="321">
        <f ca="1">'monthly calculations (1)'!AM248</f>
        <v>0</v>
      </c>
      <c r="AN248" s="73">
        <f t="shared" ca="1" si="77"/>
        <v>0</v>
      </c>
      <c r="AO248" s="75">
        <f t="shared" ca="1" si="79"/>
        <v>1258622.5560460223</v>
      </c>
      <c r="AP248" s="72">
        <f ca="1">AL248  /  ( 1 + disc_1/12)^(COUNT($AL$6:AL248)-1)</f>
        <v>260.6022375906395</v>
      </c>
      <c r="AQ248" s="72">
        <f t="shared" ca="1" si="80"/>
        <v>738684.71897774923</v>
      </c>
      <c r="AS248" s="303"/>
      <c r="AT248" s="300"/>
      <c r="AU248" s="297"/>
      <c r="AV248" s="303"/>
    </row>
    <row r="249" spans="2:48" x14ac:dyDescent="0.25">
      <c r="B249" s="43">
        <f t="shared" si="78"/>
        <v>51592</v>
      </c>
      <c r="C249" s="79">
        <f t="shared" si="72"/>
        <v>2041</v>
      </c>
      <c r="D249" s="64">
        <f ca="1">wellcount_base  +  SUM('forecast production'!I$7:I250)</f>
        <v>1</v>
      </c>
      <c r="E249" s="110">
        <f ca="1">'forecast production'!AE250</f>
        <v>93.531607835999097</v>
      </c>
      <c r="F249" s="98">
        <f ca="1">'forecast production'!AF250</f>
        <v>640.08154414358751</v>
      </c>
      <c r="G249" s="98">
        <f ca="1">'forecast production'!AG250</f>
        <v>0.12816247604891243</v>
      </c>
      <c r="H249" s="98">
        <f ca="1">'forecast production'!AH250</f>
        <v>96.01223162153812</v>
      </c>
      <c r="I249" s="307">
        <f ca="1">IF('monthly calculations (1)'!AV248,WI_2_APO, WI_2)</f>
        <v>0</v>
      </c>
      <c r="J249" s="306">
        <f ca="1">IF('monthly calculations (1)'!AV248,NRI_2_APO, NRI_2)</f>
        <v>0.25</v>
      </c>
      <c r="K249" s="112">
        <f t="shared" ca="1" si="61"/>
        <v>23.382901958999774</v>
      </c>
      <c r="L249" s="98">
        <f t="shared" ca="1" si="62"/>
        <v>120.01528952692266</v>
      </c>
      <c r="M249" s="98">
        <f t="shared" ca="1" si="63"/>
        <v>3.2040619012228107E-2</v>
      </c>
      <c r="N249" s="98">
        <f t="shared" ca="1" si="64"/>
        <v>24.00305790538453</v>
      </c>
      <c r="O249" s="67">
        <f>assumptions!M253</f>
        <v>55</v>
      </c>
      <c r="P249" s="68">
        <f>assumptions!N253</f>
        <v>3</v>
      </c>
      <c r="Q249" s="68">
        <f>assumptions!O253</f>
        <v>22</v>
      </c>
      <c r="R249" s="67">
        <f t="shared" si="65"/>
        <v>52.5</v>
      </c>
      <c r="S249" s="68">
        <f t="shared" si="66"/>
        <v>2.3275000000000001</v>
      </c>
      <c r="T249" s="68">
        <f t="shared" si="67"/>
        <v>22</v>
      </c>
      <c r="U249" s="73">
        <f t="shared" ca="1" si="73"/>
        <v>1227.6023528474882</v>
      </c>
      <c r="V249" s="72">
        <f t="shared" ca="1" si="73"/>
        <v>279.33558637391252</v>
      </c>
      <c r="W249" s="72">
        <f t="shared" ca="1" si="68"/>
        <v>528.0672739184597</v>
      </c>
      <c r="X249" s="72">
        <f t="shared" ca="1" si="74"/>
        <v>2035.0052131398604</v>
      </c>
      <c r="Y249" s="73">
        <f>mult_opex * fixed_month</f>
        <v>1000</v>
      </c>
      <c r="Z249" s="72">
        <f ca="1">mult_opex * fixed_well *D249</f>
        <v>5000</v>
      </c>
      <c r="AA249" s="72">
        <f ca="1">(Z249+Y249)*WI_current_2</f>
        <v>0</v>
      </c>
      <c r="AB249" s="72">
        <f ca="1">mult_opex * var_bo*E249</f>
        <v>0</v>
      </c>
      <c r="AC249" s="72">
        <f ca="1">mult_opex * var_mcf*F249</f>
        <v>0</v>
      </c>
      <c r="AD249" s="72">
        <f ca="1">mult_opex * var_bw * G249</f>
        <v>0.25632495209782485</v>
      </c>
      <c r="AE249" s="72">
        <f ca="1">SUM(AB249:AD249)*WI_current_2</f>
        <v>0</v>
      </c>
      <c r="AF249" s="73">
        <f ca="1">mult_capex * IFERROR(OFFSET(assumptions!$F$39,MATCH(B249,assumptions!$E$39:$E$45,0)-1,0),0)</f>
        <v>0</v>
      </c>
      <c r="AG249" s="75">
        <f ca="1">mult_capex * capex_new*WI_current_2 *'forecast production'!I250</f>
        <v>0</v>
      </c>
      <c r="AH249" s="146">
        <f t="shared" ca="1" si="75"/>
        <v>0</v>
      </c>
      <c r="AI249" s="73">
        <f t="shared" ca="1" si="69"/>
        <v>117.02492275291237</v>
      </c>
      <c r="AJ249" s="72">
        <f t="shared" ca="1" si="70"/>
        <v>50.87513032849651</v>
      </c>
      <c r="AK249" s="72">
        <f t="shared" ca="1" si="76"/>
        <v>167.90005308140888</v>
      </c>
      <c r="AL249" s="73">
        <f t="shared" ca="1" si="71"/>
        <v>1867.1051600584515</v>
      </c>
      <c r="AM249" s="321">
        <f ca="1">'monthly calculations (1)'!AM249</f>
        <v>0</v>
      </c>
      <c r="AN249" s="73">
        <f t="shared" ca="1" si="77"/>
        <v>0</v>
      </c>
      <c r="AO249" s="75">
        <f t="shared" ca="1" si="79"/>
        <v>1258622.5560460223</v>
      </c>
      <c r="AP249" s="72">
        <f ca="1">AL249  /  ( 1 + disc_1/12)^(COUNT($AL$6:AL249)-1)</f>
        <v>248.52299679065791</v>
      </c>
      <c r="AQ249" s="72">
        <f t="shared" ca="1" si="80"/>
        <v>738684.71897774923</v>
      </c>
      <c r="AS249" s="303"/>
      <c r="AT249" s="300"/>
      <c r="AU249" s="297"/>
      <c r="AV249" s="303"/>
    </row>
    <row r="250" spans="2:48" x14ac:dyDescent="0.25">
      <c r="B250" s="43">
        <f t="shared" si="78"/>
        <v>51622</v>
      </c>
      <c r="C250" s="79">
        <f t="shared" si="72"/>
        <v>2041</v>
      </c>
      <c r="D250" s="64">
        <f ca="1">wellcount_base  +  SUM('forecast production'!I$7:I251)</f>
        <v>1</v>
      </c>
      <c r="E250" s="110">
        <f ca="1">'forecast production'!AE251</f>
        <v>95.989227419050565</v>
      </c>
      <c r="F250" s="98">
        <f ca="1">'forecast production'!AF251</f>
        <v>658.06239638616523</v>
      </c>
      <c r="G250" s="98">
        <f ca="1">'forecast production'!AG251</f>
        <v>0.12803514844477487</v>
      </c>
      <c r="H250" s="98">
        <f ca="1">'forecast production'!AH251</f>
        <v>98.709359457924776</v>
      </c>
      <c r="I250" s="307">
        <f ca="1">IF('monthly calculations (1)'!AV249,WI_2_APO, WI_2)</f>
        <v>0</v>
      </c>
      <c r="J250" s="306">
        <f ca="1">IF('monthly calculations (1)'!AV249,NRI_2_APO, NRI_2)</f>
        <v>0.25</v>
      </c>
      <c r="K250" s="112">
        <f t="shared" ca="1" si="61"/>
        <v>23.997306854762641</v>
      </c>
      <c r="L250" s="98">
        <f t="shared" ca="1" si="62"/>
        <v>123.38669932240597</v>
      </c>
      <c r="M250" s="98">
        <f t="shared" ca="1" si="63"/>
        <v>3.2008787111193718E-2</v>
      </c>
      <c r="N250" s="98">
        <f t="shared" ca="1" si="64"/>
        <v>24.677339864481194</v>
      </c>
      <c r="O250" s="67">
        <f>assumptions!M254</f>
        <v>55</v>
      </c>
      <c r="P250" s="68">
        <f>assumptions!N254</f>
        <v>3</v>
      </c>
      <c r="Q250" s="68">
        <f>assumptions!O254</f>
        <v>22</v>
      </c>
      <c r="R250" s="67">
        <f t="shared" si="65"/>
        <v>52.5</v>
      </c>
      <c r="S250" s="68">
        <f t="shared" si="66"/>
        <v>2.3275000000000001</v>
      </c>
      <c r="T250" s="68">
        <f t="shared" si="67"/>
        <v>22</v>
      </c>
      <c r="U250" s="73">
        <f t="shared" ca="1" si="73"/>
        <v>1259.8586098750386</v>
      </c>
      <c r="V250" s="72">
        <f t="shared" ca="1" si="73"/>
        <v>287.1825426728999</v>
      </c>
      <c r="W250" s="72">
        <f t="shared" ca="1" si="68"/>
        <v>542.90147701858632</v>
      </c>
      <c r="X250" s="72">
        <f t="shared" ca="1" si="74"/>
        <v>2089.9426295665248</v>
      </c>
      <c r="Y250" s="73">
        <f>mult_opex * fixed_month</f>
        <v>1000</v>
      </c>
      <c r="Z250" s="72">
        <f ca="1">mult_opex * fixed_well *D250</f>
        <v>5000</v>
      </c>
      <c r="AA250" s="72">
        <f ca="1">(Z250+Y250)*WI_current_2</f>
        <v>0</v>
      </c>
      <c r="AB250" s="72">
        <f ca="1">mult_opex * var_bo*E250</f>
        <v>0</v>
      </c>
      <c r="AC250" s="72">
        <f ca="1">mult_opex * var_mcf*F250</f>
        <v>0</v>
      </c>
      <c r="AD250" s="72">
        <f ca="1">mult_opex * var_bw * G250</f>
        <v>0.25607029688954974</v>
      </c>
      <c r="AE250" s="72">
        <f ca="1">SUM(AB250:AD250)*WI_current_2</f>
        <v>0</v>
      </c>
      <c r="AF250" s="73">
        <f ca="1">mult_capex * IFERROR(OFFSET(assumptions!$F$39,MATCH(B250,assumptions!$E$39:$E$45,0)-1,0),0)</f>
        <v>0</v>
      </c>
      <c r="AG250" s="75">
        <f ca="1">mult_capex * capex_new*WI_current_2 *'forecast production'!I251</f>
        <v>0</v>
      </c>
      <c r="AH250" s="146">
        <f t="shared" ca="1" si="75"/>
        <v>0</v>
      </c>
      <c r="AI250" s="73">
        <f t="shared" ca="1" si="69"/>
        <v>120.20979753111322</v>
      </c>
      <c r="AJ250" s="72">
        <f t="shared" ca="1" si="70"/>
        <v>52.248565739163126</v>
      </c>
      <c r="AK250" s="72">
        <f t="shared" ca="1" si="76"/>
        <v>172.45836327027635</v>
      </c>
      <c r="AL250" s="73">
        <f t="shared" ca="1" si="71"/>
        <v>1917.4842662962485</v>
      </c>
      <c r="AM250" s="321">
        <f ca="1">'monthly calculations (1)'!AM250</f>
        <v>0</v>
      </c>
      <c r="AN250" s="73">
        <f t="shared" ca="1" si="77"/>
        <v>0</v>
      </c>
      <c r="AO250" s="75">
        <f t="shared" ca="1" si="79"/>
        <v>1258622.5560460223</v>
      </c>
      <c r="AP250" s="72">
        <f ca="1">AL250  /  ( 1 + disc_1/12)^(COUNT($AL$6:AL250)-1)</f>
        <v>253.11943213135453</v>
      </c>
      <c r="AQ250" s="72">
        <f t="shared" ca="1" si="80"/>
        <v>738684.71897774923</v>
      </c>
      <c r="AS250" s="303"/>
      <c r="AT250" s="300"/>
      <c r="AU250" s="297"/>
      <c r="AV250" s="303"/>
    </row>
    <row r="251" spans="2:48" x14ac:dyDescent="0.25">
      <c r="B251" s="43">
        <f t="shared" si="78"/>
        <v>51653</v>
      </c>
      <c r="C251" s="79">
        <f t="shared" si="72"/>
        <v>2041</v>
      </c>
      <c r="D251" s="64">
        <f ca="1">wellcount_base  +  SUM('forecast production'!I$7:I252)</f>
        <v>1</v>
      </c>
      <c r="E251" s="110">
        <f ca="1">'forecast production'!AE252</f>
        <v>92.237283231822303</v>
      </c>
      <c r="F251" s="98">
        <f ca="1">'forecast production'!AF252</f>
        <v>633.49668066205038</v>
      </c>
      <c r="G251" s="98">
        <f ca="1">'forecast production'!AG252</f>
        <v>0.11965481615680831</v>
      </c>
      <c r="H251" s="98">
        <f ca="1">'forecast production'!AH252</f>
        <v>95.024502099307554</v>
      </c>
      <c r="I251" s="307">
        <f ca="1">IF('monthly calculations (1)'!AV250,WI_2_APO, WI_2)</f>
        <v>0</v>
      </c>
      <c r="J251" s="306">
        <f ca="1">IF('monthly calculations (1)'!AV250,NRI_2_APO, NRI_2)</f>
        <v>0.25</v>
      </c>
      <c r="K251" s="112">
        <f t="shared" ca="1" si="61"/>
        <v>23.059320807955576</v>
      </c>
      <c r="L251" s="98">
        <f t="shared" ca="1" si="62"/>
        <v>118.78062762413444</v>
      </c>
      <c r="M251" s="98">
        <f t="shared" ca="1" si="63"/>
        <v>2.9913704039202078E-2</v>
      </c>
      <c r="N251" s="98">
        <f t="shared" ca="1" si="64"/>
        <v>23.756125524826889</v>
      </c>
      <c r="O251" s="67">
        <f>assumptions!M255</f>
        <v>55</v>
      </c>
      <c r="P251" s="68">
        <f>assumptions!N255</f>
        <v>3</v>
      </c>
      <c r="Q251" s="68">
        <f>assumptions!O255</f>
        <v>22</v>
      </c>
      <c r="R251" s="67">
        <f t="shared" si="65"/>
        <v>52.5</v>
      </c>
      <c r="S251" s="68">
        <f t="shared" si="66"/>
        <v>2.3275000000000001</v>
      </c>
      <c r="T251" s="68">
        <f t="shared" si="67"/>
        <v>22</v>
      </c>
      <c r="U251" s="73">
        <f t="shared" ca="1" si="73"/>
        <v>1210.6143424176678</v>
      </c>
      <c r="V251" s="72">
        <f t="shared" ca="1" si="73"/>
        <v>276.46191079517291</v>
      </c>
      <c r="W251" s="72">
        <f t="shared" ca="1" si="68"/>
        <v>522.6347615461915</v>
      </c>
      <c r="X251" s="72">
        <f t="shared" ca="1" si="74"/>
        <v>2009.711014759032</v>
      </c>
      <c r="Y251" s="73">
        <f>mult_opex * fixed_month</f>
        <v>1000</v>
      </c>
      <c r="Z251" s="72">
        <f ca="1">mult_opex * fixed_well *D251</f>
        <v>5000</v>
      </c>
      <c r="AA251" s="72">
        <f ca="1">(Z251+Y251)*WI_current_2</f>
        <v>0</v>
      </c>
      <c r="AB251" s="72">
        <f ca="1">mult_opex * var_bo*E251</f>
        <v>0</v>
      </c>
      <c r="AC251" s="72">
        <f ca="1">mult_opex * var_mcf*F251</f>
        <v>0</v>
      </c>
      <c r="AD251" s="72">
        <f ca="1">mult_opex * var_bw * G251</f>
        <v>0.23930963231361663</v>
      </c>
      <c r="AE251" s="72">
        <f ca="1">SUM(AB251:AD251)*WI_current_2</f>
        <v>0</v>
      </c>
      <c r="AF251" s="73">
        <f ca="1">mult_capex * IFERROR(OFFSET(assumptions!$F$39,MATCH(B251,assumptions!$E$39:$E$45,0)-1,0),0)</f>
        <v>0</v>
      </c>
      <c r="AG251" s="75">
        <f ca="1">mult_capex * capex_new*WI_current_2 *'forecast production'!I252</f>
        <v>0</v>
      </c>
      <c r="AH251" s="146">
        <f t="shared" ca="1" si="75"/>
        <v>0</v>
      </c>
      <c r="AI251" s="73">
        <f t="shared" ca="1" si="69"/>
        <v>115.62051017681505</v>
      </c>
      <c r="AJ251" s="72">
        <f t="shared" ca="1" si="70"/>
        <v>50.242775368975799</v>
      </c>
      <c r="AK251" s="72">
        <f t="shared" ca="1" si="76"/>
        <v>165.86328554579086</v>
      </c>
      <c r="AL251" s="73">
        <f t="shared" ca="1" si="71"/>
        <v>1843.8477292132411</v>
      </c>
      <c r="AM251" s="321">
        <f ca="1">'monthly calculations (1)'!AM251</f>
        <v>0</v>
      </c>
      <c r="AN251" s="73">
        <f t="shared" ca="1" si="77"/>
        <v>0</v>
      </c>
      <c r="AO251" s="75">
        <f t="shared" ca="1" si="79"/>
        <v>1258622.5560460223</v>
      </c>
      <c r="AP251" s="72">
        <f ca="1">AL251  /  ( 1 + disc_1/12)^(COUNT($AL$6:AL251)-1)</f>
        <v>241.3874055477992</v>
      </c>
      <c r="AQ251" s="72">
        <f t="shared" ca="1" si="80"/>
        <v>738684.71897774923</v>
      </c>
      <c r="AS251" s="303"/>
      <c r="AT251" s="300"/>
      <c r="AU251" s="297"/>
      <c r="AV251" s="303"/>
    </row>
    <row r="252" spans="2:48" x14ac:dyDescent="0.25">
      <c r="B252" s="43">
        <f t="shared" si="78"/>
        <v>51683</v>
      </c>
      <c r="C252" s="79">
        <f t="shared" si="72"/>
        <v>2041</v>
      </c>
      <c r="D252" s="64">
        <f ca="1">wellcount_base  +  SUM('forecast production'!I$7:I253)</f>
        <v>1</v>
      </c>
      <c r="E252" s="110">
        <f ca="1">'forecast production'!AE253</f>
        <v>94.660893376057857</v>
      </c>
      <c r="F252" s="98">
        <f ca="1">'forecast production'!AF253</f>
        <v>651.29255419623962</v>
      </c>
      <c r="G252" s="98">
        <f ca="1">'forecast production'!AG253</f>
        <v>0.11953732738052104</v>
      </c>
      <c r="H252" s="98">
        <f ca="1">'forecast production'!AH253</f>
        <v>97.693883129435932</v>
      </c>
      <c r="I252" s="307">
        <f ca="1">IF('monthly calculations (1)'!AV251,WI_2_APO, WI_2)</f>
        <v>0</v>
      </c>
      <c r="J252" s="306">
        <f ca="1">IF('monthly calculations (1)'!AV251,NRI_2_APO, NRI_2)</f>
        <v>0.25</v>
      </c>
      <c r="K252" s="112">
        <f t="shared" ca="1" si="61"/>
        <v>23.665223344014464</v>
      </c>
      <c r="L252" s="98">
        <f t="shared" ca="1" si="62"/>
        <v>122.11735391179494</v>
      </c>
      <c r="M252" s="98">
        <f t="shared" ca="1" si="63"/>
        <v>2.9884331845130261E-2</v>
      </c>
      <c r="N252" s="98">
        <f t="shared" ca="1" si="64"/>
        <v>24.423470782358983</v>
      </c>
      <c r="O252" s="67">
        <f>assumptions!M256</f>
        <v>55</v>
      </c>
      <c r="P252" s="68">
        <f>assumptions!N256</f>
        <v>3</v>
      </c>
      <c r="Q252" s="68">
        <f>assumptions!O256</f>
        <v>22</v>
      </c>
      <c r="R252" s="67">
        <f t="shared" si="65"/>
        <v>52.5</v>
      </c>
      <c r="S252" s="68">
        <f t="shared" si="66"/>
        <v>2.3275000000000001</v>
      </c>
      <c r="T252" s="68">
        <f t="shared" si="67"/>
        <v>22</v>
      </c>
      <c r="U252" s="73">
        <f t="shared" ca="1" si="73"/>
        <v>1242.4242255607594</v>
      </c>
      <c r="V252" s="72">
        <f t="shared" ca="1" si="73"/>
        <v>284.22814122970271</v>
      </c>
      <c r="W252" s="72">
        <f t="shared" ca="1" si="68"/>
        <v>537.31635721189764</v>
      </c>
      <c r="X252" s="72">
        <f t="shared" ca="1" si="74"/>
        <v>2063.9687240023595</v>
      </c>
      <c r="Y252" s="73">
        <f>mult_opex * fixed_month</f>
        <v>1000</v>
      </c>
      <c r="Z252" s="72">
        <f ca="1">mult_opex * fixed_well *D252</f>
        <v>5000</v>
      </c>
      <c r="AA252" s="72">
        <f ca="1">(Z252+Y252)*WI_current_2</f>
        <v>0</v>
      </c>
      <c r="AB252" s="72">
        <f ca="1">mult_opex * var_bo*E252</f>
        <v>0</v>
      </c>
      <c r="AC252" s="72">
        <f ca="1">mult_opex * var_mcf*F252</f>
        <v>0</v>
      </c>
      <c r="AD252" s="72">
        <f ca="1">mult_opex * var_bw * G252</f>
        <v>0.23907465476104209</v>
      </c>
      <c r="AE252" s="72">
        <f ca="1">SUM(AB252:AD252)*WI_current_2</f>
        <v>0</v>
      </c>
      <c r="AF252" s="73">
        <f ca="1">mult_capex * IFERROR(OFFSET(assumptions!$F$39,MATCH(B252,assumptions!$E$39:$E$45,0)-1,0),0)</f>
        <v>0</v>
      </c>
      <c r="AG252" s="75">
        <f ca="1">mult_capex * capex_new*WI_current_2 *'forecast production'!I253</f>
        <v>0</v>
      </c>
      <c r="AH252" s="146">
        <f t="shared" ca="1" si="75"/>
        <v>0</v>
      </c>
      <c r="AI252" s="73">
        <f t="shared" ca="1" si="69"/>
        <v>118.76735175891497</v>
      </c>
      <c r="AJ252" s="72">
        <f t="shared" ca="1" si="70"/>
        <v>51.599218100058991</v>
      </c>
      <c r="AK252" s="72">
        <f t="shared" ca="1" si="76"/>
        <v>170.36656985897395</v>
      </c>
      <c r="AL252" s="73">
        <f t="shared" ca="1" si="71"/>
        <v>1893.6021541433856</v>
      </c>
      <c r="AM252" s="321">
        <f ca="1">'monthly calculations (1)'!AM252</f>
        <v>0</v>
      </c>
      <c r="AN252" s="73">
        <f t="shared" ca="1" si="77"/>
        <v>0</v>
      </c>
      <c r="AO252" s="75">
        <f t="shared" ca="1" si="79"/>
        <v>1258622.5560460223</v>
      </c>
      <c r="AP252" s="72">
        <f ca="1">AL252  /  ( 1 + disc_1/12)^(COUNT($AL$6:AL252)-1)</f>
        <v>245.8522395851418</v>
      </c>
      <c r="AQ252" s="72">
        <f t="shared" ca="1" si="80"/>
        <v>738684.71897774923</v>
      </c>
      <c r="AS252" s="303"/>
      <c r="AT252" s="300"/>
      <c r="AU252" s="297"/>
      <c r="AV252" s="303"/>
    </row>
    <row r="253" spans="2:48" x14ac:dyDescent="0.25">
      <c r="B253" s="43">
        <f t="shared" si="78"/>
        <v>51714</v>
      </c>
      <c r="C253" s="79">
        <f t="shared" si="72"/>
        <v>2041</v>
      </c>
      <c r="D253" s="64">
        <f ca="1">wellcount_base  +  SUM('forecast production'!I$7:I254)</f>
        <v>1</v>
      </c>
      <c r="E253" s="110">
        <f ca="1">'forecast production'!AE254</f>
        <v>93.992898963830214</v>
      </c>
      <c r="F253" s="98">
        <f ca="1">'forecast production'!AF254</f>
        <v>647.87887785716725</v>
      </c>
      <c r="G253" s="98">
        <f ca="1">'forecast production'!AG254</f>
        <v>0.1154383628809869</v>
      </c>
      <c r="H253" s="98">
        <f ca="1">'forecast production'!AH254</f>
        <v>97.181831678575094</v>
      </c>
      <c r="I253" s="307">
        <f ca="1">IF('monthly calculations (1)'!AV252,WI_2_APO, WI_2)</f>
        <v>0</v>
      </c>
      <c r="J253" s="306">
        <f ca="1">IF('monthly calculations (1)'!AV252,NRI_2_APO, NRI_2)</f>
        <v>0.25</v>
      </c>
      <c r="K253" s="112">
        <f t="shared" ca="1" si="61"/>
        <v>23.498224740957554</v>
      </c>
      <c r="L253" s="98">
        <f t="shared" ca="1" si="62"/>
        <v>121.47728959821886</v>
      </c>
      <c r="M253" s="98">
        <f t="shared" ca="1" si="63"/>
        <v>2.8859590720246724E-2</v>
      </c>
      <c r="N253" s="98">
        <f t="shared" ca="1" si="64"/>
        <v>24.295457919643773</v>
      </c>
      <c r="O253" s="67">
        <f>assumptions!M257</f>
        <v>55</v>
      </c>
      <c r="P253" s="68">
        <f>assumptions!N257</f>
        <v>3</v>
      </c>
      <c r="Q253" s="68">
        <f>assumptions!O257</f>
        <v>22</v>
      </c>
      <c r="R253" s="67">
        <f t="shared" si="65"/>
        <v>52.5</v>
      </c>
      <c r="S253" s="68">
        <f t="shared" si="66"/>
        <v>2.3275000000000001</v>
      </c>
      <c r="T253" s="68">
        <f t="shared" si="67"/>
        <v>22</v>
      </c>
      <c r="U253" s="73">
        <f t="shared" ca="1" si="73"/>
        <v>1233.6567989002715</v>
      </c>
      <c r="V253" s="72">
        <f t="shared" ca="1" si="73"/>
        <v>282.73839153985443</v>
      </c>
      <c r="W253" s="72">
        <f t="shared" ca="1" si="68"/>
        <v>534.500074232163</v>
      </c>
      <c r="X253" s="72">
        <f t="shared" ca="1" si="74"/>
        <v>2050.8952646722892</v>
      </c>
      <c r="Y253" s="73">
        <f>mult_opex * fixed_month</f>
        <v>1000</v>
      </c>
      <c r="Z253" s="72">
        <f ca="1">mult_opex * fixed_well *D253</f>
        <v>5000</v>
      </c>
      <c r="AA253" s="72">
        <f ca="1">(Z253+Y253)*WI_current_2</f>
        <v>0</v>
      </c>
      <c r="AB253" s="72">
        <f ca="1">mult_opex * var_bo*E253</f>
        <v>0</v>
      </c>
      <c r="AC253" s="72">
        <f ca="1">mult_opex * var_mcf*F253</f>
        <v>0</v>
      </c>
      <c r="AD253" s="72">
        <f ca="1">mult_opex * var_bw * G253</f>
        <v>0.23087672576197379</v>
      </c>
      <c r="AE253" s="72">
        <f ca="1">SUM(AB253:AD253)*WI_current_2</f>
        <v>0</v>
      </c>
      <c r="AF253" s="73">
        <f ca="1">mult_capex * IFERROR(OFFSET(assumptions!$F$39,MATCH(B253,assumptions!$E$39:$E$45,0)-1,0),0)</f>
        <v>0</v>
      </c>
      <c r="AG253" s="75">
        <f ca="1">mult_capex * capex_new*WI_current_2 *'forecast production'!I254</f>
        <v>0</v>
      </c>
      <c r="AH253" s="146">
        <f t="shared" ca="1" si="75"/>
        <v>0</v>
      </c>
      <c r="AI253" s="73">
        <f t="shared" ca="1" si="69"/>
        <v>118.04109768231379</v>
      </c>
      <c r="AJ253" s="72">
        <f t="shared" ca="1" si="70"/>
        <v>51.27238161680723</v>
      </c>
      <c r="AK253" s="72">
        <f t="shared" ca="1" si="76"/>
        <v>169.31347929912101</v>
      </c>
      <c r="AL253" s="73">
        <f t="shared" ca="1" si="71"/>
        <v>1881.5817853731683</v>
      </c>
      <c r="AM253" s="321">
        <f ca="1">'monthly calculations (1)'!AM253</f>
        <v>0</v>
      </c>
      <c r="AN253" s="73">
        <f t="shared" ca="1" si="77"/>
        <v>0</v>
      </c>
      <c r="AO253" s="75">
        <f t="shared" ca="1" si="79"/>
        <v>1258622.5560460223</v>
      </c>
      <c r="AP253" s="72">
        <f ca="1">AL253  /  ( 1 + disc_1/12)^(COUNT($AL$6:AL253)-1)</f>
        <v>242.27265900840769</v>
      </c>
      <c r="AQ253" s="72">
        <f t="shared" ca="1" si="80"/>
        <v>738684.71897774923</v>
      </c>
      <c r="AS253" s="303"/>
      <c r="AT253" s="300"/>
      <c r="AU253" s="297"/>
      <c r="AV253" s="303"/>
    </row>
    <row r="254" spans="2:48" x14ac:dyDescent="0.25">
      <c r="B254" s="43">
        <f t="shared" si="78"/>
        <v>51745</v>
      </c>
      <c r="C254" s="79">
        <f t="shared" si="72"/>
        <v>2041</v>
      </c>
      <c r="D254" s="64">
        <f ca="1">wellcount_base  +  SUM('forecast production'!I$7:I255)</f>
        <v>1</v>
      </c>
      <c r="E254" s="110">
        <f ca="1">'forecast production'!AE255</f>
        <v>90.318985542603059</v>
      </c>
      <c r="F254" s="98">
        <f ca="1">'forecast production'!AF255</f>
        <v>623.69331669381825</v>
      </c>
      <c r="G254" s="98">
        <f ca="1">'forecast production'!AG255</f>
        <v>0.10788448197709467</v>
      </c>
      <c r="H254" s="98">
        <f ca="1">'forecast production'!AH255</f>
        <v>93.553997504072726</v>
      </c>
      <c r="I254" s="307">
        <f ca="1">IF('monthly calculations (1)'!AV253,WI_2_APO, WI_2)</f>
        <v>0</v>
      </c>
      <c r="J254" s="306">
        <f ca="1">IF('monthly calculations (1)'!AV253,NRI_2_APO, NRI_2)</f>
        <v>0.25</v>
      </c>
      <c r="K254" s="112">
        <f t="shared" ca="1" si="61"/>
        <v>22.579746385650765</v>
      </c>
      <c r="L254" s="98">
        <f t="shared" ca="1" si="62"/>
        <v>116.94249688009091</v>
      </c>
      <c r="M254" s="98">
        <f t="shared" ca="1" si="63"/>
        <v>2.6971120494273668E-2</v>
      </c>
      <c r="N254" s="98">
        <f t="shared" ca="1" si="64"/>
        <v>23.388499376018181</v>
      </c>
      <c r="O254" s="67">
        <f>assumptions!M258</f>
        <v>55</v>
      </c>
      <c r="P254" s="68">
        <f>assumptions!N258</f>
        <v>3</v>
      </c>
      <c r="Q254" s="68">
        <f>assumptions!O258</f>
        <v>22</v>
      </c>
      <c r="R254" s="67">
        <f t="shared" si="65"/>
        <v>52.5</v>
      </c>
      <c r="S254" s="68">
        <f t="shared" si="66"/>
        <v>2.3275000000000001</v>
      </c>
      <c r="T254" s="68">
        <f t="shared" si="67"/>
        <v>22</v>
      </c>
      <c r="U254" s="73">
        <f t="shared" ca="1" si="73"/>
        <v>1185.4366852466651</v>
      </c>
      <c r="V254" s="72">
        <f t="shared" ca="1" si="73"/>
        <v>272.18366148841164</v>
      </c>
      <c r="W254" s="72">
        <f t="shared" ca="1" si="68"/>
        <v>514.54698627239998</v>
      </c>
      <c r="X254" s="72">
        <f t="shared" ca="1" si="74"/>
        <v>1972.1673330074768</v>
      </c>
      <c r="Y254" s="73">
        <f>mult_opex * fixed_month</f>
        <v>1000</v>
      </c>
      <c r="Z254" s="72">
        <f ca="1">mult_opex * fixed_well *D254</f>
        <v>5000</v>
      </c>
      <c r="AA254" s="72">
        <f ca="1">(Z254+Y254)*WI_current_2</f>
        <v>0</v>
      </c>
      <c r="AB254" s="72">
        <f ca="1">mult_opex * var_bo*E254</f>
        <v>0</v>
      </c>
      <c r="AC254" s="72">
        <f ca="1">mult_opex * var_mcf*F254</f>
        <v>0</v>
      </c>
      <c r="AD254" s="72">
        <f ca="1">mult_opex * var_bw * G254</f>
        <v>0.21576896395418935</v>
      </c>
      <c r="AE254" s="72">
        <f ca="1">SUM(AB254:AD254)*WI_current_2</f>
        <v>0</v>
      </c>
      <c r="AF254" s="73">
        <f ca="1">mult_capex * IFERROR(OFFSET(assumptions!$F$39,MATCH(B254,assumptions!$E$39:$E$45,0)-1,0),0)</f>
        <v>0</v>
      </c>
      <c r="AG254" s="75">
        <f ca="1">mult_capex * capex_new*WI_current_2 *'forecast production'!I255</f>
        <v>0</v>
      </c>
      <c r="AH254" s="146">
        <f t="shared" ca="1" si="75"/>
        <v>0</v>
      </c>
      <c r="AI254" s="73">
        <f t="shared" ca="1" si="69"/>
        <v>113.53488610340747</v>
      </c>
      <c r="AJ254" s="72">
        <f t="shared" ca="1" si="70"/>
        <v>49.304183325186926</v>
      </c>
      <c r="AK254" s="72">
        <f t="shared" ca="1" si="76"/>
        <v>162.8390694285944</v>
      </c>
      <c r="AL254" s="73">
        <f t="shared" ca="1" si="71"/>
        <v>1809.3282635788823</v>
      </c>
      <c r="AM254" s="321">
        <f ca="1">'monthly calculations (1)'!AM254</f>
        <v>0</v>
      </c>
      <c r="AN254" s="73">
        <f t="shared" ca="1" si="77"/>
        <v>0</v>
      </c>
      <c r="AO254" s="75">
        <f t="shared" ca="1" si="79"/>
        <v>1258622.5560460223</v>
      </c>
      <c r="AP254" s="72">
        <f ca="1">AL254  /  ( 1 + disc_1/12)^(COUNT($AL$6:AL254)-1)</f>
        <v>231.04392229137014</v>
      </c>
      <c r="AQ254" s="72">
        <f t="shared" ca="1" si="80"/>
        <v>738684.71897774923</v>
      </c>
      <c r="AS254" s="303"/>
      <c r="AT254" s="300"/>
      <c r="AU254" s="297"/>
      <c r="AV254" s="303"/>
    </row>
    <row r="255" spans="2:48" x14ac:dyDescent="0.25">
      <c r="B255" s="43">
        <f t="shared" si="78"/>
        <v>51775</v>
      </c>
      <c r="C255" s="79">
        <f t="shared" si="72"/>
        <v>2041</v>
      </c>
      <c r="D255" s="64">
        <f ca="1">wellcount_base  +  SUM('forecast production'!I$7:I256)</f>
        <v>1</v>
      </c>
      <c r="E255" s="110">
        <f ca="1">'forecast production'!AE256</f>
        <v>92.692190844280859</v>
      </c>
      <c r="F255" s="98">
        <f ca="1">'forecast production'!AF256</f>
        <v>641.21379900542672</v>
      </c>
      <c r="G255" s="98">
        <f ca="1">'forecast production'!AG256</f>
        <v>0.10778043440184233</v>
      </c>
      <c r="H255" s="98">
        <f ca="1">'forecast production'!AH256</f>
        <v>96.182069850814003</v>
      </c>
      <c r="I255" s="307">
        <f ca="1">IF('monthly calculations (1)'!AV254,WI_2_APO, WI_2)</f>
        <v>0</v>
      </c>
      <c r="J255" s="306">
        <f ca="1">IF('monthly calculations (1)'!AV254,NRI_2_APO, NRI_2)</f>
        <v>0.25</v>
      </c>
      <c r="K255" s="112">
        <f t="shared" ca="1" si="61"/>
        <v>23.173047711070215</v>
      </c>
      <c r="L255" s="98">
        <f t="shared" ca="1" si="62"/>
        <v>120.22758731351752</v>
      </c>
      <c r="M255" s="98">
        <f t="shared" ca="1" si="63"/>
        <v>2.6945108600460583E-2</v>
      </c>
      <c r="N255" s="98">
        <f t="shared" ca="1" si="64"/>
        <v>24.045517462703501</v>
      </c>
      <c r="O255" s="67">
        <f>assumptions!M259</f>
        <v>55</v>
      </c>
      <c r="P255" s="68">
        <f>assumptions!N259</f>
        <v>3</v>
      </c>
      <c r="Q255" s="68">
        <f>assumptions!O259</f>
        <v>22</v>
      </c>
      <c r="R255" s="67">
        <f t="shared" si="65"/>
        <v>52.5</v>
      </c>
      <c r="S255" s="68">
        <f t="shared" si="66"/>
        <v>2.3275000000000001</v>
      </c>
      <c r="T255" s="68">
        <f t="shared" si="67"/>
        <v>22</v>
      </c>
      <c r="U255" s="73">
        <f t="shared" ca="1" si="73"/>
        <v>1216.5850048311863</v>
      </c>
      <c r="V255" s="72">
        <f t="shared" ca="1" si="73"/>
        <v>279.82970947221202</v>
      </c>
      <c r="W255" s="72">
        <f t="shared" ca="1" si="68"/>
        <v>529.00138417947699</v>
      </c>
      <c r="X255" s="72">
        <f t="shared" ca="1" si="74"/>
        <v>2025.4160984828754</v>
      </c>
      <c r="Y255" s="73">
        <f>mult_opex * fixed_month</f>
        <v>1000</v>
      </c>
      <c r="Z255" s="72">
        <f ca="1">mult_opex * fixed_well *D255</f>
        <v>5000</v>
      </c>
      <c r="AA255" s="72">
        <f ca="1">(Z255+Y255)*WI_current_2</f>
        <v>0</v>
      </c>
      <c r="AB255" s="72">
        <f ca="1">mult_opex * var_bo*E255</f>
        <v>0</v>
      </c>
      <c r="AC255" s="72">
        <f ca="1">mult_opex * var_mcf*F255</f>
        <v>0</v>
      </c>
      <c r="AD255" s="72">
        <f ca="1">mult_opex * var_bw * G255</f>
        <v>0.21556086880368466</v>
      </c>
      <c r="AE255" s="72">
        <f ca="1">SUM(AB255:AD255)*WI_current_2</f>
        <v>0</v>
      </c>
      <c r="AF255" s="73">
        <f ca="1">mult_capex * IFERROR(OFFSET(assumptions!$F$39,MATCH(B255,assumptions!$E$39:$E$45,0)-1,0),0)</f>
        <v>0</v>
      </c>
      <c r="AG255" s="75">
        <f ca="1">mult_capex * capex_new*WI_current_2 *'forecast production'!I256</f>
        <v>0</v>
      </c>
      <c r="AH255" s="146">
        <f t="shared" ca="1" si="75"/>
        <v>0</v>
      </c>
      <c r="AI255" s="73">
        <f t="shared" ca="1" si="69"/>
        <v>116.62524224611124</v>
      </c>
      <c r="AJ255" s="72">
        <f t="shared" ca="1" si="70"/>
        <v>50.635402462071887</v>
      </c>
      <c r="AK255" s="72">
        <f t="shared" ca="1" si="76"/>
        <v>167.26064470818312</v>
      </c>
      <c r="AL255" s="73">
        <f t="shared" ca="1" si="71"/>
        <v>1858.1554537746924</v>
      </c>
      <c r="AM255" s="321">
        <f ca="1">'monthly calculations (1)'!AM255</f>
        <v>0</v>
      </c>
      <c r="AN255" s="73">
        <f t="shared" ca="1" si="77"/>
        <v>0</v>
      </c>
      <c r="AO255" s="75">
        <f t="shared" ca="1" si="79"/>
        <v>1258622.5560460223</v>
      </c>
      <c r="AP255" s="72">
        <f ca="1">AL255  /  ( 1 + disc_1/12)^(COUNT($AL$6:AL255)-1)</f>
        <v>235.31797444041686</v>
      </c>
      <c r="AQ255" s="72">
        <f t="shared" ca="1" si="80"/>
        <v>738684.71897774923</v>
      </c>
      <c r="AS255" s="303"/>
      <c r="AT255" s="300"/>
      <c r="AU255" s="297"/>
      <c r="AV255" s="303"/>
    </row>
    <row r="256" spans="2:48" x14ac:dyDescent="0.25">
      <c r="B256" s="43">
        <f t="shared" si="78"/>
        <v>51806</v>
      </c>
      <c r="C256" s="79">
        <f t="shared" si="72"/>
        <v>2041</v>
      </c>
      <c r="D256" s="64">
        <f ca="1">wellcount_base  +  SUM('forecast production'!I$7:I257)</f>
        <v>1</v>
      </c>
      <c r="E256" s="110">
        <f ca="1">'forecast production'!AE257</f>
        <v>89.069118380936587</v>
      </c>
      <c r="F256" s="98">
        <f ca="1">'forecast production'!AF257</f>
        <v>617.27704773191465</v>
      </c>
      <c r="G256" s="98">
        <f ca="1">'forecast production'!AG257</f>
        <v>0.10072886713409641</v>
      </c>
      <c r="H256" s="98">
        <f ca="1">'forecast production'!AH257</f>
        <v>92.5915571597872</v>
      </c>
      <c r="I256" s="307">
        <f ca="1">IF('monthly calculations (1)'!AV255,WI_2_APO, WI_2)</f>
        <v>0</v>
      </c>
      <c r="J256" s="306">
        <f ca="1">IF('monthly calculations (1)'!AV255,NRI_2_APO, NRI_2)</f>
        <v>0.25</v>
      </c>
      <c r="K256" s="112">
        <f t="shared" ca="1" si="61"/>
        <v>22.267279595234147</v>
      </c>
      <c r="L256" s="98">
        <f t="shared" ca="1" si="62"/>
        <v>115.739446449734</v>
      </c>
      <c r="M256" s="98">
        <f t="shared" ca="1" si="63"/>
        <v>2.5182216783524104E-2</v>
      </c>
      <c r="N256" s="98">
        <f t="shared" ca="1" si="64"/>
        <v>23.1478892899468</v>
      </c>
      <c r="O256" s="67">
        <f>assumptions!M260</f>
        <v>55</v>
      </c>
      <c r="P256" s="68">
        <f>assumptions!N260</f>
        <v>3</v>
      </c>
      <c r="Q256" s="68">
        <f>assumptions!O260</f>
        <v>22</v>
      </c>
      <c r="R256" s="67">
        <f t="shared" si="65"/>
        <v>52.5</v>
      </c>
      <c r="S256" s="68">
        <f t="shared" si="66"/>
        <v>2.3275000000000001</v>
      </c>
      <c r="T256" s="68">
        <f t="shared" si="67"/>
        <v>22</v>
      </c>
      <c r="U256" s="73">
        <f t="shared" ca="1" si="73"/>
        <v>1169.0321787497926</v>
      </c>
      <c r="V256" s="72">
        <f t="shared" ca="1" si="73"/>
        <v>269.38356161175591</v>
      </c>
      <c r="W256" s="72">
        <f t="shared" ca="1" si="68"/>
        <v>509.25356437882959</v>
      </c>
      <c r="X256" s="72">
        <f t="shared" ca="1" si="74"/>
        <v>1947.6693047403783</v>
      </c>
      <c r="Y256" s="73">
        <f>mult_opex * fixed_month</f>
        <v>1000</v>
      </c>
      <c r="Z256" s="72">
        <f ca="1">mult_opex * fixed_well *D256</f>
        <v>5000</v>
      </c>
      <c r="AA256" s="72">
        <f ca="1">(Z256+Y256)*WI_current_2</f>
        <v>0</v>
      </c>
      <c r="AB256" s="72">
        <f ca="1">mult_opex * var_bo*E256</f>
        <v>0</v>
      </c>
      <c r="AC256" s="72">
        <f ca="1">mult_opex * var_mcf*F256</f>
        <v>0</v>
      </c>
      <c r="AD256" s="72">
        <f ca="1">mult_opex * var_bw * G256</f>
        <v>0.20145773426819283</v>
      </c>
      <c r="AE256" s="72">
        <f ca="1">SUM(AB256:AD256)*WI_current_2</f>
        <v>0</v>
      </c>
      <c r="AF256" s="73">
        <f ca="1">mult_capex * IFERROR(OFFSET(assumptions!$F$39,MATCH(B256,assumptions!$E$39:$E$45,0)-1,0),0)</f>
        <v>0</v>
      </c>
      <c r="AG256" s="75">
        <f ca="1">mult_capex * capex_new*WI_current_2 *'forecast production'!I257</f>
        <v>0</v>
      </c>
      <c r="AH256" s="146">
        <f t="shared" ca="1" si="75"/>
        <v>0</v>
      </c>
      <c r="AI256" s="73">
        <f t="shared" ca="1" si="69"/>
        <v>112.17326467178437</v>
      </c>
      <c r="AJ256" s="72">
        <f t="shared" ca="1" si="70"/>
        <v>48.691732618509462</v>
      </c>
      <c r="AK256" s="72">
        <f t="shared" ca="1" si="76"/>
        <v>160.86499729029384</v>
      </c>
      <c r="AL256" s="73">
        <f t="shared" ca="1" si="71"/>
        <v>1786.8043074500845</v>
      </c>
      <c r="AM256" s="321">
        <f ca="1">'monthly calculations (1)'!AM256</f>
        <v>0</v>
      </c>
      <c r="AN256" s="73">
        <f t="shared" ca="1" si="77"/>
        <v>0</v>
      </c>
      <c r="AO256" s="75">
        <f t="shared" ca="1" si="79"/>
        <v>1258622.5560460223</v>
      </c>
      <c r="AP256" s="72">
        <f ca="1">AL256  /  ( 1 + disc_1/12)^(COUNT($AL$6:AL256)-1)</f>
        <v>224.41192108621823</v>
      </c>
      <c r="AQ256" s="72">
        <f t="shared" ca="1" si="80"/>
        <v>738684.71897774923</v>
      </c>
      <c r="AS256" s="303"/>
      <c r="AT256" s="300"/>
      <c r="AU256" s="297"/>
      <c r="AV256" s="303"/>
    </row>
    <row r="257" spans="2:48" x14ac:dyDescent="0.25">
      <c r="B257" s="44">
        <f t="shared" si="78"/>
        <v>51836</v>
      </c>
      <c r="C257" s="100">
        <f t="shared" si="72"/>
        <v>2041</v>
      </c>
      <c r="D257" s="65">
        <f ca="1">wellcount_base  +  SUM('forecast production'!I$7:I258)</f>
        <v>1</v>
      </c>
      <c r="E257" s="109">
        <f ca="1">'forecast production'!AE258</f>
        <v>91.409482399503872</v>
      </c>
      <c r="F257" s="101">
        <f ca="1">'forecast production'!AF258</f>
        <v>634.61728740848991</v>
      </c>
      <c r="G257" s="101">
        <f ca="1">'forecast production'!AG258</f>
        <v>0.10063288598012242</v>
      </c>
      <c r="H257" s="102">
        <f ca="1">'forecast production'!AH258</f>
        <v>95.19259311127351</v>
      </c>
      <c r="I257" s="308">
        <f ca="1">IF('monthly calculations (1)'!AV256,WI_2_APO, WI_2)</f>
        <v>0</v>
      </c>
      <c r="J257" s="309">
        <f ca="1">IF('monthly calculations (1)'!AV256,NRI_2_APO, NRI_2)</f>
        <v>0.25</v>
      </c>
      <c r="K257" s="113">
        <f t="shared" ca="1" si="61"/>
        <v>22.852370599875968</v>
      </c>
      <c r="L257" s="102">
        <f t="shared" ca="1" si="62"/>
        <v>118.99074138909185</v>
      </c>
      <c r="M257" s="102">
        <f t="shared" ca="1" si="63"/>
        <v>2.5158221495030605E-2</v>
      </c>
      <c r="N257" s="102">
        <f t="shared" ca="1" si="64"/>
        <v>23.798148277818377</v>
      </c>
      <c r="O257" s="103">
        <f>assumptions!M261</f>
        <v>55</v>
      </c>
      <c r="P257" s="104">
        <f>assumptions!N261</f>
        <v>3</v>
      </c>
      <c r="Q257" s="104">
        <f>assumptions!O261</f>
        <v>22</v>
      </c>
      <c r="R257" s="103">
        <f t="shared" si="65"/>
        <v>52.5</v>
      </c>
      <c r="S257" s="104">
        <f t="shared" si="66"/>
        <v>2.3275000000000001</v>
      </c>
      <c r="T257" s="104">
        <f t="shared" si="67"/>
        <v>22</v>
      </c>
      <c r="U257" s="105">
        <f t="shared" ca="1" si="73"/>
        <v>1199.7494564934884</v>
      </c>
      <c r="V257" s="106">
        <f t="shared" ca="1" si="73"/>
        <v>276.95095058311131</v>
      </c>
      <c r="W257" s="106">
        <f t="shared" ca="1" si="68"/>
        <v>523.55926211200426</v>
      </c>
      <c r="X257" s="106">
        <f t="shared" ca="1" si="74"/>
        <v>2000.259669188604</v>
      </c>
      <c r="Y257" s="105">
        <f>mult_opex * fixed_month</f>
        <v>1000</v>
      </c>
      <c r="Z257" s="106">
        <f ca="1">mult_opex * fixed_well *D257</f>
        <v>5000</v>
      </c>
      <c r="AA257" s="106">
        <f ca="1">(Z257+Y257)*WI_current_2</f>
        <v>0</v>
      </c>
      <c r="AB257" s="106">
        <f ca="1">mult_opex * var_bo*E257</f>
        <v>0</v>
      </c>
      <c r="AC257" s="106">
        <f ca="1">mult_opex * var_mcf*F257</f>
        <v>0</v>
      </c>
      <c r="AD257" s="106">
        <f ca="1">mult_opex * var_bw * G257</f>
        <v>0.20126577196024484</v>
      </c>
      <c r="AE257" s="106">
        <f ca="1">SUM(AB257:AD257)*WI_current_2</f>
        <v>0</v>
      </c>
      <c r="AF257" s="105">
        <f ca="1">mult_capex * IFERROR(OFFSET(assumptions!$F$39,MATCH(B257,assumptions!$E$39:$E$45,0)-1,0),0)</f>
        <v>0</v>
      </c>
      <c r="AG257" s="106">
        <f ca="1">mult_capex * capex_new*WI_current_2 *'forecast production'!I258</f>
        <v>0</v>
      </c>
      <c r="AH257" s="147">
        <f t="shared" ca="1" si="75"/>
        <v>0</v>
      </c>
      <c r="AI257" s="105">
        <f t="shared" ca="1" si="69"/>
        <v>115.22674095083413</v>
      </c>
      <c r="AJ257" s="106">
        <f t="shared" ca="1" si="70"/>
        <v>50.006491729715101</v>
      </c>
      <c r="AK257" s="106">
        <f t="shared" ca="1" si="76"/>
        <v>165.23323268054924</v>
      </c>
      <c r="AL257" s="105">
        <f t="shared" ca="1" si="71"/>
        <v>1835.0264365080548</v>
      </c>
      <c r="AM257" s="322">
        <f ca="1">'monthly calculations (1)'!AM257</f>
        <v>0</v>
      </c>
      <c r="AN257" s="105">
        <f t="shared" ca="1" si="77"/>
        <v>0</v>
      </c>
      <c r="AO257" s="106">
        <f t="shared" ca="1" si="79"/>
        <v>1258622.5560460223</v>
      </c>
      <c r="AP257" s="106">
        <f ca="1">AL257  /  ( 1 + disc_1/12)^(COUNT($AL$6:AL257)-1)</f>
        <v>228.56363477065139</v>
      </c>
      <c r="AQ257" s="106">
        <f t="shared" ca="1" si="80"/>
        <v>738684.71897774923</v>
      </c>
      <c r="AS257" s="304"/>
      <c r="AT257" s="301"/>
      <c r="AU257" s="298"/>
      <c r="AV257" s="304"/>
    </row>
    <row r="258" spans="2:48" x14ac:dyDescent="0.25">
      <c r="B258" s="43">
        <f t="shared" si="78"/>
        <v>51867</v>
      </c>
      <c r="C258" s="79">
        <f t="shared" si="72"/>
        <v>2042</v>
      </c>
      <c r="D258" s="64">
        <f ca="1">wellcount_base  +  SUM('forecast production'!I$7:I259)</f>
        <v>1</v>
      </c>
      <c r="E258" s="110">
        <f ca="1">'forecast production'!AE259</f>
        <v>90.764432249544754</v>
      </c>
      <c r="F258" s="98">
        <f ca="1">'forecast production'!AF259</f>
        <v>631.29101259629579</v>
      </c>
      <c r="G258" s="98">
        <f ca="1">'forecast production'!AG259</f>
        <v>9.7185076671061424E-2</v>
      </c>
      <c r="H258" s="98">
        <f ca="1">'forecast production'!AH259</f>
        <v>94.693651889444354</v>
      </c>
      <c r="I258" s="307">
        <f ca="1">IF('monthly calculations (1)'!AV257,WI_2_APO, WI_2)</f>
        <v>0</v>
      </c>
      <c r="J258" s="306">
        <f ca="1">IF('monthly calculations (1)'!AV257,NRI_2_APO, NRI_2)</f>
        <v>0.25</v>
      </c>
      <c r="K258" s="112">
        <f t="shared" ca="1" si="61"/>
        <v>22.691108062386188</v>
      </c>
      <c r="L258" s="98">
        <f t="shared" ca="1" si="62"/>
        <v>118.36706486180546</v>
      </c>
      <c r="M258" s="98">
        <f t="shared" ca="1" si="63"/>
        <v>2.4296269167765356E-2</v>
      </c>
      <c r="N258" s="98">
        <f t="shared" ca="1" si="64"/>
        <v>23.673412972361088</v>
      </c>
      <c r="O258" s="67">
        <f>assumptions!M262</f>
        <v>55</v>
      </c>
      <c r="P258" s="68">
        <f>assumptions!N262</f>
        <v>3</v>
      </c>
      <c r="Q258" s="68">
        <f>assumptions!O262</f>
        <v>22</v>
      </c>
      <c r="R258" s="67">
        <f t="shared" si="65"/>
        <v>52.5</v>
      </c>
      <c r="S258" s="68">
        <f t="shared" si="66"/>
        <v>2.3275000000000001</v>
      </c>
      <c r="T258" s="68">
        <f t="shared" si="67"/>
        <v>22</v>
      </c>
      <c r="U258" s="73">
        <f t="shared" ca="1" si="73"/>
        <v>1191.283173275275</v>
      </c>
      <c r="V258" s="72">
        <f t="shared" ca="1" si="73"/>
        <v>275.49934346585223</v>
      </c>
      <c r="W258" s="72">
        <f t="shared" ca="1" si="68"/>
        <v>520.81508539194397</v>
      </c>
      <c r="X258" s="72">
        <f t="shared" ca="1" si="74"/>
        <v>1987.5976021330712</v>
      </c>
      <c r="Y258" s="73">
        <f>mult_opex * fixed_month</f>
        <v>1000</v>
      </c>
      <c r="Z258" s="72">
        <f ca="1">mult_opex * fixed_well *D258</f>
        <v>5000</v>
      </c>
      <c r="AA258" s="72">
        <f ca="1">(Z258+Y258)*WI_current_2</f>
        <v>0</v>
      </c>
      <c r="AB258" s="72">
        <f ca="1">mult_opex * var_bo*E258</f>
        <v>0</v>
      </c>
      <c r="AC258" s="72">
        <f ca="1">mult_opex * var_mcf*F258</f>
        <v>0</v>
      </c>
      <c r="AD258" s="72">
        <f ca="1">mult_opex * var_bw * G258</f>
        <v>0.19437015334212285</v>
      </c>
      <c r="AE258" s="72">
        <f ca="1">SUM(AB258:AD258)*WI_current_2</f>
        <v>0</v>
      </c>
      <c r="AF258" s="73">
        <f ca="1">mult_capex * IFERROR(OFFSET(assumptions!$F$39,MATCH(B258,assumptions!$E$39:$E$45,0)-1,0),0)</f>
        <v>0</v>
      </c>
      <c r="AG258" s="75">
        <f ca="1">mult_capex * capex_new*WI_current_2 *'forecast production'!I259</f>
        <v>0</v>
      </c>
      <c r="AH258" s="146">
        <f t="shared" ca="1" si="75"/>
        <v>0</v>
      </c>
      <c r="AI258" s="73">
        <f t="shared" ca="1" si="69"/>
        <v>114.52260813499736</v>
      </c>
      <c r="AJ258" s="72">
        <f t="shared" ca="1" si="70"/>
        <v>49.689940053326779</v>
      </c>
      <c r="AK258" s="72">
        <f t="shared" ca="1" si="76"/>
        <v>164.21254818832415</v>
      </c>
      <c r="AL258" s="73">
        <f t="shared" ca="1" si="71"/>
        <v>1823.3850539447471</v>
      </c>
      <c r="AM258" s="321">
        <f ca="1">'monthly calculations (1)'!AM258</f>
        <v>0</v>
      </c>
      <c r="AN258" s="73">
        <f t="shared" ca="1" si="77"/>
        <v>0</v>
      </c>
      <c r="AO258" s="75">
        <f t="shared" ca="1" si="79"/>
        <v>1258622.5560460223</v>
      </c>
      <c r="AP258" s="72">
        <f ca="1">AL258  /  ( 1 + disc_1/12)^(COUNT($AL$6:AL258)-1)</f>
        <v>225.23665805379008</v>
      </c>
      <c r="AQ258" s="72">
        <f t="shared" ca="1" si="80"/>
        <v>738684.71897774923</v>
      </c>
      <c r="AS258" s="303"/>
      <c r="AT258" s="300"/>
      <c r="AU258" s="297"/>
      <c r="AV258" s="303"/>
    </row>
    <row r="259" spans="2:48" x14ac:dyDescent="0.25">
      <c r="B259" s="43">
        <f t="shared" si="78"/>
        <v>51898</v>
      </c>
      <c r="C259" s="79">
        <f t="shared" si="72"/>
        <v>2042</v>
      </c>
      <c r="D259" s="64">
        <f ca="1">wellcount_base  +  SUM('forecast production'!I$7:I260)</f>
        <v>1</v>
      </c>
      <c r="E259" s="110">
        <f ca="1">'forecast production'!AE260</f>
        <v>81.402262995756317</v>
      </c>
      <c r="F259" s="98">
        <f ca="1">'forecast production'!AF260</f>
        <v>567.20970381213738</v>
      </c>
      <c r="G259" s="98">
        <f ca="1">'forecast production'!AG260</f>
        <v>8.4773128672891815E-2</v>
      </c>
      <c r="H259" s="98">
        <f ca="1">'forecast production'!AH260</f>
        <v>85.081455571820612</v>
      </c>
      <c r="I259" s="307">
        <f ca="1">IF('monthly calculations (1)'!AV258,WI_2_APO, WI_2)</f>
        <v>0</v>
      </c>
      <c r="J259" s="306">
        <f ca="1">IF('monthly calculations (1)'!AV258,NRI_2_APO, NRI_2)</f>
        <v>0.25</v>
      </c>
      <c r="K259" s="112">
        <f t="shared" ca="1" si="61"/>
        <v>20.350565748939079</v>
      </c>
      <c r="L259" s="98">
        <f t="shared" ca="1" si="62"/>
        <v>106.35181946477576</v>
      </c>
      <c r="M259" s="98">
        <f t="shared" ca="1" si="63"/>
        <v>2.1193282168222954E-2</v>
      </c>
      <c r="N259" s="98">
        <f t="shared" ca="1" si="64"/>
        <v>21.270363892955153</v>
      </c>
      <c r="O259" s="67">
        <f>assumptions!M263</f>
        <v>55</v>
      </c>
      <c r="P259" s="68">
        <f>assumptions!N263</f>
        <v>3</v>
      </c>
      <c r="Q259" s="68">
        <f>assumptions!O263</f>
        <v>22</v>
      </c>
      <c r="R259" s="67">
        <f t="shared" si="65"/>
        <v>52.5</v>
      </c>
      <c r="S259" s="68">
        <f t="shared" si="66"/>
        <v>2.3275000000000001</v>
      </c>
      <c r="T259" s="68">
        <f t="shared" si="67"/>
        <v>22</v>
      </c>
      <c r="U259" s="73">
        <f t="shared" ca="1" si="73"/>
        <v>1068.4047018193016</v>
      </c>
      <c r="V259" s="72">
        <f t="shared" ca="1" si="73"/>
        <v>247.5338598042656</v>
      </c>
      <c r="W259" s="72">
        <f t="shared" ca="1" si="68"/>
        <v>467.94800564501338</v>
      </c>
      <c r="X259" s="72">
        <f t="shared" ca="1" si="74"/>
        <v>1783.8865672685806</v>
      </c>
      <c r="Y259" s="73">
        <f>mult_opex * fixed_month</f>
        <v>1000</v>
      </c>
      <c r="Z259" s="72">
        <f ca="1">mult_opex * fixed_well *D259</f>
        <v>5000</v>
      </c>
      <c r="AA259" s="72">
        <f ca="1">(Z259+Y259)*WI_current_2</f>
        <v>0</v>
      </c>
      <c r="AB259" s="72">
        <f ca="1">mult_opex * var_bo*E259</f>
        <v>0</v>
      </c>
      <c r="AC259" s="72">
        <f ca="1">mult_opex * var_mcf*F259</f>
        <v>0</v>
      </c>
      <c r="AD259" s="72">
        <f ca="1">mult_opex * var_bw * G259</f>
        <v>0.16954625734578363</v>
      </c>
      <c r="AE259" s="72">
        <f ca="1">SUM(AB259:AD259)*WI_current_2</f>
        <v>0</v>
      </c>
      <c r="AF259" s="73">
        <f ca="1">mult_capex * IFERROR(OFFSET(assumptions!$F$39,MATCH(B259,assumptions!$E$39:$E$45,0)-1,0),0)</f>
        <v>0</v>
      </c>
      <c r="AG259" s="75">
        <f ca="1">mult_capex * capex_new*WI_current_2 *'forecast production'!I260</f>
        <v>0</v>
      </c>
      <c r="AH259" s="146">
        <f t="shared" ca="1" si="75"/>
        <v>0</v>
      </c>
      <c r="AI259" s="73">
        <f t="shared" ca="1" si="69"/>
        <v>102.80775619238379</v>
      </c>
      <c r="AJ259" s="72">
        <f t="shared" ca="1" si="70"/>
        <v>44.597164181714518</v>
      </c>
      <c r="AK259" s="72">
        <f t="shared" ca="1" si="76"/>
        <v>147.40492037409831</v>
      </c>
      <c r="AL259" s="73">
        <f t="shared" ca="1" si="71"/>
        <v>1636.4816468944823</v>
      </c>
      <c r="AM259" s="321">
        <f ca="1">'monthly calculations (1)'!AM259</f>
        <v>0</v>
      </c>
      <c r="AN259" s="73">
        <f t="shared" ca="1" si="77"/>
        <v>0</v>
      </c>
      <c r="AO259" s="75">
        <f t="shared" ca="1" si="79"/>
        <v>1258622.5560460223</v>
      </c>
      <c r="AP259" s="72">
        <f ca="1">AL259  /  ( 1 + disc_1/12)^(COUNT($AL$6:AL259)-1)</f>
        <v>200.47845145046719</v>
      </c>
      <c r="AQ259" s="72">
        <f t="shared" ca="1" si="80"/>
        <v>738684.71897774923</v>
      </c>
      <c r="AS259" s="303"/>
      <c r="AT259" s="300"/>
      <c r="AU259" s="297"/>
      <c r="AV259" s="303"/>
    </row>
    <row r="260" spans="2:48" x14ac:dyDescent="0.25">
      <c r="B260" s="43">
        <f t="shared" si="78"/>
        <v>51926</v>
      </c>
      <c r="C260" s="79">
        <f t="shared" si="72"/>
        <v>2042</v>
      </c>
      <c r="D260" s="64">
        <f ca="1">wellcount_base  +  SUM('forecast production'!I$7:I261)</f>
        <v>1</v>
      </c>
      <c r="E260" s="110">
        <f ca="1">'forecast production'!AE261</f>
        <v>89.549305270023083</v>
      </c>
      <c r="F260" s="98">
        <f ca="1">'forecast production'!AF261</f>
        <v>625.00845106022962</v>
      </c>
      <c r="G260" s="98">
        <f ca="1">'forecast production'!AG261</f>
        <v>9.094762730444178E-2</v>
      </c>
      <c r="H260" s="98">
        <f ca="1">'forecast production'!AH261</f>
        <v>93.751267659034454</v>
      </c>
      <c r="I260" s="307">
        <f ca="1">IF('monthly calculations (1)'!AV259,WI_2_APO, WI_2)</f>
        <v>0</v>
      </c>
      <c r="J260" s="306">
        <f ca="1">IF('monthly calculations (1)'!AV259,NRI_2_APO, NRI_2)</f>
        <v>0.25</v>
      </c>
      <c r="K260" s="112">
        <f t="shared" ca="1" si="61"/>
        <v>22.387326317505771</v>
      </c>
      <c r="L260" s="98">
        <f t="shared" ca="1" si="62"/>
        <v>117.18908457379305</v>
      </c>
      <c r="M260" s="98">
        <f t="shared" ca="1" si="63"/>
        <v>2.2736906826110445E-2</v>
      </c>
      <c r="N260" s="98">
        <f t="shared" ca="1" si="64"/>
        <v>23.437816914758614</v>
      </c>
      <c r="O260" s="67">
        <f>assumptions!M264</f>
        <v>55</v>
      </c>
      <c r="P260" s="68">
        <f>assumptions!N264</f>
        <v>3</v>
      </c>
      <c r="Q260" s="68">
        <f>assumptions!O264</f>
        <v>22</v>
      </c>
      <c r="R260" s="67">
        <f t="shared" si="65"/>
        <v>52.5</v>
      </c>
      <c r="S260" s="68">
        <f t="shared" si="66"/>
        <v>2.3275000000000001</v>
      </c>
      <c r="T260" s="68">
        <f t="shared" si="67"/>
        <v>22</v>
      </c>
      <c r="U260" s="73">
        <f t="shared" ca="1" si="73"/>
        <v>1175.3346316690529</v>
      </c>
      <c r="V260" s="72">
        <f t="shared" ca="1" si="73"/>
        <v>272.75759434550332</v>
      </c>
      <c r="W260" s="72">
        <f t="shared" ca="1" si="68"/>
        <v>515.63197212468947</v>
      </c>
      <c r="X260" s="72">
        <f t="shared" ca="1" si="74"/>
        <v>1963.7241981392458</v>
      </c>
      <c r="Y260" s="73">
        <f>mult_opex * fixed_month</f>
        <v>1000</v>
      </c>
      <c r="Z260" s="72">
        <f ca="1">mult_opex * fixed_well *D260</f>
        <v>5000</v>
      </c>
      <c r="AA260" s="72">
        <f ca="1">(Z260+Y260)*WI_current_2</f>
        <v>0</v>
      </c>
      <c r="AB260" s="72">
        <f ca="1">mult_opex * var_bo*E260</f>
        <v>0</v>
      </c>
      <c r="AC260" s="72">
        <f ca="1">mult_opex * var_mcf*F260</f>
        <v>0</v>
      </c>
      <c r="AD260" s="72">
        <f ca="1">mult_opex * var_bw * G260</f>
        <v>0.18189525460888356</v>
      </c>
      <c r="AE260" s="72">
        <f ca="1">SUM(AB260:AD260)*WI_current_2</f>
        <v>0</v>
      </c>
      <c r="AF260" s="73">
        <f ca="1">mult_capex * IFERROR(OFFSET(assumptions!$F$39,MATCH(B260,assumptions!$E$39:$E$45,0)-1,0),0)</f>
        <v>0</v>
      </c>
      <c r="AG260" s="75">
        <f ca="1">mult_capex * capex_new*WI_current_2 *'forecast production'!I261</f>
        <v>0</v>
      </c>
      <c r="AH260" s="146">
        <f t="shared" ca="1" si="75"/>
        <v>0</v>
      </c>
      <c r="AI260" s="73">
        <f t="shared" ca="1" si="69"/>
        <v>113.19461054204089</v>
      </c>
      <c r="AJ260" s="72">
        <f t="shared" ca="1" si="70"/>
        <v>49.093104953481145</v>
      </c>
      <c r="AK260" s="72">
        <f t="shared" ca="1" si="76"/>
        <v>162.28771549552204</v>
      </c>
      <c r="AL260" s="73">
        <f t="shared" ca="1" si="71"/>
        <v>1801.4364826437238</v>
      </c>
      <c r="AM260" s="321">
        <f ca="1">'monthly calculations (1)'!AM260</f>
        <v>0</v>
      </c>
      <c r="AN260" s="73">
        <f t="shared" ca="1" si="77"/>
        <v>0</v>
      </c>
      <c r="AO260" s="75">
        <f t="shared" ca="1" si="79"/>
        <v>1258622.5560460223</v>
      </c>
      <c r="AP260" s="72">
        <f ca="1">AL260  /  ( 1 + disc_1/12)^(COUNT($AL$6:AL260)-1)</f>
        <v>218.86251703694367</v>
      </c>
      <c r="AQ260" s="72">
        <f t="shared" ca="1" si="80"/>
        <v>738684.71897774923</v>
      </c>
      <c r="AS260" s="303"/>
      <c r="AT260" s="300"/>
      <c r="AU260" s="297"/>
      <c r="AV260" s="303"/>
    </row>
    <row r="261" spans="2:48" x14ac:dyDescent="0.25">
      <c r="B261" s="43">
        <f t="shared" si="78"/>
        <v>51957</v>
      </c>
      <c r="C261" s="79">
        <f t="shared" si="72"/>
        <v>2042</v>
      </c>
      <c r="D261" s="64">
        <f ca="1">wellcount_base  +  SUM('forecast production'!I$7:I262)</f>
        <v>1</v>
      </c>
      <c r="E261" s="108">
        <f ca="1">'forecast production'!AE262</f>
        <v>86.049079209119171</v>
      </c>
      <c r="F261" s="97">
        <f ca="1">'forecast production'!AF262</f>
        <v>601.67665149497225</v>
      </c>
      <c r="G261" s="97">
        <f ca="1">'forecast production'!AG262</f>
        <v>8.4999867021875841E-2</v>
      </c>
      <c r="H261" s="98">
        <f ca="1">'forecast production'!AH262</f>
        <v>90.251497724245823</v>
      </c>
      <c r="I261" s="307">
        <f ca="1">IF('monthly calculations (1)'!AV260,WI_2_APO, WI_2)</f>
        <v>0</v>
      </c>
      <c r="J261" s="306">
        <f ca="1">IF('monthly calculations (1)'!AV260,NRI_2_APO, NRI_2)</f>
        <v>0.25</v>
      </c>
      <c r="K261" s="112">
        <f t="shared" ca="1" si="61"/>
        <v>21.512269802279793</v>
      </c>
      <c r="L261" s="98">
        <f t="shared" ca="1" si="62"/>
        <v>112.8143721553073</v>
      </c>
      <c r="M261" s="98">
        <f t="shared" ca="1" si="63"/>
        <v>2.124996675546896E-2</v>
      </c>
      <c r="N261" s="98">
        <f t="shared" ca="1" si="64"/>
        <v>22.562874431061456</v>
      </c>
      <c r="O261" s="67">
        <f>assumptions!M265</f>
        <v>55</v>
      </c>
      <c r="P261" s="68">
        <f>assumptions!N265</f>
        <v>3</v>
      </c>
      <c r="Q261" s="68">
        <f>assumptions!O265</f>
        <v>22</v>
      </c>
      <c r="R261" s="67">
        <f t="shared" si="65"/>
        <v>52.5</v>
      </c>
      <c r="S261" s="68">
        <f t="shared" si="66"/>
        <v>2.3275000000000001</v>
      </c>
      <c r="T261" s="68">
        <f t="shared" si="67"/>
        <v>22</v>
      </c>
      <c r="U261" s="73">
        <f t="shared" ca="1" si="73"/>
        <v>1129.394164619689</v>
      </c>
      <c r="V261" s="72">
        <f t="shared" ca="1" si="73"/>
        <v>262.57545119147773</v>
      </c>
      <c r="W261" s="72">
        <f t="shared" ca="1" si="68"/>
        <v>496.38323748335205</v>
      </c>
      <c r="X261" s="72">
        <f t="shared" ca="1" si="74"/>
        <v>1888.3528532945188</v>
      </c>
      <c r="Y261" s="73">
        <f>mult_opex * fixed_month</f>
        <v>1000</v>
      </c>
      <c r="Z261" s="72">
        <f ca="1">mult_opex * fixed_well *D261</f>
        <v>5000</v>
      </c>
      <c r="AA261" s="72">
        <f ca="1">(Z261+Y261)*WI_current_2</f>
        <v>0</v>
      </c>
      <c r="AB261" s="72">
        <f ca="1">mult_opex * var_bo*E261</f>
        <v>0</v>
      </c>
      <c r="AC261" s="72">
        <f ca="1">mult_opex * var_mcf*F261</f>
        <v>0</v>
      </c>
      <c r="AD261" s="72">
        <f ca="1">mult_opex * var_bw * G261</f>
        <v>0.16999973404375168</v>
      </c>
      <c r="AE261" s="72">
        <f ca="1">SUM(AB261:AD261)*WI_current_2</f>
        <v>0</v>
      </c>
      <c r="AF261" s="73">
        <f ca="1">mult_capex * IFERROR(OFFSET(assumptions!$F$39,MATCH(B261,assumptions!$E$39:$E$45,0)-1,0),0)</f>
        <v>0</v>
      </c>
      <c r="AG261" s="75">
        <f ca="1">mult_capex * capex_new*WI_current_2 *'forecast production'!I262</f>
        <v>0</v>
      </c>
      <c r="AH261" s="146">
        <f t="shared" ca="1" si="75"/>
        <v>0</v>
      </c>
      <c r="AI261" s="73">
        <f t="shared" ca="1" si="69"/>
        <v>108.87403322311792</v>
      </c>
      <c r="AJ261" s="72">
        <f t="shared" ca="1" si="70"/>
        <v>47.208821332362973</v>
      </c>
      <c r="AK261" s="72">
        <f t="shared" ca="1" si="76"/>
        <v>156.08285455548088</v>
      </c>
      <c r="AL261" s="73">
        <f t="shared" ca="1" si="71"/>
        <v>1732.2699987390379</v>
      </c>
      <c r="AM261" s="321">
        <f ca="1">'monthly calculations (1)'!AM261</f>
        <v>0</v>
      </c>
      <c r="AN261" s="73">
        <f t="shared" ca="1" si="77"/>
        <v>0</v>
      </c>
      <c r="AO261" s="75">
        <f t="shared" ca="1" si="79"/>
        <v>1258622.5560460223</v>
      </c>
      <c r="AP261" s="72">
        <f ca="1">AL261  /  ( 1 + disc_1/12)^(COUNT($AL$6:AL261)-1)</f>
        <v>208.71991793439906</v>
      </c>
      <c r="AQ261" s="72">
        <f t="shared" ca="1" si="80"/>
        <v>738684.71897774923</v>
      </c>
      <c r="AS261" s="303"/>
      <c r="AT261" s="300"/>
      <c r="AU261" s="297"/>
      <c r="AV261" s="303"/>
    </row>
    <row r="262" spans="2:48" x14ac:dyDescent="0.25">
      <c r="B262" s="43">
        <f t="shared" si="78"/>
        <v>51987</v>
      </c>
      <c r="C262" s="79">
        <f t="shared" si="72"/>
        <v>2042</v>
      </c>
      <c r="D262" s="64">
        <f ca="1">wellcount_base  +  SUM('forecast production'!I$7:I263)</f>
        <v>1</v>
      </c>
      <c r="E262" s="110">
        <f ca="1">'forecast production'!AE263</f>
        <v>88.310089225526511</v>
      </c>
      <c r="F262" s="98">
        <f ca="1">'forecast production'!AF263</f>
        <v>618.57865260299525</v>
      </c>
      <c r="G262" s="98">
        <f ca="1">'forecast production'!AG263</f>
        <v>8.4921304803870057E-2</v>
      </c>
      <c r="H262" s="98">
        <f ca="1">'forecast production'!AH263</f>
        <v>92.786797890449279</v>
      </c>
      <c r="I262" s="307">
        <f ca="1">IF('monthly calculations (1)'!AV261,WI_2_APO, WI_2)</f>
        <v>0</v>
      </c>
      <c r="J262" s="306">
        <f ca="1">IF('monthly calculations (1)'!AV261,NRI_2_APO, NRI_2)</f>
        <v>0.25</v>
      </c>
      <c r="K262" s="112">
        <f t="shared" ref="K262:K325" ca="1" si="81">E262*NRI_current</f>
        <v>22.077522306381628</v>
      </c>
      <c r="L262" s="98">
        <f t="shared" ref="L262:L325" ca="1" si="82">F262 * NRI_current * ( 1-shrink_ngl-shrink_leaseuse) - vol_leaseuse</f>
        <v>115.98349736306162</v>
      </c>
      <c r="M262" s="98">
        <f t="shared" ref="M262:M325" ca="1" si="83">G262*NRI_current</f>
        <v>2.1230326200967514E-2</v>
      </c>
      <c r="N262" s="98">
        <f t="shared" ref="N262:N325" ca="1" si="84">H262 * NRI_current</f>
        <v>23.19669947261232</v>
      </c>
      <c r="O262" s="67">
        <f>assumptions!M266</f>
        <v>55</v>
      </c>
      <c r="P262" s="68">
        <f>assumptions!N266</f>
        <v>3</v>
      </c>
      <c r="Q262" s="68">
        <f>assumptions!O266</f>
        <v>22</v>
      </c>
      <c r="R262" s="67">
        <f t="shared" ref="R262:R325" si="85" xml:space="preserve"> (O262*mult_oilprice )  *  (1+  pdiff_oil)   + diff_oil</f>
        <v>52.5</v>
      </c>
      <c r="S262" s="68">
        <f t="shared" ref="S262:S325" si="86">(  (P262*mult_gasprice )  * (1+   pdiff_gas)  +  diff_gas ) *  energy_residue/1000</f>
        <v>2.3275000000000001</v>
      </c>
      <c r="T262" s="68">
        <f t="shared" ref="T262:T325" si="87">mult_oilprice * (1+pdiff_ngl)*O262</f>
        <v>22</v>
      </c>
      <c r="U262" s="73">
        <f t="shared" ca="1" si="73"/>
        <v>1159.0699210850355</v>
      </c>
      <c r="V262" s="72">
        <f t="shared" ca="1" si="73"/>
        <v>269.95159011252593</v>
      </c>
      <c r="W262" s="72">
        <f t="shared" ref="W262:W325" ca="1" si="88">N262*T262</f>
        <v>510.32738839747105</v>
      </c>
      <c r="X262" s="72">
        <f t="shared" ca="1" si="74"/>
        <v>1939.3488995950324</v>
      </c>
      <c r="Y262" s="73">
        <f>mult_opex * fixed_month</f>
        <v>1000</v>
      </c>
      <c r="Z262" s="72">
        <f ca="1">mult_opex * fixed_well *D262</f>
        <v>5000</v>
      </c>
      <c r="AA262" s="72">
        <f ca="1">(Z262+Y262)*WI_current_2</f>
        <v>0</v>
      </c>
      <c r="AB262" s="72">
        <f ca="1">mult_opex * var_bo*E262</f>
        <v>0</v>
      </c>
      <c r="AC262" s="72">
        <f ca="1">mult_opex * var_mcf*F262</f>
        <v>0</v>
      </c>
      <c r="AD262" s="72">
        <f ca="1">mult_opex * var_bw * G262</f>
        <v>0.16984260960774011</v>
      </c>
      <c r="AE262" s="72">
        <f ca="1">SUM(AB262:AD262)*WI_current_2</f>
        <v>0</v>
      </c>
      <c r="AF262" s="73">
        <f ca="1">mult_capex * IFERROR(OFFSET(assumptions!$F$39,MATCH(B262,assumptions!$E$39:$E$45,0)-1,0),0)</f>
        <v>0</v>
      </c>
      <c r="AG262" s="75">
        <f ca="1">mult_capex * capex_new*WI_current_2 *'forecast production'!I263</f>
        <v>0</v>
      </c>
      <c r="AH262" s="146">
        <f t="shared" ca="1" si="75"/>
        <v>0</v>
      </c>
      <c r="AI262" s="73">
        <f t="shared" ref="AI262:AI325" ca="1" si="89">U262*sev_oil   +  V262*sev_gas  +  W262*sev_ngl</f>
        <v>111.8381397581614</v>
      </c>
      <c r="AJ262" s="72">
        <f t="shared" ref="AJ262:AJ325" ca="1" si="90">adval * X262</f>
        <v>48.483722489875817</v>
      </c>
      <c r="AK262" s="72">
        <f t="shared" ca="1" si="76"/>
        <v>160.32186224803723</v>
      </c>
      <c r="AL262" s="73">
        <f t="shared" ref="AL262:AL325" ca="1" si="91">X262-AE262-AH262-AK262-AA262</f>
        <v>1779.0270373469953</v>
      </c>
      <c r="AM262" s="321">
        <f ca="1">'monthly calculations (1)'!AM262</f>
        <v>0</v>
      </c>
      <c r="AN262" s="73">
        <f t="shared" ca="1" si="77"/>
        <v>0</v>
      </c>
      <c r="AO262" s="75">
        <f t="shared" ca="1" si="79"/>
        <v>1258622.5560460223</v>
      </c>
      <c r="AP262" s="72">
        <f ca="1">AL262  /  ( 1 + disc_1/12)^(COUNT($AL$6:AL262)-1)</f>
        <v>212.58212090890945</v>
      </c>
      <c r="AQ262" s="72">
        <f t="shared" ca="1" si="80"/>
        <v>738684.71897774923</v>
      </c>
      <c r="AS262" s="303"/>
      <c r="AT262" s="300"/>
      <c r="AU262" s="297"/>
      <c r="AV262" s="303"/>
    </row>
    <row r="263" spans="2:48" x14ac:dyDescent="0.25">
      <c r="B263" s="43">
        <f t="shared" si="78"/>
        <v>52018</v>
      </c>
      <c r="C263" s="79">
        <f t="shared" ref="C263:C326" si="92">YEAR(B263)</f>
        <v>2042</v>
      </c>
      <c r="D263" s="64">
        <f ca="1">wellcount_base  +  SUM('forecast production'!I$7:I264)</f>
        <v>1</v>
      </c>
      <c r="E263" s="110">
        <f ca="1">'forecast production'!AE264</f>
        <v>84.858300573276523</v>
      </c>
      <c r="F263" s="98">
        <f ca="1">'forecast production'!AF264</f>
        <v>595.48687982232718</v>
      </c>
      <c r="G263" s="98">
        <f ca="1">'forecast production'!AG264</f>
        <v>7.9368599558142711E-2</v>
      </c>
      <c r="H263" s="98">
        <f ca="1">'forecast production'!AH264</f>
        <v>89.323031973349089</v>
      </c>
      <c r="I263" s="307">
        <f ca="1">IF('monthly calculations (1)'!AV262,WI_2_APO, WI_2)</f>
        <v>0</v>
      </c>
      <c r="J263" s="306">
        <f ca="1">IF('monthly calculations (1)'!AV262,NRI_2_APO, NRI_2)</f>
        <v>0.25</v>
      </c>
      <c r="K263" s="112">
        <f t="shared" ca="1" si="81"/>
        <v>21.214575143319131</v>
      </c>
      <c r="L263" s="98">
        <f t="shared" ca="1" si="82"/>
        <v>111.65378996668635</v>
      </c>
      <c r="M263" s="98">
        <f t="shared" ca="1" si="83"/>
        <v>1.9842149889535678E-2</v>
      </c>
      <c r="N263" s="98">
        <f t="shared" ca="1" si="84"/>
        <v>22.330757993337272</v>
      </c>
      <c r="O263" s="67">
        <f>assumptions!M267</f>
        <v>55</v>
      </c>
      <c r="P263" s="68">
        <f>assumptions!N267</f>
        <v>3</v>
      </c>
      <c r="Q263" s="68">
        <f>assumptions!O267</f>
        <v>22</v>
      </c>
      <c r="R263" s="67">
        <f t="shared" si="85"/>
        <v>52.5</v>
      </c>
      <c r="S263" s="68">
        <f t="shared" si="86"/>
        <v>2.3275000000000001</v>
      </c>
      <c r="T263" s="68">
        <f t="shared" si="87"/>
        <v>22</v>
      </c>
      <c r="U263" s="73">
        <f t="shared" ref="U263:V326" ca="1" si="93">K263*R263</f>
        <v>1113.7651950242544</v>
      </c>
      <c r="V263" s="72">
        <f t="shared" ca="1" si="93"/>
        <v>259.8741961474625</v>
      </c>
      <c r="W263" s="72">
        <f t="shared" ca="1" si="88"/>
        <v>491.27667585341999</v>
      </c>
      <c r="X263" s="72">
        <f t="shared" ref="X263:X326" ca="1" si="94">SUM(U263:W263)</f>
        <v>1864.9160670251367</v>
      </c>
      <c r="Y263" s="73">
        <f>mult_opex * fixed_month</f>
        <v>1000</v>
      </c>
      <c r="Z263" s="72">
        <f ca="1">mult_opex * fixed_well *D263</f>
        <v>5000</v>
      </c>
      <c r="AA263" s="72">
        <f ca="1">(Z263+Y263)*WI_current_2</f>
        <v>0</v>
      </c>
      <c r="AB263" s="72">
        <f ca="1">mult_opex * var_bo*E263</f>
        <v>0</v>
      </c>
      <c r="AC263" s="72">
        <f ca="1">mult_opex * var_mcf*F263</f>
        <v>0</v>
      </c>
      <c r="AD263" s="72">
        <f ca="1">mult_opex * var_bw * G263</f>
        <v>0.15873719911628542</v>
      </c>
      <c r="AE263" s="72">
        <f ca="1">SUM(AB263:AD263)*WI_current_2</f>
        <v>0</v>
      </c>
      <c r="AF263" s="73">
        <f ca="1">mult_capex * IFERROR(OFFSET(assumptions!$F$39,MATCH(B263,assumptions!$E$39:$E$45,0)-1,0),0)</f>
        <v>0</v>
      </c>
      <c r="AG263" s="75">
        <f ca="1">mult_capex * capex_new*WI_current_2 *'forecast production'!I264</f>
        <v>0</v>
      </c>
      <c r="AH263" s="146">
        <f t="shared" ref="AH263:AH326" ca="1" si="95">AG263+AF263</f>
        <v>0</v>
      </c>
      <c r="AI263" s="73">
        <f t="shared" ca="1" si="89"/>
        <v>107.5695143711819</v>
      </c>
      <c r="AJ263" s="72">
        <f t="shared" ca="1" si="90"/>
        <v>46.62290167562842</v>
      </c>
      <c r="AK263" s="72">
        <f t="shared" ref="AK263:AK326" ca="1" si="96">SUM(AI263:AJ263)</f>
        <v>154.19241604681031</v>
      </c>
      <c r="AL263" s="73">
        <f t="shared" ca="1" si="91"/>
        <v>1710.7236509783265</v>
      </c>
      <c r="AM263" s="321">
        <f ca="1">'monthly calculations (1)'!AM263</f>
        <v>0</v>
      </c>
      <c r="AN263" s="73">
        <f t="shared" ref="AN263:AN326" ca="1" si="97">AL263*AM263</f>
        <v>0</v>
      </c>
      <c r="AO263" s="75">
        <f t="shared" ca="1" si="79"/>
        <v>1258622.5560460223</v>
      </c>
      <c r="AP263" s="72">
        <f ca="1">AL263  /  ( 1 + disc_1/12)^(COUNT($AL$6:AL263)-1)</f>
        <v>202.73088792446168</v>
      </c>
      <c r="AQ263" s="72">
        <f t="shared" ca="1" si="80"/>
        <v>738684.71897774923</v>
      </c>
      <c r="AS263" s="303"/>
      <c r="AT263" s="300"/>
      <c r="AU263" s="297"/>
      <c r="AV263" s="303"/>
    </row>
    <row r="264" spans="2:48" x14ac:dyDescent="0.25">
      <c r="B264" s="43">
        <f t="shared" ref="B264:B327" si="98">EOMONTH(B263,0)+1</f>
        <v>52048</v>
      </c>
      <c r="C264" s="79">
        <f t="shared" si="92"/>
        <v>2042</v>
      </c>
      <c r="D264" s="64">
        <f ca="1">wellcount_base  +  SUM('forecast production'!I$7:I265)</f>
        <v>1</v>
      </c>
      <c r="E264" s="110">
        <f ca="1">'forecast production'!AE265</f>
        <v>87.088021905973264</v>
      </c>
      <c r="F264" s="98">
        <f ca="1">'forecast production'!AF265</f>
        <v>612.21500094446503</v>
      </c>
      <c r="G264" s="98">
        <f ca="1">'forecast production'!AG265</f>
        <v>7.9296158148691009E-2</v>
      </c>
      <c r="H264" s="98">
        <f ca="1">'forecast production'!AH265</f>
        <v>91.832250141669746</v>
      </c>
      <c r="I264" s="307">
        <f ca="1">IF('monthly calculations (1)'!AV263,WI_2_APO, WI_2)</f>
        <v>0</v>
      </c>
      <c r="J264" s="306">
        <f ca="1">IF('monthly calculations (1)'!AV263,NRI_2_APO, NRI_2)</f>
        <v>0.25</v>
      </c>
      <c r="K264" s="112">
        <f t="shared" ca="1" si="81"/>
        <v>21.772005476493316</v>
      </c>
      <c r="L264" s="98">
        <f t="shared" ca="1" si="82"/>
        <v>114.7903126770872</v>
      </c>
      <c r="M264" s="98">
        <f t="shared" ca="1" si="83"/>
        <v>1.9824039537172752E-2</v>
      </c>
      <c r="N264" s="98">
        <f t="shared" ca="1" si="84"/>
        <v>22.958062535417437</v>
      </c>
      <c r="O264" s="67">
        <f>assumptions!M268</f>
        <v>55</v>
      </c>
      <c r="P264" s="68">
        <f>assumptions!N268</f>
        <v>3</v>
      </c>
      <c r="Q264" s="68">
        <f>assumptions!O268</f>
        <v>22</v>
      </c>
      <c r="R264" s="67">
        <f t="shared" si="85"/>
        <v>52.5</v>
      </c>
      <c r="S264" s="68">
        <f t="shared" si="86"/>
        <v>2.3275000000000001</v>
      </c>
      <c r="T264" s="68">
        <f t="shared" si="87"/>
        <v>22</v>
      </c>
      <c r="U264" s="73">
        <f t="shared" ca="1" si="93"/>
        <v>1143.0302875158991</v>
      </c>
      <c r="V264" s="72">
        <f t="shared" ca="1" si="93"/>
        <v>267.17445275592047</v>
      </c>
      <c r="W264" s="72">
        <f t="shared" ca="1" si="88"/>
        <v>505.07737577918363</v>
      </c>
      <c r="X264" s="72">
        <f t="shared" ca="1" si="94"/>
        <v>1915.282116051003</v>
      </c>
      <c r="Y264" s="73">
        <f>mult_opex * fixed_month</f>
        <v>1000</v>
      </c>
      <c r="Z264" s="72">
        <f ca="1">mult_opex * fixed_well *D264</f>
        <v>5000</v>
      </c>
      <c r="AA264" s="72">
        <f ca="1">(Z264+Y264)*WI_current_2</f>
        <v>0</v>
      </c>
      <c r="AB264" s="72">
        <f ca="1">mult_opex * var_bo*E264</f>
        <v>0</v>
      </c>
      <c r="AC264" s="72">
        <f ca="1">mult_opex * var_mcf*F264</f>
        <v>0</v>
      </c>
      <c r="AD264" s="72">
        <f ca="1">mult_opex * var_bw * G264</f>
        <v>0.15859231629738202</v>
      </c>
      <c r="AE264" s="72">
        <f ca="1">SUM(AB264:AD264)*WI_current_2</f>
        <v>0</v>
      </c>
      <c r="AF264" s="73">
        <f ca="1">mult_capex * IFERROR(OFFSET(assumptions!$F$39,MATCH(B264,assumptions!$E$39:$E$45,0)-1,0),0)</f>
        <v>0</v>
      </c>
      <c r="AG264" s="75">
        <f ca="1">mult_capex * capex_new*WI_current_2 *'forecast production'!I265</f>
        <v>0</v>
      </c>
      <c r="AH264" s="146">
        <f t="shared" ca="1" si="95"/>
        <v>0</v>
      </c>
      <c r="AI264" s="73">
        <f t="shared" ca="1" si="89"/>
        <v>110.49828036586416</v>
      </c>
      <c r="AJ264" s="72">
        <f t="shared" ca="1" si="90"/>
        <v>47.882052901275074</v>
      </c>
      <c r="AK264" s="72">
        <f t="shared" ca="1" si="96"/>
        <v>158.38033326713924</v>
      </c>
      <c r="AL264" s="73">
        <f t="shared" ca="1" si="91"/>
        <v>1756.9017827838638</v>
      </c>
      <c r="AM264" s="321">
        <f ca="1">'monthly calculations (1)'!AM264</f>
        <v>0</v>
      </c>
      <c r="AN264" s="73">
        <f t="shared" ca="1" si="97"/>
        <v>0</v>
      </c>
      <c r="AO264" s="75">
        <f t="shared" ref="AO264:AO327" ca="1" si="99">AO263+AN264</f>
        <v>1258622.5560460223</v>
      </c>
      <c r="AP264" s="72">
        <f ca="1">AL264  /  ( 1 + disc_1/12)^(COUNT($AL$6:AL264)-1)</f>
        <v>206.48258194561294</v>
      </c>
      <c r="AQ264" s="72">
        <f t="shared" ref="AQ264:AQ327" ca="1" si="100">AQ263+AP264*AM264</f>
        <v>738684.71897774923</v>
      </c>
      <c r="AS264" s="303"/>
      <c r="AT264" s="300"/>
      <c r="AU264" s="297"/>
      <c r="AV264" s="303"/>
    </row>
    <row r="265" spans="2:48" x14ac:dyDescent="0.25">
      <c r="B265" s="43">
        <f t="shared" si="98"/>
        <v>52079</v>
      </c>
      <c r="C265" s="79">
        <f t="shared" si="92"/>
        <v>2042</v>
      </c>
      <c r="D265" s="64">
        <f ca="1">wellcount_base  +  SUM('forecast production'!I$7:I266)</f>
        <v>1</v>
      </c>
      <c r="E265" s="108">
        <f ca="1">'forecast production'!AE266</f>
        <v>86.473467046723812</v>
      </c>
      <c r="F265" s="97">
        <f ca="1">'forecast production'!AF266</f>
        <v>609.0061451857373</v>
      </c>
      <c r="G265" s="97">
        <f ca="1">'forecast production'!AG266</f>
        <v>7.6582550692613466E-2</v>
      </c>
      <c r="H265" s="98">
        <f ca="1">'forecast production'!AH266</f>
        <v>91.350921777860577</v>
      </c>
      <c r="I265" s="307">
        <f ca="1">IF('monthly calculations (1)'!AV264,WI_2_APO, WI_2)</f>
        <v>0</v>
      </c>
      <c r="J265" s="306">
        <f ca="1">IF('monthly calculations (1)'!AV264,NRI_2_APO, NRI_2)</f>
        <v>0.25</v>
      </c>
      <c r="K265" s="112">
        <f t="shared" ca="1" si="81"/>
        <v>21.618366761680953</v>
      </c>
      <c r="L265" s="98">
        <f t="shared" ca="1" si="82"/>
        <v>114.18865222232574</v>
      </c>
      <c r="M265" s="98">
        <f t="shared" ca="1" si="83"/>
        <v>1.9145637673153366E-2</v>
      </c>
      <c r="N265" s="98">
        <f t="shared" ca="1" si="84"/>
        <v>22.837730444465144</v>
      </c>
      <c r="O265" s="67">
        <f>assumptions!M269</f>
        <v>55</v>
      </c>
      <c r="P265" s="68">
        <f>assumptions!N269</f>
        <v>3</v>
      </c>
      <c r="Q265" s="68">
        <f>assumptions!O269</f>
        <v>22</v>
      </c>
      <c r="R265" s="67">
        <f t="shared" si="85"/>
        <v>52.5</v>
      </c>
      <c r="S265" s="68">
        <f t="shared" si="86"/>
        <v>2.3275000000000001</v>
      </c>
      <c r="T265" s="68">
        <f t="shared" si="87"/>
        <v>22</v>
      </c>
      <c r="U265" s="73">
        <f t="shared" ca="1" si="93"/>
        <v>1134.9642549882501</v>
      </c>
      <c r="V265" s="72">
        <f t="shared" ca="1" si="93"/>
        <v>265.77408804746318</v>
      </c>
      <c r="W265" s="72">
        <f t="shared" ca="1" si="88"/>
        <v>502.43006977823319</v>
      </c>
      <c r="X265" s="72">
        <f t="shared" ca="1" si="94"/>
        <v>1903.1684128139466</v>
      </c>
      <c r="Y265" s="73">
        <f>mult_opex * fixed_month</f>
        <v>1000</v>
      </c>
      <c r="Z265" s="72">
        <f ca="1">mult_opex * fixed_well *D265</f>
        <v>5000</v>
      </c>
      <c r="AA265" s="72">
        <f ca="1">(Z265+Y265)*WI_current_2</f>
        <v>0</v>
      </c>
      <c r="AB265" s="72">
        <f ca="1">mult_opex * var_bo*E265</f>
        <v>0</v>
      </c>
      <c r="AC265" s="72">
        <f ca="1">mult_opex * var_mcf*F265</f>
        <v>0</v>
      </c>
      <c r="AD265" s="72">
        <f ca="1">mult_opex * var_bw * G265</f>
        <v>0.15316510138522693</v>
      </c>
      <c r="AE265" s="72">
        <f ca="1">SUM(AB265:AD265)*WI_current_2</f>
        <v>0</v>
      </c>
      <c r="AF265" s="73">
        <f ca="1">mult_capex * IFERROR(OFFSET(assumptions!$F$39,MATCH(B265,assumptions!$E$39:$E$45,0)-1,0),0)</f>
        <v>0</v>
      </c>
      <c r="AG265" s="75">
        <f ca="1">mult_capex * capex_new*WI_current_2 *'forecast production'!I266</f>
        <v>0</v>
      </c>
      <c r="AH265" s="146">
        <f t="shared" ca="1" si="95"/>
        <v>0</v>
      </c>
      <c r="AI265" s="73">
        <f t="shared" ca="1" si="89"/>
        <v>109.82366756638673</v>
      </c>
      <c r="AJ265" s="72">
        <f t="shared" ca="1" si="90"/>
        <v>47.579210320348665</v>
      </c>
      <c r="AK265" s="72">
        <f t="shared" ca="1" si="96"/>
        <v>157.40287788673538</v>
      </c>
      <c r="AL265" s="73">
        <f t="shared" ca="1" si="91"/>
        <v>1745.7655349272113</v>
      </c>
      <c r="AM265" s="321">
        <f ca="1">'monthly calculations (1)'!AM265</f>
        <v>0</v>
      </c>
      <c r="AN265" s="73">
        <f t="shared" ca="1" si="97"/>
        <v>0</v>
      </c>
      <c r="AO265" s="75">
        <f t="shared" ca="1" si="99"/>
        <v>1258622.5560460223</v>
      </c>
      <c r="AP265" s="72">
        <f ca="1">AL265  /  ( 1 + disc_1/12)^(COUNT($AL$6:AL265)-1)</f>
        <v>203.47812625051091</v>
      </c>
      <c r="AQ265" s="72">
        <f t="shared" ca="1" si="100"/>
        <v>738684.71897774923</v>
      </c>
      <c r="AS265" s="303"/>
      <c r="AT265" s="300"/>
      <c r="AU265" s="297"/>
      <c r="AV265" s="303"/>
    </row>
    <row r="266" spans="2:48" x14ac:dyDescent="0.25">
      <c r="B266" s="43">
        <f t="shared" si="98"/>
        <v>52110</v>
      </c>
      <c r="C266" s="79">
        <f t="shared" si="92"/>
        <v>2042</v>
      </c>
      <c r="D266" s="64">
        <f ca="1">wellcount_base  +  SUM('forecast production'!I$7:I267)</f>
        <v>1</v>
      </c>
      <c r="E266" s="110">
        <f ca="1">'forecast production'!AE267</f>
        <v>83.093466699194792</v>
      </c>
      <c r="F266" s="98">
        <f ca="1">'forecast production'!AF267</f>
        <v>586.2717176921891</v>
      </c>
      <c r="G266" s="98">
        <f ca="1">'forecast production'!AG267</f>
        <v>7.1576375193310809E-2</v>
      </c>
      <c r="H266" s="98">
        <f ca="1">'forecast production'!AH267</f>
        <v>87.940757653828356</v>
      </c>
      <c r="I266" s="307">
        <f ca="1">IF('monthly calculations (1)'!AV265,WI_2_APO, WI_2)</f>
        <v>0</v>
      </c>
      <c r="J266" s="306">
        <f ca="1">IF('monthly calculations (1)'!AV265,NRI_2_APO, NRI_2)</f>
        <v>0.25</v>
      </c>
      <c r="K266" s="112">
        <f t="shared" ca="1" si="81"/>
        <v>20.773366674798698</v>
      </c>
      <c r="L266" s="98">
        <f t="shared" ca="1" si="82"/>
        <v>109.92594706728545</v>
      </c>
      <c r="M266" s="98">
        <f t="shared" ca="1" si="83"/>
        <v>1.7894093798327702E-2</v>
      </c>
      <c r="N266" s="98">
        <f t="shared" ca="1" si="84"/>
        <v>21.985189413457089</v>
      </c>
      <c r="O266" s="67">
        <f>assumptions!M270</f>
        <v>55</v>
      </c>
      <c r="P266" s="68">
        <f>assumptions!N270</f>
        <v>3</v>
      </c>
      <c r="Q266" s="68">
        <f>assumptions!O270</f>
        <v>22</v>
      </c>
      <c r="R266" s="67">
        <f t="shared" si="85"/>
        <v>52.5</v>
      </c>
      <c r="S266" s="68">
        <f t="shared" si="86"/>
        <v>2.3275000000000001</v>
      </c>
      <c r="T266" s="68">
        <f t="shared" si="87"/>
        <v>22</v>
      </c>
      <c r="U266" s="73">
        <f t="shared" ca="1" si="93"/>
        <v>1090.6017504269316</v>
      </c>
      <c r="V266" s="72">
        <f t="shared" ca="1" si="93"/>
        <v>255.85264179910689</v>
      </c>
      <c r="W266" s="72">
        <f t="shared" ca="1" si="88"/>
        <v>483.67416709605595</v>
      </c>
      <c r="X266" s="72">
        <f t="shared" ca="1" si="94"/>
        <v>1830.1285593220946</v>
      </c>
      <c r="Y266" s="73">
        <f>mult_opex * fixed_month</f>
        <v>1000</v>
      </c>
      <c r="Z266" s="72">
        <f ca="1">mult_opex * fixed_well *D266</f>
        <v>5000</v>
      </c>
      <c r="AA266" s="72">
        <f ca="1">(Z266+Y266)*WI_current_2</f>
        <v>0</v>
      </c>
      <c r="AB266" s="72">
        <f ca="1">mult_opex * var_bo*E266</f>
        <v>0</v>
      </c>
      <c r="AC266" s="72">
        <f ca="1">mult_opex * var_mcf*F266</f>
        <v>0</v>
      </c>
      <c r="AD266" s="72">
        <f ca="1">mult_opex * var_bw * G266</f>
        <v>0.14315275038662162</v>
      </c>
      <c r="AE266" s="72">
        <f ca="1">SUM(AB266:AD266)*WI_current_2</f>
        <v>0</v>
      </c>
      <c r="AF266" s="73">
        <f ca="1">mult_capex * IFERROR(OFFSET(assumptions!$F$39,MATCH(B266,assumptions!$E$39:$E$45,0)-1,0),0)</f>
        <v>0</v>
      </c>
      <c r="AG266" s="75">
        <f ca="1">mult_capex * capex_new*WI_current_2 *'forecast production'!I267</f>
        <v>0</v>
      </c>
      <c r="AH266" s="146">
        <f t="shared" ca="1" si="95"/>
        <v>0</v>
      </c>
      <c r="AI266" s="73">
        <f t="shared" ca="1" si="89"/>
        <v>105.63219118677608</v>
      </c>
      <c r="AJ266" s="72">
        <f t="shared" ca="1" si="90"/>
        <v>45.753213983052369</v>
      </c>
      <c r="AK266" s="72">
        <f t="shared" ca="1" si="96"/>
        <v>151.38540516982846</v>
      </c>
      <c r="AL266" s="73">
        <f t="shared" ca="1" si="91"/>
        <v>1678.743154152266</v>
      </c>
      <c r="AM266" s="321">
        <f ca="1">'monthly calculations (1)'!AM266</f>
        <v>0</v>
      </c>
      <c r="AN266" s="73">
        <f t="shared" ca="1" si="97"/>
        <v>0</v>
      </c>
      <c r="AO266" s="75">
        <f t="shared" ca="1" si="99"/>
        <v>1258622.5560460223</v>
      </c>
      <c r="AP266" s="72">
        <f ca="1">AL266  /  ( 1 + disc_1/12)^(COUNT($AL$6:AL266)-1)</f>
        <v>194.04923937399417</v>
      </c>
      <c r="AQ266" s="72">
        <f t="shared" ca="1" si="100"/>
        <v>738684.71897774923</v>
      </c>
      <c r="AS266" s="303"/>
      <c r="AT266" s="300"/>
      <c r="AU266" s="297"/>
      <c r="AV266" s="303"/>
    </row>
    <row r="267" spans="2:48" x14ac:dyDescent="0.25">
      <c r="B267" s="43">
        <f t="shared" si="98"/>
        <v>52140</v>
      </c>
      <c r="C267" s="79">
        <f t="shared" si="92"/>
        <v>2042</v>
      </c>
      <c r="D267" s="64">
        <f ca="1">wellcount_base  +  SUM('forecast production'!I$7:I268)</f>
        <v>1</v>
      </c>
      <c r="E267" s="110">
        <f ca="1">'forecast production'!AE268</f>
        <v>85.276815576738386</v>
      </c>
      <c r="F267" s="98">
        <f ca="1">'forecast production'!AF268</f>
        <v>602.74097106510112</v>
      </c>
      <c r="G267" s="98">
        <f ca="1">'forecast production'!AG268</f>
        <v>7.1512290786333477E-2</v>
      </c>
      <c r="H267" s="98">
        <f ca="1">'forecast production'!AH268</f>
        <v>90.411145659765182</v>
      </c>
      <c r="I267" s="307">
        <f ca="1">IF('monthly calculations (1)'!AV266,WI_2_APO, WI_2)</f>
        <v>0</v>
      </c>
      <c r="J267" s="306">
        <f ca="1">IF('monthly calculations (1)'!AV266,NRI_2_APO, NRI_2)</f>
        <v>0.25</v>
      </c>
      <c r="K267" s="112">
        <f t="shared" ca="1" si="81"/>
        <v>21.319203894184596</v>
      </c>
      <c r="L267" s="98">
        <f t="shared" ca="1" si="82"/>
        <v>113.01393207470646</v>
      </c>
      <c r="M267" s="98">
        <f t="shared" ca="1" si="83"/>
        <v>1.7878072696583369E-2</v>
      </c>
      <c r="N267" s="98">
        <f t="shared" ca="1" si="84"/>
        <v>22.602786414941296</v>
      </c>
      <c r="O267" s="67">
        <f>assumptions!M271</f>
        <v>55</v>
      </c>
      <c r="P267" s="68">
        <f>assumptions!N271</f>
        <v>3</v>
      </c>
      <c r="Q267" s="68">
        <f>assumptions!O271</f>
        <v>22</v>
      </c>
      <c r="R267" s="67">
        <f t="shared" si="85"/>
        <v>52.5</v>
      </c>
      <c r="S267" s="68">
        <f t="shared" si="86"/>
        <v>2.3275000000000001</v>
      </c>
      <c r="T267" s="68">
        <f t="shared" si="87"/>
        <v>22</v>
      </c>
      <c r="U267" s="73">
        <f t="shared" ca="1" si="93"/>
        <v>1119.2582044446913</v>
      </c>
      <c r="V267" s="72">
        <f t="shared" ca="1" si="93"/>
        <v>263.03992690387929</v>
      </c>
      <c r="W267" s="72">
        <f t="shared" ca="1" si="88"/>
        <v>497.26130112870851</v>
      </c>
      <c r="X267" s="72">
        <f t="shared" ca="1" si="94"/>
        <v>1879.5594324772792</v>
      </c>
      <c r="Y267" s="73">
        <f>mult_opex * fixed_month</f>
        <v>1000</v>
      </c>
      <c r="Z267" s="72">
        <f ca="1">mult_opex * fixed_well *D267</f>
        <v>5000</v>
      </c>
      <c r="AA267" s="72">
        <f ca="1">(Z267+Y267)*WI_current_2</f>
        <v>0</v>
      </c>
      <c r="AB267" s="72">
        <f ca="1">mult_opex * var_bo*E267</f>
        <v>0</v>
      </c>
      <c r="AC267" s="72">
        <f ca="1">mult_opex * var_mcf*F267</f>
        <v>0</v>
      </c>
      <c r="AD267" s="72">
        <f ca="1">mult_opex * var_bw * G267</f>
        <v>0.14302458157266695</v>
      </c>
      <c r="AE267" s="72">
        <f ca="1">SUM(AB267:AD267)*WI_current_2</f>
        <v>0</v>
      </c>
      <c r="AF267" s="73">
        <f ca="1">mult_capex * IFERROR(OFFSET(assumptions!$F$39,MATCH(B267,assumptions!$E$39:$E$45,0)-1,0),0)</f>
        <v>0</v>
      </c>
      <c r="AG267" s="75">
        <f ca="1">mult_capex * capex_new*WI_current_2 *'forecast production'!I268</f>
        <v>0</v>
      </c>
      <c r="AH267" s="146">
        <f t="shared" ca="1" si="95"/>
        <v>0</v>
      </c>
      <c r="AI267" s="73">
        <f t="shared" ca="1" si="89"/>
        <v>108.50846950689987</v>
      </c>
      <c r="AJ267" s="72">
        <f t="shared" ca="1" si="90"/>
        <v>46.988985811931983</v>
      </c>
      <c r="AK267" s="72">
        <f t="shared" ca="1" si="96"/>
        <v>155.49745531883184</v>
      </c>
      <c r="AL267" s="73">
        <f t="shared" ca="1" si="91"/>
        <v>1724.0619771584475</v>
      </c>
      <c r="AM267" s="321">
        <f ca="1">'monthly calculations (1)'!AM267</f>
        <v>0</v>
      </c>
      <c r="AN267" s="73">
        <f t="shared" ca="1" si="97"/>
        <v>0</v>
      </c>
      <c r="AO267" s="75">
        <f t="shared" ca="1" si="99"/>
        <v>1258622.5560460223</v>
      </c>
      <c r="AP267" s="72">
        <f ca="1">AL267  /  ( 1 + disc_1/12)^(COUNT($AL$6:AL267)-1)</f>
        <v>197.64072565484958</v>
      </c>
      <c r="AQ267" s="72">
        <f t="shared" ca="1" si="100"/>
        <v>738684.71897774923</v>
      </c>
      <c r="AS267" s="303"/>
      <c r="AT267" s="300"/>
      <c r="AU267" s="297"/>
      <c r="AV267" s="303"/>
    </row>
    <row r="268" spans="2:48" x14ac:dyDescent="0.25">
      <c r="B268" s="43">
        <f t="shared" si="98"/>
        <v>52171</v>
      </c>
      <c r="C268" s="79">
        <f t="shared" si="92"/>
        <v>2042</v>
      </c>
      <c r="D268" s="64">
        <f ca="1">wellcount_base  +  SUM('forecast production'!I$7:I269)</f>
        <v>1</v>
      </c>
      <c r="E268" s="110">
        <f ca="1">'forecast production'!AE269</f>
        <v>81.943588910461671</v>
      </c>
      <c r="F268" s="98">
        <f ca="1">'forecast production'!AF269</f>
        <v>580.24042486799976</v>
      </c>
      <c r="G268" s="98">
        <f ca="1">'forecast production'!AG269</f>
        <v>6.6838353230084566E-2</v>
      </c>
      <c r="H268" s="98">
        <f ca="1">'forecast production'!AH269</f>
        <v>87.036063730199956</v>
      </c>
      <c r="I268" s="307">
        <f ca="1">IF('monthly calculations (1)'!AV267,WI_2_APO, WI_2)</f>
        <v>0</v>
      </c>
      <c r="J268" s="306">
        <f ca="1">IF('monthly calculations (1)'!AV267,NRI_2_APO, NRI_2)</f>
        <v>0.25</v>
      </c>
      <c r="K268" s="112">
        <f t="shared" ca="1" si="81"/>
        <v>20.485897227615418</v>
      </c>
      <c r="L268" s="98">
        <f t="shared" ca="1" si="82"/>
        <v>108.79507966274996</v>
      </c>
      <c r="M268" s="98">
        <f t="shared" ca="1" si="83"/>
        <v>1.6709588307521141E-2</v>
      </c>
      <c r="N268" s="98">
        <f t="shared" ca="1" si="84"/>
        <v>21.759015932549989</v>
      </c>
      <c r="O268" s="67">
        <f>assumptions!M272</f>
        <v>55</v>
      </c>
      <c r="P268" s="68">
        <f>assumptions!N272</f>
        <v>3</v>
      </c>
      <c r="Q268" s="68">
        <f>assumptions!O272</f>
        <v>22</v>
      </c>
      <c r="R268" s="67">
        <f t="shared" si="85"/>
        <v>52.5</v>
      </c>
      <c r="S268" s="68">
        <f t="shared" si="86"/>
        <v>2.3275000000000001</v>
      </c>
      <c r="T268" s="68">
        <f t="shared" si="87"/>
        <v>22</v>
      </c>
      <c r="U268" s="73">
        <f t="shared" ca="1" si="93"/>
        <v>1075.5096044498093</v>
      </c>
      <c r="V268" s="72">
        <f t="shared" ca="1" si="93"/>
        <v>253.22054791505053</v>
      </c>
      <c r="W268" s="72">
        <f t="shared" ca="1" si="88"/>
        <v>478.69835051609977</v>
      </c>
      <c r="X268" s="72">
        <f t="shared" ca="1" si="94"/>
        <v>1807.4285028809595</v>
      </c>
      <c r="Y268" s="73">
        <f>mult_opex * fixed_month</f>
        <v>1000</v>
      </c>
      <c r="Z268" s="72">
        <f ca="1">mult_opex * fixed_well *D268</f>
        <v>5000</v>
      </c>
      <c r="AA268" s="72">
        <f ca="1">(Z268+Y268)*WI_current_2</f>
        <v>0</v>
      </c>
      <c r="AB268" s="72">
        <f ca="1">mult_opex * var_bo*E268</f>
        <v>0</v>
      </c>
      <c r="AC268" s="72">
        <f ca="1">mult_opex * var_mcf*F268</f>
        <v>0</v>
      </c>
      <c r="AD268" s="72">
        <f ca="1">mult_opex * var_bw * G268</f>
        <v>0.13367670646016913</v>
      </c>
      <c r="AE268" s="72">
        <f ca="1">SUM(AB268:AD268)*WI_current_2</f>
        <v>0</v>
      </c>
      <c r="AF268" s="73">
        <f ca="1">mult_capex * IFERROR(OFFSET(assumptions!$F$39,MATCH(B268,assumptions!$E$39:$E$45,0)-1,0),0)</f>
        <v>0</v>
      </c>
      <c r="AG268" s="75">
        <f ca="1">mult_capex * capex_new*WI_current_2 *'forecast production'!I269</f>
        <v>0</v>
      </c>
      <c r="AH268" s="146">
        <f t="shared" ca="1" si="95"/>
        <v>0</v>
      </c>
      <c r="AI268" s="73">
        <f t="shared" ca="1" si="89"/>
        <v>104.36735918702749</v>
      </c>
      <c r="AJ268" s="72">
        <f t="shared" ca="1" si="90"/>
        <v>45.185712572023988</v>
      </c>
      <c r="AK268" s="72">
        <f t="shared" ca="1" si="96"/>
        <v>149.55307175905148</v>
      </c>
      <c r="AL268" s="73">
        <f t="shared" ca="1" si="91"/>
        <v>1657.8754311219082</v>
      </c>
      <c r="AM268" s="321">
        <f ca="1">'monthly calculations (1)'!AM268</f>
        <v>0</v>
      </c>
      <c r="AN268" s="73">
        <f t="shared" ca="1" si="97"/>
        <v>0</v>
      </c>
      <c r="AO268" s="75">
        <f t="shared" ca="1" si="99"/>
        <v>1258622.5560460223</v>
      </c>
      <c r="AP268" s="72">
        <f ca="1">AL268  /  ( 1 + disc_1/12)^(COUNT($AL$6:AL268)-1)</f>
        <v>188.48263175444279</v>
      </c>
      <c r="AQ268" s="72">
        <f t="shared" ca="1" si="100"/>
        <v>738684.71897774923</v>
      </c>
      <c r="AS268" s="303"/>
      <c r="AT268" s="300"/>
      <c r="AU268" s="297"/>
      <c r="AV268" s="303"/>
    </row>
    <row r="269" spans="2:48" x14ac:dyDescent="0.25">
      <c r="B269" s="44">
        <f t="shared" si="98"/>
        <v>52201</v>
      </c>
      <c r="C269" s="100">
        <f t="shared" si="92"/>
        <v>2042</v>
      </c>
      <c r="D269" s="65">
        <f ca="1">wellcount_base  +  SUM('forecast production'!I$7:I270)</f>
        <v>1</v>
      </c>
      <c r="E269" s="109">
        <f ca="1">'forecast production'!AE270</f>
        <v>84.096723807543569</v>
      </c>
      <c r="F269" s="101">
        <f ca="1">'forecast production'!AF270</f>
        <v>596.54025016398032</v>
      </c>
      <c r="G269" s="101">
        <f ca="1">'forecast production'!AG270</f>
        <v>6.6779281028322535E-2</v>
      </c>
      <c r="H269" s="102">
        <f ca="1">'forecast production'!AH270</f>
        <v>89.481037524597042</v>
      </c>
      <c r="I269" s="308">
        <f ca="1">IF('monthly calculations (1)'!AV268,WI_2_APO, WI_2)</f>
        <v>0</v>
      </c>
      <c r="J269" s="309">
        <f ca="1">IF('monthly calculations (1)'!AV268,NRI_2_APO, NRI_2)</f>
        <v>0.25</v>
      </c>
      <c r="K269" s="113">
        <f t="shared" ca="1" si="81"/>
        <v>21.024180951885892</v>
      </c>
      <c r="L269" s="102">
        <f t="shared" ca="1" si="82"/>
        <v>111.85129690574631</v>
      </c>
      <c r="M269" s="102">
        <f t="shared" ca="1" si="83"/>
        <v>1.6694820257080634E-2</v>
      </c>
      <c r="N269" s="102">
        <f t="shared" ca="1" si="84"/>
        <v>22.37025938114926</v>
      </c>
      <c r="O269" s="103">
        <f>assumptions!M273</f>
        <v>55</v>
      </c>
      <c r="P269" s="104">
        <f>assumptions!N273</f>
        <v>3</v>
      </c>
      <c r="Q269" s="104">
        <f>assumptions!O273</f>
        <v>22</v>
      </c>
      <c r="R269" s="103">
        <f t="shared" si="85"/>
        <v>52.5</v>
      </c>
      <c r="S269" s="104">
        <f t="shared" si="86"/>
        <v>2.3275000000000001</v>
      </c>
      <c r="T269" s="104">
        <f t="shared" si="87"/>
        <v>22</v>
      </c>
      <c r="U269" s="105">
        <f t="shared" ca="1" si="93"/>
        <v>1103.7694999740092</v>
      </c>
      <c r="V269" s="106">
        <f t="shared" ca="1" si="93"/>
        <v>260.33389354812454</v>
      </c>
      <c r="W269" s="106">
        <f t="shared" ca="1" si="88"/>
        <v>492.14570638528375</v>
      </c>
      <c r="X269" s="106">
        <f t="shared" ca="1" si="94"/>
        <v>1856.2490999074175</v>
      </c>
      <c r="Y269" s="105">
        <f>mult_opex * fixed_month</f>
        <v>1000</v>
      </c>
      <c r="Z269" s="106">
        <f ca="1">mult_opex * fixed_well *D269</f>
        <v>5000</v>
      </c>
      <c r="AA269" s="106">
        <f ca="1">(Z269+Y269)*WI_current_2</f>
        <v>0</v>
      </c>
      <c r="AB269" s="106">
        <f ca="1">mult_opex * var_bo*E269</f>
        <v>0</v>
      </c>
      <c r="AC269" s="106">
        <f ca="1">mult_opex * var_mcf*F269</f>
        <v>0</v>
      </c>
      <c r="AD269" s="106">
        <f ca="1">mult_opex * var_bw * G269</f>
        <v>0.13355856205664507</v>
      </c>
      <c r="AE269" s="106">
        <f ca="1">SUM(AB269:AD269)*WI_current_2</f>
        <v>0</v>
      </c>
      <c r="AF269" s="105">
        <f ca="1">mult_capex * IFERROR(OFFSET(assumptions!$F$39,MATCH(B269,assumptions!$E$39:$E$45,0)-1,0),0)</f>
        <v>0</v>
      </c>
      <c r="AG269" s="106">
        <f ca="1">mult_capex * capex_new*WI_current_2 *'forecast production'!I270</f>
        <v>0</v>
      </c>
      <c r="AH269" s="147">
        <f t="shared" ca="1" si="95"/>
        <v>0</v>
      </c>
      <c r="AI269" s="105">
        <f t="shared" ca="1" si="89"/>
        <v>107.20936699381004</v>
      </c>
      <c r="AJ269" s="106">
        <f t="shared" ca="1" si="90"/>
        <v>46.406227497685443</v>
      </c>
      <c r="AK269" s="106">
        <f t="shared" ca="1" si="96"/>
        <v>153.61559449149547</v>
      </c>
      <c r="AL269" s="105">
        <f t="shared" ca="1" si="91"/>
        <v>1702.6335054159222</v>
      </c>
      <c r="AM269" s="322">
        <f ca="1">'monthly calculations (1)'!AM269</f>
        <v>0</v>
      </c>
      <c r="AN269" s="105">
        <f t="shared" ca="1" si="97"/>
        <v>0</v>
      </c>
      <c r="AO269" s="106">
        <f t="shared" ca="1" si="99"/>
        <v>1258622.5560460223</v>
      </c>
      <c r="AP269" s="106">
        <f ca="1">AL269  /  ( 1 + disc_1/12)^(COUNT($AL$6:AL269)-1)</f>
        <v>191.97138260036863</v>
      </c>
      <c r="AQ269" s="106">
        <f t="shared" ca="1" si="100"/>
        <v>738684.71897774923</v>
      </c>
      <c r="AS269" s="304"/>
      <c r="AT269" s="301"/>
      <c r="AU269" s="298"/>
      <c r="AV269" s="304"/>
    </row>
    <row r="270" spans="2:48" x14ac:dyDescent="0.25">
      <c r="B270" s="43">
        <f t="shared" si="98"/>
        <v>52232</v>
      </c>
      <c r="C270" s="79">
        <f t="shared" si="92"/>
        <v>2043</v>
      </c>
      <c r="D270" s="64">
        <f ca="1">wellcount_base  +  SUM('forecast production'!I$7:I271)</f>
        <v>1</v>
      </c>
      <c r="E270" s="110">
        <f ca="1">'forecast production'!AE271</f>
        <v>83.50327766958118</v>
      </c>
      <c r="F270" s="98">
        <f ca="1">'forecast production'!AF271</f>
        <v>593.41355184051804</v>
      </c>
      <c r="G270" s="98">
        <f ca="1">'forecast production'!AG271</f>
        <v>6.4495943836623604E-2</v>
      </c>
      <c r="H270" s="98">
        <f ca="1">'forecast production'!AH271</f>
        <v>89.012032776077703</v>
      </c>
      <c r="I270" s="307">
        <f ca="1">IF('monthly calculations (1)'!AV269,WI_2_APO, WI_2)</f>
        <v>0</v>
      </c>
      <c r="J270" s="306">
        <f ca="1">IF('monthly calculations (1)'!AV269,NRI_2_APO, NRI_2)</f>
        <v>0.25</v>
      </c>
      <c r="K270" s="112">
        <f t="shared" ca="1" si="81"/>
        <v>20.875819417395295</v>
      </c>
      <c r="L270" s="98">
        <f t="shared" ca="1" si="82"/>
        <v>111.26504097009713</v>
      </c>
      <c r="M270" s="98">
        <f t="shared" ca="1" si="83"/>
        <v>1.6123985959155901E-2</v>
      </c>
      <c r="N270" s="98">
        <f t="shared" ca="1" si="84"/>
        <v>22.253008194019426</v>
      </c>
      <c r="O270" s="67">
        <f>assumptions!M274</f>
        <v>55</v>
      </c>
      <c r="P270" s="68">
        <f>assumptions!N274</f>
        <v>3</v>
      </c>
      <c r="Q270" s="68">
        <f>assumptions!O274</f>
        <v>22</v>
      </c>
      <c r="R270" s="67">
        <f t="shared" si="85"/>
        <v>52.5</v>
      </c>
      <c r="S270" s="68">
        <f t="shared" si="86"/>
        <v>2.3275000000000001</v>
      </c>
      <c r="T270" s="68">
        <f t="shared" si="87"/>
        <v>22</v>
      </c>
      <c r="U270" s="73">
        <f t="shared" ca="1" si="93"/>
        <v>1095.980519413253</v>
      </c>
      <c r="V270" s="72">
        <f t="shared" ca="1" si="93"/>
        <v>258.96938285790111</v>
      </c>
      <c r="W270" s="72">
        <f t="shared" ca="1" si="88"/>
        <v>489.56618026842739</v>
      </c>
      <c r="X270" s="72">
        <f t="shared" ca="1" si="94"/>
        <v>1844.5160825395815</v>
      </c>
      <c r="Y270" s="73">
        <f>mult_opex * fixed_month</f>
        <v>1000</v>
      </c>
      <c r="Z270" s="72">
        <f ca="1">mult_opex * fixed_well *D270</f>
        <v>5000</v>
      </c>
      <c r="AA270" s="72">
        <f ca="1">(Z270+Y270)*WI_current_2</f>
        <v>0</v>
      </c>
      <c r="AB270" s="72">
        <f ca="1">mult_opex * var_bo*E270</f>
        <v>0</v>
      </c>
      <c r="AC270" s="72">
        <f ca="1">mult_opex * var_mcf*F270</f>
        <v>0</v>
      </c>
      <c r="AD270" s="72">
        <f ca="1">mult_opex * var_bw * G270</f>
        <v>0.12899188767324721</v>
      </c>
      <c r="AE270" s="72">
        <f ca="1">SUM(AB270:AD270)*WI_current_2</f>
        <v>0</v>
      </c>
      <c r="AF270" s="73">
        <f ca="1">mult_capex * IFERROR(OFFSET(assumptions!$F$39,MATCH(B270,assumptions!$E$39:$E$45,0)-1,0),0)</f>
        <v>0</v>
      </c>
      <c r="AG270" s="75">
        <f ca="1">mult_capex * capex_new*WI_current_2 *'forecast production'!I271</f>
        <v>0</v>
      </c>
      <c r="AH270" s="146">
        <f t="shared" ca="1" si="95"/>
        <v>0</v>
      </c>
      <c r="AI270" s="73">
        <f t="shared" ca="1" si="89"/>
        <v>106.55527112748427</v>
      </c>
      <c r="AJ270" s="72">
        <f t="shared" ca="1" si="90"/>
        <v>46.112902063489543</v>
      </c>
      <c r="AK270" s="72">
        <f t="shared" ca="1" si="96"/>
        <v>152.66817319097382</v>
      </c>
      <c r="AL270" s="73">
        <f t="shared" ca="1" si="91"/>
        <v>1691.8479093486076</v>
      </c>
      <c r="AM270" s="321">
        <f ca="1">'monthly calculations (1)'!AM270</f>
        <v>0</v>
      </c>
      <c r="AN270" s="73">
        <f t="shared" ca="1" si="97"/>
        <v>0</v>
      </c>
      <c r="AO270" s="75">
        <f t="shared" ca="1" si="99"/>
        <v>1258622.5560460223</v>
      </c>
      <c r="AP270" s="72">
        <f ca="1">AL270  /  ( 1 + disc_1/12)^(COUNT($AL$6:AL270)-1)</f>
        <v>189.17881993093181</v>
      </c>
      <c r="AQ270" s="72">
        <f t="shared" ca="1" si="100"/>
        <v>738684.71897774923</v>
      </c>
      <c r="AS270" s="303"/>
      <c r="AT270" s="300"/>
      <c r="AU270" s="297"/>
      <c r="AV270" s="303"/>
    </row>
    <row r="271" spans="2:48" x14ac:dyDescent="0.25">
      <c r="B271" s="43">
        <f t="shared" si="98"/>
        <v>52263</v>
      </c>
      <c r="C271" s="79">
        <f t="shared" si="92"/>
        <v>2043</v>
      </c>
      <c r="D271" s="64">
        <f ca="1">wellcount_base  +  SUM('forecast production'!I$7:I272)</f>
        <v>1</v>
      </c>
      <c r="E271" s="110">
        <f ca="1">'forecast production'!AE272</f>
        <v>74.890081956095813</v>
      </c>
      <c r="F271" s="98">
        <f ca="1">'forecast production'!AF272</f>
        <v>533.17712158340908</v>
      </c>
      <c r="G271" s="98">
        <f ca="1">'forecast production'!AG272</f>
        <v>5.6262889387361126E-2</v>
      </c>
      <c r="H271" s="98">
        <f ca="1">'forecast production'!AH272</f>
        <v>79.976568237511358</v>
      </c>
      <c r="I271" s="307">
        <f ca="1">IF('monthly calculations (1)'!AV270,WI_2_APO, WI_2)</f>
        <v>0</v>
      </c>
      <c r="J271" s="306">
        <f ca="1">IF('monthly calculations (1)'!AV270,NRI_2_APO, NRI_2)</f>
        <v>0.25</v>
      </c>
      <c r="K271" s="112">
        <f t="shared" ca="1" si="81"/>
        <v>18.722520489023953</v>
      </c>
      <c r="L271" s="98">
        <f t="shared" ca="1" si="82"/>
        <v>99.970710296889195</v>
      </c>
      <c r="M271" s="98">
        <f t="shared" ca="1" si="83"/>
        <v>1.4065722346840281E-2</v>
      </c>
      <c r="N271" s="98">
        <f t="shared" ca="1" si="84"/>
        <v>19.99414205937784</v>
      </c>
      <c r="O271" s="67">
        <f>assumptions!M275</f>
        <v>55</v>
      </c>
      <c r="P271" s="68">
        <f>assumptions!N275</f>
        <v>3</v>
      </c>
      <c r="Q271" s="68">
        <f>assumptions!O275</f>
        <v>22</v>
      </c>
      <c r="R271" s="67">
        <f t="shared" si="85"/>
        <v>52.5</v>
      </c>
      <c r="S271" s="68">
        <f t="shared" si="86"/>
        <v>2.3275000000000001</v>
      </c>
      <c r="T271" s="68">
        <f t="shared" si="87"/>
        <v>22</v>
      </c>
      <c r="U271" s="73">
        <f t="shared" ca="1" si="93"/>
        <v>982.93232567375753</v>
      </c>
      <c r="V271" s="72">
        <f t="shared" ca="1" si="93"/>
        <v>232.68182821600962</v>
      </c>
      <c r="W271" s="72">
        <f t="shared" ca="1" si="88"/>
        <v>439.87112530631248</v>
      </c>
      <c r="X271" s="72">
        <f t="shared" ca="1" si="94"/>
        <v>1655.4852791960795</v>
      </c>
      <c r="Y271" s="73">
        <f>mult_opex * fixed_month</f>
        <v>1000</v>
      </c>
      <c r="Z271" s="72">
        <f ca="1">mult_opex * fixed_well *D271</f>
        <v>5000</v>
      </c>
      <c r="AA271" s="72">
        <f ca="1">(Z271+Y271)*WI_current_2</f>
        <v>0</v>
      </c>
      <c r="AB271" s="72">
        <f ca="1">mult_opex * var_bo*E271</f>
        <v>0</v>
      </c>
      <c r="AC271" s="72">
        <f ca="1">mult_opex * var_mcf*F271</f>
        <v>0</v>
      </c>
      <c r="AD271" s="72">
        <f ca="1">mult_opex * var_bw * G271</f>
        <v>0.11252577877472225</v>
      </c>
      <c r="AE271" s="72">
        <f ca="1">SUM(AB271:AD271)*WI_current_2</f>
        <v>0</v>
      </c>
      <c r="AF271" s="73">
        <f ca="1">mult_capex * IFERROR(OFFSET(assumptions!$F$39,MATCH(B271,assumptions!$E$39:$E$45,0)-1,0),0)</f>
        <v>0</v>
      </c>
      <c r="AG271" s="75">
        <f ca="1">mult_capex * capex_new*WI_current_2 *'forecast production'!I272</f>
        <v>0</v>
      </c>
      <c r="AH271" s="146">
        <f t="shared" ca="1" si="95"/>
        <v>0</v>
      </c>
      <c r="AI271" s="73">
        <f t="shared" ca="1" si="89"/>
        <v>95.656358495166998</v>
      </c>
      <c r="AJ271" s="72">
        <f t="shared" ca="1" si="90"/>
        <v>41.387131979901994</v>
      </c>
      <c r="AK271" s="72">
        <f t="shared" ca="1" si="96"/>
        <v>137.04349047506901</v>
      </c>
      <c r="AL271" s="73">
        <f t="shared" ca="1" si="91"/>
        <v>1518.4417887210107</v>
      </c>
      <c r="AM271" s="321">
        <f ca="1">'monthly calculations (1)'!AM271</f>
        <v>0</v>
      </c>
      <c r="AN271" s="73">
        <f t="shared" ca="1" si="97"/>
        <v>0</v>
      </c>
      <c r="AO271" s="75">
        <f t="shared" ca="1" si="99"/>
        <v>1258622.5560460223</v>
      </c>
      <c r="AP271" s="72">
        <f ca="1">AL271  /  ( 1 + disc_1/12)^(COUNT($AL$6:AL271)-1)</f>
        <v>168.38570366987381</v>
      </c>
      <c r="AQ271" s="72">
        <f t="shared" ca="1" si="100"/>
        <v>738684.71897774923</v>
      </c>
      <c r="AS271" s="303"/>
      <c r="AT271" s="300"/>
      <c r="AU271" s="297"/>
      <c r="AV271" s="303"/>
    </row>
    <row r="272" spans="2:48" x14ac:dyDescent="0.25">
      <c r="B272" s="43">
        <f t="shared" si="98"/>
        <v>52291</v>
      </c>
      <c r="C272" s="79">
        <f t="shared" si="92"/>
        <v>2043</v>
      </c>
      <c r="D272" s="64">
        <f ca="1">wellcount_base  +  SUM('forecast production'!I$7:I273)</f>
        <v>1</v>
      </c>
      <c r="E272" s="110">
        <f ca="1">'forecast production'!AE273</f>
        <v>82.385360848421243</v>
      </c>
      <c r="F272" s="98">
        <f ca="1">'forecast production'!AF273</f>
        <v>587.50794399661572</v>
      </c>
      <c r="G272" s="98">
        <f ca="1">'forecast production'!AG273</f>
        <v>6.0364718972651034E-2</v>
      </c>
      <c r="H272" s="98">
        <f ca="1">'forecast production'!AH273</f>
        <v>88.126191599492358</v>
      </c>
      <c r="I272" s="307">
        <f ca="1">IF('monthly calculations (1)'!AV271,WI_2_APO, WI_2)</f>
        <v>0</v>
      </c>
      <c r="J272" s="306">
        <f ca="1">IF('monthly calculations (1)'!AV271,NRI_2_APO, NRI_2)</f>
        <v>0.25</v>
      </c>
      <c r="K272" s="112">
        <f t="shared" ca="1" si="81"/>
        <v>20.596340212105311</v>
      </c>
      <c r="L272" s="98">
        <f t="shared" ca="1" si="82"/>
        <v>110.15773949936545</v>
      </c>
      <c r="M272" s="98">
        <f t="shared" ca="1" si="83"/>
        <v>1.5091179743162758E-2</v>
      </c>
      <c r="N272" s="98">
        <f t="shared" ca="1" si="84"/>
        <v>22.03154789987309</v>
      </c>
      <c r="O272" s="67">
        <f>assumptions!M276</f>
        <v>55</v>
      </c>
      <c r="P272" s="68">
        <f>assumptions!N276</f>
        <v>3</v>
      </c>
      <c r="Q272" s="68">
        <f>assumptions!O276</f>
        <v>22</v>
      </c>
      <c r="R272" s="67">
        <f t="shared" si="85"/>
        <v>52.5</v>
      </c>
      <c r="S272" s="68">
        <f t="shared" si="86"/>
        <v>2.3275000000000001</v>
      </c>
      <c r="T272" s="68">
        <f t="shared" si="87"/>
        <v>22</v>
      </c>
      <c r="U272" s="73">
        <f t="shared" ca="1" si="93"/>
        <v>1081.3078611355288</v>
      </c>
      <c r="V272" s="72">
        <f t="shared" ca="1" si="93"/>
        <v>256.3921386847731</v>
      </c>
      <c r="W272" s="72">
        <f t="shared" ca="1" si="88"/>
        <v>484.69405379720797</v>
      </c>
      <c r="X272" s="72">
        <f t="shared" ca="1" si="94"/>
        <v>1822.3940536175098</v>
      </c>
      <c r="Y272" s="73">
        <f>mult_opex * fixed_month</f>
        <v>1000</v>
      </c>
      <c r="Z272" s="72">
        <f ca="1">mult_opex * fixed_well *D272</f>
        <v>5000</v>
      </c>
      <c r="AA272" s="72">
        <f ca="1">(Z272+Y272)*WI_current_2</f>
        <v>0</v>
      </c>
      <c r="AB272" s="72">
        <f ca="1">mult_opex * var_bo*E272</f>
        <v>0</v>
      </c>
      <c r="AC272" s="72">
        <f ca="1">mult_opex * var_mcf*F272</f>
        <v>0</v>
      </c>
      <c r="AD272" s="72">
        <f ca="1">mult_opex * var_bw * G272</f>
        <v>0.12072943794530207</v>
      </c>
      <c r="AE272" s="72">
        <f ca="1">SUM(AB272:AD272)*WI_current_2</f>
        <v>0</v>
      </c>
      <c r="AF272" s="73">
        <f ca="1">mult_capex * IFERROR(OFFSET(assumptions!$F$39,MATCH(B272,assumptions!$E$39:$E$45,0)-1,0),0)</f>
        <v>0</v>
      </c>
      <c r="AG272" s="75">
        <f ca="1">mult_capex * capex_new*WI_current_2 *'forecast production'!I273</f>
        <v>0</v>
      </c>
      <c r="AH272" s="146">
        <f t="shared" ca="1" si="95"/>
        <v>0</v>
      </c>
      <c r="AI272" s="73">
        <f t="shared" ca="1" si="89"/>
        <v>105.32162604838291</v>
      </c>
      <c r="AJ272" s="72">
        <f t="shared" ca="1" si="90"/>
        <v>45.559851340437746</v>
      </c>
      <c r="AK272" s="72">
        <f t="shared" ca="1" si="96"/>
        <v>150.88147738882066</v>
      </c>
      <c r="AL272" s="73">
        <f t="shared" ca="1" si="91"/>
        <v>1671.5125762286891</v>
      </c>
      <c r="AM272" s="321">
        <f ca="1">'monthly calculations (1)'!AM272</f>
        <v>0</v>
      </c>
      <c r="AN272" s="73">
        <f t="shared" ca="1" si="97"/>
        <v>0</v>
      </c>
      <c r="AO272" s="75">
        <f t="shared" ca="1" si="99"/>
        <v>1258622.5560460223</v>
      </c>
      <c r="AP272" s="72">
        <f ca="1">AL272  /  ( 1 + disc_1/12)^(COUNT($AL$6:AL272)-1)</f>
        <v>183.82839398468315</v>
      </c>
      <c r="AQ272" s="72">
        <f t="shared" ca="1" si="100"/>
        <v>738684.71897774923</v>
      </c>
      <c r="AS272" s="303"/>
      <c r="AT272" s="300"/>
      <c r="AU272" s="297"/>
      <c r="AV272" s="303"/>
    </row>
    <row r="273" spans="2:48" x14ac:dyDescent="0.25">
      <c r="B273" s="43">
        <f t="shared" si="98"/>
        <v>52322</v>
      </c>
      <c r="C273" s="79">
        <f t="shared" si="92"/>
        <v>2043</v>
      </c>
      <c r="D273" s="64">
        <f ca="1">wellcount_base  +  SUM('forecast production'!I$7:I274)</f>
        <v>1</v>
      </c>
      <c r="E273" s="110">
        <f ca="1">'forecast production'!AE274</f>
        <v>79.165152872389655</v>
      </c>
      <c r="F273" s="98">
        <f ca="1">'forecast production'!AF274</f>
        <v>565.5760524052738</v>
      </c>
      <c r="G273" s="98">
        <f ca="1">'forecast production'!AG274</f>
        <v>5.6421033142819425E-2</v>
      </c>
      <c r="H273" s="98">
        <f ca="1">'forecast production'!AH274</f>
        <v>84.83640786079107</v>
      </c>
      <c r="I273" s="307">
        <f ca="1">IF('monthly calculations (1)'!AV272,WI_2_APO, WI_2)</f>
        <v>0</v>
      </c>
      <c r="J273" s="306">
        <f ca="1">IF('monthly calculations (1)'!AV272,NRI_2_APO, NRI_2)</f>
        <v>0.25</v>
      </c>
      <c r="K273" s="112">
        <f t="shared" ca="1" si="81"/>
        <v>19.791288218097414</v>
      </c>
      <c r="L273" s="98">
        <f t="shared" ca="1" si="82"/>
        <v>106.04550982598883</v>
      </c>
      <c r="M273" s="98">
        <f t="shared" ca="1" si="83"/>
        <v>1.4105258285704856E-2</v>
      </c>
      <c r="N273" s="98">
        <f t="shared" ca="1" si="84"/>
        <v>21.209101965197767</v>
      </c>
      <c r="O273" s="67">
        <f>assumptions!M277</f>
        <v>55</v>
      </c>
      <c r="P273" s="68">
        <f>assumptions!N277</f>
        <v>3</v>
      </c>
      <c r="Q273" s="68">
        <f>assumptions!O277</f>
        <v>22</v>
      </c>
      <c r="R273" s="67">
        <f t="shared" si="85"/>
        <v>52.5</v>
      </c>
      <c r="S273" s="68">
        <f t="shared" si="86"/>
        <v>2.3275000000000001</v>
      </c>
      <c r="T273" s="68">
        <f t="shared" si="87"/>
        <v>22</v>
      </c>
      <c r="U273" s="73">
        <f t="shared" ca="1" si="93"/>
        <v>1039.0426314501142</v>
      </c>
      <c r="V273" s="72">
        <f t="shared" ca="1" si="93"/>
        <v>246.820924119989</v>
      </c>
      <c r="W273" s="72">
        <f t="shared" ca="1" si="88"/>
        <v>466.6002432343509</v>
      </c>
      <c r="X273" s="72">
        <f t="shared" ca="1" si="94"/>
        <v>1752.4637988044542</v>
      </c>
      <c r="Y273" s="73">
        <f>mult_opex * fixed_month</f>
        <v>1000</v>
      </c>
      <c r="Z273" s="72">
        <f ca="1">mult_opex * fixed_well *D273</f>
        <v>5000</v>
      </c>
      <c r="AA273" s="72">
        <f ca="1">(Z273+Y273)*WI_current_2</f>
        <v>0</v>
      </c>
      <c r="AB273" s="72">
        <f ca="1">mult_opex * var_bo*E273</f>
        <v>0</v>
      </c>
      <c r="AC273" s="72">
        <f ca="1">mult_opex * var_mcf*F273</f>
        <v>0</v>
      </c>
      <c r="AD273" s="72">
        <f ca="1">mult_opex * var_bw * G273</f>
        <v>0.11284206628563885</v>
      </c>
      <c r="AE273" s="72">
        <f ca="1">SUM(AB273:AD273)*WI_current_2</f>
        <v>0</v>
      </c>
      <c r="AF273" s="73">
        <f ca="1">mult_capex * IFERROR(OFFSET(assumptions!$F$39,MATCH(B273,assumptions!$E$39:$E$45,0)-1,0),0)</f>
        <v>0</v>
      </c>
      <c r="AG273" s="75">
        <f ca="1">mult_capex * capex_new*WI_current_2 *'forecast production'!I274</f>
        <v>0</v>
      </c>
      <c r="AH273" s="146">
        <f t="shared" ca="1" si="95"/>
        <v>0</v>
      </c>
      <c r="AI273" s="73">
        <f t="shared" ca="1" si="89"/>
        <v>101.30254859828074</v>
      </c>
      <c r="AJ273" s="72">
        <f t="shared" ca="1" si="90"/>
        <v>43.811594970111358</v>
      </c>
      <c r="AK273" s="72">
        <f t="shared" ca="1" si="96"/>
        <v>145.11414356839208</v>
      </c>
      <c r="AL273" s="73">
        <f t="shared" ca="1" si="91"/>
        <v>1607.3496552360621</v>
      </c>
      <c r="AM273" s="321">
        <f ca="1">'monthly calculations (1)'!AM273</f>
        <v>0</v>
      </c>
      <c r="AN273" s="73">
        <f t="shared" ca="1" si="97"/>
        <v>0</v>
      </c>
      <c r="AO273" s="75">
        <f t="shared" ca="1" si="99"/>
        <v>1258622.5560460223</v>
      </c>
      <c r="AP273" s="72">
        <f ca="1">AL273  /  ( 1 + disc_1/12)^(COUNT($AL$6:AL273)-1)</f>
        <v>175.31100589295016</v>
      </c>
      <c r="AQ273" s="72">
        <f t="shared" ca="1" si="100"/>
        <v>738684.71897774923</v>
      </c>
      <c r="AS273" s="303"/>
      <c r="AT273" s="300"/>
      <c r="AU273" s="297"/>
      <c r="AV273" s="303"/>
    </row>
    <row r="274" spans="2:48" x14ac:dyDescent="0.25">
      <c r="B274" s="43">
        <f t="shared" si="98"/>
        <v>52352</v>
      </c>
      <c r="C274" s="79">
        <f t="shared" si="92"/>
        <v>2043</v>
      </c>
      <c r="D274" s="64">
        <f ca="1">wellcount_base  +  SUM('forecast production'!I$7:I275)</f>
        <v>1</v>
      </c>
      <c r="E274" s="110">
        <f ca="1">'forecast production'!AE275</f>
        <v>81.245282087484412</v>
      </c>
      <c r="F274" s="98">
        <f ca="1">'forecast production'!AF275</f>
        <v>581.46393344681542</v>
      </c>
      <c r="G274" s="98">
        <f ca="1">'forecast production'!AG275</f>
        <v>5.6372775192978682E-2</v>
      </c>
      <c r="H274" s="98">
        <f ca="1">'forecast production'!AH275</f>
        <v>87.219590017022313</v>
      </c>
      <c r="I274" s="307">
        <f ca="1">IF('monthly calculations (1)'!AV273,WI_2_APO, WI_2)</f>
        <v>0</v>
      </c>
      <c r="J274" s="306">
        <f ca="1">IF('monthly calculations (1)'!AV273,NRI_2_APO, NRI_2)</f>
        <v>0.25</v>
      </c>
      <c r="K274" s="112">
        <f t="shared" ca="1" si="81"/>
        <v>20.311320521871103</v>
      </c>
      <c r="L274" s="98">
        <f t="shared" ca="1" si="82"/>
        <v>109.02448752127789</v>
      </c>
      <c r="M274" s="98">
        <f t="shared" ca="1" si="83"/>
        <v>1.409319379824467E-2</v>
      </c>
      <c r="N274" s="98">
        <f t="shared" ca="1" si="84"/>
        <v>21.804897504255578</v>
      </c>
      <c r="O274" s="67">
        <f>assumptions!M278</f>
        <v>55</v>
      </c>
      <c r="P274" s="68">
        <f>assumptions!N278</f>
        <v>3</v>
      </c>
      <c r="Q274" s="68">
        <f>assumptions!O278</f>
        <v>22</v>
      </c>
      <c r="R274" s="67">
        <f t="shared" si="85"/>
        <v>52.5</v>
      </c>
      <c r="S274" s="68">
        <f t="shared" si="86"/>
        <v>2.3275000000000001</v>
      </c>
      <c r="T274" s="68">
        <f t="shared" si="87"/>
        <v>22</v>
      </c>
      <c r="U274" s="73">
        <f t="shared" ca="1" si="93"/>
        <v>1066.344327398233</v>
      </c>
      <c r="V274" s="72">
        <f t="shared" ca="1" si="93"/>
        <v>253.75449470577431</v>
      </c>
      <c r="W274" s="72">
        <f t="shared" ca="1" si="88"/>
        <v>479.70774509362275</v>
      </c>
      <c r="X274" s="72">
        <f t="shared" ca="1" si="94"/>
        <v>1799.8065671976301</v>
      </c>
      <c r="Y274" s="73">
        <f>mult_opex * fixed_month</f>
        <v>1000</v>
      </c>
      <c r="Z274" s="72">
        <f ca="1">mult_opex * fixed_well *D274</f>
        <v>5000</v>
      </c>
      <c r="AA274" s="72">
        <f ca="1">(Z274+Y274)*WI_current_2</f>
        <v>0</v>
      </c>
      <c r="AB274" s="72">
        <f ca="1">mult_opex * var_bo*E274</f>
        <v>0</v>
      </c>
      <c r="AC274" s="72">
        <f ca="1">mult_opex * var_mcf*F274</f>
        <v>0</v>
      </c>
      <c r="AD274" s="72">
        <f ca="1">mult_opex * var_bw * G274</f>
        <v>0.11274555038595736</v>
      </c>
      <c r="AE274" s="72">
        <f ca="1">SUM(AB274:AD274)*WI_current_2</f>
        <v>0</v>
      </c>
      <c r="AF274" s="73">
        <f ca="1">mult_capex * IFERROR(OFFSET(assumptions!$F$39,MATCH(B274,assumptions!$E$39:$E$45,0)-1,0),0)</f>
        <v>0</v>
      </c>
      <c r="AG274" s="75">
        <f ca="1">mult_capex * capex_new*WI_current_2 *'forecast production'!I275</f>
        <v>0</v>
      </c>
      <c r="AH274" s="146">
        <f t="shared" ca="1" si="95"/>
        <v>0</v>
      </c>
      <c r="AI274" s="73">
        <f t="shared" ca="1" si="89"/>
        <v>104.06150704527349</v>
      </c>
      <c r="AJ274" s="72">
        <f t="shared" ca="1" si="90"/>
        <v>44.995164179940758</v>
      </c>
      <c r="AK274" s="72">
        <f t="shared" ca="1" si="96"/>
        <v>149.05667122521425</v>
      </c>
      <c r="AL274" s="73">
        <f t="shared" ca="1" si="91"/>
        <v>1650.7498959724157</v>
      </c>
      <c r="AM274" s="321">
        <f ca="1">'monthly calculations (1)'!AM274</f>
        <v>0</v>
      </c>
      <c r="AN274" s="73">
        <f t="shared" ca="1" si="97"/>
        <v>0</v>
      </c>
      <c r="AO274" s="75">
        <f t="shared" ca="1" si="99"/>
        <v>1258622.5560460223</v>
      </c>
      <c r="AP274" s="72">
        <f ca="1">AL274  /  ( 1 + disc_1/12)^(COUNT($AL$6:AL274)-1)</f>
        <v>178.55662748432783</v>
      </c>
      <c r="AQ274" s="72">
        <f t="shared" ca="1" si="100"/>
        <v>738684.71897774923</v>
      </c>
      <c r="AS274" s="303"/>
      <c r="AT274" s="300"/>
      <c r="AU274" s="297"/>
      <c r="AV274" s="303"/>
    </row>
    <row r="275" spans="2:48" x14ac:dyDescent="0.25">
      <c r="B275" s="43">
        <f t="shared" si="98"/>
        <v>52383</v>
      </c>
      <c r="C275" s="79">
        <f t="shared" si="92"/>
        <v>2043</v>
      </c>
      <c r="D275" s="64">
        <f ca="1">wellcount_base  +  SUM('forecast production'!I$7:I276)</f>
        <v>1</v>
      </c>
      <c r="E275" s="110">
        <f ca="1">'forecast production'!AE276</f>
        <v>78.069636527414389</v>
      </c>
      <c r="F275" s="98">
        <f ca="1">'forecast production'!AF276</f>
        <v>559.75766703298768</v>
      </c>
      <c r="G275" s="98">
        <f ca="1">'forecast production'!AG276</f>
        <v>5.2690513552992146E-2</v>
      </c>
      <c r="H275" s="98">
        <f ca="1">'forecast production'!AH276</f>
        <v>83.963650054948147</v>
      </c>
      <c r="I275" s="307">
        <f ca="1">IF('monthly calculations (1)'!AV274,WI_2_APO, WI_2)</f>
        <v>0</v>
      </c>
      <c r="J275" s="306">
        <f ca="1">IF('monthly calculations (1)'!AV274,NRI_2_APO, NRI_2)</f>
        <v>0.25</v>
      </c>
      <c r="K275" s="112">
        <f t="shared" ca="1" si="81"/>
        <v>19.517409131853597</v>
      </c>
      <c r="L275" s="98">
        <f t="shared" ca="1" si="82"/>
        <v>104.95456256868519</v>
      </c>
      <c r="M275" s="98">
        <f t="shared" ca="1" si="83"/>
        <v>1.3172628388248037E-2</v>
      </c>
      <c r="N275" s="98">
        <f t="shared" ca="1" si="84"/>
        <v>20.990912513737037</v>
      </c>
      <c r="O275" s="67">
        <f>assumptions!M279</f>
        <v>55</v>
      </c>
      <c r="P275" s="68">
        <f>assumptions!N279</f>
        <v>3</v>
      </c>
      <c r="Q275" s="68">
        <f>assumptions!O279</f>
        <v>22</v>
      </c>
      <c r="R275" s="67">
        <f t="shared" si="85"/>
        <v>52.5</v>
      </c>
      <c r="S275" s="68">
        <f t="shared" si="86"/>
        <v>2.3275000000000001</v>
      </c>
      <c r="T275" s="68">
        <f t="shared" si="87"/>
        <v>22</v>
      </c>
      <c r="U275" s="73">
        <f t="shared" ca="1" si="93"/>
        <v>1024.6639794223138</v>
      </c>
      <c r="V275" s="72">
        <f t="shared" ca="1" si="93"/>
        <v>244.2817443786148</v>
      </c>
      <c r="W275" s="72">
        <f t="shared" ca="1" si="88"/>
        <v>461.80007530221479</v>
      </c>
      <c r="X275" s="72">
        <f t="shared" ca="1" si="94"/>
        <v>1730.7457991031433</v>
      </c>
      <c r="Y275" s="73">
        <f>mult_opex * fixed_month</f>
        <v>1000</v>
      </c>
      <c r="Z275" s="72">
        <f ca="1">mult_opex * fixed_well *D275</f>
        <v>5000</v>
      </c>
      <c r="AA275" s="72">
        <f ca="1">(Z275+Y275)*WI_current_2</f>
        <v>0</v>
      </c>
      <c r="AB275" s="72">
        <f ca="1">mult_opex * var_bo*E275</f>
        <v>0</v>
      </c>
      <c r="AC275" s="72">
        <f ca="1">mult_opex * var_mcf*F275</f>
        <v>0</v>
      </c>
      <c r="AD275" s="72">
        <f ca="1">mult_opex * var_bw * G275</f>
        <v>0.10538102710598429</v>
      </c>
      <c r="AE275" s="72">
        <f ca="1">SUM(AB275:AD275)*WI_current_2</f>
        <v>0</v>
      </c>
      <c r="AF275" s="73">
        <f ca="1">mult_capex * IFERROR(OFFSET(assumptions!$F$39,MATCH(B275,assumptions!$E$39:$E$45,0)-1,0),0)</f>
        <v>0</v>
      </c>
      <c r="AG275" s="75">
        <f ca="1">mult_capex * capex_new*WI_current_2 *'forecast production'!I276</f>
        <v>0</v>
      </c>
      <c r="AH275" s="146">
        <f t="shared" ca="1" si="95"/>
        <v>0</v>
      </c>
      <c r="AI275" s="73">
        <f t="shared" ca="1" si="89"/>
        <v>100.09067952948865</v>
      </c>
      <c r="AJ275" s="72">
        <f t="shared" ca="1" si="90"/>
        <v>43.268644977578589</v>
      </c>
      <c r="AK275" s="72">
        <f t="shared" ca="1" si="96"/>
        <v>143.35932450706724</v>
      </c>
      <c r="AL275" s="73">
        <f t="shared" ca="1" si="91"/>
        <v>1587.3864745960761</v>
      </c>
      <c r="AM275" s="321">
        <f ca="1">'monthly calculations (1)'!AM275</f>
        <v>0</v>
      </c>
      <c r="AN275" s="73">
        <f t="shared" ca="1" si="97"/>
        <v>0</v>
      </c>
      <c r="AO275" s="75">
        <f t="shared" ca="1" si="99"/>
        <v>1258622.5560460223</v>
      </c>
      <c r="AP275" s="72">
        <f ca="1">AL275  /  ( 1 + disc_1/12)^(COUNT($AL$6:AL275)-1)</f>
        <v>170.28376630003001</v>
      </c>
      <c r="AQ275" s="72">
        <f t="shared" ca="1" si="100"/>
        <v>738684.71897774923</v>
      </c>
      <c r="AS275" s="303"/>
      <c r="AT275" s="300"/>
      <c r="AU275" s="297"/>
      <c r="AV275" s="303"/>
    </row>
    <row r="276" spans="2:48" x14ac:dyDescent="0.25">
      <c r="B276" s="43">
        <f t="shared" si="98"/>
        <v>52413</v>
      </c>
      <c r="C276" s="79">
        <f t="shared" si="92"/>
        <v>2043</v>
      </c>
      <c r="D276" s="64">
        <f ca="1">wellcount_base  +  SUM('forecast production'!I$7:I277)</f>
        <v>1</v>
      </c>
      <c r="E276" s="110">
        <f ca="1">'forecast production'!AE277</f>
        <v>80.120980153495381</v>
      </c>
      <c r="F276" s="98">
        <f ca="1">'forecast production'!AF277</f>
        <v>575.48210088779717</v>
      </c>
      <c r="G276" s="98">
        <f ca="1">'forecast production'!AG277</f>
        <v>5.2646052071321517E-2</v>
      </c>
      <c r="H276" s="98">
        <f ca="1">'forecast production'!AH277</f>
        <v>86.322315133169568</v>
      </c>
      <c r="I276" s="307">
        <f ca="1">IF('monthly calculations (1)'!AV275,WI_2_APO, WI_2)</f>
        <v>0</v>
      </c>
      <c r="J276" s="306">
        <f ca="1">IF('monthly calculations (1)'!AV275,NRI_2_APO, NRI_2)</f>
        <v>0.25</v>
      </c>
      <c r="K276" s="112">
        <f t="shared" ca="1" si="81"/>
        <v>20.030245038373845</v>
      </c>
      <c r="L276" s="98">
        <f t="shared" ca="1" si="82"/>
        <v>107.90289391646198</v>
      </c>
      <c r="M276" s="98">
        <f t="shared" ca="1" si="83"/>
        <v>1.3161513017830379E-2</v>
      </c>
      <c r="N276" s="98">
        <f t="shared" ca="1" si="84"/>
        <v>21.580578783292392</v>
      </c>
      <c r="O276" s="67">
        <f>assumptions!M280</f>
        <v>55</v>
      </c>
      <c r="P276" s="68">
        <f>assumptions!N280</f>
        <v>3</v>
      </c>
      <c r="Q276" s="68">
        <f>assumptions!O280</f>
        <v>22</v>
      </c>
      <c r="R276" s="67">
        <f t="shared" si="85"/>
        <v>52.5</v>
      </c>
      <c r="S276" s="68">
        <f t="shared" si="86"/>
        <v>2.3275000000000001</v>
      </c>
      <c r="T276" s="68">
        <f t="shared" si="87"/>
        <v>22</v>
      </c>
      <c r="U276" s="73">
        <f t="shared" ca="1" si="93"/>
        <v>1051.587864514627</v>
      </c>
      <c r="V276" s="72">
        <f t="shared" ca="1" si="93"/>
        <v>251.14398559056528</v>
      </c>
      <c r="W276" s="72">
        <f t="shared" ca="1" si="88"/>
        <v>474.77273323243264</v>
      </c>
      <c r="X276" s="72">
        <f t="shared" ca="1" si="94"/>
        <v>1777.5045833376248</v>
      </c>
      <c r="Y276" s="73">
        <f>mult_opex * fixed_month</f>
        <v>1000</v>
      </c>
      <c r="Z276" s="72">
        <f ca="1">mult_opex * fixed_well *D276</f>
        <v>5000</v>
      </c>
      <c r="AA276" s="72">
        <f ca="1">(Z276+Y276)*WI_current_2</f>
        <v>0</v>
      </c>
      <c r="AB276" s="72">
        <f ca="1">mult_opex * var_bo*E276</f>
        <v>0</v>
      </c>
      <c r="AC276" s="72">
        <f ca="1">mult_opex * var_mcf*F276</f>
        <v>0</v>
      </c>
      <c r="AD276" s="72">
        <f ca="1">mult_opex * var_bw * G276</f>
        <v>0.10529210414264303</v>
      </c>
      <c r="AE276" s="72">
        <f ca="1">SUM(AB276:AD276)*WI_current_2</f>
        <v>0</v>
      </c>
      <c r="AF276" s="73">
        <f ca="1">mult_capex * IFERROR(OFFSET(assumptions!$F$39,MATCH(B276,assumptions!$E$39:$E$45,0)-1,0),0)</f>
        <v>0</v>
      </c>
      <c r="AG276" s="75">
        <f ca="1">mult_capex * capex_new*WI_current_2 *'forecast production'!I277</f>
        <v>0</v>
      </c>
      <c r="AH276" s="146">
        <f t="shared" ca="1" si="95"/>
        <v>0</v>
      </c>
      <c r="AI276" s="73">
        <f t="shared" ca="1" si="89"/>
        <v>102.81679567939767</v>
      </c>
      <c r="AJ276" s="72">
        <f t="shared" ca="1" si="90"/>
        <v>44.43761458344062</v>
      </c>
      <c r="AK276" s="72">
        <f t="shared" ca="1" si="96"/>
        <v>147.25441026283829</v>
      </c>
      <c r="AL276" s="73">
        <f t="shared" ca="1" si="91"/>
        <v>1630.2501730747865</v>
      </c>
      <c r="AM276" s="321">
        <f ca="1">'monthly calculations (1)'!AM276</f>
        <v>0</v>
      </c>
      <c r="AN276" s="73">
        <f t="shared" ca="1" si="97"/>
        <v>0</v>
      </c>
      <c r="AO276" s="75">
        <f t="shared" ca="1" si="99"/>
        <v>1258622.5560460223</v>
      </c>
      <c r="AP276" s="72">
        <f ca="1">AL276  /  ( 1 + disc_1/12)^(COUNT($AL$6:AL276)-1)</f>
        <v>173.43658052863967</v>
      </c>
      <c r="AQ276" s="72">
        <f t="shared" ca="1" si="100"/>
        <v>738684.71897774923</v>
      </c>
      <c r="AS276" s="303"/>
      <c r="AT276" s="300"/>
      <c r="AU276" s="297"/>
      <c r="AV276" s="303"/>
    </row>
    <row r="277" spans="2:48" x14ac:dyDescent="0.25">
      <c r="B277" s="43">
        <f t="shared" si="98"/>
        <v>52444</v>
      </c>
      <c r="C277" s="79">
        <f t="shared" si="92"/>
        <v>2043</v>
      </c>
      <c r="D277" s="64">
        <f ca="1">wellcount_base  +  SUM('forecast production'!I$7:I278)</f>
        <v>1</v>
      </c>
      <c r="E277" s="110">
        <f ca="1">'forecast production'!AE278</f>
        <v>79.555589682985897</v>
      </c>
      <c r="F277" s="98">
        <f ca="1">'forecast production'!AF278</f>
        <v>572.46577647459287</v>
      </c>
      <c r="G277" s="98">
        <f ca="1">'forecast production'!AG278</f>
        <v>5.0848064396481055E-2</v>
      </c>
      <c r="H277" s="98">
        <f ca="1">'forecast production'!AH278</f>
        <v>85.869866471188942</v>
      </c>
      <c r="I277" s="307">
        <f ca="1">IF('monthly calculations (1)'!AV276,WI_2_APO, WI_2)</f>
        <v>0</v>
      </c>
      <c r="J277" s="306">
        <f ca="1">IF('monthly calculations (1)'!AV276,NRI_2_APO, NRI_2)</f>
        <v>0.25</v>
      </c>
      <c r="K277" s="112">
        <f t="shared" ca="1" si="81"/>
        <v>19.888897420746474</v>
      </c>
      <c r="L277" s="98">
        <f t="shared" ca="1" si="82"/>
        <v>107.33733308898616</v>
      </c>
      <c r="M277" s="98">
        <f t="shared" ca="1" si="83"/>
        <v>1.2712016099120264E-2</v>
      </c>
      <c r="N277" s="98">
        <f t="shared" ca="1" si="84"/>
        <v>21.467466617797236</v>
      </c>
      <c r="O277" s="67">
        <f>assumptions!M281</f>
        <v>55</v>
      </c>
      <c r="P277" s="68">
        <f>assumptions!N281</f>
        <v>3</v>
      </c>
      <c r="Q277" s="68">
        <f>assumptions!O281</f>
        <v>22</v>
      </c>
      <c r="R277" s="67">
        <f t="shared" si="85"/>
        <v>52.5</v>
      </c>
      <c r="S277" s="68">
        <f t="shared" si="86"/>
        <v>2.3275000000000001</v>
      </c>
      <c r="T277" s="68">
        <f t="shared" si="87"/>
        <v>22</v>
      </c>
      <c r="U277" s="73">
        <f t="shared" ca="1" si="93"/>
        <v>1044.1671145891899</v>
      </c>
      <c r="V277" s="72">
        <f t="shared" ca="1" si="93"/>
        <v>249.82764276461529</v>
      </c>
      <c r="W277" s="72">
        <f t="shared" ca="1" si="88"/>
        <v>472.28426559153917</v>
      </c>
      <c r="X277" s="72">
        <f t="shared" ca="1" si="94"/>
        <v>1766.2790229453444</v>
      </c>
      <c r="Y277" s="73">
        <f>mult_opex * fixed_month</f>
        <v>1000</v>
      </c>
      <c r="Z277" s="72">
        <f ca="1">mult_opex * fixed_well *D277</f>
        <v>5000</v>
      </c>
      <c r="AA277" s="72">
        <f ca="1">(Z277+Y277)*WI_current_2</f>
        <v>0</v>
      </c>
      <c r="AB277" s="72">
        <f ca="1">mult_opex * var_bo*E277</f>
        <v>0</v>
      </c>
      <c r="AC277" s="72">
        <f ca="1">mult_opex * var_mcf*F277</f>
        <v>0</v>
      </c>
      <c r="AD277" s="72">
        <f ca="1">mult_opex * var_bw * G277</f>
        <v>0.10169612879296211</v>
      </c>
      <c r="AE277" s="72">
        <f ca="1">SUM(AB277:AD277)*WI_current_2</f>
        <v>0</v>
      </c>
      <c r="AF277" s="73">
        <f ca="1">mult_capex * IFERROR(OFFSET(assumptions!$F$39,MATCH(B277,assumptions!$E$39:$E$45,0)-1,0),0)</f>
        <v>0</v>
      </c>
      <c r="AG277" s="75">
        <f ca="1">mult_capex * capex_new*WI_current_2 *'forecast production'!I278</f>
        <v>0</v>
      </c>
      <c r="AH277" s="146">
        <f t="shared" ca="1" si="95"/>
        <v>0</v>
      </c>
      <c r="AI277" s="73">
        <f t="shared" ca="1" si="89"/>
        <v>102.19008039781431</v>
      </c>
      <c r="AJ277" s="72">
        <f t="shared" ca="1" si="90"/>
        <v>44.156975573633616</v>
      </c>
      <c r="AK277" s="72">
        <f t="shared" ca="1" si="96"/>
        <v>146.34705597144793</v>
      </c>
      <c r="AL277" s="73">
        <f t="shared" ca="1" si="91"/>
        <v>1619.9319669738966</v>
      </c>
      <c r="AM277" s="321">
        <f ca="1">'monthly calculations (1)'!AM277</f>
        <v>0</v>
      </c>
      <c r="AN277" s="73">
        <f t="shared" ca="1" si="97"/>
        <v>0</v>
      </c>
      <c r="AO277" s="75">
        <f t="shared" ca="1" si="99"/>
        <v>1258622.5560460223</v>
      </c>
      <c r="AP277" s="72">
        <f ca="1">AL277  /  ( 1 + disc_1/12)^(COUNT($AL$6:AL277)-1)</f>
        <v>170.91457475906512</v>
      </c>
      <c r="AQ277" s="72">
        <f t="shared" ca="1" si="100"/>
        <v>738684.71897774923</v>
      </c>
      <c r="AS277" s="303"/>
      <c r="AT277" s="300"/>
      <c r="AU277" s="297"/>
      <c r="AV277" s="303"/>
    </row>
    <row r="278" spans="2:48" x14ac:dyDescent="0.25">
      <c r="B278" s="43">
        <f t="shared" si="98"/>
        <v>52475</v>
      </c>
      <c r="C278" s="79">
        <f t="shared" si="92"/>
        <v>2043</v>
      </c>
      <c r="D278" s="64">
        <f ca="1">wellcount_base  +  SUM('forecast production'!I$7:I279)</f>
        <v>1</v>
      </c>
      <c r="E278" s="110">
        <f ca="1">'forecast production'!AE279</f>
        <v>76.44598936325923</v>
      </c>
      <c r="F278" s="98">
        <f ca="1">'forecast production'!AF279</f>
        <v>551.09541463065773</v>
      </c>
      <c r="G278" s="98">
        <f ca="1">'forecast production'!AG279</f>
        <v>4.752752780441797E-2</v>
      </c>
      <c r="H278" s="98">
        <f ca="1">'forecast production'!AH279</f>
        <v>82.664312194598665</v>
      </c>
      <c r="I278" s="307">
        <f ca="1">IF('monthly calculations (1)'!AV277,WI_2_APO, WI_2)</f>
        <v>0</v>
      </c>
      <c r="J278" s="306">
        <f ca="1">IF('monthly calculations (1)'!AV277,NRI_2_APO, NRI_2)</f>
        <v>0.25</v>
      </c>
      <c r="K278" s="112">
        <f t="shared" ca="1" si="81"/>
        <v>19.111497340814807</v>
      </c>
      <c r="L278" s="98">
        <f t="shared" ca="1" si="82"/>
        <v>103.33039024324833</v>
      </c>
      <c r="M278" s="98">
        <f t="shared" ca="1" si="83"/>
        <v>1.1881881951104492E-2</v>
      </c>
      <c r="N278" s="98">
        <f t="shared" ca="1" si="84"/>
        <v>20.666078048649666</v>
      </c>
      <c r="O278" s="67">
        <f>assumptions!M282</f>
        <v>55</v>
      </c>
      <c r="P278" s="68">
        <f>assumptions!N282</f>
        <v>3</v>
      </c>
      <c r="Q278" s="68">
        <f>assumptions!O282</f>
        <v>22</v>
      </c>
      <c r="R278" s="67">
        <f t="shared" si="85"/>
        <v>52.5</v>
      </c>
      <c r="S278" s="68">
        <f t="shared" si="86"/>
        <v>2.3275000000000001</v>
      </c>
      <c r="T278" s="68">
        <f t="shared" si="87"/>
        <v>22</v>
      </c>
      <c r="U278" s="73">
        <f t="shared" ca="1" si="93"/>
        <v>1003.3536103927773</v>
      </c>
      <c r="V278" s="72">
        <f t="shared" ca="1" si="93"/>
        <v>240.5014832911605</v>
      </c>
      <c r="W278" s="72">
        <f t="shared" ca="1" si="88"/>
        <v>454.65371707029266</v>
      </c>
      <c r="X278" s="72">
        <f t="shared" ca="1" si="94"/>
        <v>1698.5088107542306</v>
      </c>
      <c r="Y278" s="73">
        <f>mult_opex * fixed_month</f>
        <v>1000</v>
      </c>
      <c r="Z278" s="72">
        <f ca="1">mult_opex * fixed_well *D278</f>
        <v>5000</v>
      </c>
      <c r="AA278" s="72">
        <f ca="1">(Z278+Y278)*WI_current_2</f>
        <v>0</v>
      </c>
      <c r="AB278" s="72">
        <f ca="1">mult_opex * var_bo*E278</f>
        <v>0</v>
      </c>
      <c r="AC278" s="72">
        <f ca="1">mult_opex * var_mcf*F278</f>
        <v>0</v>
      </c>
      <c r="AD278" s="72">
        <f ca="1">mult_opex * var_bw * G278</f>
        <v>9.5055055608835939E-2</v>
      </c>
      <c r="AE278" s="72">
        <f ca="1">SUM(AB278:AD278)*WI_current_2</f>
        <v>0</v>
      </c>
      <c r="AF278" s="73">
        <f ca="1">mult_capex * IFERROR(OFFSET(assumptions!$F$39,MATCH(B278,assumptions!$E$39:$E$45,0)-1,0),0)</f>
        <v>0</v>
      </c>
      <c r="AG278" s="75">
        <f ca="1">mult_capex * capex_new*WI_current_2 *'forecast production'!I279</f>
        <v>0</v>
      </c>
      <c r="AH278" s="146">
        <f t="shared" ca="1" si="95"/>
        <v>0</v>
      </c>
      <c r="AI278" s="73">
        <f t="shared" ca="1" si="89"/>
        <v>98.290906105176745</v>
      </c>
      <c r="AJ278" s="72">
        <f t="shared" ca="1" si="90"/>
        <v>42.462720268855769</v>
      </c>
      <c r="AK278" s="72">
        <f t="shared" ca="1" si="96"/>
        <v>140.75362637403251</v>
      </c>
      <c r="AL278" s="73">
        <f t="shared" ca="1" si="91"/>
        <v>1557.755184380198</v>
      </c>
      <c r="AM278" s="321">
        <f ca="1">'monthly calculations (1)'!AM278</f>
        <v>0</v>
      </c>
      <c r="AN278" s="73">
        <f t="shared" ca="1" si="97"/>
        <v>0</v>
      </c>
      <c r="AO278" s="75">
        <f t="shared" ca="1" si="99"/>
        <v>1258622.5560460223</v>
      </c>
      <c r="AP278" s="72">
        <f ca="1">AL278  /  ( 1 + disc_1/12)^(COUNT($AL$6:AL278)-1)</f>
        <v>162.99617168609146</v>
      </c>
      <c r="AQ278" s="72">
        <f t="shared" ca="1" si="100"/>
        <v>738684.71897774923</v>
      </c>
      <c r="AS278" s="303"/>
      <c r="AT278" s="300"/>
      <c r="AU278" s="297"/>
      <c r="AV278" s="303"/>
    </row>
    <row r="279" spans="2:48" x14ac:dyDescent="0.25">
      <c r="B279" s="43">
        <f t="shared" si="98"/>
        <v>52505</v>
      </c>
      <c r="C279" s="79">
        <f t="shared" si="92"/>
        <v>2043</v>
      </c>
      <c r="D279" s="64">
        <f ca="1">wellcount_base  +  SUM('forecast production'!I$7:I280)</f>
        <v>1</v>
      </c>
      <c r="E279" s="110">
        <f ca="1">'forecast production'!AE280</f>
        <v>78.454670330599328</v>
      </c>
      <c r="F279" s="98">
        <f ca="1">'forecast production'!AF280</f>
        <v>566.57651280119501</v>
      </c>
      <c r="G279" s="98">
        <f ca="1">'forecast production'!AG280</f>
        <v>4.7488246258932554E-2</v>
      </c>
      <c r="H279" s="98">
        <f ca="1">'forecast production'!AH280</f>
        <v>84.986476920179257</v>
      </c>
      <c r="I279" s="307">
        <f ca="1">IF('monthly calculations (1)'!AV278,WI_2_APO, WI_2)</f>
        <v>0</v>
      </c>
      <c r="J279" s="306">
        <f ca="1">IF('monthly calculations (1)'!AV278,NRI_2_APO, NRI_2)</f>
        <v>0.25</v>
      </c>
      <c r="K279" s="112">
        <f t="shared" ca="1" si="81"/>
        <v>19.613667582649832</v>
      </c>
      <c r="L279" s="98">
        <f t="shared" ca="1" si="82"/>
        <v>106.23309615022407</v>
      </c>
      <c r="M279" s="98">
        <f t="shared" ca="1" si="83"/>
        <v>1.1872061564733138E-2</v>
      </c>
      <c r="N279" s="98">
        <f t="shared" ca="1" si="84"/>
        <v>21.246619230044814</v>
      </c>
      <c r="O279" s="67">
        <f>assumptions!M283</f>
        <v>55</v>
      </c>
      <c r="P279" s="68">
        <f>assumptions!N283</f>
        <v>3</v>
      </c>
      <c r="Q279" s="68">
        <f>assumptions!O283</f>
        <v>22</v>
      </c>
      <c r="R279" s="67">
        <f t="shared" si="85"/>
        <v>52.5</v>
      </c>
      <c r="S279" s="68">
        <f t="shared" si="86"/>
        <v>2.3275000000000001</v>
      </c>
      <c r="T279" s="68">
        <f t="shared" si="87"/>
        <v>22</v>
      </c>
      <c r="U279" s="73">
        <f t="shared" ca="1" si="93"/>
        <v>1029.7175480891162</v>
      </c>
      <c r="V279" s="72">
        <f t="shared" ca="1" si="93"/>
        <v>247.25753128964655</v>
      </c>
      <c r="W279" s="72">
        <f t="shared" ca="1" si="88"/>
        <v>467.42562306098591</v>
      </c>
      <c r="X279" s="72">
        <f t="shared" ca="1" si="94"/>
        <v>1744.4007024397488</v>
      </c>
      <c r="Y279" s="73">
        <f>mult_opex * fixed_month</f>
        <v>1000</v>
      </c>
      <c r="Z279" s="72">
        <f ca="1">mult_opex * fixed_well *D279</f>
        <v>5000</v>
      </c>
      <c r="AA279" s="72">
        <f ca="1">(Z279+Y279)*WI_current_2</f>
        <v>0</v>
      </c>
      <c r="AB279" s="72">
        <f ca="1">mult_opex * var_bo*E279</f>
        <v>0</v>
      </c>
      <c r="AC279" s="72">
        <f ca="1">mult_opex * var_mcf*F279</f>
        <v>0</v>
      </c>
      <c r="AD279" s="72">
        <f ca="1">mult_opex * var_bw * G279</f>
        <v>9.4976492517865108E-2</v>
      </c>
      <c r="AE279" s="72">
        <f ca="1">SUM(AB279:AD279)*WI_current_2</f>
        <v>0</v>
      </c>
      <c r="AF279" s="73">
        <f ca="1">mult_capex * IFERROR(OFFSET(assumptions!$F$39,MATCH(B279,assumptions!$E$39:$E$45,0)-1,0),0)</f>
        <v>0</v>
      </c>
      <c r="AG279" s="75">
        <f ca="1">mult_capex * capex_new*WI_current_2 *'forecast production'!I280</f>
        <v>0</v>
      </c>
      <c r="AH279" s="146">
        <f t="shared" ca="1" si="95"/>
        <v>0</v>
      </c>
      <c r="AI279" s="73">
        <f t="shared" ca="1" si="89"/>
        <v>100.96824378839678</v>
      </c>
      <c r="AJ279" s="72">
        <f t="shared" ca="1" si="90"/>
        <v>43.610017560993725</v>
      </c>
      <c r="AK279" s="72">
        <f t="shared" ca="1" si="96"/>
        <v>144.57826134939052</v>
      </c>
      <c r="AL279" s="73">
        <f t="shared" ca="1" si="91"/>
        <v>1599.8224410903583</v>
      </c>
      <c r="AM279" s="321">
        <f ca="1">'monthly calculations (1)'!AM279</f>
        <v>0</v>
      </c>
      <c r="AN279" s="73">
        <f t="shared" ca="1" si="97"/>
        <v>0</v>
      </c>
      <c r="AO279" s="75">
        <f t="shared" ca="1" si="99"/>
        <v>1258622.5560460223</v>
      </c>
      <c r="AP279" s="72">
        <f ca="1">AL279  /  ( 1 + disc_1/12)^(COUNT($AL$6:AL279)-1)</f>
        <v>166.01443781099559</v>
      </c>
      <c r="AQ279" s="72">
        <f t="shared" ca="1" si="100"/>
        <v>738684.71897774923</v>
      </c>
      <c r="AS279" s="303"/>
      <c r="AT279" s="300"/>
      <c r="AU279" s="297"/>
      <c r="AV279" s="303"/>
    </row>
    <row r="280" spans="2:48" x14ac:dyDescent="0.25">
      <c r="B280" s="43">
        <f t="shared" si="98"/>
        <v>52536</v>
      </c>
      <c r="C280" s="79">
        <f t="shared" si="92"/>
        <v>2043</v>
      </c>
      <c r="D280" s="64">
        <f ca="1">wellcount_base  +  SUM('forecast production'!I$7:I281)</f>
        <v>1</v>
      </c>
      <c r="E280" s="110">
        <f ca="1">'forecast production'!AE281</f>
        <v>75.388101797624728</v>
      </c>
      <c r="F280" s="98">
        <f ca="1">'forecast production'!AF281</f>
        <v>545.42599937591967</v>
      </c>
      <c r="G280" s="98">
        <f ca="1">'forecast production'!AG281</f>
        <v>4.4387643202669656E-2</v>
      </c>
      <c r="H280" s="98">
        <f ca="1">'forecast production'!AH281</f>
        <v>81.81389990638796</v>
      </c>
      <c r="I280" s="307">
        <f ca="1">IF('monthly calculations (1)'!AV279,WI_2_APO, WI_2)</f>
        <v>0</v>
      </c>
      <c r="J280" s="306">
        <f ca="1">IF('monthly calculations (1)'!AV279,NRI_2_APO, NRI_2)</f>
        <v>0.25</v>
      </c>
      <c r="K280" s="112">
        <f t="shared" ca="1" si="81"/>
        <v>18.847025449406182</v>
      </c>
      <c r="L280" s="98">
        <f t="shared" ca="1" si="82"/>
        <v>102.26737488298494</v>
      </c>
      <c r="M280" s="98">
        <f t="shared" ca="1" si="83"/>
        <v>1.1096910800667414E-2</v>
      </c>
      <c r="N280" s="98">
        <f t="shared" ca="1" si="84"/>
        <v>20.45347497659699</v>
      </c>
      <c r="O280" s="67">
        <f>assumptions!M284</f>
        <v>55</v>
      </c>
      <c r="P280" s="68">
        <f>assumptions!N284</f>
        <v>3</v>
      </c>
      <c r="Q280" s="68">
        <f>assumptions!O284</f>
        <v>22</v>
      </c>
      <c r="R280" s="67">
        <f t="shared" si="85"/>
        <v>52.5</v>
      </c>
      <c r="S280" s="68">
        <f t="shared" si="86"/>
        <v>2.3275000000000001</v>
      </c>
      <c r="T280" s="68">
        <f t="shared" si="87"/>
        <v>22</v>
      </c>
      <c r="U280" s="73">
        <f t="shared" ca="1" si="93"/>
        <v>989.46883609382451</v>
      </c>
      <c r="V280" s="72">
        <f t="shared" ca="1" si="93"/>
        <v>238.02731504014747</v>
      </c>
      <c r="W280" s="72">
        <f t="shared" ca="1" si="88"/>
        <v>449.9764494851338</v>
      </c>
      <c r="X280" s="72">
        <f t="shared" ca="1" si="94"/>
        <v>1677.4726006191058</v>
      </c>
      <c r="Y280" s="73">
        <f>mult_opex * fixed_month</f>
        <v>1000</v>
      </c>
      <c r="Z280" s="72">
        <f ca="1">mult_opex * fixed_well *D280</f>
        <v>5000</v>
      </c>
      <c r="AA280" s="72">
        <f ca="1">(Z280+Y280)*WI_current_2</f>
        <v>0</v>
      </c>
      <c r="AB280" s="72">
        <f ca="1">mult_opex * var_bo*E280</f>
        <v>0</v>
      </c>
      <c r="AC280" s="72">
        <f ca="1">mult_opex * var_mcf*F280</f>
        <v>0</v>
      </c>
      <c r="AD280" s="72">
        <f ca="1">mult_opex * var_bw * G280</f>
        <v>8.8775286405339313E-2</v>
      </c>
      <c r="AE280" s="72">
        <f ca="1">SUM(AB280:AD280)*WI_current_2</f>
        <v>0</v>
      </c>
      <c r="AF280" s="73">
        <f ca="1">mult_capex * IFERROR(OFFSET(assumptions!$F$39,MATCH(B280,assumptions!$E$39:$E$45,0)-1,0),0)</f>
        <v>0</v>
      </c>
      <c r="AG280" s="75">
        <f ca="1">mult_capex * capex_new*WI_current_2 *'forecast production'!I281</f>
        <v>0</v>
      </c>
      <c r="AH280" s="146">
        <f t="shared" ca="1" si="95"/>
        <v>0</v>
      </c>
      <c r="AI280" s="73">
        <f t="shared" ca="1" si="89"/>
        <v>97.115848799712012</v>
      </c>
      <c r="AJ280" s="72">
        <f t="shared" ca="1" si="90"/>
        <v>41.936815015477649</v>
      </c>
      <c r="AK280" s="72">
        <f t="shared" ca="1" si="96"/>
        <v>139.05266381518965</v>
      </c>
      <c r="AL280" s="73">
        <f t="shared" ca="1" si="91"/>
        <v>1538.4199368039162</v>
      </c>
      <c r="AM280" s="321">
        <f ca="1">'monthly calculations (1)'!AM280</f>
        <v>0</v>
      </c>
      <c r="AN280" s="73">
        <f t="shared" ca="1" si="97"/>
        <v>0</v>
      </c>
      <c r="AO280" s="75">
        <f t="shared" ca="1" si="99"/>
        <v>1258622.5560460223</v>
      </c>
      <c r="AP280" s="72">
        <f ca="1">AL280  /  ( 1 + disc_1/12)^(COUNT($AL$6:AL280)-1)</f>
        <v>158.32330593197193</v>
      </c>
      <c r="AQ280" s="72">
        <f t="shared" ca="1" si="100"/>
        <v>738684.71897774923</v>
      </c>
      <c r="AS280" s="303"/>
      <c r="AT280" s="300"/>
      <c r="AU280" s="297"/>
      <c r="AV280" s="303"/>
    </row>
    <row r="281" spans="2:48" x14ac:dyDescent="0.25">
      <c r="B281" s="44">
        <f t="shared" si="98"/>
        <v>52566</v>
      </c>
      <c r="C281" s="100">
        <f t="shared" si="92"/>
        <v>2043</v>
      </c>
      <c r="D281" s="65">
        <f ca="1">wellcount_base  +  SUM('forecast production'!I$7:I282)</f>
        <v>1</v>
      </c>
      <c r="E281" s="109">
        <f ca="1">'forecast production'!AE282</f>
        <v>77.368985902940082</v>
      </c>
      <c r="F281" s="101">
        <f ca="1">'forecast production'!AF282</f>
        <v>560.74783515414151</v>
      </c>
      <c r="G281" s="101">
        <f ca="1">'forecast production'!AG282</f>
        <v>4.4351466158270368E-2</v>
      </c>
      <c r="H281" s="102">
        <f ca="1">'forecast production'!AH282</f>
        <v>84.112175273121224</v>
      </c>
      <c r="I281" s="308">
        <f ca="1">IF('monthly calculations (1)'!AV280,WI_2_APO, WI_2)</f>
        <v>0</v>
      </c>
      <c r="J281" s="309">
        <f ca="1">IF('monthly calculations (1)'!AV280,NRI_2_APO, NRI_2)</f>
        <v>0.25</v>
      </c>
      <c r="K281" s="113">
        <f t="shared" ca="1" si="81"/>
        <v>19.342246475735021</v>
      </c>
      <c r="L281" s="102">
        <f t="shared" ca="1" si="82"/>
        <v>105.14021909140153</v>
      </c>
      <c r="M281" s="102">
        <f t="shared" ca="1" si="83"/>
        <v>1.1087866539567592E-2</v>
      </c>
      <c r="N281" s="102">
        <f t="shared" ca="1" si="84"/>
        <v>21.028043818280306</v>
      </c>
      <c r="O281" s="103">
        <f>assumptions!M285</f>
        <v>55</v>
      </c>
      <c r="P281" s="104">
        <f>assumptions!N285</f>
        <v>3</v>
      </c>
      <c r="Q281" s="104">
        <f>assumptions!O285</f>
        <v>22</v>
      </c>
      <c r="R281" s="103">
        <f t="shared" si="85"/>
        <v>52.5</v>
      </c>
      <c r="S281" s="104">
        <f t="shared" si="86"/>
        <v>2.3275000000000001</v>
      </c>
      <c r="T281" s="104">
        <f t="shared" si="87"/>
        <v>22</v>
      </c>
      <c r="U281" s="105">
        <f t="shared" ca="1" si="93"/>
        <v>1015.4679399760886</v>
      </c>
      <c r="V281" s="106">
        <f t="shared" ca="1" si="93"/>
        <v>244.71385993523708</v>
      </c>
      <c r="W281" s="106">
        <f t="shared" ca="1" si="88"/>
        <v>462.61696400216675</v>
      </c>
      <c r="X281" s="106">
        <f t="shared" ca="1" si="94"/>
        <v>1722.7987639134924</v>
      </c>
      <c r="Y281" s="105">
        <f>mult_opex * fixed_month</f>
        <v>1000</v>
      </c>
      <c r="Z281" s="106">
        <f ca="1">mult_opex * fixed_well *D281</f>
        <v>5000</v>
      </c>
      <c r="AA281" s="106">
        <f ca="1">(Z281+Y281)*WI_current_2</f>
        <v>0</v>
      </c>
      <c r="AB281" s="106">
        <f ca="1">mult_opex * var_bo*E281</f>
        <v>0</v>
      </c>
      <c r="AC281" s="106">
        <f ca="1">mult_opex * var_mcf*F281</f>
        <v>0</v>
      </c>
      <c r="AD281" s="106">
        <f ca="1">mult_opex * var_bw * G281</f>
        <v>8.8702932316540736E-2</v>
      </c>
      <c r="AE281" s="106">
        <f ca="1">SUM(AB281:AD281)*WI_current_2</f>
        <v>0</v>
      </c>
      <c r="AF281" s="105">
        <f ca="1">mult_capex * IFERROR(OFFSET(assumptions!$F$39,MATCH(B281,assumptions!$E$39:$E$45,0)-1,0),0)</f>
        <v>0</v>
      </c>
      <c r="AG281" s="106">
        <f ca="1">mult_capex * capex_new*WI_current_2 *'forecast production'!I282</f>
        <v>0</v>
      </c>
      <c r="AH281" s="147">
        <f t="shared" ca="1" si="95"/>
        <v>0</v>
      </c>
      <c r="AI281" s="105">
        <f t="shared" ca="1" si="89"/>
        <v>99.761337034205354</v>
      </c>
      <c r="AJ281" s="106">
        <f t="shared" ca="1" si="90"/>
        <v>43.069969097837316</v>
      </c>
      <c r="AK281" s="106">
        <f t="shared" ca="1" si="96"/>
        <v>142.83130613204267</v>
      </c>
      <c r="AL281" s="105">
        <f t="shared" ca="1" si="91"/>
        <v>1579.9674577814496</v>
      </c>
      <c r="AM281" s="322">
        <f ca="1">'monthly calculations (1)'!AM281</f>
        <v>0</v>
      </c>
      <c r="AN281" s="105">
        <f t="shared" ca="1" si="97"/>
        <v>0</v>
      </c>
      <c r="AO281" s="106">
        <f t="shared" ca="1" si="99"/>
        <v>1258622.5560460223</v>
      </c>
      <c r="AP281" s="106">
        <f ca="1">AL281  /  ( 1 + disc_1/12)^(COUNT($AL$6:AL281)-1)</f>
        <v>161.25528904659254</v>
      </c>
      <c r="AQ281" s="106">
        <f t="shared" ca="1" si="100"/>
        <v>738684.71897774923</v>
      </c>
      <c r="AS281" s="304"/>
      <c r="AT281" s="301"/>
      <c r="AU281" s="298"/>
      <c r="AV281" s="304"/>
    </row>
    <row r="282" spans="2:48" x14ac:dyDescent="0.25">
      <c r="B282" s="43">
        <f t="shared" si="98"/>
        <v>52597</v>
      </c>
      <c r="C282" s="79">
        <f t="shared" si="92"/>
        <v>2044</v>
      </c>
      <c r="D282" s="64">
        <f ca="1">wellcount_base  +  SUM('forecast production'!I$7:I283)</f>
        <v>1</v>
      </c>
      <c r="E282" s="110">
        <f ca="1">'forecast production'!AE283</f>
        <v>76.823015456014687</v>
      </c>
      <c r="F282" s="98">
        <f ca="1">'forecast production'!AF283</f>
        <v>557.80873873008682</v>
      </c>
      <c r="G282" s="98">
        <f ca="1">'forecast production'!AG283</f>
        <v>4.283803366732087E-2</v>
      </c>
      <c r="H282" s="98">
        <f ca="1">'forecast production'!AH283</f>
        <v>83.671310809513031</v>
      </c>
      <c r="I282" s="307">
        <f ca="1">IF('monthly calculations (1)'!AV281,WI_2_APO, WI_2)</f>
        <v>0</v>
      </c>
      <c r="J282" s="306">
        <f ca="1">IF('monthly calculations (1)'!AV281,NRI_2_APO, NRI_2)</f>
        <v>0.25</v>
      </c>
      <c r="K282" s="112">
        <f t="shared" ca="1" si="81"/>
        <v>19.205753864003672</v>
      </c>
      <c r="L282" s="98">
        <f t="shared" ca="1" si="82"/>
        <v>104.58913851189128</v>
      </c>
      <c r="M282" s="98">
        <f t="shared" ca="1" si="83"/>
        <v>1.0709508416830217E-2</v>
      </c>
      <c r="N282" s="98">
        <f t="shared" ca="1" si="84"/>
        <v>20.917827702378258</v>
      </c>
      <c r="O282" s="67">
        <f>assumptions!M286</f>
        <v>55</v>
      </c>
      <c r="P282" s="68">
        <f>assumptions!N286</f>
        <v>3</v>
      </c>
      <c r="Q282" s="68">
        <f>assumptions!O286</f>
        <v>22</v>
      </c>
      <c r="R282" s="67">
        <f t="shared" si="85"/>
        <v>52.5</v>
      </c>
      <c r="S282" s="68">
        <f t="shared" si="86"/>
        <v>2.3275000000000001</v>
      </c>
      <c r="T282" s="68">
        <f t="shared" si="87"/>
        <v>22</v>
      </c>
      <c r="U282" s="73">
        <f t="shared" ca="1" si="93"/>
        <v>1008.3020778601928</v>
      </c>
      <c r="V282" s="72">
        <f t="shared" ca="1" si="93"/>
        <v>243.43121988642696</v>
      </c>
      <c r="W282" s="72">
        <f t="shared" ca="1" si="88"/>
        <v>460.19220945232166</v>
      </c>
      <c r="X282" s="72">
        <f t="shared" ca="1" si="94"/>
        <v>1711.9255071989414</v>
      </c>
      <c r="Y282" s="73">
        <f>mult_opex * fixed_month</f>
        <v>1000</v>
      </c>
      <c r="Z282" s="72">
        <f ca="1">mult_opex * fixed_well *D282</f>
        <v>5000</v>
      </c>
      <c r="AA282" s="72">
        <f ca="1">(Z282+Y282)*WI_current_2</f>
        <v>0</v>
      </c>
      <c r="AB282" s="72">
        <f ca="1">mult_opex * var_bo*E282</f>
        <v>0</v>
      </c>
      <c r="AC282" s="72">
        <f ca="1">mult_opex * var_mcf*F282</f>
        <v>0</v>
      </c>
      <c r="AD282" s="72">
        <f ca="1">mult_opex * var_bw * G282</f>
        <v>8.567606733464174E-2</v>
      </c>
      <c r="AE282" s="72">
        <f ca="1">SUM(AB282:AD282)*WI_current_2</f>
        <v>0</v>
      </c>
      <c r="AF282" s="73">
        <f ca="1">mult_capex * IFERROR(OFFSET(assumptions!$F$39,MATCH(B282,assumptions!$E$39:$E$45,0)-1,0),0)</f>
        <v>0</v>
      </c>
      <c r="AG282" s="75">
        <f ca="1">mult_capex * capex_new*WI_current_2 *'forecast production'!I283</f>
        <v>0</v>
      </c>
      <c r="AH282" s="146">
        <f t="shared" ca="1" si="95"/>
        <v>0</v>
      </c>
      <c r="AI282" s="73">
        <f t="shared" ca="1" si="89"/>
        <v>99.153652781975012</v>
      </c>
      <c r="AJ282" s="72">
        <f t="shared" ca="1" si="90"/>
        <v>42.798137679973536</v>
      </c>
      <c r="AK282" s="72">
        <f t="shared" ca="1" si="96"/>
        <v>141.95179046194855</v>
      </c>
      <c r="AL282" s="73">
        <f t="shared" ca="1" si="91"/>
        <v>1569.9737167369929</v>
      </c>
      <c r="AM282" s="321">
        <f ca="1">'monthly calculations (1)'!AM282</f>
        <v>0</v>
      </c>
      <c r="AN282" s="73">
        <f t="shared" ca="1" si="97"/>
        <v>0</v>
      </c>
      <c r="AO282" s="75">
        <f t="shared" ca="1" si="99"/>
        <v>1258622.5560460223</v>
      </c>
      <c r="AP282" s="72">
        <f ca="1">AL282  /  ( 1 + disc_1/12)^(COUNT($AL$6:AL282)-1)</f>
        <v>158.91104502578759</v>
      </c>
      <c r="AQ282" s="72">
        <f t="shared" ca="1" si="100"/>
        <v>738684.71897774923</v>
      </c>
      <c r="AS282" s="303"/>
      <c r="AT282" s="300"/>
      <c r="AU282" s="297"/>
      <c r="AV282" s="303"/>
    </row>
    <row r="283" spans="2:48" x14ac:dyDescent="0.25">
      <c r="B283" s="43">
        <f t="shared" si="98"/>
        <v>52628</v>
      </c>
      <c r="C283" s="79">
        <f t="shared" si="92"/>
        <v>2044</v>
      </c>
      <c r="D283" s="64">
        <f ca="1">wellcount_base  +  SUM('forecast production'!I$7:I284)</f>
        <v>1</v>
      </c>
      <c r="E283" s="110">
        <f ca="1">'forecast production'!AE284</f>
        <v>71.359549521022743</v>
      </c>
      <c r="F283" s="98">
        <f ca="1">'forecast production'!AF284</f>
        <v>519.08601194156176</v>
      </c>
      <c r="G283" s="98">
        <f ca="1">'forecast production'!AG284</f>
        <v>3.8707043062920658E-2</v>
      </c>
      <c r="H283" s="98">
        <f ca="1">'forecast production'!AH284</f>
        <v>77.862901791234265</v>
      </c>
      <c r="I283" s="307">
        <f ca="1">IF('monthly calculations (1)'!AV282,WI_2_APO, WI_2)</f>
        <v>0</v>
      </c>
      <c r="J283" s="306">
        <f ca="1">IF('monthly calculations (1)'!AV282,NRI_2_APO, NRI_2)</f>
        <v>0.25</v>
      </c>
      <c r="K283" s="112">
        <f t="shared" ca="1" si="81"/>
        <v>17.839887380255686</v>
      </c>
      <c r="L283" s="98">
        <f t="shared" ca="1" si="82"/>
        <v>97.328627239042831</v>
      </c>
      <c r="M283" s="98">
        <f t="shared" ca="1" si="83"/>
        <v>9.6767607657301646E-3</v>
      </c>
      <c r="N283" s="98">
        <f t="shared" ca="1" si="84"/>
        <v>19.465725447808566</v>
      </c>
      <c r="O283" s="67">
        <f>assumptions!M287</f>
        <v>55</v>
      </c>
      <c r="P283" s="68">
        <f>assumptions!N287</f>
        <v>3</v>
      </c>
      <c r="Q283" s="68">
        <f>assumptions!O287</f>
        <v>22</v>
      </c>
      <c r="R283" s="67">
        <f t="shared" si="85"/>
        <v>52.5</v>
      </c>
      <c r="S283" s="68">
        <f t="shared" si="86"/>
        <v>2.3275000000000001</v>
      </c>
      <c r="T283" s="68">
        <f t="shared" si="87"/>
        <v>22</v>
      </c>
      <c r="U283" s="73">
        <f t="shared" ca="1" si="93"/>
        <v>936.59408746342353</v>
      </c>
      <c r="V283" s="72">
        <f t="shared" ca="1" si="93"/>
        <v>226.53237989887219</v>
      </c>
      <c r="W283" s="72">
        <f t="shared" ca="1" si="88"/>
        <v>428.24595985178848</v>
      </c>
      <c r="X283" s="72">
        <f t="shared" ca="1" si="94"/>
        <v>1591.3724272140842</v>
      </c>
      <c r="Y283" s="73">
        <f>mult_opex * fixed_month</f>
        <v>1000</v>
      </c>
      <c r="Z283" s="72">
        <f ca="1">mult_opex * fixed_well *D283</f>
        <v>5000</v>
      </c>
      <c r="AA283" s="72">
        <f ca="1">(Z283+Y283)*WI_current_2</f>
        <v>0</v>
      </c>
      <c r="AB283" s="72">
        <f ca="1">mult_opex * var_bo*E283</f>
        <v>0</v>
      </c>
      <c r="AC283" s="72">
        <f ca="1">mult_opex * var_mcf*F283</f>
        <v>0</v>
      </c>
      <c r="AD283" s="72">
        <f ca="1">mult_opex * var_bw * G283</f>
        <v>7.7414086125841317E-2</v>
      </c>
      <c r="AE283" s="72">
        <f ca="1">SUM(AB283:AD283)*WI_current_2</f>
        <v>0</v>
      </c>
      <c r="AF283" s="73">
        <f ca="1">mult_capex * IFERROR(OFFSET(assumptions!$F$39,MATCH(B283,assumptions!$E$39:$E$45,0)-1,0),0)</f>
        <v>0</v>
      </c>
      <c r="AG283" s="75">
        <f ca="1">mult_capex * capex_new*WI_current_2 *'forecast production'!I284</f>
        <v>0</v>
      </c>
      <c r="AH283" s="146">
        <f t="shared" ca="1" si="95"/>
        <v>0</v>
      </c>
      <c r="AI283" s="73">
        <f t="shared" ca="1" si="89"/>
        <v>92.191703504617038</v>
      </c>
      <c r="AJ283" s="72">
        <f t="shared" ca="1" si="90"/>
        <v>39.784310680352107</v>
      </c>
      <c r="AK283" s="72">
        <f t="shared" ca="1" si="96"/>
        <v>131.97601418496913</v>
      </c>
      <c r="AL283" s="73">
        <f t="shared" ca="1" si="91"/>
        <v>1459.3964130291151</v>
      </c>
      <c r="AM283" s="321">
        <f ca="1">'monthly calculations (1)'!AM283</f>
        <v>0</v>
      </c>
      <c r="AN283" s="73">
        <f t="shared" ca="1" si="97"/>
        <v>0</v>
      </c>
      <c r="AO283" s="75">
        <f t="shared" ca="1" si="99"/>
        <v>1258622.5560460223</v>
      </c>
      <c r="AP283" s="72">
        <f ca="1">AL283  /  ( 1 + disc_1/12)^(COUNT($AL$6:AL283)-1)</f>
        <v>146.49771540325932</v>
      </c>
      <c r="AQ283" s="72">
        <f t="shared" ca="1" si="100"/>
        <v>738684.71897774923</v>
      </c>
      <c r="AS283" s="303"/>
      <c r="AT283" s="300"/>
      <c r="AU283" s="297"/>
      <c r="AV283" s="303"/>
    </row>
    <row r="284" spans="2:48" x14ac:dyDescent="0.25">
      <c r="B284" s="43">
        <f t="shared" si="98"/>
        <v>52657</v>
      </c>
      <c r="C284" s="79">
        <f t="shared" si="92"/>
        <v>2044</v>
      </c>
      <c r="D284" s="64">
        <f ca="1">wellcount_base  +  SUM('forecast production'!I$7:I285)</f>
        <v>1</v>
      </c>
      <c r="E284" s="110">
        <f ca="1">'forecast production'!AE285</f>
        <v>75.77721924570919</v>
      </c>
      <c r="F284" s="98">
        <f ca="1">'forecast production'!AF285</f>
        <v>552.16385569233262</v>
      </c>
      <c r="G284" s="98">
        <f ca="1">'forecast production'!AG285</f>
        <v>4.0054642365551084E-2</v>
      </c>
      <c r="H284" s="98">
        <f ca="1">'forecast production'!AH285</f>
        <v>82.824578353849887</v>
      </c>
      <c r="I284" s="307">
        <f ca="1">IF('monthly calculations (1)'!AV283,WI_2_APO, WI_2)</f>
        <v>0</v>
      </c>
      <c r="J284" s="306">
        <f ca="1">IF('monthly calculations (1)'!AV283,NRI_2_APO, NRI_2)</f>
        <v>0.25</v>
      </c>
      <c r="K284" s="112">
        <f t="shared" ca="1" si="81"/>
        <v>18.944304811427298</v>
      </c>
      <c r="L284" s="98">
        <f t="shared" ca="1" si="82"/>
        <v>103.53072294231237</v>
      </c>
      <c r="M284" s="98">
        <f t="shared" ca="1" si="83"/>
        <v>1.0013660591387771E-2</v>
      </c>
      <c r="N284" s="98">
        <f t="shared" ca="1" si="84"/>
        <v>20.706144588462472</v>
      </c>
      <c r="O284" s="67">
        <f>assumptions!M288</f>
        <v>55</v>
      </c>
      <c r="P284" s="68">
        <f>assumptions!N288</f>
        <v>3</v>
      </c>
      <c r="Q284" s="68">
        <f>assumptions!O288</f>
        <v>22</v>
      </c>
      <c r="R284" s="67">
        <f t="shared" si="85"/>
        <v>52.5</v>
      </c>
      <c r="S284" s="68">
        <f t="shared" si="86"/>
        <v>2.3275000000000001</v>
      </c>
      <c r="T284" s="68">
        <f t="shared" si="87"/>
        <v>22</v>
      </c>
      <c r="U284" s="73">
        <f t="shared" ca="1" si="93"/>
        <v>994.57600259993308</v>
      </c>
      <c r="V284" s="72">
        <f t="shared" ca="1" si="93"/>
        <v>240.96775764823204</v>
      </c>
      <c r="W284" s="72">
        <f t="shared" ca="1" si="88"/>
        <v>455.53518094617436</v>
      </c>
      <c r="X284" s="72">
        <f t="shared" ca="1" si="94"/>
        <v>1691.0789411943397</v>
      </c>
      <c r="Y284" s="73">
        <f>mult_opex * fixed_month</f>
        <v>1000</v>
      </c>
      <c r="Z284" s="72">
        <f ca="1">mult_opex * fixed_well *D284</f>
        <v>5000</v>
      </c>
      <c r="AA284" s="72">
        <f ca="1">(Z284+Y284)*WI_current_2</f>
        <v>0</v>
      </c>
      <c r="AB284" s="72">
        <f ca="1">mult_opex * var_bo*E284</f>
        <v>0</v>
      </c>
      <c r="AC284" s="72">
        <f ca="1">mult_opex * var_mcf*F284</f>
        <v>0</v>
      </c>
      <c r="AD284" s="72">
        <f ca="1">mult_opex * var_bw * G284</f>
        <v>8.0109284731102168E-2</v>
      </c>
      <c r="AE284" s="72">
        <f ca="1">SUM(AB284:AD284)*WI_current_2</f>
        <v>0</v>
      </c>
      <c r="AF284" s="73">
        <f ca="1">mult_capex * IFERROR(OFFSET(assumptions!$F$39,MATCH(B284,assumptions!$E$39:$E$45,0)-1,0),0)</f>
        <v>0</v>
      </c>
      <c r="AG284" s="75">
        <f ca="1">mult_capex * capex_new*WI_current_2 *'forecast production'!I285</f>
        <v>0</v>
      </c>
      <c r="AH284" s="146">
        <f t="shared" ca="1" si="95"/>
        <v>0</v>
      </c>
      <c r="AI284" s="73">
        <f t="shared" ca="1" si="89"/>
        <v>97.988216514177395</v>
      </c>
      <c r="AJ284" s="72">
        <f t="shared" ca="1" si="90"/>
        <v>42.276973529858495</v>
      </c>
      <c r="AK284" s="72">
        <f t="shared" ca="1" si="96"/>
        <v>140.26519004403588</v>
      </c>
      <c r="AL284" s="73">
        <f t="shared" ca="1" si="91"/>
        <v>1550.8137511503037</v>
      </c>
      <c r="AM284" s="321">
        <f ca="1">'monthly calculations (1)'!AM284</f>
        <v>0</v>
      </c>
      <c r="AN284" s="73">
        <f t="shared" ca="1" si="97"/>
        <v>0</v>
      </c>
      <c r="AO284" s="75">
        <f t="shared" ca="1" si="99"/>
        <v>1258622.5560460223</v>
      </c>
      <c r="AP284" s="72">
        <f ca="1">AL284  /  ( 1 + disc_1/12)^(COUNT($AL$6:AL284)-1)</f>
        <v>154.38784191332644</v>
      </c>
      <c r="AQ284" s="72">
        <f t="shared" ca="1" si="100"/>
        <v>738684.71897774923</v>
      </c>
      <c r="AS284" s="303"/>
      <c r="AT284" s="300"/>
      <c r="AU284" s="297"/>
      <c r="AV284" s="303"/>
    </row>
    <row r="285" spans="2:48" x14ac:dyDescent="0.25">
      <c r="B285" s="43">
        <f t="shared" si="98"/>
        <v>52688</v>
      </c>
      <c r="C285" s="79">
        <f t="shared" si="92"/>
        <v>2044</v>
      </c>
      <c r="D285" s="64">
        <f ca="1">wellcount_base  +  SUM('forecast production'!I$7:I286)</f>
        <v>1</v>
      </c>
      <c r="E285" s="110">
        <f ca="1">'forecast production'!AE286</f>
        <v>72.815304613017474</v>
      </c>
      <c r="F285" s="98">
        <f ca="1">'forecast production'!AF286</f>
        <v>531.55137215496723</v>
      </c>
      <c r="G285" s="98">
        <f ca="1">'forecast production'!AG286</f>
        <v>3.7440500515196998E-2</v>
      </c>
      <c r="H285" s="98">
        <f ca="1">'forecast production'!AH286</f>
        <v>79.732705823245084</v>
      </c>
      <c r="I285" s="307">
        <f ca="1">IF('monthly calculations (1)'!AV284,WI_2_APO, WI_2)</f>
        <v>0</v>
      </c>
      <c r="J285" s="306">
        <f ca="1">IF('monthly calculations (1)'!AV284,NRI_2_APO, NRI_2)</f>
        <v>0.25</v>
      </c>
      <c r="K285" s="112">
        <f t="shared" ca="1" si="81"/>
        <v>18.203826153254369</v>
      </c>
      <c r="L285" s="98">
        <f t="shared" ca="1" si="82"/>
        <v>99.665882279056348</v>
      </c>
      <c r="M285" s="98">
        <f t="shared" ca="1" si="83"/>
        <v>9.3601251287992494E-3</v>
      </c>
      <c r="N285" s="98">
        <f t="shared" ca="1" si="84"/>
        <v>19.933176455811271</v>
      </c>
      <c r="O285" s="67">
        <f>assumptions!M289</f>
        <v>55</v>
      </c>
      <c r="P285" s="68">
        <f>assumptions!N289</f>
        <v>3</v>
      </c>
      <c r="Q285" s="68">
        <f>assumptions!O289</f>
        <v>22</v>
      </c>
      <c r="R285" s="67">
        <f t="shared" si="85"/>
        <v>52.5</v>
      </c>
      <c r="S285" s="68">
        <f t="shared" si="86"/>
        <v>2.3275000000000001</v>
      </c>
      <c r="T285" s="68">
        <f t="shared" si="87"/>
        <v>22</v>
      </c>
      <c r="U285" s="73">
        <f t="shared" ca="1" si="93"/>
        <v>955.70087304585434</v>
      </c>
      <c r="V285" s="72">
        <f t="shared" ca="1" si="93"/>
        <v>231.97234100450368</v>
      </c>
      <c r="W285" s="72">
        <f t="shared" ca="1" si="88"/>
        <v>438.52988202784798</v>
      </c>
      <c r="X285" s="72">
        <f t="shared" ca="1" si="94"/>
        <v>1626.2030960782058</v>
      </c>
      <c r="Y285" s="73">
        <f>mult_opex * fixed_month</f>
        <v>1000</v>
      </c>
      <c r="Z285" s="72">
        <f ca="1">mult_opex * fixed_well *D285</f>
        <v>5000</v>
      </c>
      <c r="AA285" s="72">
        <f ca="1">(Z285+Y285)*WI_current_2</f>
        <v>0</v>
      </c>
      <c r="AB285" s="72">
        <f ca="1">mult_opex * var_bo*E285</f>
        <v>0</v>
      </c>
      <c r="AC285" s="72">
        <f ca="1">mult_opex * var_mcf*F285</f>
        <v>0</v>
      </c>
      <c r="AD285" s="72">
        <f ca="1">mult_opex * var_bw * G285</f>
        <v>7.4881001030393995E-2</v>
      </c>
      <c r="AE285" s="72">
        <f ca="1">SUM(AB285:AD285)*WI_current_2</f>
        <v>0</v>
      </c>
      <c r="AF285" s="73">
        <f ca="1">mult_capex * IFERROR(OFFSET(assumptions!$F$39,MATCH(B285,assumptions!$E$39:$E$45,0)-1,0),0)</f>
        <v>0</v>
      </c>
      <c r="AG285" s="75">
        <f ca="1">mult_capex * capex_new*WI_current_2 *'forecast production'!I286</f>
        <v>0</v>
      </c>
      <c r="AH285" s="146">
        <f t="shared" ca="1" si="95"/>
        <v>0</v>
      </c>
      <c r="AI285" s="73">
        <f t="shared" ca="1" si="89"/>
        <v>94.249906887535673</v>
      </c>
      <c r="AJ285" s="72">
        <f t="shared" ca="1" si="90"/>
        <v>40.655077401955147</v>
      </c>
      <c r="AK285" s="72">
        <f t="shared" ca="1" si="96"/>
        <v>134.90498428949081</v>
      </c>
      <c r="AL285" s="73">
        <f t="shared" ca="1" si="91"/>
        <v>1491.298111788715</v>
      </c>
      <c r="AM285" s="321">
        <f ca="1">'monthly calculations (1)'!AM285</f>
        <v>0</v>
      </c>
      <c r="AN285" s="73">
        <f t="shared" ca="1" si="97"/>
        <v>0</v>
      </c>
      <c r="AO285" s="75">
        <f t="shared" ca="1" si="99"/>
        <v>1258622.5560460223</v>
      </c>
      <c r="AP285" s="72">
        <f ca="1">AL285  /  ( 1 + disc_1/12)^(COUNT($AL$6:AL285)-1)</f>
        <v>147.23592766383152</v>
      </c>
      <c r="AQ285" s="72">
        <f t="shared" ca="1" si="100"/>
        <v>738684.71897774923</v>
      </c>
      <c r="AS285" s="303"/>
      <c r="AT285" s="300"/>
      <c r="AU285" s="297"/>
      <c r="AV285" s="303"/>
    </row>
    <row r="286" spans="2:48" x14ac:dyDescent="0.25">
      <c r="B286" s="43">
        <f t="shared" si="98"/>
        <v>52718</v>
      </c>
      <c r="C286" s="79">
        <f t="shared" si="92"/>
        <v>2044</v>
      </c>
      <c r="D286" s="64">
        <f ca="1">wellcount_base  +  SUM('forecast production'!I$7:I287)</f>
        <v>1</v>
      </c>
      <c r="E286" s="110">
        <f ca="1">'forecast production'!AE287</f>
        <v>74.72858636560521</v>
      </c>
      <c r="F286" s="98">
        <f ca="1">'forecast production'!AF287</f>
        <v>546.483448809116</v>
      </c>
      <c r="G286" s="98">
        <f ca="1">'forecast production'!AG287</f>
        <v>3.7411054939035335E-2</v>
      </c>
      <c r="H286" s="98">
        <f ca="1">'forecast production'!AH287</f>
        <v>81.972517321367405</v>
      </c>
      <c r="I286" s="307">
        <f ca="1">IF('monthly calculations (1)'!AV285,WI_2_APO, WI_2)</f>
        <v>0</v>
      </c>
      <c r="J286" s="306">
        <f ca="1">IF('monthly calculations (1)'!AV285,NRI_2_APO, NRI_2)</f>
        <v>0.25</v>
      </c>
      <c r="K286" s="112">
        <f t="shared" ca="1" si="81"/>
        <v>18.682146591401303</v>
      </c>
      <c r="L286" s="98">
        <f t="shared" ca="1" si="82"/>
        <v>102.46564665170925</v>
      </c>
      <c r="M286" s="98">
        <f t="shared" ca="1" si="83"/>
        <v>9.3527637347588337E-3</v>
      </c>
      <c r="N286" s="98">
        <f t="shared" ca="1" si="84"/>
        <v>20.493129330341851</v>
      </c>
      <c r="O286" s="67">
        <f>assumptions!M290</f>
        <v>55</v>
      </c>
      <c r="P286" s="68">
        <f>assumptions!N290</f>
        <v>3</v>
      </c>
      <c r="Q286" s="68">
        <f>assumptions!O290</f>
        <v>22</v>
      </c>
      <c r="R286" s="67">
        <f t="shared" si="85"/>
        <v>52.5</v>
      </c>
      <c r="S286" s="68">
        <f t="shared" si="86"/>
        <v>2.3275000000000001</v>
      </c>
      <c r="T286" s="68">
        <f t="shared" si="87"/>
        <v>22</v>
      </c>
      <c r="U286" s="73">
        <f t="shared" ca="1" si="93"/>
        <v>980.81269604856834</v>
      </c>
      <c r="V286" s="72">
        <f t="shared" ca="1" si="93"/>
        <v>238.48879258185329</v>
      </c>
      <c r="W286" s="72">
        <f t="shared" ca="1" si="88"/>
        <v>450.84884526752074</v>
      </c>
      <c r="X286" s="72">
        <f t="shared" ca="1" si="94"/>
        <v>1670.1503338979423</v>
      </c>
      <c r="Y286" s="73">
        <f>mult_opex * fixed_month</f>
        <v>1000</v>
      </c>
      <c r="Z286" s="72">
        <f ca="1">mult_opex * fixed_well *D286</f>
        <v>5000</v>
      </c>
      <c r="AA286" s="72">
        <f ca="1">(Z286+Y286)*WI_current_2</f>
        <v>0</v>
      </c>
      <c r="AB286" s="72">
        <f ca="1">mult_opex * var_bo*E286</f>
        <v>0</v>
      </c>
      <c r="AC286" s="72">
        <f ca="1">mult_opex * var_mcf*F286</f>
        <v>0</v>
      </c>
      <c r="AD286" s="72">
        <f ca="1">mult_opex * var_bw * G286</f>
        <v>7.4822109878070669E-2</v>
      </c>
      <c r="AE286" s="72">
        <f ca="1">SUM(AB286:AD286)*WI_current_2</f>
        <v>0</v>
      </c>
      <c r="AF286" s="73">
        <f ca="1">mult_capex * IFERROR(OFFSET(assumptions!$F$39,MATCH(B286,assumptions!$E$39:$E$45,0)-1,0),0)</f>
        <v>0</v>
      </c>
      <c r="AG286" s="75">
        <f ca="1">mult_capex * capex_new*WI_current_2 *'forecast production'!I287</f>
        <v>0</v>
      </c>
      <c r="AH286" s="146">
        <f t="shared" ca="1" si="95"/>
        <v>0</v>
      </c>
      <c r="AI286" s="73">
        <f t="shared" ca="1" si="89"/>
        <v>96.817706856937193</v>
      </c>
      <c r="AJ286" s="72">
        <f t="shared" ca="1" si="90"/>
        <v>41.75375834744856</v>
      </c>
      <c r="AK286" s="72">
        <f t="shared" ca="1" si="96"/>
        <v>138.57146520438576</v>
      </c>
      <c r="AL286" s="73">
        <f t="shared" ca="1" si="91"/>
        <v>1531.5788686935566</v>
      </c>
      <c r="AM286" s="321">
        <f ca="1">'monthly calculations (1)'!AM286</f>
        <v>0</v>
      </c>
      <c r="AN286" s="73">
        <f t="shared" ca="1" si="97"/>
        <v>0</v>
      </c>
      <c r="AO286" s="75">
        <f t="shared" ca="1" si="99"/>
        <v>1258622.5560460223</v>
      </c>
      <c r="AP286" s="72">
        <f ca="1">AL286  /  ( 1 + disc_1/12)^(COUNT($AL$6:AL286)-1)</f>
        <v>149.96315558784724</v>
      </c>
      <c r="AQ286" s="72">
        <f t="shared" ca="1" si="100"/>
        <v>738684.71897774923</v>
      </c>
      <c r="AS286" s="303"/>
      <c r="AT286" s="300"/>
      <c r="AU286" s="297"/>
      <c r="AV286" s="303"/>
    </row>
    <row r="287" spans="2:48" x14ac:dyDescent="0.25">
      <c r="B287" s="43">
        <f t="shared" si="98"/>
        <v>52749</v>
      </c>
      <c r="C287" s="79">
        <f t="shared" si="92"/>
        <v>2044</v>
      </c>
      <c r="D287" s="64">
        <f ca="1">wellcount_base  +  SUM('forecast production'!I$7:I288)</f>
        <v>1</v>
      </c>
      <c r="E287" s="110">
        <f ca="1">'forecast production'!AE288</f>
        <v>71.807659791103234</v>
      </c>
      <c r="F287" s="98">
        <f ca="1">'forecast production'!AF288</f>
        <v>526.08301698820901</v>
      </c>
      <c r="G287" s="98">
        <f ca="1">'forecast production'!AG288</f>
        <v>3.4969859387561843E-2</v>
      </c>
      <c r="H287" s="98">
        <f ca="1">'forecast production'!AH288</f>
        <v>78.912452548231357</v>
      </c>
      <c r="I287" s="307">
        <f ca="1">IF('monthly calculations (1)'!AV286,WI_2_APO, WI_2)</f>
        <v>0</v>
      </c>
      <c r="J287" s="306">
        <f ca="1">IF('monthly calculations (1)'!AV286,NRI_2_APO, NRI_2)</f>
        <v>0.25</v>
      </c>
      <c r="K287" s="112">
        <f t="shared" ca="1" si="81"/>
        <v>17.951914947775808</v>
      </c>
      <c r="L287" s="98">
        <f t="shared" ca="1" si="82"/>
        <v>98.640565685289189</v>
      </c>
      <c r="M287" s="98">
        <f t="shared" ca="1" si="83"/>
        <v>8.7424648468904607E-3</v>
      </c>
      <c r="N287" s="98">
        <f t="shared" ca="1" si="84"/>
        <v>19.728113137057839</v>
      </c>
      <c r="O287" s="67">
        <f>assumptions!M291</f>
        <v>55</v>
      </c>
      <c r="P287" s="68">
        <f>assumptions!N291</f>
        <v>3</v>
      </c>
      <c r="Q287" s="68">
        <f>assumptions!O291</f>
        <v>22</v>
      </c>
      <c r="R287" s="67">
        <f t="shared" si="85"/>
        <v>52.5</v>
      </c>
      <c r="S287" s="68">
        <f t="shared" si="86"/>
        <v>2.3275000000000001</v>
      </c>
      <c r="T287" s="68">
        <f t="shared" si="87"/>
        <v>22</v>
      </c>
      <c r="U287" s="73">
        <f t="shared" ca="1" si="93"/>
        <v>942.47553475822997</v>
      </c>
      <c r="V287" s="72">
        <f t="shared" ca="1" si="93"/>
        <v>229.58591663251059</v>
      </c>
      <c r="W287" s="72">
        <f t="shared" ca="1" si="88"/>
        <v>434.01848901527245</v>
      </c>
      <c r="X287" s="72">
        <f t="shared" ca="1" si="94"/>
        <v>1606.0799404060131</v>
      </c>
      <c r="Y287" s="73">
        <f>mult_opex * fixed_month</f>
        <v>1000</v>
      </c>
      <c r="Z287" s="72">
        <f ca="1">mult_opex * fixed_well *D287</f>
        <v>5000</v>
      </c>
      <c r="AA287" s="72">
        <f ca="1">(Z287+Y287)*WI_current_2</f>
        <v>0</v>
      </c>
      <c r="AB287" s="72">
        <f ca="1">mult_opex * var_bo*E287</f>
        <v>0</v>
      </c>
      <c r="AC287" s="72">
        <f ca="1">mult_opex * var_mcf*F287</f>
        <v>0</v>
      </c>
      <c r="AD287" s="72">
        <f ca="1">mult_opex * var_bw * G287</f>
        <v>6.9939718775123685E-2</v>
      </c>
      <c r="AE287" s="72">
        <f ca="1">SUM(AB287:AD287)*WI_current_2</f>
        <v>0</v>
      </c>
      <c r="AF287" s="73">
        <f ca="1">mult_capex * IFERROR(OFFSET(assumptions!$F$39,MATCH(B287,assumptions!$E$39:$E$45,0)-1,0),0)</f>
        <v>0</v>
      </c>
      <c r="AG287" s="75">
        <f ca="1">mult_capex * capex_new*WI_current_2 *'forecast production'!I288</f>
        <v>0</v>
      </c>
      <c r="AH287" s="146">
        <f t="shared" ca="1" si="95"/>
        <v>0</v>
      </c>
      <c r="AI287" s="73">
        <f t="shared" ca="1" si="89"/>
        <v>93.124205022462291</v>
      </c>
      <c r="AJ287" s="72">
        <f t="shared" ca="1" si="90"/>
        <v>40.151998510150328</v>
      </c>
      <c r="AK287" s="72">
        <f t="shared" ca="1" si="96"/>
        <v>133.27620353261261</v>
      </c>
      <c r="AL287" s="73">
        <f t="shared" ca="1" si="91"/>
        <v>1472.8037368734003</v>
      </c>
      <c r="AM287" s="321">
        <f ca="1">'monthly calculations (1)'!AM287</f>
        <v>0</v>
      </c>
      <c r="AN287" s="73">
        <f t="shared" ca="1" si="97"/>
        <v>0</v>
      </c>
      <c r="AO287" s="75">
        <f t="shared" ca="1" si="99"/>
        <v>1258622.5560460223</v>
      </c>
      <c r="AP287" s="72">
        <f ca="1">AL287  /  ( 1 + disc_1/12)^(COUNT($AL$6:AL287)-1)</f>
        <v>143.01643822049164</v>
      </c>
      <c r="AQ287" s="72">
        <f t="shared" ca="1" si="100"/>
        <v>738684.71897774923</v>
      </c>
      <c r="AS287" s="303"/>
      <c r="AT287" s="300"/>
      <c r="AU287" s="297"/>
      <c r="AV287" s="303"/>
    </row>
    <row r="288" spans="2:48" x14ac:dyDescent="0.25">
      <c r="B288" s="43">
        <f t="shared" si="98"/>
        <v>52779</v>
      </c>
      <c r="C288" s="79">
        <f t="shared" si="92"/>
        <v>2044</v>
      </c>
      <c r="D288" s="64">
        <f ca="1">wellcount_base  +  SUM('forecast production'!I$7:I289)</f>
        <v>1</v>
      </c>
      <c r="E288" s="110">
        <f ca="1">'forecast production'!AE289</f>
        <v>73.694464850898086</v>
      </c>
      <c r="F288" s="98">
        <f ca="1">'forecast production'!AF289</f>
        <v>540.86147932998927</v>
      </c>
      <c r="G288" s="98">
        <f ca="1">'forecast production'!AG289</f>
        <v>3.494275724682664E-2</v>
      </c>
      <c r="H288" s="98">
        <f ca="1">'forecast production'!AH289</f>
        <v>81.12922189949839</v>
      </c>
      <c r="I288" s="307">
        <f ca="1">IF('monthly calculations (1)'!AV287,WI_2_APO, WI_2)</f>
        <v>0</v>
      </c>
      <c r="J288" s="306">
        <f ca="1">IF('monthly calculations (1)'!AV287,NRI_2_APO, NRI_2)</f>
        <v>0.25</v>
      </c>
      <c r="K288" s="112">
        <f t="shared" ca="1" si="81"/>
        <v>18.423616212724522</v>
      </c>
      <c r="L288" s="98">
        <f t="shared" ca="1" si="82"/>
        <v>101.41152737437298</v>
      </c>
      <c r="M288" s="98">
        <f t="shared" ca="1" si="83"/>
        <v>8.7356893117066601E-3</v>
      </c>
      <c r="N288" s="98">
        <f t="shared" ca="1" si="84"/>
        <v>20.282305474874597</v>
      </c>
      <c r="O288" s="67">
        <f>assumptions!M292</f>
        <v>55</v>
      </c>
      <c r="P288" s="68">
        <f>assumptions!N292</f>
        <v>3</v>
      </c>
      <c r="Q288" s="68">
        <f>assumptions!O292</f>
        <v>22</v>
      </c>
      <c r="R288" s="67">
        <f t="shared" si="85"/>
        <v>52.5</v>
      </c>
      <c r="S288" s="68">
        <f t="shared" si="86"/>
        <v>2.3275000000000001</v>
      </c>
      <c r="T288" s="68">
        <f t="shared" si="87"/>
        <v>22</v>
      </c>
      <c r="U288" s="73">
        <f t="shared" ca="1" si="93"/>
        <v>967.23985116803738</v>
      </c>
      <c r="V288" s="72">
        <f t="shared" ca="1" si="93"/>
        <v>236.03532996385312</v>
      </c>
      <c r="W288" s="72">
        <f t="shared" ca="1" si="88"/>
        <v>446.21072044724116</v>
      </c>
      <c r="X288" s="72">
        <f t="shared" ca="1" si="94"/>
        <v>1649.4859015791317</v>
      </c>
      <c r="Y288" s="73">
        <f>mult_opex * fixed_month</f>
        <v>1000</v>
      </c>
      <c r="Z288" s="72">
        <f ca="1">mult_opex * fixed_well *D288</f>
        <v>5000</v>
      </c>
      <c r="AA288" s="72">
        <f ca="1">(Z288+Y288)*WI_current_2</f>
        <v>0</v>
      </c>
      <c r="AB288" s="72">
        <f ca="1">mult_opex * var_bo*E288</f>
        <v>0</v>
      </c>
      <c r="AC288" s="72">
        <f ca="1">mult_opex * var_mcf*F288</f>
        <v>0</v>
      </c>
      <c r="AD288" s="72">
        <f ca="1">mult_opex * var_bw * G288</f>
        <v>6.9885514493653281E-2</v>
      </c>
      <c r="AE288" s="72">
        <f ca="1">SUM(AB288:AD288)*WI_current_2</f>
        <v>0</v>
      </c>
      <c r="AF288" s="73">
        <f ca="1">mult_capex * IFERROR(OFFSET(assumptions!$F$39,MATCH(B288,assumptions!$E$39:$E$45,0)-1,0),0)</f>
        <v>0</v>
      </c>
      <c r="AG288" s="75">
        <f ca="1">mult_capex * capex_new*WI_current_2 *'forecast production'!I289</f>
        <v>0</v>
      </c>
      <c r="AH288" s="146">
        <f t="shared" ca="1" si="95"/>
        <v>0</v>
      </c>
      <c r="AI288" s="73">
        <f t="shared" ca="1" si="89"/>
        <v>95.661486934561793</v>
      </c>
      <c r="AJ288" s="72">
        <f t="shared" ca="1" si="90"/>
        <v>41.237147539478293</v>
      </c>
      <c r="AK288" s="72">
        <f t="shared" ca="1" si="96"/>
        <v>136.89863447404008</v>
      </c>
      <c r="AL288" s="73">
        <f t="shared" ca="1" si="91"/>
        <v>1512.5872671050915</v>
      </c>
      <c r="AM288" s="321">
        <f ca="1">'monthly calculations (1)'!AM288</f>
        <v>0</v>
      </c>
      <c r="AN288" s="73">
        <f t="shared" ca="1" si="97"/>
        <v>0</v>
      </c>
      <c r="AO288" s="75">
        <f t="shared" ca="1" si="99"/>
        <v>1258622.5560460223</v>
      </c>
      <c r="AP288" s="72">
        <f ca="1">AL288  /  ( 1 + disc_1/12)^(COUNT($AL$6:AL288)-1)</f>
        <v>145.66573226587062</v>
      </c>
      <c r="AQ288" s="72">
        <f t="shared" ca="1" si="100"/>
        <v>738684.71897774923</v>
      </c>
      <c r="AS288" s="303"/>
      <c r="AT288" s="300"/>
      <c r="AU288" s="297"/>
      <c r="AV288" s="303"/>
    </row>
    <row r="289" spans="2:48" x14ac:dyDescent="0.25">
      <c r="B289" s="43">
        <f t="shared" si="98"/>
        <v>52810</v>
      </c>
      <c r="C289" s="79">
        <f t="shared" si="92"/>
        <v>2044</v>
      </c>
      <c r="D289" s="64">
        <f ca="1">wellcount_base  +  SUM('forecast production'!I$7:I290)</f>
        <v>1</v>
      </c>
      <c r="E289" s="110">
        <f ca="1">'forecast production'!AE290</f>
        <v>73.174424431070847</v>
      </c>
      <c r="F289" s="98">
        <f ca="1">'forecast production'!AF290</f>
        <v>538.02661499320448</v>
      </c>
      <c r="G289" s="98">
        <f ca="1">'forecast production'!AG290</f>
        <v>3.3751780001194637E-2</v>
      </c>
      <c r="H289" s="98">
        <f ca="1">'forecast production'!AH290</f>
        <v>80.703992248980683</v>
      </c>
      <c r="I289" s="307">
        <f ca="1">IF('monthly calculations (1)'!AV288,WI_2_APO, WI_2)</f>
        <v>0</v>
      </c>
      <c r="J289" s="306">
        <f ca="1">IF('monthly calculations (1)'!AV288,NRI_2_APO, NRI_2)</f>
        <v>0.25</v>
      </c>
      <c r="K289" s="112">
        <f t="shared" ca="1" si="81"/>
        <v>18.293606107767712</v>
      </c>
      <c r="L289" s="98">
        <f t="shared" ca="1" si="82"/>
        <v>100.87999031122584</v>
      </c>
      <c r="M289" s="98">
        <f t="shared" ca="1" si="83"/>
        <v>8.4379450002986592E-3</v>
      </c>
      <c r="N289" s="98">
        <f t="shared" ca="1" si="84"/>
        <v>20.175998062245171</v>
      </c>
      <c r="O289" s="67">
        <f>assumptions!M293</f>
        <v>55</v>
      </c>
      <c r="P289" s="68">
        <f>assumptions!N293</f>
        <v>3</v>
      </c>
      <c r="Q289" s="68">
        <f>assumptions!O293</f>
        <v>22</v>
      </c>
      <c r="R289" s="67">
        <f t="shared" si="85"/>
        <v>52.5</v>
      </c>
      <c r="S289" s="68">
        <f t="shared" si="86"/>
        <v>2.3275000000000001</v>
      </c>
      <c r="T289" s="68">
        <f t="shared" si="87"/>
        <v>22</v>
      </c>
      <c r="U289" s="73">
        <f t="shared" ca="1" si="93"/>
        <v>960.41432065780486</v>
      </c>
      <c r="V289" s="72">
        <f t="shared" ca="1" si="93"/>
        <v>234.79817744937816</v>
      </c>
      <c r="W289" s="72">
        <f t="shared" ca="1" si="88"/>
        <v>443.87195736939373</v>
      </c>
      <c r="X289" s="72">
        <f t="shared" ca="1" si="94"/>
        <v>1639.0844554765767</v>
      </c>
      <c r="Y289" s="73">
        <f>mult_opex * fixed_month</f>
        <v>1000</v>
      </c>
      <c r="Z289" s="72">
        <f ca="1">mult_opex * fixed_well *D289</f>
        <v>5000</v>
      </c>
      <c r="AA289" s="72">
        <f ca="1">(Z289+Y289)*WI_current_2</f>
        <v>0</v>
      </c>
      <c r="AB289" s="72">
        <f ca="1">mult_opex * var_bo*E289</f>
        <v>0</v>
      </c>
      <c r="AC289" s="72">
        <f ca="1">mult_opex * var_mcf*F289</f>
        <v>0</v>
      </c>
      <c r="AD289" s="72">
        <f ca="1">mult_opex * var_bw * G289</f>
        <v>6.7503560002389273E-2</v>
      </c>
      <c r="AE289" s="72">
        <f ca="1">SUM(AB289:AD289)*WI_current_2</f>
        <v>0</v>
      </c>
      <c r="AF289" s="73">
        <f ca="1">mult_capex * IFERROR(OFFSET(assumptions!$F$39,MATCH(B289,assumptions!$E$39:$E$45,0)-1,0),0)</f>
        <v>0</v>
      </c>
      <c r="AG289" s="75">
        <f ca="1">mult_capex * capex_new*WI_current_2 *'forecast production'!I290</f>
        <v>0</v>
      </c>
      <c r="AH289" s="146">
        <f t="shared" ca="1" si="95"/>
        <v>0</v>
      </c>
      <c r="AI289" s="73">
        <f t="shared" ca="1" si="89"/>
        <v>95.079318861666906</v>
      </c>
      <c r="AJ289" s="72">
        <f t="shared" ca="1" si="90"/>
        <v>40.977111386914423</v>
      </c>
      <c r="AK289" s="72">
        <f t="shared" ca="1" si="96"/>
        <v>136.05643024858134</v>
      </c>
      <c r="AL289" s="73">
        <f t="shared" ca="1" si="91"/>
        <v>1503.0280252279954</v>
      </c>
      <c r="AM289" s="321">
        <f ca="1">'monthly calculations (1)'!AM289</f>
        <v>0</v>
      </c>
      <c r="AN289" s="73">
        <f t="shared" ca="1" si="97"/>
        <v>0</v>
      </c>
      <c r="AO289" s="75">
        <f t="shared" ca="1" si="99"/>
        <v>1258622.5560460223</v>
      </c>
      <c r="AP289" s="72">
        <f ca="1">AL289  /  ( 1 + disc_1/12)^(COUNT($AL$6:AL289)-1)</f>
        <v>143.54891371048757</v>
      </c>
      <c r="AQ289" s="72">
        <f t="shared" ca="1" si="100"/>
        <v>738684.71897774923</v>
      </c>
      <c r="AS289" s="303"/>
      <c r="AT289" s="300"/>
      <c r="AU289" s="297"/>
      <c r="AV289" s="303"/>
    </row>
    <row r="290" spans="2:48" x14ac:dyDescent="0.25">
      <c r="B290" s="43">
        <f t="shared" si="98"/>
        <v>52841</v>
      </c>
      <c r="C290" s="79">
        <f t="shared" si="92"/>
        <v>2044</v>
      </c>
      <c r="D290" s="64">
        <f ca="1">wellcount_base  +  SUM('forecast production'!I$7:I291)</f>
        <v>1</v>
      </c>
      <c r="E290" s="110">
        <f ca="1">'forecast production'!AE291</f>
        <v>70.314245598717406</v>
      </c>
      <c r="F290" s="98">
        <f ca="1">'forecast production'!AF291</f>
        <v>517.94187994602089</v>
      </c>
      <c r="G290" s="98">
        <f ca="1">'forecast production'!AG291</f>
        <v>3.1549927373251664E-2</v>
      </c>
      <c r="H290" s="98">
        <f ca="1">'forecast production'!AH291</f>
        <v>77.691281991903153</v>
      </c>
      <c r="I290" s="307">
        <f ca="1">IF('monthly calculations (1)'!AV289,WI_2_APO, WI_2)</f>
        <v>0</v>
      </c>
      <c r="J290" s="306">
        <f ca="1">IF('monthly calculations (1)'!AV289,NRI_2_APO, NRI_2)</f>
        <v>0.25</v>
      </c>
      <c r="K290" s="112">
        <f t="shared" ca="1" si="81"/>
        <v>17.578561399679351</v>
      </c>
      <c r="L290" s="98">
        <f t="shared" ca="1" si="82"/>
        <v>97.114102489878917</v>
      </c>
      <c r="M290" s="98">
        <f t="shared" ca="1" si="83"/>
        <v>7.887481843312916E-3</v>
      </c>
      <c r="N290" s="98">
        <f t="shared" ca="1" si="84"/>
        <v>19.422820497975788</v>
      </c>
      <c r="O290" s="67">
        <f>assumptions!M294</f>
        <v>55</v>
      </c>
      <c r="P290" s="68">
        <f>assumptions!N294</f>
        <v>3</v>
      </c>
      <c r="Q290" s="68">
        <f>assumptions!O294</f>
        <v>22</v>
      </c>
      <c r="R290" s="67">
        <f t="shared" si="85"/>
        <v>52.5</v>
      </c>
      <c r="S290" s="68">
        <f t="shared" si="86"/>
        <v>2.3275000000000001</v>
      </c>
      <c r="T290" s="68">
        <f t="shared" si="87"/>
        <v>22</v>
      </c>
      <c r="U290" s="73">
        <f t="shared" ca="1" si="93"/>
        <v>922.87447348316596</v>
      </c>
      <c r="V290" s="72">
        <f t="shared" ca="1" si="93"/>
        <v>226.03307354519319</v>
      </c>
      <c r="W290" s="72">
        <f t="shared" ca="1" si="88"/>
        <v>427.30205095546734</v>
      </c>
      <c r="X290" s="72">
        <f t="shared" ca="1" si="94"/>
        <v>1576.2095979838266</v>
      </c>
      <c r="Y290" s="73">
        <f>mult_opex * fixed_month</f>
        <v>1000</v>
      </c>
      <c r="Z290" s="72">
        <f ca="1">mult_opex * fixed_well *D290</f>
        <v>5000</v>
      </c>
      <c r="AA290" s="72">
        <f ca="1">(Z290+Y290)*WI_current_2</f>
        <v>0</v>
      </c>
      <c r="AB290" s="72">
        <f ca="1">mult_opex * var_bo*E290</f>
        <v>0</v>
      </c>
      <c r="AC290" s="72">
        <f ca="1">mult_opex * var_mcf*F290</f>
        <v>0</v>
      </c>
      <c r="AD290" s="72">
        <f ca="1">mult_opex * var_bw * G290</f>
        <v>6.3099854746503328E-2</v>
      </c>
      <c r="AE290" s="72">
        <f ca="1">SUM(AB290:AD290)*WI_current_2</f>
        <v>0</v>
      </c>
      <c r="AF290" s="73">
        <f ca="1">mult_capex * IFERROR(OFFSET(assumptions!$F$39,MATCH(B290,assumptions!$E$39:$E$45,0)-1,0),0)</f>
        <v>0</v>
      </c>
      <c r="AG290" s="75">
        <f ca="1">mult_capex * capex_new*WI_current_2 *'forecast production'!I291</f>
        <v>0</v>
      </c>
      <c r="AH290" s="146">
        <f t="shared" ca="1" si="95"/>
        <v>0</v>
      </c>
      <c r="AI290" s="73">
        <f t="shared" ca="1" si="89"/>
        <v>91.452360117775171</v>
      </c>
      <c r="AJ290" s="72">
        <f t="shared" ca="1" si="90"/>
        <v>39.405239949595668</v>
      </c>
      <c r="AK290" s="72">
        <f t="shared" ca="1" si="96"/>
        <v>130.85760006737084</v>
      </c>
      <c r="AL290" s="73">
        <f t="shared" ca="1" si="91"/>
        <v>1445.3519979164557</v>
      </c>
      <c r="AM290" s="321">
        <f ca="1">'monthly calculations (1)'!AM290</f>
        <v>0</v>
      </c>
      <c r="AN290" s="73">
        <f t="shared" ca="1" si="97"/>
        <v>0</v>
      </c>
      <c r="AO290" s="75">
        <f t="shared" ca="1" si="99"/>
        <v>1258622.5560460223</v>
      </c>
      <c r="AP290" s="72">
        <f ca="1">AL290  /  ( 1 + disc_1/12)^(COUNT($AL$6:AL290)-1)</f>
        <v>136.89964904193656</v>
      </c>
      <c r="AQ290" s="72">
        <f t="shared" ca="1" si="100"/>
        <v>738684.71897774923</v>
      </c>
      <c r="AS290" s="303"/>
      <c r="AT290" s="300"/>
      <c r="AU290" s="297"/>
      <c r="AV290" s="303"/>
    </row>
    <row r="291" spans="2:48" x14ac:dyDescent="0.25">
      <c r="B291" s="43">
        <f t="shared" si="98"/>
        <v>52871</v>
      </c>
      <c r="C291" s="79">
        <f t="shared" si="92"/>
        <v>2044</v>
      </c>
      <c r="D291" s="64">
        <f ca="1">wellcount_base  +  SUM('forecast production'!I$7:I292)</f>
        <v>1</v>
      </c>
      <c r="E291" s="110">
        <f ca="1">'forecast production'!AE292</f>
        <v>72.161809977744227</v>
      </c>
      <c r="F291" s="98">
        <f ca="1">'forecast production'!AF292</f>
        <v>532.49164551692627</v>
      </c>
      <c r="G291" s="98">
        <f ca="1">'forecast production'!AG292</f>
        <v>3.1526020050060895E-2</v>
      </c>
      <c r="H291" s="98">
        <f ca="1">'forecast production'!AH292</f>
        <v>79.873746827538952</v>
      </c>
      <c r="I291" s="307">
        <f ca="1">IF('monthly calculations (1)'!AV290,WI_2_APO, WI_2)</f>
        <v>0</v>
      </c>
      <c r="J291" s="306">
        <f ca="1">IF('monthly calculations (1)'!AV290,NRI_2_APO, NRI_2)</f>
        <v>0.25</v>
      </c>
      <c r="K291" s="112">
        <f t="shared" ca="1" si="81"/>
        <v>18.040452494436057</v>
      </c>
      <c r="L291" s="98">
        <f t="shared" ca="1" si="82"/>
        <v>99.842183534423668</v>
      </c>
      <c r="M291" s="98">
        <f t="shared" ca="1" si="83"/>
        <v>7.8815050125152237E-3</v>
      </c>
      <c r="N291" s="98">
        <f t="shared" ca="1" si="84"/>
        <v>19.968436706884738</v>
      </c>
      <c r="O291" s="67">
        <f>assumptions!M295</f>
        <v>55</v>
      </c>
      <c r="P291" s="68">
        <f>assumptions!N295</f>
        <v>3</v>
      </c>
      <c r="Q291" s="68">
        <f>assumptions!O295</f>
        <v>22</v>
      </c>
      <c r="R291" s="67">
        <f t="shared" si="85"/>
        <v>52.5</v>
      </c>
      <c r="S291" s="68">
        <f t="shared" si="86"/>
        <v>2.3275000000000001</v>
      </c>
      <c r="T291" s="68">
        <f t="shared" si="87"/>
        <v>22</v>
      </c>
      <c r="U291" s="73">
        <f t="shared" ca="1" si="93"/>
        <v>947.12375595789297</v>
      </c>
      <c r="V291" s="72">
        <f t="shared" ca="1" si="93"/>
        <v>232.38268217637111</v>
      </c>
      <c r="W291" s="72">
        <f t="shared" ca="1" si="88"/>
        <v>439.30560755146422</v>
      </c>
      <c r="X291" s="72">
        <f t="shared" ca="1" si="94"/>
        <v>1618.8120456857282</v>
      </c>
      <c r="Y291" s="73">
        <f>mult_opex * fixed_month</f>
        <v>1000</v>
      </c>
      <c r="Z291" s="72">
        <f ca="1">mult_opex * fixed_well *D291</f>
        <v>5000</v>
      </c>
      <c r="AA291" s="72">
        <f ca="1">(Z291+Y291)*WI_current_2</f>
        <v>0</v>
      </c>
      <c r="AB291" s="72">
        <f ca="1">mult_opex * var_bo*E291</f>
        <v>0</v>
      </c>
      <c r="AC291" s="72">
        <f ca="1">mult_opex * var_mcf*F291</f>
        <v>0</v>
      </c>
      <c r="AD291" s="72">
        <f ca="1">mult_opex * var_bw * G291</f>
        <v>6.305204010012179E-2</v>
      </c>
      <c r="AE291" s="72">
        <f ca="1">SUM(AB291:AD291)*WI_current_2</f>
        <v>0</v>
      </c>
      <c r="AF291" s="73">
        <f ca="1">mult_capex * IFERROR(OFFSET(assumptions!$F$39,MATCH(B291,assumptions!$E$39:$E$45,0)-1,0),0)</f>
        <v>0</v>
      </c>
      <c r="AG291" s="75">
        <f ca="1">mult_capex * capex_new*WI_current_2 *'forecast production'!I292</f>
        <v>0</v>
      </c>
      <c r="AH291" s="146">
        <f t="shared" ca="1" si="95"/>
        <v>0</v>
      </c>
      <c r="AI291" s="73">
        <f t="shared" ca="1" si="89"/>
        <v>93.944314503650716</v>
      </c>
      <c r="AJ291" s="72">
        <f t="shared" ca="1" si="90"/>
        <v>40.470301142143207</v>
      </c>
      <c r="AK291" s="72">
        <f t="shared" ca="1" si="96"/>
        <v>134.41461564579393</v>
      </c>
      <c r="AL291" s="73">
        <f t="shared" ca="1" si="91"/>
        <v>1484.3974300399343</v>
      </c>
      <c r="AM291" s="321">
        <f ca="1">'monthly calculations (1)'!AM291</f>
        <v>0</v>
      </c>
      <c r="AN291" s="73">
        <f t="shared" ca="1" si="97"/>
        <v>0</v>
      </c>
      <c r="AO291" s="75">
        <f t="shared" ca="1" si="99"/>
        <v>1258622.5560460223</v>
      </c>
      <c r="AP291" s="72">
        <f ca="1">AL291  /  ( 1 + disc_1/12)^(COUNT($AL$6:AL291)-1)</f>
        <v>139.4359555279336</v>
      </c>
      <c r="AQ291" s="72">
        <f t="shared" ca="1" si="100"/>
        <v>738684.71897774923</v>
      </c>
      <c r="AS291" s="303"/>
      <c r="AT291" s="300"/>
      <c r="AU291" s="297"/>
      <c r="AV291" s="303"/>
    </row>
    <row r="292" spans="2:48" x14ac:dyDescent="0.25">
      <c r="B292" s="43">
        <f t="shared" si="98"/>
        <v>52902</v>
      </c>
      <c r="C292" s="79">
        <f t="shared" si="92"/>
        <v>2044</v>
      </c>
      <c r="D292" s="64">
        <f ca="1">wellcount_base  +  SUM('forecast production'!I$7:I293)</f>
        <v>1</v>
      </c>
      <c r="E292" s="110">
        <f ca="1">'forecast production'!AE293</f>
        <v>69.34121134635933</v>
      </c>
      <c r="F292" s="98">
        <f ca="1">'forecast production'!AF293</f>
        <v>512.61353295332879</v>
      </c>
      <c r="G292" s="98">
        <f ca="1">'forecast production'!AG293</f>
        <v>2.9469716952107615E-2</v>
      </c>
      <c r="H292" s="98">
        <f ca="1">'forecast production'!AH293</f>
        <v>76.892029942999315</v>
      </c>
      <c r="I292" s="307">
        <f ca="1">IF('monthly calculations (1)'!AV291,WI_2_APO, WI_2)</f>
        <v>0</v>
      </c>
      <c r="J292" s="306">
        <f ca="1">IF('monthly calculations (1)'!AV291,NRI_2_APO, NRI_2)</f>
        <v>0.25</v>
      </c>
      <c r="K292" s="112">
        <f t="shared" ca="1" si="81"/>
        <v>17.335302836589833</v>
      </c>
      <c r="L292" s="98">
        <f t="shared" ca="1" si="82"/>
        <v>96.115037428749147</v>
      </c>
      <c r="M292" s="98">
        <f t="shared" ca="1" si="83"/>
        <v>7.3674292380269037E-3</v>
      </c>
      <c r="N292" s="98">
        <f t="shared" ca="1" si="84"/>
        <v>19.223007485749829</v>
      </c>
      <c r="O292" s="67">
        <f>assumptions!M296</f>
        <v>55</v>
      </c>
      <c r="P292" s="68">
        <f>assumptions!N296</f>
        <v>3</v>
      </c>
      <c r="Q292" s="68">
        <f>assumptions!O296</f>
        <v>22</v>
      </c>
      <c r="R292" s="67">
        <f t="shared" si="85"/>
        <v>52.5</v>
      </c>
      <c r="S292" s="68">
        <f t="shared" si="86"/>
        <v>2.3275000000000001</v>
      </c>
      <c r="T292" s="68">
        <f t="shared" si="87"/>
        <v>22</v>
      </c>
      <c r="U292" s="73">
        <f t="shared" ca="1" si="93"/>
        <v>910.10339892096624</v>
      </c>
      <c r="V292" s="72">
        <f t="shared" ca="1" si="93"/>
        <v>223.70774961541366</v>
      </c>
      <c r="W292" s="72">
        <f t="shared" ca="1" si="88"/>
        <v>422.90616468649625</v>
      </c>
      <c r="X292" s="72">
        <f t="shared" ca="1" si="94"/>
        <v>1556.7173132228763</v>
      </c>
      <c r="Y292" s="73">
        <f>mult_opex * fixed_month</f>
        <v>1000</v>
      </c>
      <c r="Z292" s="72">
        <f ca="1">mult_opex * fixed_well *D292</f>
        <v>5000</v>
      </c>
      <c r="AA292" s="72">
        <f ca="1">(Z292+Y292)*WI_current_2</f>
        <v>0</v>
      </c>
      <c r="AB292" s="72">
        <f ca="1">mult_opex * var_bo*E292</f>
        <v>0</v>
      </c>
      <c r="AC292" s="72">
        <f ca="1">mult_opex * var_mcf*F292</f>
        <v>0</v>
      </c>
      <c r="AD292" s="72">
        <f ca="1">mult_opex * var_bw * G292</f>
        <v>5.893943390421523E-2</v>
      </c>
      <c r="AE292" s="72">
        <f ca="1">SUM(AB292:AD292)*WI_current_2</f>
        <v>0</v>
      </c>
      <c r="AF292" s="73">
        <f ca="1">mult_capex * IFERROR(OFFSET(assumptions!$F$39,MATCH(B292,assumptions!$E$39:$E$45,0)-1,0),0)</f>
        <v>0</v>
      </c>
      <c r="AG292" s="75">
        <f ca="1">mult_capex * capex_new*WI_current_2 *'forecast production'!I293</f>
        <v>0</v>
      </c>
      <c r="AH292" s="146">
        <f t="shared" ca="1" si="95"/>
        <v>0</v>
      </c>
      <c r="AI292" s="73">
        <f t="shared" ca="1" si="89"/>
        <v>90.36079992300769</v>
      </c>
      <c r="AJ292" s="72">
        <f t="shared" ca="1" si="90"/>
        <v>38.917932830571914</v>
      </c>
      <c r="AK292" s="72">
        <f t="shared" ca="1" si="96"/>
        <v>129.27873275357962</v>
      </c>
      <c r="AL292" s="73">
        <f t="shared" ca="1" si="91"/>
        <v>1427.4385804692968</v>
      </c>
      <c r="AM292" s="321">
        <f ca="1">'monthly calculations (1)'!AM292</f>
        <v>0</v>
      </c>
      <c r="AN292" s="73">
        <f t="shared" ca="1" si="97"/>
        <v>0</v>
      </c>
      <c r="AO292" s="75">
        <f t="shared" ca="1" si="99"/>
        <v>1258622.5560460223</v>
      </c>
      <c r="AP292" s="72">
        <f ca="1">AL292  /  ( 1 + disc_1/12)^(COUNT($AL$6:AL292)-1)</f>
        <v>132.97741604903302</v>
      </c>
      <c r="AQ292" s="72">
        <f t="shared" ca="1" si="100"/>
        <v>738684.71897774923</v>
      </c>
      <c r="AS292" s="303"/>
      <c r="AT292" s="300"/>
      <c r="AU292" s="297"/>
      <c r="AV292" s="303"/>
    </row>
    <row r="293" spans="2:48" x14ac:dyDescent="0.25">
      <c r="B293" s="44">
        <f t="shared" si="98"/>
        <v>52932</v>
      </c>
      <c r="C293" s="100">
        <f t="shared" si="92"/>
        <v>2044</v>
      </c>
      <c r="D293" s="65">
        <f ca="1">wellcount_base  +  SUM('forecast production'!I$7:I294)</f>
        <v>1</v>
      </c>
      <c r="E293" s="109">
        <f ca="1">'forecast production'!AE294</f>
        <v>71.163208453648778</v>
      </c>
      <c r="F293" s="101">
        <f ca="1">'forecast production'!AF294</f>
        <v>527.01361725182551</v>
      </c>
      <c r="G293" s="101">
        <f ca="1">'forecast production'!AG294</f>
        <v>2.9447722761623156E-2</v>
      </c>
      <c r="H293" s="102">
        <f ca="1">'forecast production'!AH294</f>
        <v>79.052042587773812</v>
      </c>
      <c r="I293" s="308">
        <f ca="1">IF('monthly calculations (1)'!AV292,WI_2_APO, WI_2)</f>
        <v>0</v>
      </c>
      <c r="J293" s="309">
        <f ca="1">IF('monthly calculations (1)'!AV292,NRI_2_APO, NRI_2)</f>
        <v>0.25</v>
      </c>
      <c r="K293" s="113">
        <f t="shared" ca="1" si="81"/>
        <v>17.790802113412195</v>
      </c>
      <c r="L293" s="102">
        <f t="shared" ca="1" si="82"/>
        <v>98.815053234717283</v>
      </c>
      <c r="M293" s="102">
        <f t="shared" ca="1" si="83"/>
        <v>7.361930690405789E-3</v>
      </c>
      <c r="N293" s="102">
        <f t="shared" ca="1" si="84"/>
        <v>19.763010646943453</v>
      </c>
      <c r="O293" s="103">
        <f>assumptions!M297</f>
        <v>55</v>
      </c>
      <c r="P293" s="104">
        <f>assumptions!N297</f>
        <v>3</v>
      </c>
      <c r="Q293" s="104">
        <f>assumptions!O297</f>
        <v>22</v>
      </c>
      <c r="R293" s="103">
        <f t="shared" si="85"/>
        <v>52.5</v>
      </c>
      <c r="S293" s="104">
        <f t="shared" si="86"/>
        <v>2.3275000000000001</v>
      </c>
      <c r="T293" s="104">
        <f t="shared" si="87"/>
        <v>22</v>
      </c>
      <c r="U293" s="105">
        <f t="shared" ca="1" si="93"/>
        <v>934.01711095414021</v>
      </c>
      <c r="V293" s="106">
        <f t="shared" ca="1" si="93"/>
        <v>229.99203640380449</v>
      </c>
      <c r="W293" s="106">
        <f t="shared" ca="1" si="88"/>
        <v>434.78623423275599</v>
      </c>
      <c r="X293" s="106">
        <f t="shared" ca="1" si="94"/>
        <v>1598.7953815907006</v>
      </c>
      <c r="Y293" s="105">
        <f>mult_opex * fixed_month</f>
        <v>1000</v>
      </c>
      <c r="Z293" s="106">
        <f ca="1">mult_opex * fixed_well *D293</f>
        <v>5000</v>
      </c>
      <c r="AA293" s="106">
        <f ca="1">(Z293+Y293)*WI_current_2</f>
        <v>0</v>
      </c>
      <c r="AB293" s="106">
        <f ca="1">mult_opex * var_bo*E293</f>
        <v>0</v>
      </c>
      <c r="AC293" s="106">
        <f ca="1">mult_opex * var_mcf*F293</f>
        <v>0</v>
      </c>
      <c r="AD293" s="106">
        <f ca="1">mult_opex * var_bw * G293</f>
        <v>5.8895445523246312E-2</v>
      </c>
      <c r="AE293" s="106">
        <f ca="1">SUM(AB293:AD293)*WI_current_2</f>
        <v>0</v>
      </c>
      <c r="AF293" s="105">
        <f ca="1">mult_capex * IFERROR(OFFSET(assumptions!$F$39,MATCH(B293,assumptions!$E$39:$E$45,0)-1,0),0)</f>
        <v>0</v>
      </c>
      <c r="AG293" s="106">
        <f ca="1">mult_capex * capex_new*WI_current_2 *'forecast production'!I294</f>
        <v>0</v>
      </c>
      <c r="AH293" s="147">
        <f t="shared" ca="1" si="95"/>
        <v>0</v>
      </c>
      <c r="AI293" s="105">
        <f t="shared" ca="1" si="89"/>
        <v>92.823157401632471</v>
      </c>
      <c r="AJ293" s="106">
        <f t="shared" ca="1" si="90"/>
        <v>39.96988453976752</v>
      </c>
      <c r="AK293" s="106">
        <f t="shared" ca="1" si="96"/>
        <v>132.79304194139999</v>
      </c>
      <c r="AL293" s="105">
        <f t="shared" ca="1" si="91"/>
        <v>1466.0023396493007</v>
      </c>
      <c r="AM293" s="322">
        <f ca="1">'monthly calculations (1)'!AM293</f>
        <v>0</v>
      </c>
      <c r="AN293" s="105">
        <f t="shared" ca="1" si="97"/>
        <v>0</v>
      </c>
      <c r="AO293" s="106">
        <f t="shared" ca="1" si="99"/>
        <v>1258622.5560460223</v>
      </c>
      <c r="AP293" s="106">
        <f ca="1">AL293  /  ( 1 + disc_1/12)^(COUNT($AL$6:AL293)-1)</f>
        <v>135.44126403272176</v>
      </c>
      <c r="AQ293" s="106">
        <f t="shared" ca="1" si="100"/>
        <v>738684.71897774923</v>
      </c>
      <c r="AS293" s="304"/>
      <c r="AT293" s="301"/>
      <c r="AU293" s="298"/>
      <c r="AV293" s="304"/>
    </row>
    <row r="294" spans="2:48" x14ac:dyDescent="0.25">
      <c r="B294" s="43">
        <f t="shared" si="98"/>
        <v>52963</v>
      </c>
      <c r="C294" s="79">
        <f t="shared" si="92"/>
        <v>2045</v>
      </c>
      <c r="D294" s="64">
        <f ca="1">wellcount_base  +  SUM('forecast production'!I$7:I295)</f>
        <v>1</v>
      </c>
      <c r="E294" s="110">
        <f ca="1">'forecast production'!AE295</f>
        <v>70.66103037453027</v>
      </c>
      <c r="F294" s="98">
        <f ca="1">'forecast production'!AF295</f>
        <v>524.25133491957672</v>
      </c>
      <c r="G294" s="98">
        <f ca="1">'forecast production'!AG295</f>
        <v>2.8444879836294908E-2</v>
      </c>
      <c r="H294" s="98">
        <f ca="1">'forecast production'!AH295</f>
        <v>78.6377002379365</v>
      </c>
      <c r="I294" s="307">
        <f ca="1">IF('monthly calculations (1)'!AV293,WI_2_APO, WI_2)</f>
        <v>0</v>
      </c>
      <c r="J294" s="306">
        <f ca="1">IF('monthly calculations (1)'!AV293,NRI_2_APO, NRI_2)</f>
        <v>0.25</v>
      </c>
      <c r="K294" s="112">
        <f t="shared" ca="1" si="81"/>
        <v>17.665257593632568</v>
      </c>
      <c r="L294" s="98">
        <f t="shared" ca="1" si="82"/>
        <v>98.297125297420635</v>
      </c>
      <c r="M294" s="98">
        <f t="shared" ca="1" si="83"/>
        <v>7.1112199590737269E-3</v>
      </c>
      <c r="N294" s="98">
        <f t="shared" ca="1" si="84"/>
        <v>19.659425059484125</v>
      </c>
      <c r="O294" s="67">
        <f>assumptions!M298</f>
        <v>55</v>
      </c>
      <c r="P294" s="68">
        <f>assumptions!N298</f>
        <v>3</v>
      </c>
      <c r="Q294" s="68">
        <f>assumptions!O298</f>
        <v>22</v>
      </c>
      <c r="R294" s="67">
        <f t="shared" si="85"/>
        <v>52.5</v>
      </c>
      <c r="S294" s="68">
        <f t="shared" si="86"/>
        <v>2.3275000000000001</v>
      </c>
      <c r="T294" s="68">
        <f t="shared" si="87"/>
        <v>22</v>
      </c>
      <c r="U294" s="73">
        <f t="shared" ca="1" si="93"/>
        <v>927.42602366570975</v>
      </c>
      <c r="V294" s="72">
        <f t="shared" ca="1" si="93"/>
        <v>228.78655912974654</v>
      </c>
      <c r="W294" s="72">
        <f t="shared" ca="1" si="88"/>
        <v>432.50735130865075</v>
      </c>
      <c r="X294" s="72">
        <f t="shared" ca="1" si="94"/>
        <v>1588.7199341041069</v>
      </c>
      <c r="Y294" s="73">
        <f>mult_opex * fixed_month</f>
        <v>1000</v>
      </c>
      <c r="Z294" s="72">
        <f ca="1">mult_opex * fixed_well *D294</f>
        <v>5000</v>
      </c>
      <c r="AA294" s="72">
        <f ca="1">(Z294+Y294)*WI_current_2</f>
        <v>0</v>
      </c>
      <c r="AB294" s="72">
        <f ca="1">mult_opex * var_bo*E294</f>
        <v>0</v>
      </c>
      <c r="AC294" s="72">
        <f ca="1">mult_opex * var_mcf*F294</f>
        <v>0</v>
      </c>
      <c r="AD294" s="72">
        <f ca="1">mult_opex * var_bw * G294</f>
        <v>5.6889759672589815E-2</v>
      </c>
      <c r="AE294" s="72">
        <f ca="1">SUM(AB294:AD294)*WI_current_2</f>
        <v>0</v>
      </c>
      <c r="AF294" s="73">
        <f ca="1">mult_capex * IFERROR(OFFSET(assumptions!$F$39,MATCH(B294,assumptions!$E$39:$E$45,0)-1,0),0)</f>
        <v>0</v>
      </c>
      <c r="AG294" s="75">
        <f ca="1">mult_capex * capex_new*WI_current_2 *'forecast production'!I295</f>
        <v>0</v>
      </c>
      <c r="AH294" s="146">
        <f t="shared" ca="1" si="95"/>
        <v>0</v>
      </c>
      <c r="AI294" s="73">
        <f t="shared" ca="1" si="89"/>
        <v>92.258640371502437</v>
      </c>
      <c r="AJ294" s="72">
        <f t="shared" ca="1" si="90"/>
        <v>39.717998352602677</v>
      </c>
      <c r="AK294" s="72">
        <f t="shared" ca="1" si="96"/>
        <v>131.9766387241051</v>
      </c>
      <c r="AL294" s="73">
        <f t="shared" ca="1" si="91"/>
        <v>1456.7432953800017</v>
      </c>
      <c r="AM294" s="321">
        <f ca="1">'monthly calculations (1)'!AM294</f>
        <v>0</v>
      </c>
      <c r="AN294" s="73">
        <f t="shared" ca="1" si="97"/>
        <v>0</v>
      </c>
      <c r="AO294" s="75">
        <f t="shared" ca="1" si="99"/>
        <v>1258622.5560460223</v>
      </c>
      <c r="AP294" s="72">
        <f ca="1">AL294  /  ( 1 + disc_1/12)^(COUNT($AL$6:AL294)-1)</f>
        <v>133.4735582833809</v>
      </c>
      <c r="AQ294" s="72">
        <f t="shared" ca="1" si="100"/>
        <v>738684.71897774923</v>
      </c>
      <c r="AS294" s="303"/>
      <c r="AT294" s="300"/>
      <c r="AU294" s="297"/>
      <c r="AV294" s="303"/>
    </row>
    <row r="295" spans="2:48" x14ac:dyDescent="0.25">
      <c r="B295" s="43">
        <f t="shared" si="98"/>
        <v>52994</v>
      </c>
      <c r="C295" s="79">
        <f t="shared" si="92"/>
        <v>2045</v>
      </c>
      <c r="D295" s="64">
        <f ca="1">wellcount_base  +  SUM('forecast production'!I$7:I296)</f>
        <v>1</v>
      </c>
      <c r="E295" s="110">
        <f ca="1">'forecast production'!AE296</f>
        <v>63.372486727888841</v>
      </c>
      <c r="F295" s="98">
        <f ca="1">'forecast production'!AF296</f>
        <v>471.03544715440103</v>
      </c>
      <c r="G295" s="98">
        <f ca="1">'forecast production'!AG296</f>
        <v>2.4817351684734233E-2</v>
      </c>
      <c r="H295" s="98">
        <f ca="1">'forecast production'!AH296</f>
        <v>70.655317073160148</v>
      </c>
      <c r="I295" s="307">
        <f ca="1">IF('monthly calculations (1)'!AV294,WI_2_APO, WI_2)</f>
        <v>0</v>
      </c>
      <c r="J295" s="306">
        <f ca="1">IF('monthly calculations (1)'!AV294,NRI_2_APO, NRI_2)</f>
        <v>0.25</v>
      </c>
      <c r="K295" s="112">
        <f t="shared" ca="1" si="81"/>
        <v>15.84312168197221</v>
      </c>
      <c r="L295" s="98">
        <f t="shared" ca="1" si="82"/>
        <v>88.319146341450192</v>
      </c>
      <c r="M295" s="98">
        <f t="shared" ca="1" si="83"/>
        <v>6.2043379211835581E-3</v>
      </c>
      <c r="N295" s="98">
        <f t="shared" ca="1" si="84"/>
        <v>17.663829268290037</v>
      </c>
      <c r="O295" s="67">
        <f>assumptions!M299</f>
        <v>55</v>
      </c>
      <c r="P295" s="68">
        <f>assumptions!N299</f>
        <v>3</v>
      </c>
      <c r="Q295" s="68">
        <f>assumptions!O299</f>
        <v>22</v>
      </c>
      <c r="R295" s="67">
        <f t="shared" si="85"/>
        <v>52.5</v>
      </c>
      <c r="S295" s="68">
        <f t="shared" si="86"/>
        <v>2.3275000000000001</v>
      </c>
      <c r="T295" s="68">
        <f t="shared" si="87"/>
        <v>22</v>
      </c>
      <c r="U295" s="73">
        <f t="shared" ca="1" si="93"/>
        <v>831.76388830354108</v>
      </c>
      <c r="V295" s="72">
        <f t="shared" ca="1" si="93"/>
        <v>205.56281310972534</v>
      </c>
      <c r="W295" s="72">
        <f t="shared" ca="1" si="88"/>
        <v>388.6042439023808</v>
      </c>
      <c r="X295" s="72">
        <f t="shared" ca="1" si="94"/>
        <v>1425.9309453156473</v>
      </c>
      <c r="Y295" s="73">
        <f>mult_opex * fixed_month</f>
        <v>1000</v>
      </c>
      <c r="Z295" s="72">
        <f ca="1">mult_opex * fixed_well *D295</f>
        <v>5000</v>
      </c>
      <c r="AA295" s="72">
        <f ca="1">(Z295+Y295)*WI_current_2</f>
        <v>0</v>
      </c>
      <c r="AB295" s="72">
        <f ca="1">mult_opex * var_bo*E295</f>
        <v>0</v>
      </c>
      <c r="AC295" s="72">
        <f ca="1">mult_opex * var_mcf*F295</f>
        <v>0</v>
      </c>
      <c r="AD295" s="72">
        <f ca="1">mult_opex * var_bw * G295</f>
        <v>4.9634703369468465E-2</v>
      </c>
      <c r="AE295" s="72">
        <f ca="1">SUM(AB295:AD295)*WI_current_2</f>
        <v>0</v>
      </c>
      <c r="AF295" s="73">
        <f ca="1">mult_capex * IFERROR(OFFSET(assumptions!$F$39,MATCH(B295,assumptions!$E$39:$E$45,0)-1,0),0)</f>
        <v>0</v>
      </c>
      <c r="AG295" s="75">
        <f ca="1">mult_capex * capex_new*WI_current_2 *'forecast production'!I296</f>
        <v>0</v>
      </c>
      <c r="AH295" s="146">
        <f t="shared" ca="1" si="95"/>
        <v>0</v>
      </c>
      <c r="AI295" s="73">
        <f t="shared" ca="1" si="89"/>
        <v>82.82366813787084</v>
      </c>
      <c r="AJ295" s="72">
        <f t="shared" ca="1" si="90"/>
        <v>35.648273632891183</v>
      </c>
      <c r="AK295" s="72">
        <f t="shared" ca="1" si="96"/>
        <v>118.47194177076202</v>
      </c>
      <c r="AL295" s="73">
        <f t="shared" ca="1" si="91"/>
        <v>1307.4590035448853</v>
      </c>
      <c r="AM295" s="321">
        <f ca="1">'monthly calculations (1)'!AM295</f>
        <v>0</v>
      </c>
      <c r="AN295" s="73">
        <f t="shared" ca="1" si="97"/>
        <v>0</v>
      </c>
      <c r="AO295" s="75">
        <f t="shared" ca="1" si="99"/>
        <v>1258622.5560460223</v>
      </c>
      <c r="AP295" s="72">
        <f ca="1">AL295  /  ( 1 + disc_1/12)^(COUNT($AL$6:AL295)-1)</f>
        <v>118.8053960459512</v>
      </c>
      <c r="AQ295" s="72">
        <f t="shared" ca="1" si="100"/>
        <v>738684.71897774923</v>
      </c>
      <c r="AS295" s="303"/>
      <c r="AT295" s="300"/>
      <c r="AU295" s="297"/>
      <c r="AV295" s="303"/>
    </row>
    <row r="296" spans="2:48" x14ac:dyDescent="0.25">
      <c r="B296" s="43">
        <f t="shared" si="98"/>
        <v>53022</v>
      </c>
      <c r="C296" s="79">
        <f t="shared" si="92"/>
        <v>2045</v>
      </c>
      <c r="D296" s="64">
        <f ca="1">wellcount_base  +  SUM('forecast production'!I$7:I297)</f>
        <v>1</v>
      </c>
      <c r="E296" s="110">
        <f ca="1">'forecast production'!AE297</f>
        <v>69.71504170605246</v>
      </c>
      <c r="F296" s="98">
        <f ca="1">'forecast production'!AF297</f>
        <v>519.03402435079261</v>
      </c>
      <c r="G296" s="98">
        <f ca="1">'forecast production'!AG297</f>
        <v>2.6630069480658505E-2</v>
      </c>
      <c r="H296" s="98">
        <f ca="1">'forecast production'!AH297</f>
        <v>77.85510365261888</v>
      </c>
      <c r="I296" s="307">
        <f ca="1">IF('monthly calculations (1)'!AV295,WI_2_APO, WI_2)</f>
        <v>0</v>
      </c>
      <c r="J296" s="306">
        <f ca="1">IF('monthly calculations (1)'!AV295,NRI_2_APO, NRI_2)</f>
        <v>0.25</v>
      </c>
      <c r="K296" s="112">
        <f t="shared" ca="1" si="81"/>
        <v>17.428760426513115</v>
      </c>
      <c r="L296" s="98">
        <f t="shared" ca="1" si="82"/>
        <v>97.318879565773614</v>
      </c>
      <c r="M296" s="98">
        <f t="shared" ca="1" si="83"/>
        <v>6.6575173701646263E-3</v>
      </c>
      <c r="N296" s="98">
        <f t="shared" ca="1" si="84"/>
        <v>19.46377591315472</v>
      </c>
      <c r="O296" s="67">
        <f>assumptions!M300</f>
        <v>55</v>
      </c>
      <c r="P296" s="68">
        <f>assumptions!N300</f>
        <v>3</v>
      </c>
      <c r="Q296" s="68">
        <f>assumptions!O300</f>
        <v>22</v>
      </c>
      <c r="R296" s="67">
        <f t="shared" si="85"/>
        <v>52.5</v>
      </c>
      <c r="S296" s="68">
        <f t="shared" si="86"/>
        <v>2.3275000000000001</v>
      </c>
      <c r="T296" s="68">
        <f t="shared" si="87"/>
        <v>22</v>
      </c>
      <c r="U296" s="73">
        <f t="shared" ca="1" si="93"/>
        <v>915.00992239193852</v>
      </c>
      <c r="V296" s="72">
        <f t="shared" ca="1" si="93"/>
        <v>226.5096921893381</v>
      </c>
      <c r="W296" s="72">
        <f t="shared" ca="1" si="88"/>
        <v>428.20307008940381</v>
      </c>
      <c r="X296" s="72">
        <f t="shared" ca="1" si="94"/>
        <v>1569.7226846706803</v>
      </c>
      <c r="Y296" s="73">
        <f>mult_opex * fixed_month</f>
        <v>1000</v>
      </c>
      <c r="Z296" s="72">
        <f ca="1">mult_opex * fixed_well *D296</f>
        <v>5000</v>
      </c>
      <c r="AA296" s="72">
        <f ca="1">(Z296+Y296)*WI_current_2</f>
        <v>0</v>
      </c>
      <c r="AB296" s="72">
        <f ca="1">mult_opex * var_bo*E296</f>
        <v>0</v>
      </c>
      <c r="AC296" s="72">
        <f ca="1">mult_opex * var_mcf*F296</f>
        <v>0</v>
      </c>
      <c r="AD296" s="72">
        <f ca="1">mult_opex * var_bw * G296</f>
        <v>5.3260138961317011E-2</v>
      </c>
      <c r="AE296" s="72">
        <f ca="1">SUM(AB296:AD296)*WI_current_2</f>
        <v>0</v>
      </c>
      <c r="AF296" s="73">
        <f ca="1">mult_capex * IFERROR(OFFSET(assumptions!$F$39,MATCH(B296,assumptions!$E$39:$E$45,0)-1,0),0)</f>
        <v>0</v>
      </c>
      <c r="AG296" s="75">
        <f ca="1">mult_capex * capex_new*WI_current_2 *'forecast production'!I297</f>
        <v>0</v>
      </c>
      <c r="AH296" s="146">
        <f t="shared" ca="1" si="95"/>
        <v>0</v>
      </c>
      <c r="AI296" s="73">
        <f t="shared" ca="1" si="89"/>
        <v>91.19391360093482</v>
      </c>
      <c r="AJ296" s="72">
        <f t="shared" ca="1" si="90"/>
        <v>39.243067116767008</v>
      </c>
      <c r="AK296" s="72">
        <f t="shared" ca="1" si="96"/>
        <v>130.43698071770183</v>
      </c>
      <c r="AL296" s="73">
        <f t="shared" ca="1" si="91"/>
        <v>1439.2857039529786</v>
      </c>
      <c r="AM296" s="321">
        <f ca="1">'monthly calculations (1)'!AM296</f>
        <v>0</v>
      </c>
      <c r="AN296" s="73">
        <f t="shared" ca="1" si="97"/>
        <v>0</v>
      </c>
      <c r="AO296" s="75">
        <f t="shared" ca="1" si="99"/>
        <v>1258622.5560460223</v>
      </c>
      <c r="AP296" s="72">
        <f ca="1">AL296  /  ( 1 + disc_1/12)^(COUNT($AL$6:AL296)-1)</f>
        <v>129.70328443423617</v>
      </c>
      <c r="AQ296" s="72">
        <f t="shared" ca="1" si="100"/>
        <v>738684.71897774923</v>
      </c>
      <c r="AS296" s="303"/>
      <c r="AT296" s="300"/>
      <c r="AU296" s="297"/>
      <c r="AV296" s="303"/>
    </row>
    <row r="297" spans="2:48" x14ac:dyDescent="0.25">
      <c r="B297" s="43">
        <f t="shared" si="98"/>
        <v>53053</v>
      </c>
      <c r="C297" s="79">
        <f t="shared" si="92"/>
        <v>2045</v>
      </c>
      <c r="D297" s="64">
        <f ca="1">wellcount_base  +  SUM('forecast production'!I$7:I298)</f>
        <v>1</v>
      </c>
      <c r="E297" s="110">
        <f ca="1">'forecast production'!AE298</f>
        <v>66.990080243976067</v>
      </c>
      <c r="F297" s="98">
        <f ca="1">'forecast production'!AF298</f>
        <v>499.65828982566916</v>
      </c>
      <c r="G297" s="98">
        <f ca="1">'forecast production'!AG298</f>
        <v>2.4893835346809237E-2</v>
      </c>
      <c r="H297" s="98">
        <f ca="1">'forecast production'!AH298</f>
        <v>74.948743473850371</v>
      </c>
      <c r="I297" s="307">
        <f ca="1">IF('monthly calculations (1)'!AV296,WI_2_APO, WI_2)</f>
        <v>0</v>
      </c>
      <c r="J297" s="306">
        <f ca="1">IF('monthly calculations (1)'!AV296,NRI_2_APO, NRI_2)</f>
        <v>0.25</v>
      </c>
      <c r="K297" s="112">
        <f t="shared" ca="1" si="81"/>
        <v>16.747520060994017</v>
      </c>
      <c r="L297" s="98">
        <f t="shared" ca="1" si="82"/>
        <v>93.68592934231296</v>
      </c>
      <c r="M297" s="98">
        <f t="shared" ca="1" si="83"/>
        <v>6.2234588367023093E-3</v>
      </c>
      <c r="N297" s="98">
        <f t="shared" ca="1" si="84"/>
        <v>18.737185868462593</v>
      </c>
      <c r="O297" s="67">
        <f>assumptions!M301</f>
        <v>55</v>
      </c>
      <c r="P297" s="68">
        <f>assumptions!N301</f>
        <v>3</v>
      </c>
      <c r="Q297" s="68">
        <f>assumptions!O301</f>
        <v>22</v>
      </c>
      <c r="R297" s="67">
        <f t="shared" si="85"/>
        <v>52.5</v>
      </c>
      <c r="S297" s="68">
        <f t="shared" si="86"/>
        <v>2.3275000000000001</v>
      </c>
      <c r="T297" s="68">
        <f t="shared" si="87"/>
        <v>22</v>
      </c>
      <c r="U297" s="73">
        <f t="shared" ca="1" si="93"/>
        <v>879.24480320218584</v>
      </c>
      <c r="V297" s="72">
        <f t="shared" ca="1" si="93"/>
        <v>218.05400054423342</v>
      </c>
      <c r="W297" s="72">
        <f t="shared" ca="1" si="88"/>
        <v>412.21808910617705</v>
      </c>
      <c r="X297" s="72">
        <f t="shared" ca="1" si="94"/>
        <v>1509.5168928525964</v>
      </c>
      <c r="Y297" s="73">
        <f>mult_opex * fixed_month</f>
        <v>1000</v>
      </c>
      <c r="Z297" s="72">
        <f ca="1">mult_opex * fixed_well *D297</f>
        <v>5000</v>
      </c>
      <c r="AA297" s="72">
        <f ca="1">(Z297+Y297)*WI_current_2</f>
        <v>0</v>
      </c>
      <c r="AB297" s="72">
        <f ca="1">mult_opex * var_bo*E297</f>
        <v>0</v>
      </c>
      <c r="AC297" s="72">
        <f ca="1">mult_opex * var_mcf*F297</f>
        <v>0</v>
      </c>
      <c r="AD297" s="72">
        <f ca="1">mult_opex * var_bw * G297</f>
        <v>4.9787670693618474E-2</v>
      </c>
      <c r="AE297" s="72">
        <f ca="1">SUM(AB297:AD297)*WI_current_2</f>
        <v>0</v>
      </c>
      <c r="AF297" s="73">
        <f ca="1">mult_capex * IFERROR(OFFSET(assumptions!$F$39,MATCH(B297,assumptions!$E$39:$E$45,0)-1,0),0)</f>
        <v>0</v>
      </c>
      <c r="AG297" s="75">
        <f ca="1">mult_capex * capex_new*WI_current_2 *'forecast production'!I298</f>
        <v>0</v>
      </c>
      <c r="AH297" s="146">
        <f t="shared" ca="1" si="95"/>
        <v>0</v>
      </c>
      <c r="AI297" s="73">
        <f t="shared" ca="1" si="89"/>
        <v>87.71566767108132</v>
      </c>
      <c r="AJ297" s="72">
        <f t="shared" ca="1" si="90"/>
        <v>37.737922321314912</v>
      </c>
      <c r="AK297" s="72">
        <f t="shared" ca="1" si="96"/>
        <v>125.45358999239623</v>
      </c>
      <c r="AL297" s="73">
        <f t="shared" ca="1" si="91"/>
        <v>1384.0633028602001</v>
      </c>
      <c r="AM297" s="321">
        <f ca="1">'monthly calculations (1)'!AM297</f>
        <v>0</v>
      </c>
      <c r="AN297" s="73">
        <f t="shared" ca="1" si="97"/>
        <v>0</v>
      </c>
      <c r="AO297" s="75">
        <f t="shared" ca="1" si="99"/>
        <v>1258622.5560460223</v>
      </c>
      <c r="AP297" s="72">
        <f ca="1">AL297  /  ( 1 + disc_1/12)^(COUNT($AL$6:AL297)-1)</f>
        <v>123.69603865971567</v>
      </c>
      <c r="AQ297" s="72">
        <f t="shared" ca="1" si="100"/>
        <v>738684.71897774923</v>
      </c>
      <c r="AS297" s="303"/>
      <c r="AT297" s="300"/>
      <c r="AU297" s="297"/>
      <c r="AV297" s="303"/>
    </row>
    <row r="298" spans="2:48" x14ac:dyDescent="0.25">
      <c r="B298" s="43">
        <f t="shared" si="98"/>
        <v>53083</v>
      </c>
      <c r="C298" s="79">
        <f t="shared" si="92"/>
        <v>2045</v>
      </c>
      <c r="D298" s="64">
        <f ca="1">wellcount_base  +  SUM('forecast production'!I$7:I299)</f>
        <v>1</v>
      </c>
      <c r="E298" s="110">
        <f ca="1">'forecast production'!AE299</f>
        <v>68.750299456356771</v>
      </c>
      <c r="F298" s="98">
        <f ca="1">'forecast production'!AF299</f>
        <v>513.694441880569</v>
      </c>
      <c r="G298" s="98">
        <f ca="1">'forecast production'!AG299</f>
        <v>2.4875959787142771E-2</v>
      </c>
      <c r="H298" s="98">
        <f ca="1">'forecast production'!AH299</f>
        <v>77.054166282085347</v>
      </c>
      <c r="I298" s="307">
        <f ca="1">IF('monthly calculations (1)'!AV297,WI_2_APO, WI_2)</f>
        <v>0</v>
      </c>
      <c r="J298" s="306">
        <f ca="1">IF('monthly calculations (1)'!AV297,NRI_2_APO, NRI_2)</f>
        <v>0.25</v>
      </c>
      <c r="K298" s="112">
        <f t="shared" ca="1" si="81"/>
        <v>17.187574864089193</v>
      </c>
      <c r="L298" s="98">
        <f t="shared" ca="1" si="82"/>
        <v>96.317707852606688</v>
      </c>
      <c r="M298" s="98">
        <f t="shared" ca="1" si="83"/>
        <v>6.2189899467856927E-3</v>
      </c>
      <c r="N298" s="98">
        <f t="shared" ca="1" si="84"/>
        <v>19.263541570521337</v>
      </c>
      <c r="O298" s="67">
        <f>assumptions!M302</f>
        <v>55</v>
      </c>
      <c r="P298" s="68">
        <f>assumptions!N302</f>
        <v>3</v>
      </c>
      <c r="Q298" s="68">
        <f>assumptions!O302</f>
        <v>22</v>
      </c>
      <c r="R298" s="67">
        <f t="shared" si="85"/>
        <v>52.5</v>
      </c>
      <c r="S298" s="68">
        <f t="shared" si="86"/>
        <v>2.3275000000000001</v>
      </c>
      <c r="T298" s="68">
        <f t="shared" si="87"/>
        <v>22</v>
      </c>
      <c r="U298" s="73">
        <f t="shared" ca="1" si="93"/>
        <v>902.34768036468267</v>
      </c>
      <c r="V298" s="72">
        <f t="shared" ca="1" si="93"/>
        <v>224.17946502694207</v>
      </c>
      <c r="W298" s="72">
        <f t="shared" ca="1" si="88"/>
        <v>423.79791455146943</v>
      </c>
      <c r="X298" s="72">
        <f t="shared" ca="1" si="94"/>
        <v>1550.3250599430942</v>
      </c>
      <c r="Y298" s="73">
        <f>mult_opex * fixed_month</f>
        <v>1000</v>
      </c>
      <c r="Z298" s="72">
        <f ca="1">mult_opex * fixed_well *D298</f>
        <v>5000</v>
      </c>
      <c r="AA298" s="72">
        <f ca="1">(Z298+Y298)*WI_current_2</f>
        <v>0</v>
      </c>
      <c r="AB298" s="72">
        <f ca="1">mult_opex * var_bo*E298</f>
        <v>0</v>
      </c>
      <c r="AC298" s="72">
        <f ca="1">mult_opex * var_mcf*F298</f>
        <v>0</v>
      </c>
      <c r="AD298" s="72">
        <f ca="1">mult_opex * var_bw * G298</f>
        <v>4.9751919574285541E-2</v>
      </c>
      <c r="AE298" s="72">
        <f ca="1">SUM(AB298:AD298)*WI_current_2</f>
        <v>0</v>
      </c>
      <c r="AF298" s="73">
        <f ca="1">mult_capex * IFERROR(OFFSET(assumptions!$F$39,MATCH(B298,assumptions!$E$39:$E$45,0)-1,0),0)</f>
        <v>0</v>
      </c>
      <c r="AG298" s="75">
        <f ca="1">mult_capex * capex_new*WI_current_2 *'forecast production'!I299</f>
        <v>0</v>
      </c>
      <c r="AH298" s="146">
        <f t="shared" ca="1" si="95"/>
        <v>0</v>
      </c>
      <c r="AI298" s="73">
        <f t="shared" ca="1" si="89"/>
        <v>90.106296765156259</v>
      </c>
      <c r="AJ298" s="72">
        <f t="shared" ca="1" si="90"/>
        <v>38.758126498577354</v>
      </c>
      <c r="AK298" s="72">
        <f t="shared" ca="1" si="96"/>
        <v>128.86442326373361</v>
      </c>
      <c r="AL298" s="73">
        <f t="shared" ca="1" si="91"/>
        <v>1421.4606366793605</v>
      </c>
      <c r="AM298" s="321">
        <f ca="1">'monthly calculations (1)'!AM298</f>
        <v>0</v>
      </c>
      <c r="AN298" s="73">
        <f t="shared" ca="1" si="97"/>
        <v>0</v>
      </c>
      <c r="AO298" s="75">
        <f t="shared" ca="1" si="99"/>
        <v>1258622.5560460223</v>
      </c>
      <c r="AP298" s="72">
        <f ca="1">AL298  /  ( 1 + disc_1/12)^(COUNT($AL$6:AL298)-1)</f>
        <v>125.98839725326536</v>
      </c>
      <c r="AQ298" s="72">
        <f t="shared" ca="1" si="100"/>
        <v>738684.71897774923</v>
      </c>
      <c r="AS298" s="303"/>
      <c r="AT298" s="300"/>
      <c r="AU298" s="297"/>
      <c r="AV298" s="303"/>
    </row>
    <row r="299" spans="2:48" x14ac:dyDescent="0.25">
      <c r="B299" s="43">
        <f t="shared" si="98"/>
        <v>53114</v>
      </c>
      <c r="C299" s="79">
        <f t="shared" si="92"/>
        <v>2045</v>
      </c>
      <c r="D299" s="64">
        <f ca="1">wellcount_base  +  SUM('forecast production'!I$7:I300)</f>
        <v>1</v>
      </c>
      <c r="E299" s="110">
        <f ca="1">'forecast production'!AE300</f>
        <v>66.063047007814973</v>
      </c>
      <c r="F299" s="98">
        <f ca="1">'forecast production'!AF300</f>
        <v>494.51803596891648</v>
      </c>
      <c r="G299" s="98">
        <f ca="1">'forecast production'!AG300</f>
        <v>2.3254364846756977E-2</v>
      </c>
      <c r="H299" s="98">
        <f ca="1">'forecast production'!AH300</f>
        <v>74.177705395337469</v>
      </c>
      <c r="I299" s="307">
        <f ca="1">IF('monthly calculations (1)'!AV298,WI_2_APO, WI_2)</f>
        <v>0</v>
      </c>
      <c r="J299" s="306">
        <f ca="1">IF('monthly calculations (1)'!AV298,NRI_2_APO, NRI_2)</f>
        <v>0.25</v>
      </c>
      <c r="K299" s="112">
        <f t="shared" ca="1" si="81"/>
        <v>16.515761751953743</v>
      </c>
      <c r="L299" s="98">
        <f t="shared" ca="1" si="82"/>
        <v>92.722131744171833</v>
      </c>
      <c r="M299" s="98">
        <f t="shared" ca="1" si="83"/>
        <v>5.8135912116892442E-3</v>
      </c>
      <c r="N299" s="98">
        <f t="shared" ca="1" si="84"/>
        <v>18.544426348834367</v>
      </c>
      <c r="O299" s="67">
        <f>assumptions!M303</f>
        <v>55</v>
      </c>
      <c r="P299" s="68">
        <f>assumptions!N303</f>
        <v>3</v>
      </c>
      <c r="Q299" s="68">
        <f>assumptions!O303</f>
        <v>22</v>
      </c>
      <c r="R299" s="67">
        <f t="shared" si="85"/>
        <v>52.5</v>
      </c>
      <c r="S299" s="68">
        <f t="shared" si="86"/>
        <v>2.3275000000000001</v>
      </c>
      <c r="T299" s="68">
        <f t="shared" si="87"/>
        <v>22</v>
      </c>
      <c r="U299" s="73">
        <f t="shared" ca="1" si="93"/>
        <v>867.07749197757153</v>
      </c>
      <c r="V299" s="72">
        <f t="shared" ca="1" si="93"/>
        <v>215.81076163455995</v>
      </c>
      <c r="W299" s="72">
        <f t="shared" ca="1" si="88"/>
        <v>407.97737967435609</v>
      </c>
      <c r="X299" s="72">
        <f t="shared" ca="1" si="94"/>
        <v>1490.8656332864875</v>
      </c>
      <c r="Y299" s="73">
        <f>mult_opex * fixed_month</f>
        <v>1000</v>
      </c>
      <c r="Z299" s="72">
        <f ca="1">mult_opex * fixed_well *D299</f>
        <v>5000</v>
      </c>
      <c r="AA299" s="72">
        <f ca="1">(Z299+Y299)*WI_current_2</f>
        <v>0</v>
      </c>
      <c r="AB299" s="72">
        <f ca="1">mult_opex * var_bo*E299</f>
        <v>0</v>
      </c>
      <c r="AC299" s="72">
        <f ca="1">mult_opex * var_mcf*F299</f>
        <v>0</v>
      </c>
      <c r="AD299" s="72">
        <f ca="1">mult_opex * var_bw * G299</f>
        <v>4.6508729693513953E-2</v>
      </c>
      <c r="AE299" s="72">
        <f ca="1">SUM(AB299:AD299)*WI_current_2</f>
        <v>0</v>
      </c>
      <c r="AF299" s="73">
        <f ca="1">mult_capex * IFERROR(OFFSET(assumptions!$F$39,MATCH(B299,assumptions!$E$39:$E$45,0)-1,0),0)</f>
        <v>0</v>
      </c>
      <c r="AG299" s="75">
        <f ca="1">mult_capex * capex_new*WI_current_2 *'forecast production'!I300</f>
        <v>0</v>
      </c>
      <c r="AH299" s="146">
        <f t="shared" ca="1" si="95"/>
        <v>0</v>
      </c>
      <c r="AI299" s="73">
        <f t="shared" ca="1" si="89"/>
        <v>86.669675229136999</v>
      </c>
      <c r="AJ299" s="72">
        <f t="shared" ca="1" si="90"/>
        <v>37.271640832162191</v>
      </c>
      <c r="AK299" s="72">
        <f t="shared" ca="1" si="96"/>
        <v>123.94131606129919</v>
      </c>
      <c r="AL299" s="73">
        <f t="shared" ca="1" si="91"/>
        <v>1366.9243172251884</v>
      </c>
      <c r="AM299" s="321">
        <f ca="1">'monthly calculations (1)'!AM299</f>
        <v>0</v>
      </c>
      <c r="AN299" s="73">
        <f t="shared" ca="1" si="97"/>
        <v>0</v>
      </c>
      <c r="AO299" s="75">
        <f t="shared" ca="1" si="99"/>
        <v>1258622.5560460223</v>
      </c>
      <c r="AP299" s="72">
        <f ca="1">AL299  /  ( 1 + disc_1/12)^(COUNT($AL$6:AL299)-1)</f>
        <v>120.15339839066652</v>
      </c>
      <c r="AQ299" s="72">
        <f t="shared" ca="1" si="100"/>
        <v>738684.71897774923</v>
      </c>
      <c r="AS299" s="303"/>
      <c r="AT299" s="300"/>
      <c r="AU299" s="297"/>
      <c r="AV299" s="303"/>
    </row>
    <row r="300" spans="2:48" x14ac:dyDescent="0.25">
      <c r="B300" s="43">
        <f t="shared" si="98"/>
        <v>53144</v>
      </c>
      <c r="C300" s="79">
        <f t="shared" si="92"/>
        <v>2045</v>
      </c>
      <c r="D300" s="64">
        <f ca="1">wellcount_base  +  SUM('forecast production'!I$7:I301)</f>
        <v>1</v>
      </c>
      <c r="E300" s="110">
        <f ca="1">'forecast production'!AE301</f>
        <v>67.798907662826252</v>
      </c>
      <c r="F300" s="98">
        <f ca="1">'forecast production'!AF301</f>
        <v>508.40979057018978</v>
      </c>
      <c r="G300" s="98">
        <f ca="1">'forecast production'!AG301</f>
        <v>2.3237931715889122E-2</v>
      </c>
      <c r="H300" s="98">
        <f ca="1">'forecast production'!AH301</f>
        <v>76.261468585528462</v>
      </c>
      <c r="I300" s="307">
        <f ca="1">IF('monthly calculations (1)'!AV299,WI_2_APO, WI_2)</f>
        <v>0</v>
      </c>
      <c r="J300" s="306">
        <f ca="1">IF('monthly calculations (1)'!AV299,NRI_2_APO, NRI_2)</f>
        <v>0.25</v>
      </c>
      <c r="K300" s="112">
        <f t="shared" ca="1" si="81"/>
        <v>16.949726915706563</v>
      </c>
      <c r="L300" s="98">
        <f t="shared" ca="1" si="82"/>
        <v>95.326835731910592</v>
      </c>
      <c r="M300" s="98">
        <f t="shared" ca="1" si="83"/>
        <v>5.8094829289722805E-3</v>
      </c>
      <c r="N300" s="98">
        <f t="shared" ca="1" si="84"/>
        <v>19.065367146382115</v>
      </c>
      <c r="O300" s="67">
        <f>assumptions!M304</f>
        <v>55</v>
      </c>
      <c r="P300" s="68">
        <f>assumptions!N304</f>
        <v>3</v>
      </c>
      <c r="Q300" s="68">
        <f>assumptions!O304</f>
        <v>22</v>
      </c>
      <c r="R300" s="67">
        <f t="shared" si="85"/>
        <v>52.5</v>
      </c>
      <c r="S300" s="68">
        <f t="shared" si="86"/>
        <v>2.3275000000000001</v>
      </c>
      <c r="T300" s="68">
        <f t="shared" si="87"/>
        <v>22</v>
      </c>
      <c r="U300" s="73">
        <f t="shared" ca="1" si="93"/>
        <v>889.86066307459453</v>
      </c>
      <c r="V300" s="72">
        <f t="shared" ca="1" si="93"/>
        <v>221.87321016602192</v>
      </c>
      <c r="W300" s="72">
        <f t="shared" ca="1" si="88"/>
        <v>419.43807722040651</v>
      </c>
      <c r="X300" s="72">
        <f t="shared" ca="1" si="94"/>
        <v>1531.171950461023</v>
      </c>
      <c r="Y300" s="73">
        <f>mult_opex * fixed_month</f>
        <v>1000</v>
      </c>
      <c r="Z300" s="72">
        <f ca="1">mult_opex * fixed_well *D300</f>
        <v>5000</v>
      </c>
      <c r="AA300" s="72">
        <f ca="1">(Z300+Y300)*WI_current_2</f>
        <v>0</v>
      </c>
      <c r="AB300" s="72">
        <f ca="1">mult_opex * var_bo*E300</f>
        <v>0</v>
      </c>
      <c r="AC300" s="72">
        <f ca="1">mult_opex * var_mcf*F300</f>
        <v>0</v>
      </c>
      <c r="AD300" s="72">
        <f ca="1">mult_opex * var_bw * G300</f>
        <v>4.6475863431778244E-2</v>
      </c>
      <c r="AE300" s="72">
        <f ca="1">SUM(AB300:AD300)*WI_current_2</f>
        <v>0</v>
      </c>
      <c r="AF300" s="73">
        <f ca="1">mult_capex * IFERROR(OFFSET(assumptions!$F$39,MATCH(B300,assumptions!$E$39:$E$45,0)-1,0),0)</f>
        <v>0</v>
      </c>
      <c r="AG300" s="75">
        <f ca="1">mult_capex * capex_new*WI_current_2 *'forecast production'!I301</f>
        <v>0</v>
      </c>
      <c r="AH300" s="146">
        <f t="shared" ca="1" si="95"/>
        <v>0</v>
      </c>
      <c r="AI300" s="73">
        <f t="shared" ca="1" si="89"/>
        <v>89.031937055413479</v>
      </c>
      <c r="AJ300" s="72">
        <f t="shared" ca="1" si="90"/>
        <v>38.279298761525574</v>
      </c>
      <c r="AK300" s="72">
        <f t="shared" ca="1" si="96"/>
        <v>127.31123581693905</v>
      </c>
      <c r="AL300" s="73">
        <f t="shared" ca="1" si="91"/>
        <v>1403.8607146440841</v>
      </c>
      <c r="AM300" s="321">
        <f ca="1">'monthly calculations (1)'!AM300</f>
        <v>0</v>
      </c>
      <c r="AN300" s="73">
        <f t="shared" ca="1" si="97"/>
        <v>0</v>
      </c>
      <c r="AO300" s="75">
        <f t="shared" ca="1" si="99"/>
        <v>1258622.5560460223</v>
      </c>
      <c r="AP300" s="72">
        <f ca="1">AL300  /  ( 1 + disc_1/12)^(COUNT($AL$6:AL300)-1)</f>
        <v>122.38029224572358</v>
      </c>
      <c r="AQ300" s="72">
        <f t="shared" ca="1" si="100"/>
        <v>738684.71897774923</v>
      </c>
      <c r="AS300" s="303"/>
      <c r="AT300" s="300"/>
      <c r="AU300" s="297"/>
      <c r="AV300" s="303"/>
    </row>
    <row r="301" spans="2:48" x14ac:dyDescent="0.25">
      <c r="B301" s="43">
        <f t="shared" si="98"/>
        <v>53175</v>
      </c>
      <c r="C301" s="79">
        <f t="shared" si="92"/>
        <v>2045</v>
      </c>
      <c r="D301" s="64">
        <f ca="1">wellcount_base  +  SUM('forecast production'!I$7:I302)</f>
        <v>1</v>
      </c>
      <c r="E301" s="110">
        <f ca="1">'forecast production'!AE302</f>
        <v>67.3204704765852</v>
      </c>
      <c r="F301" s="98">
        <f ca="1">'forecast production'!AF302</f>
        <v>505.74501809361215</v>
      </c>
      <c r="G301" s="98">
        <f ca="1">'forecast production'!AG302</f>
        <v>2.2447483732640439E-2</v>
      </c>
      <c r="H301" s="98">
        <f ca="1">'forecast production'!AH302</f>
        <v>75.861752714041828</v>
      </c>
      <c r="I301" s="307">
        <f ca="1">IF('monthly calculations (1)'!AV300,WI_2_APO, WI_2)</f>
        <v>0</v>
      </c>
      <c r="J301" s="306">
        <f ca="1">IF('monthly calculations (1)'!AV300,NRI_2_APO, NRI_2)</f>
        <v>0.25</v>
      </c>
      <c r="K301" s="112">
        <f t="shared" ca="1" si="81"/>
        <v>16.8301176191463</v>
      </c>
      <c r="L301" s="98">
        <f t="shared" ca="1" si="82"/>
        <v>94.827190892552281</v>
      </c>
      <c r="M301" s="98">
        <f t="shared" ca="1" si="83"/>
        <v>5.6118709331601097E-3</v>
      </c>
      <c r="N301" s="98">
        <f t="shared" ca="1" si="84"/>
        <v>18.965438178510457</v>
      </c>
      <c r="O301" s="67">
        <f>assumptions!M305</f>
        <v>55</v>
      </c>
      <c r="P301" s="68">
        <f>assumptions!N305</f>
        <v>3</v>
      </c>
      <c r="Q301" s="68">
        <f>assumptions!O305</f>
        <v>22</v>
      </c>
      <c r="R301" s="67">
        <f t="shared" si="85"/>
        <v>52.5</v>
      </c>
      <c r="S301" s="68">
        <f t="shared" si="86"/>
        <v>2.3275000000000001</v>
      </c>
      <c r="T301" s="68">
        <f t="shared" si="87"/>
        <v>22</v>
      </c>
      <c r="U301" s="73">
        <f t="shared" ca="1" si="93"/>
        <v>883.58117500518074</v>
      </c>
      <c r="V301" s="72">
        <f t="shared" ca="1" si="93"/>
        <v>220.71028680241545</v>
      </c>
      <c r="W301" s="72">
        <f t="shared" ca="1" si="88"/>
        <v>417.23963992723003</v>
      </c>
      <c r="X301" s="72">
        <f t="shared" ca="1" si="94"/>
        <v>1521.5311017348261</v>
      </c>
      <c r="Y301" s="73">
        <f>mult_opex * fixed_month</f>
        <v>1000</v>
      </c>
      <c r="Z301" s="72">
        <f ca="1">mult_opex * fixed_well *D301</f>
        <v>5000</v>
      </c>
      <c r="AA301" s="72">
        <f ca="1">(Z301+Y301)*WI_current_2</f>
        <v>0</v>
      </c>
      <c r="AB301" s="72">
        <f ca="1">mult_opex * var_bo*E301</f>
        <v>0</v>
      </c>
      <c r="AC301" s="72">
        <f ca="1">mult_opex * var_mcf*F301</f>
        <v>0</v>
      </c>
      <c r="AD301" s="72">
        <f ca="1">mult_opex * var_bw * G301</f>
        <v>4.4894967465280877E-2</v>
      </c>
      <c r="AE301" s="72">
        <f ca="1">SUM(AB301:AD301)*WI_current_2</f>
        <v>0</v>
      </c>
      <c r="AF301" s="73">
        <f ca="1">mult_capex * IFERROR(OFFSET(assumptions!$F$39,MATCH(B301,assumptions!$E$39:$E$45,0)-1,0),0)</f>
        <v>0</v>
      </c>
      <c r="AG301" s="75">
        <f ca="1">mult_capex * capex_new*WI_current_2 *'forecast production'!I302</f>
        <v>0</v>
      </c>
      <c r="AH301" s="146">
        <f t="shared" ca="1" si="95"/>
        <v>0</v>
      </c>
      <c r="AI301" s="73">
        <f t="shared" ca="1" si="89"/>
        <v>88.490978554961728</v>
      </c>
      <c r="AJ301" s="72">
        <f t="shared" ca="1" si="90"/>
        <v>38.038277543370654</v>
      </c>
      <c r="AK301" s="72">
        <f t="shared" ca="1" si="96"/>
        <v>126.52925609833238</v>
      </c>
      <c r="AL301" s="73">
        <f t="shared" ca="1" si="91"/>
        <v>1395.0018456364937</v>
      </c>
      <c r="AM301" s="321">
        <f ca="1">'monthly calculations (1)'!AM301</f>
        <v>0</v>
      </c>
      <c r="AN301" s="73">
        <f t="shared" ca="1" si="97"/>
        <v>0</v>
      </c>
      <c r="AO301" s="75">
        <f t="shared" ca="1" si="99"/>
        <v>1258622.5560460223</v>
      </c>
      <c r="AP301" s="72">
        <f ca="1">AL301  /  ( 1 + disc_1/12)^(COUNT($AL$6:AL301)-1)</f>
        <v>120.60300329859825</v>
      </c>
      <c r="AQ301" s="72">
        <f t="shared" ca="1" si="100"/>
        <v>738684.71897774923</v>
      </c>
      <c r="AS301" s="303"/>
      <c r="AT301" s="300"/>
      <c r="AU301" s="297"/>
      <c r="AV301" s="303"/>
    </row>
    <row r="302" spans="2:48" x14ac:dyDescent="0.25">
      <c r="B302" s="43">
        <f t="shared" si="98"/>
        <v>53206</v>
      </c>
      <c r="C302" s="79">
        <f t="shared" si="92"/>
        <v>2045</v>
      </c>
      <c r="D302" s="64">
        <f ca="1">wellcount_base  +  SUM('forecast production'!I$7:I303)</f>
        <v>1</v>
      </c>
      <c r="E302" s="110">
        <f ca="1">'forecast production'!AE303</f>
        <v>64.689105950819993</v>
      </c>
      <c r="F302" s="98">
        <f ca="1">'forecast production'!AF303</f>
        <v>486.86536714925961</v>
      </c>
      <c r="G302" s="98">
        <f ca="1">'forecast production'!AG303</f>
        <v>2.0984567417263688E-2</v>
      </c>
      <c r="H302" s="98">
        <f ca="1">'forecast production'!AH303</f>
        <v>73.029805072388939</v>
      </c>
      <c r="I302" s="307">
        <f ca="1">IF('monthly calculations (1)'!AV301,WI_2_APO, WI_2)</f>
        <v>0</v>
      </c>
      <c r="J302" s="306">
        <f ca="1">IF('monthly calculations (1)'!AV301,NRI_2_APO, NRI_2)</f>
        <v>0.25</v>
      </c>
      <c r="K302" s="112">
        <f t="shared" ca="1" si="81"/>
        <v>16.172276487704998</v>
      </c>
      <c r="L302" s="98">
        <f t="shared" ca="1" si="82"/>
        <v>91.287256340486181</v>
      </c>
      <c r="M302" s="98">
        <f t="shared" ca="1" si="83"/>
        <v>5.246141854315922E-3</v>
      </c>
      <c r="N302" s="98">
        <f t="shared" ca="1" si="84"/>
        <v>18.257451268097235</v>
      </c>
      <c r="O302" s="67">
        <f>assumptions!M306</f>
        <v>55</v>
      </c>
      <c r="P302" s="68">
        <f>assumptions!N306</f>
        <v>3</v>
      </c>
      <c r="Q302" s="68">
        <f>assumptions!O306</f>
        <v>22</v>
      </c>
      <c r="R302" s="67">
        <f t="shared" si="85"/>
        <v>52.5</v>
      </c>
      <c r="S302" s="68">
        <f t="shared" si="86"/>
        <v>2.3275000000000001</v>
      </c>
      <c r="T302" s="68">
        <f t="shared" si="87"/>
        <v>22</v>
      </c>
      <c r="U302" s="73">
        <f t="shared" ca="1" si="93"/>
        <v>849.04451560451241</v>
      </c>
      <c r="V302" s="72">
        <f t="shared" ca="1" si="93"/>
        <v>212.47108913248161</v>
      </c>
      <c r="W302" s="72">
        <f t="shared" ca="1" si="88"/>
        <v>401.66392789813915</v>
      </c>
      <c r="X302" s="72">
        <f t="shared" ca="1" si="94"/>
        <v>1463.179532635133</v>
      </c>
      <c r="Y302" s="73">
        <f>mult_opex * fixed_month</f>
        <v>1000</v>
      </c>
      <c r="Z302" s="72">
        <f ca="1">mult_opex * fixed_well *D302</f>
        <v>5000</v>
      </c>
      <c r="AA302" s="72">
        <f ca="1">(Z302+Y302)*WI_current_2</f>
        <v>0</v>
      </c>
      <c r="AB302" s="72">
        <f ca="1">mult_opex * var_bo*E302</f>
        <v>0</v>
      </c>
      <c r="AC302" s="72">
        <f ca="1">mult_opex * var_mcf*F302</f>
        <v>0</v>
      </c>
      <c r="AD302" s="72">
        <f ca="1">mult_opex * var_bw * G302</f>
        <v>4.1969134834527376E-2</v>
      </c>
      <c r="AE302" s="72">
        <f ca="1">SUM(AB302:AD302)*WI_current_2</f>
        <v>0</v>
      </c>
      <c r="AF302" s="73">
        <f ca="1">mult_capex * IFERROR(OFFSET(assumptions!$F$39,MATCH(B302,assumptions!$E$39:$E$45,0)-1,0),0)</f>
        <v>0</v>
      </c>
      <c r="AG302" s="75">
        <f ca="1">mult_capex * capex_new*WI_current_2 *'forecast production'!I303</f>
        <v>0</v>
      </c>
      <c r="AH302" s="146">
        <f t="shared" ca="1" si="95"/>
        <v>0</v>
      </c>
      <c r="AI302" s="73">
        <f t="shared" ca="1" si="89"/>
        <v>85.11617399510412</v>
      </c>
      <c r="AJ302" s="72">
        <f t="shared" ca="1" si="90"/>
        <v>36.579488315878329</v>
      </c>
      <c r="AK302" s="72">
        <f t="shared" ca="1" si="96"/>
        <v>121.69566231098244</v>
      </c>
      <c r="AL302" s="73">
        <f t="shared" ca="1" si="91"/>
        <v>1341.4838703241505</v>
      </c>
      <c r="AM302" s="321">
        <f ca="1">'monthly calculations (1)'!AM302</f>
        <v>0</v>
      </c>
      <c r="AN302" s="73">
        <f t="shared" ca="1" si="97"/>
        <v>0</v>
      </c>
      <c r="AO302" s="75">
        <f t="shared" ca="1" si="99"/>
        <v>1258622.5560460223</v>
      </c>
      <c r="AP302" s="72">
        <f ca="1">AL302  /  ( 1 + disc_1/12)^(COUNT($AL$6:AL302)-1)</f>
        <v>115.01769809853489</v>
      </c>
      <c r="AQ302" s="72">
        <f t="shared" ca="1" si="100"/>
        <v>738684.71897774923</v>
      </c>
      <c r="AS302" s="303"/>
      <c r="AT302" s="300"/>
      <c r="AU302" s="297"/>
      <c r="AV302" s="303"/>
    </row>
    <row r="303" spans="2:48" x14ac:dyDescent="0.25">
      <c r="B303" s="43">
        <f t="shared" si="98"/>
        <v>53236</v>
      </c>
      <c r="C303" s="79">
        <f t="shared" si="92"/>
        <v>2045</v>
      </c>
      <c r="D303" s="64">
        <f ca="1">wellcount_base  +  SUM('forecast production'!I$7:I304)</f>
        <v>1</v>
      </c>
      <c r="E303" s="110">
        <f ca="1">'forecast production'!AE304</f>
        <v>66.388865179524672</v>
      </c>
      <c r="F303" s="98">
        <f ca="1">'forecast production'!AF304</f>
        <v>500.54214678591069</v>
      </c>
      <c r="G303" s="98">
        <f ca="1">'forecast production'!AG304</f>
        <v>2.0970098872565061E-2</v>
      </c>
      <c r="H303" s="98">
        <f ca="1">'forecast production'!AH304</f>
        <v>75.081322017886606</v>
      </c>
      <c r="I303" s="307">
        <f ca="1">IF('monthly calculations (1)'!AV302,WI_2_APO, WI_2)</f>
        <v>0</v>
      </c>
      <c r="J303" s="306">
        <f ca="1">IF('monthly calculations (1)'!AV302,NRI_2_APO, NRI_2)</f>
        <v>0.25</v>
      </c>
      <c r="K303" s="112">
        <f t="shared" ca="1" si="81"/>
        <v>16.597216294881168</v>
      </c>
      <c r="L303" s="98">
        <f t="shared" ca="1" si="82"/>
        <v>93.851652522358251</v>
      </c>
      <c r="M303" s="98">
        <f t="shared" ca="1" si="83"/>
        <v>5.2425247181412653E-3</v>
      </c>
      <c r="N303" s="98">
        <f t="shared" ca="1" si="84"/>
        <v>18.770330504471652</v>
      </c>
      <c r="O303" s="67">
        <f>assumptions!M307</f>
        <v>55</v>
      </c>
      <c r="P303" s="68">
        <f>assumptions!N307</f>
        <v>3</v>
      </c>
      <c r="Q303" s="68">
        <f>assumptions!O307</f>
        <v>22</v>
      </c>
      <c r="R303" s="67">
        <f t="shared" si="85"/>
        <v>52.5</v>
      </c>
      <c r="S303" s="68">
        <f t="shared" si="86"/>
        <v>2.3275000000000001</v>
      </c>
      <c r="T303" s="68">
        <f t="shared" si="87"/>
        <v>22</v>
      </c>
      <c r="U303" s="73">
        <f t="shared" ca="1" si="93"/>
        <v>871.35385548126135</v>
      </c>
      <c r="V303" s="72">
        <f t="shared" ca="1" si="93"/>
        <v>218.43972124578883</v>
      </c>
      <c r="W303" s="72">
        <f t="shared" ca="1" si="88"/>
        <v>412.94727109837635</v>
      </c>
      <c r="X303" s="72">
        <f t="shared" ca="1" si="94"/>
        <v>1502.7408478254265</v>
      </c>
      <c r="Y303" s="73">
        <f>mult_opex * fixed_month</f>
        <v>1000</v>
      </c>
      <c r="Z303" s="72">
        <f ca="1">mult_opex * fixed_well *D303</f>
        <v>5000</v>
      </c>
      <c r="AA303" s="72">
        <f ca="1">(Z303+Y303)*WI_current_2</f>
        <v>0</v>
      </c>
      <c r="AB303" s="72">
        <f ca="1">mult_opex * var_bo*E303</f>
        <v>0</v>
      </c>
      <c r="AC303" s="72">
        <f ca="1">mult_opex * var_mcf*F303</f>
        <v>0</v>
      </c>
      <c r="AD303" s="72">
        <f ca="1">mult_opex * var_bw * G303</f>
        <v>4.1940197745130123E-2</v>
      </c>
      <c r="AE303" s="72">
        <f ca="1">SUM(AB303:AD303)*WI_current_2</f>
        <v>0</v>
      </c>
      <c r="AF303" s="73">
        <f ca="1">mult_capex * IFERROR(OFFSET(assumptions!$F$39,MATCH(B303,assumptions!$E$39:$E$45,0)-1,0),0)</f>
        <v>0</v>
      </c>
      <c r="AG303" s="75">
        <f ca="1">mult_capex * capex_new*WI_current_2 *'forecast production'!I304</f>
        <v>0</v>
      </c>
      <c r="AH303" s="146">
        <f t="shared" ca="1" si="95"/>
        <v>0</v>
      </c>
      <c r="AI303" s="73">
        <f t="shared" ca="1" si="89"/>
        <v>87.436301777950405</v>
      </c>
      <c r="AJ303" s="72">
        <f t="shared" ca="1" si="90"/>
        <v>37.568521195635661</v>
      </c>
      <c r="AK303" s="72">
        <f t="shared" ca="1" si="96"/>
        <v>125.00482297358607</v>
      </c>
      <c r="AL303" s="73">
        <f t="shared" ca="1" si="91"/>
        <v>1377.7360248518405</v>
      </c>
      <c r="AM303" s="321">
        <f ca="1">'monthly calculations (1)'!AM303</f>
        <v>0</v>
      </c>
      <c r="AN303" s="73">
        <f t="shared" ca="1" si="97"/>
        <v>0</v>
      </c>
      <c r="AO303" s="75">
        <f t="shared" ca="1" si="99"/>
        <v>1258622.5560460223</v>
      </c>
      <c r="AP303" s="72">
        <f ca="1">AL303  /  ( 1 + disc_1/12)^(COUNT($AL$6:AL303)-1)</f>
        <v>117.1496799860536</v>
      </c>
      <c r="AQ303" s="72">
        <f t="shared" ca="1" si="100"/>
        <v>738684.71897774923</v>
      </c>
      <c r="AS303" s="303"/>
      <c r="AT303" s="300"/>
      <c r="AU303" s="297"/>
      <c r="AV303" s="303"/>
    </row>
    <row r="304" spans="2:48" x14ac:dyDescent="0.25">
      <c r="B304" s="43">
        <f t="shared" si="98"/>
        <v>53267</v>
      </c>
      <c r="C304" s="79">
        <f t="shared" si="92"/>
        <v>2045</v>
      </c>
      <c r="D304" s="64">
        <f ca="1">wellcount_base  +  SUM('forecast production'!I$7:I305)</f>
        <v>1</v>
      </c>
      <c r="E304" s="110">
        <f ca="1">'forecast production'!AE305</f>
        <v>63.79391443865056</v>
      </c>
      <c r="F304" s="98">
        <f ca="1">'forecast production'!AF305</f>
        <v>481.85672097612905</v>
      </c>
      <c r="G304" s="98">
        <f ca="1">'forecast production'!AG305</f>
        <v>1.9603695478117536E-2</v>
      </c>
      <c r="H304" s="98">
        <f ca="1">'forecast production'!AH305</f>
        <v>72.278508146419355</v>
      </c>
      <c r="I304" s="307">
        <f ca="1">IF('monthly calculations (1)'!AV303,WI_2_APO, WI_2)</f>
        <v>0</v>
      </c>
      <c r="J304" s="306">
        <f ca="1">IF('monthly calculations (1)'!AV303,NRI_2_APO, NRI_2)</f>
        <v>0.25</v>
      </c>
      <c r="K304" s="112">
        <f t="shared" ca="1" si="81"/>
        <v>15.94847860966264</v>
      </c>
      <c r="L304" s="98">
        <f t="shared" ca="1" si="82"/>
        <v>90.348135183024198</v>
      </c>
      <c r="M304" s="98">
        <f t="shared" ca="1" si="83"/>
        <v>4.900923869529384E-3</v>
      </c>
      <c r="N304" s="98">
        <f t="shared" ca="1" si="84"/>
        <v>18.069627036604839</v>
      </c>
      <c r="O304" s="67">
        <f>assumptions!M308</f>
        <v>55</v>
      </c>
      <c r="P304" s="68">
        <f>assumptions!N308</f>
        <v>3</v>
      </c>
      <c r="Q304" s="68">
        <f>assumptions!O308</f>
        <v>22</v>
      </c>
      <c r="R304" s="67">
        <f t="shared" si="85"/>
        <v>52.5</v>
      </c>
      <c r="S304" s="68">
        <f t="shared" si="86"/>
        <v>2.3275000000000001</v>
      </c>
      <c r="T304" s="68">
        <f t="shared" si="87"/>
        <v>22</v>
      </c>
      <c r="U304" s="73">
        <f t="shared" ca="1" si="93"/>
        <v>837.29512700728856</v>
      </c>
      <c r="V304" s="72">
        <f t="shared" ca="1" si="93"/>
        <v>210.28528463848883</v>
      </c>
      <c r="W304" s="72">
        <f t="shared" ca="1" si="88"/>
        <v>397.53179480530645</v>
      </c>
      <c r="X304" s="72">
        <f t="shared" ca="1" si="94"/>
        <v>1445.1122064510837</v>
      </c>
      <c r="Y304" s="73">
        <f>mult_opex * fixed_month</f>
        <v>1000</v>
      </c>
      <c r="Z304" s="72">
        <f ca="1">mult_opex * fixed_well *D304</f>
        <v>5000</v>
      </c>
      <c r="AA304" s="72">
        <f ca="1">(Z304+Y304)*WI_current_2</f>
        <v>0</v>
      </c>
      <c r="AB304" s="72">
        <f ca="1">mult_opex * var_bo*E304</f>
        <v>0</v>
      </c>
      <c r="AC304" s="72">
        <f ca="1">mult_opex * var_mcf*F304</f>
        <v>0</v>
      </c>
      <c r="AD304" s="72">
        <f ca="1">mult_opex * var_bw * G304</f>
        <v>3.9207390956235072E-2</v>
      </c>
      <c r="AE304" s="72">
        <f ca="1">SUM(AB304:AD304)*WI_current_2</f>
        <v>0</v>
      </c>
      <c r="AF304" s="73">
        <f ca="1">mult_capex * IFERROR(OFFSET(assumptions!$F$39,MATCH(B304,assumptions!$E$39:$E$45,0)-1,0),0)</f>
        <v>0</v>
      </c>
      <c r="AG304" s="75">
        <f ca="1">mult_capex * capex_new*WI_current_2 *'forecast production'!I305</f>
        <v>0</v>
      </c>
      <c r="AH304" s="146">
        <f t="shared" ca="1" si="95"/>
        <v>0</v>
      </c>
      <c r="AI304" s="73">
        <f t="shared" ca="1" si="89"/>
        <v>84.101856800619913</v>
      </c>
      <c r="AJ304" s="72">
        <f t="shared" ca="1" si="90"/>
        <v>36.127805161277095</v>
      </c>
      <c r="AK304" s="72">
        <f t="shared" ca="1" si="96"/>
        <v>120.22966196189701</v>
      </c>
      <c r="AL304" s="73">
        <f t="shared" ca="1" si="91"/>
        <v>1324.8825444891868</v>
      </c>
      <c r="AM304" s="321">
        <f ca="1">'monthly calculations (1)'!AM304</f>
        <v>0</v>
      </c>
      <c r="AN304" s="73">
        <f t="shared" ca="1" si="97"/>
        <v>0</v>
      </c>
      <c r="AO304" s="75">
        <f t="shared" ca="1" si="99"/>
        <v>1258622.5560460223</v>
      </c>
      <c r="AP304" s="72">
        <f ca="1">AL304  /  ( 1 + disc_1/12)^(COUNT($AL$6:AL304)-1)</f>
        <v>111.72448106359352</v>
      </c>
      <c r="AQ304" s="72">
        <f t="shared" ca="1" si="100"/>
        <v>738684.71897774923</v>
      </c>
      <c r="AS304" s="303"/>
      <c r="AT304" s="300"/>
      <c r="AU304" s="297"/>
      <c r="AV304" s="303"/>
    </row>
    <row r="305" spans="2:48" x14ac:dyDescent="0.25">
      <c r="B305" s="44">
        <f t="shared" si="98"/>
        <v>53297</v>
      </c>
      <c r="C305" s="100">
        <f t="shared" si="92"/>
        <v>2045</v>
      </c>
      <c r="D305" s="65">
        <f ca="1">wellcount_base  +  SUM('forecast production'!I$7:I306)</f>
        <v>1</v>
      </c>
      <c r="E305" s="109">
        <f ca="1">'forecast production'!AE306</f>
        <v>65.470151777356875</v>
      </c>
      <c r="F305" s="101">
        <f ca="1">'forecast production'!AF306</f>
        <v>495.3928002167159</v>
      </c>
      <c r="G305" s="101">
        <f ca="1">'forecast production'!AG306</f>
        <v>1.9590402191335086E-2</v>
      </c>
      <c r="H305" s="102">
        <f ca="1">'forecast production'!AH306</f>
        <v>74.308920032507388</v>
      </c>
      <c r="I305" s="308">
        <f ca="1">IF('monthly calculations (1)'!AV304,WI_2_APO, WI_2)</f>
        <v>0</v>
      </c>
      <c r="J305" s="309">
        <f ca="1">IF('monthly calculations (1)'!AV304,NRI_2_APO, NRI_2)</f>
        <v>0.25</v>
      </c>
      <c r="K305" s="113">
        <f t="shared" ca="1" si="81"/>
        <v>16.367537944339219</v>
      </c>
      <c r="L305" s="102">
        <f t="shared" ca="1" si="82"/>
        <v>92.886150040634234</v>
      </c>
      <c r="M305" s="102">
        <f t="shared" ca="1" si="83"/>
        <v>4.8976005478337716E-3</v>
      </c>
      <c r="N305" s="102">
        <f t="shared" ca="1" si="84"/>
        <v>18.577230008126847</v>
      </c>
      <c r="O305" s="103">
        <f>assumptions!M309</f>
        <v>55</v>
      </c>
      <c r="P305" s="104">
        <f>assumptions!N309</f>
        <v>3</v>
      </c>
      <c r="Q305" s="104">
        <f>assumptions!O309</f>
        <v>22</v>
      </c>
      <c r="R305" s="103">
        <f t="shared" si="85"/>
        <v>52.5</v>
      </c>
      <c r="S305" s="104">
        <f t="shared" si="86"/>
        <v>2.3275000000000001</v>
      </c>
      <c r="T305" s="104">
        <f t="shared" si="87"/>
        <v>22</v>
      </c>
      <c r="U305" s="105">
        <f t="shared" ca="1" si="93"/>
        <v>859.295742077809</v>
      </c>
      <c r="V305" s="106">
        <f t="shared" ca="1" si="93"/>
        <v>216.1925142195762</v>
      </c>
      <c r="W305" s="106">
        <f t="shared" ca="1" si="88"/>
        <v>408.69906017879066</v>
      </c>
      <c r="X305" s="106">
        <f t="shared" ca="1" si="94"/>
        <v>1484.187316476176</v>
      </c>
      <c r="Y305" s="105">
        <f>mult_opex * fixed_month</f>
        <v>1000</v>
      </c>
      <c r="Z305" s="106">
        <f ca="1">mult_opex * fixed_well *D305</f>
        <v>5000</v>
      </c>
      <c r="AA305" s="106">
        <f ca="1">(Z305+Y305)*WI_current_2</f>
        <v>0</v>
      </c>
      <c r="AB305" s="106">
        <f ca="1">mult_opex * var_bo*E305</f>
        <v>0</v>
      </c>
      <c r="AC305" s="106">
        <f ca="1">mult_opex * var_mcf*F305</f>
        <v>0</v>
      </c>
      <c r="AD305" s="106">
        <f ca="1">mult_opex * var_bw * G305</f>
        <v>3.9180804382670173E-2</v>
      </c>
      <c r="AE305" s="106">
        <f ca="1">SUM(AB305:AD305)*WI_current_2</f>
        <v>0</v>
      </c>
      <c r="AF305" s="105">
        <f ca="1">mult_capex * IFERROR(OFFSET(assumptions!$F$39,MATCH(B305,assumptions!$E$39:$E$45,0)-1,0),0)</f>
        <v>0</v>
      </c>
      <c r="AG305" s="106">
        <f ca="1">mult_capex * capex_new*WI_current_2 *'forecast production'!I306</f>
        <v>0</v>
      </c>
      <c r="AH305" s="147">
        <f t="shared" ca="1" si="95"/>
        <v>0</v>
      </c>
      <c r="AI305" s="105">
        <f t="shared" ca="1" si="89"/>
        <v>86.39447221545673</v>
      </c>
      <c r="AJ305" s="106">
        <f t="shared" ca="1" si="90"/>
        <v>37.104682911904398</v>
      </c>
      <c r="AK305" s="106">
        <f t="shared" ca="1" si="96"/>
        <v>123.49915512736112</v>
      </c>
      <c r="AL305" s="105">
        <f t="shared" ca="1" si="91"/>
        <v>1360.6881613488149</v>
      </c>
      <c r="AM305" s="322">
        <f ca="1">'monthly calculations (1)'!AM305</f>
        <v>0</v>
      </c>
      <c r="AN305" s="105">
        <f t="shared" ca="1" si="97"/>
        <v>0</v>
      </c>
      <c r="AO305" s="106">
        <f t="shared" ca="1" si="99"/>
        <v>1258622.5560460223</v>
      </c>
      <c r="AP305" s="106">
        <f ca="1">AL305  /  ( 1 + disc_1/12)^(COUNT($AL$6:AL305)-1)</f>
        <v>113.79559471207183</v>
      </c>
      <c r="AQ305" s="106">
        <f t="shared" ca="1" si="100"/>
        <v>738684.71897774923</v>
      </c>
      <c r="AS305" s="304"/>
      <c r="AT305" s="301"/>
      <c r="AU305" s="298"/>
      <c r="AV305" s="304"/>
    </row>
    <row r="306" spans="2:48" x14ac:dyDescent="0.25">
      <c r="B306" s="43">
        <f t="shared" si="98"/>
        <v>53328</v>
      </c>
      <c r="C306" s="79">
        <f t="shared" si="92"/>
        <v>2046</v>
      </c>
      <c r="D306" s="64">
        <f ca="1">wellcount_base  +  SUM('forecast production'!I$7:I307)</f>
        <v>1</v>
      </c>
      <c r="E306" s="110">
        <f ca="1">'forecast production'!AE307</f>
        <v>65.008147944567867</v>
      </c>
      <c r="F306" s="98">
        <f ca="1">'forecast production'!AF307</f>
        <v>492.79625482440213</v>
      </c>
      <c r="G306" s="98">
        <f ca="1">'forecast production'!AG307</f>
        <v>1.8924585292529661E-2</v>
      </c>
      <c r="H306" s="98">
        <f ca="1">'forecast production'!AH307</f>
        <v>73.919438223660322</v>
      </c>
      <c r="I306" s="307">
        <f ca="1">IF('monthly calculations (1)'!AV305,WI_2_APO, WI_2)</f>
        <v>0</v>
      </c>
      <c r="J306" s="306">
        <f ca="1">IF('monthly calculations (1)'!AV305,NRI_2_APO, NRI_2)</f>
        <v>0.25</v>
      </c>
      <c r="K306" s="112">
        <f t="shared" ca="1" si="81"/>
        <v>16.252036986141967</v>
      </c>
      <c r="L306" s="98">
        <f t="shared" ca="1" si="82"/>
        <v>92.399297779575392</v>
      </c>
      <c r="M306" s="98">
        <f t="shared" ca="1" si="83"/>
        <v>4.7311463231324152E-3</v>
      </c>
      <c r="N306" s="98">
        <f t="shared" ca="1" si="84"/>
        <v>18.47985955591508</v>
      </c>
      <c r="O306" s="67">
        <f>assumptions!M310</f>
        <v>55</v>
      </c>
      <c r="P306" s="68">
        <f>assumptions!N310</f>
        <v>3</v>
      </c>
      <c r="Q306" s="68">
        <f>assumptions!O310</f>
        <v>22</v>
      </c>
      <c r="R306" s="67">
        <f t="shared" si="85"/>
        <v>52.5</v>
      </c>
      <c r="S306" s="68">
        <f t="shared" si="86"/>
        <v>2.3275000000000001</v>
      </c>
      <c r="T306" s="68">
        <f t="shared" si="87"/>
        <v>22</v>
      </c>
      <c r="U306" s="73">
        <f t="shared" ca="1" si="93"/>
        <v>853.2319417724533</v>
      </c>
      <c r="V306" s="72">
        <f t="shared" ca="1" si="93"/>
        <v>215.05936558196174</v>
      </c>
      <c r="W306" s="72">
        <f t="shared" ca="1" si="88"/>
        <v>406.55691023013179</v>
      </c>
      <c r="X306" s="72">
        <f t="shared" ca="1" si="94"/>
        <v>1474.8482175845468</v>
      </c>
      <c r="Y306" s="73">
        <f>mult_opex * fixed_month</f>
        <v>1000</v>
      </c>
      <c r="Z306" s="72">
        <f ca="1">mult_opex * fixed_well *D306</f>
        <v>5000</v>
      </c>
      <c r="AA306" s="72">
        <f ca="1">(Z306+Y306)*WI_current_2</f>
        <v>0</v>
      </c>
      <c r="AB306" s="72">
        <f ca="1">mult_opex * var_bo*E306</f>
        <v>0</v>
      </c>
      <c r="AC306" s="72">
        <f ca="1">mult_opex * var_mcf*F306</f>
        <v>0</v>
      </c>
      <c r="AD306" s="72">
        <f ca="1">mult_opex * var_bw * G306</f>
        <v>3.7849170585059322E-2</v>
      </c>
      <c r="AE306" s="72">
        <f ca="1">SUM(AB306:AD306)*WI_current_2</f>
        <v>0</v>
      </c>
      <c r="AF306" s="73">
        <f ca="1">mult_capex * IFERROR(OFFSET(assumptions!$F$39,MATCH(B306,assumptions!$E$39:$E$45,0)-1,0),0)</f>
        <v>0</v>
      </c>
      <c r="AG306" s="75">
        <f ca="1">mult_capex * capex_new*WI_current_2 *'forecast production'!I307</f>
        <v>0</v>
      </c>
      <c r="AH306" s="146">
        <f t="shared" ca="1" si="95"/>
        <v>0</v>
      </c>
      <c r="AI306" s="73">
        <f t="shared" ca="1" si="89"/>
        <v>85.869890007439864</v>
      </c>
      <c r="AJ306" s="72">
        <f t="shared" ca="1" si="90"/>
        <v>36.871205439613668</v>
      </c>
      <c r="AK306" s="72">
        <f t="shared" ca="1" si="96"/>
        <v>122.74109544705354</v>
      </c>
      <c r="AL306" s="73">
        <f t="shared" ca="1" si="91"/>
        <v>1352.1071221374932</v>
      </c>
      <c r="AM306" s="321">
        <f ca="1">'monthly calculations (1)'!AM306</f>
        <v>0</v>
      </c>
      <c r="AN306" s="73">
        <f t="shared" ca="1" si="97"/>
        <v>0</v>
      </c>
      <c r="AO306" s="75">
        <f t="shared" ca="1" si="99"/>
        <v>1258622.5560460223</v>
      </c>
      <c r="AP306" s="72">
        <f ca="1">AL306  /  ( 1 + disc_1/12)^(COUNT($AL$6:AL306)-1)</f>
        <v>112.14342600899371</v>
      </c>
      <c r="AQ306" s="72">
        <f t="shared" ca="1" si="100"/>
        <v>738684.71897774923</v>
      </c>
      <c r="AS306" s="303"/>
      <c r="AT306" s="300"/>
      <c r="AU306" s="297"/>
      <c r="AV306" s="303"/>
    </row>
    <row r="307" spans="2:48" x14ac:dyDescent="0.25">
      <c r="B307" s="43">
        <f t="shared" si="98"/>
        <v>53359</v>
      </c>
      <c r="C307" s="79">
        <f t="shared" si="92"/>
        <v>2046</v>
      </c>
      <c r="D307" s="64">
        <f ca="1">wellcount_base  +  SUM('forecast production'!I$7:I308)</f>
        <v>1</v>
      </c>
      <c r="E307" s="110">
        <f ca="1">'forecast production'!AE308</f>
        <v>58.302687789657718</v>
      </c>
      <c r="F307" s="98">
        <f ca="1">'forecast production'!AF308</f>
        <v>442.77332032513698</v>
      </c>
      <c r="G307" s="98">
        <f ca="1">'forecast production'!AG308</f>
        <v>1.6512328642739865E-2</v>
      </c>
      <c r="H307" s="98">
        <f ca="1">'forecast production'!AH308</f>
        <v>66.415998048770547</v>
      </c>
      <c r="I307" s="307">
        <f ca="1">IF('monthly calculations (1)'!AV306,WI_2_APO, WI_2)</f>
        <v>0</v>
      </c>
      <c r="J307" s="306">
        <f ca="1">IF('monthly calculations (1)'!AV306,NRI_2_APO, NRI_2)</f>
        <v>0.25</v>
      </c>
      <c r="K307" s="112">
        <f t="shared" ca="1" si="81"/>
        <v>14.575671947414429</v>
      </c>
      <c r="L307" s="98">
        <f t="shared" ca="1" si="82"/>
        <v>83.019997560963191</v>
      </c>
      <c r="M307" s="98">
        <f t="shared" ca="1" si="83"/>
        <v>4.1280821606849661E-3</v>
      </c>
      <c r="N307" s="98">
        <f t="shared" ca="1" si="84"/>
        <v>16.603999512192637</v>
      </c>
      <c r="O307" s="67">
        <f>assumptions!M311</f>
        <v>55</v>
      </c>
      <c r="P307" s="68">
        <f>assumptions!N311</f>
        <v>3</v>
      </c>
      <c r="Q307" s="68">
        <f>assumptions!O311</f>
        <v>22</v>
      </c>
      <c r="R307" s="67">
        <f t="shared" si="85"/>
        <v>52.5</v>
      </c>
      <c r="S307" s="68">
        <f t="shared" si="86"/>
        <v>2.3275000000000001</v>
      </c>
      <c r="T307" s="68">
        <f t="shared" si="87"/>
        <v>22</v>
      </c>
      <c r="U307" s="73">
        <f t="shared" ca="1" si="93"/>
        <v>765.22277723925754</v>
      </c>
      <c r="V307" s="72">
        <f t="shared" ca="1" si="93"/>
        <v>193.22904432314184</v>
      </c>
      <c r="W307" s="72">
        <f t="shared" ca="1" si="88"/>
        <v>365.28798926823799</v>
      </c>
      <c r="X307" s="72">
        <f t="shared" ca="1" si="94"/>
        <v>1323.7398108306375</v>
      </c>
      <c r="Y307" s="73">
        <f>mult_opex * fixed_month</f>
        <v>1000</v>
      </c>
      <c r="Z307" s="72">
        <f ca="1">mult_opex * fixed_well *D307</f>
        <v>5000</v>
      </c>
      <c r="AA307" s="72">
        <f ca="1">(Z307+Y307)*WI_current_2</f>
        <v>0</v>
      </c>
      <c r="AB307" s="72">
        <f ca="1">mult_opex * var_bo*E307</f>
        <v>0</v>
      </c>
      <c r="AC307" s="72">
        <f ca="1">mult_opex * var_mcf*F307</f>
        <v>0</v>
      </c>
      <c r="AD307" s="72">
        <f ca="1">mult_opex * var_bw * G307</f>
        <v>3.3024657285479729E-2</v>
      </c>
      <c r="AE307" s="72">
        <f ca="1">SUM(AB307:AD307)*WI_current_2</f>
        <v>0</v>
      </c>
      <c r="AF307" s="73">
        <f ca="1">mult_capex * IFERROR(OFFSET(assumptions!$F$39,MATCH(B307,assumptions!$E$39:$E$45,0)-1,0),0)</f>
        <v>0</v>
      </c>
      <c r="AG307" s="75">
        <f ca="1">mult_capex * capex_new*WI_current_2 *'forecast production'!I308</f>
        <v>0</v>
      </c>
      <c r="AH307" s="146">
        <f t="shared" ca="1" si="95"/>
        <v>0</v>
      </c>
      <c r="AI307" s="73">
        <f t="shared" ca="1" si="89"/>
        <v>77.089025272359336</v>
      </c>
      <c r="AJ307" s="72">
        <f t="shared" ca="1" si="90"/>
        <v>33.093495270765935</v>
      </c>
      <c r="AK307" s="72">
        <f t="shared" ca="1" si="96"/>
        <v>110.18252054312526</v>
      </c>
      <c r="AL307" s="73">
        <f t="shared" ca="1" si="91"/>
        <v>1213.5572902875122</v>
      </c>
      <c r="AM307" s="321">
        <f ca="1">'monthly calculations (1)'!AM307</f>
        <v>0</v>
      </c>
      <c r="AN307" s="73">
        <f t="shared" ca="1" si="97"/>
        <v>0</v>
      </c>
      <c r="AO307" s="75">
        <f t="shared" ca="1" si="99"/>
        <v>1258622.5560460223</v>
      </c>
      <c r="AP307" s="72">
        <f ca="1">AL307  /  ( 1 + disc_1/12)^(COUNT($AL$6:AL307)-1)</f>
        <v>99.820301813464923</v>
      </c>
      <c r="AQ307" s="72">
        <f t="shared" ca="1" si="100"/>
        <v>738684.71897774923</v>
      </c>
      <c r="AS307" s="303"/>
      <c r="AT307" s="300"/>
      <c r="AU307" s="297"/>
      <c r="AV307" s="303"/>
    </row>
    <row r="308" spans="2:48" x14ac:dyDescent="0.25">
      <c r="B308" s="43">
        <f t="shared" si="98"/>
        <v>53387</v>
      </c>
      <c r="C308" s="79">
        <f t="shared" si="92"/>
        <v>2046</v>
      </c>
      <c r="D308" s="64">
        <f ca="1">wellcount_base  +  SUM('forecast production'!I$7:I309)</f>
        <v>1</v>
      </c>
      <c r="E308" s="110">
        <f ca="1">'forecast production'!AE309</f>
        <v>64.137838369568271</v>
      </c>
      <c r="F308" s="98">
        <f ca="1">'forecast production'!AF309</f>
        <v>487.89198288974507</v>
      </c>
      <c r="G308" s="98">
        <f ca="1">'forecast production'!AG309</f>
        <v>1.7719556043480144E-2</v>
      </c>
      <c r="H308" s="98">
        <f ca="1">'forecast production'!AH309</f>
        <v>73.183797433461763</v>
      </c>
      <c r="I308" s="307">
        <f ca="1">IF('monthly calculations (1)'!AV307,WI_2_APO, WI_2)</f>
        <v>0</v>
      </c>
      <c r="J308" s="306">
        <f ca="1">IF('monthly calculations (1)'!AV307,NRI_2_APO, NRI_2)</f>
        <v>0.25</v>
      </c>
      <c r="K308" s="112">
        <f t="shared" ca="1" si="81"/>
        <v>16.034459592392068</v>
      </c>
      <c r="L308" s="98">
        <f t="shared" ca="1" si="82"/>
        <v>91.479746791827196</v>
      </c>
      <c r="M308" s="98">
        <f t="shared" ca="1" si="83"/>
        <v>4.429889010870036E-3</v>
      </c>
      <c r="N308" s="98">
        <f t="shared" ca="1" si="84"/>
        <v>18.295949358365441</v>
      </c>
      <c r="O308" s="67">
        <f>assumptions!M312</f>
        <v>55</v>
      </c>
      <c r="P308" s="68">
        <f>assumptions!N312</f>
        <v>3</v>
      </c>
      <c r="Q308" s="68">
        <f>assumptions!O312</f>
        <v>22</v>
      </c>
      <c r="R308" s="67">
        <f t="shared" si="85"/>
        <v>52.5</v>
      </c>
      <c r="S308" s="68">
        <f t="shared" si="86"/>
        <v>2.3275000000000001</v>
      </c>
      <c r="T308" s="68">
        <f t="shared" si="87"/>
        <v>22</v>
      </c>
      <c r="U308" s="73">
        <f t="shared" ca="1" si="93"/>
        <v>841.80912860058356</v>
      </c>
      <c r="V308" s="72">
        <f t="shared" ca="1" si="93"/>
        <v>212.9191106579778</v>
      </c>
      <c r="W308" s="72">
        <f t="shared" ca="1" si="88"/>
        <v>402.51088588403968</v>
      </c>
      <c r="X308" s="72">
        <f t="shared" ca="1" si="94"/>
        <v>1457.2391251426011</v>
      </c>
      <c r="Y308" s="73">
        <f>mult_opex * fixed_month</f>
        <v>1000</v>
      </c>
      <c r="Z308" s="72">
        <f ca="1">mult_opex * fixed_well *D308</f>
        <v>5000</v>
      </c>
      <c r="AA308" s="72">
        <f ca="1">(Z308+Y308)*WI_current_2</f>
        <v>0</v>
      </c>
      <c r="AB308" s="72">
        <f ca="1">mult_opex * var_bo*E308</f>
        <v>0</v>
      </c>
      <c r="AC308" s="72">
        <f ca="1">mult_opex * var_mcf*F308</f>
        <v>0</v>
      </c>
      <c r="AD308" s="72">
        <f ca="1">mult_opex * var_bw * G308</f>
        <v>3.5439112086960288E-2</v>
      </c>
      <c r="AE308" s="72">
        <f ca="1">SUM(AB308:AD308)*WI_current_2</f>
        <v>0</v>
      </c>
      <c r="AF308" s="73">
        <f ca="1">mult_capex * IFERROR(OFFSET(assumptions!$F$39,MATCH(B308,assumptions!$E$39:$E$45,0)-1,0),0)</f>
        <v>0</v>
      </c>
      <c r="AG308" s="75">
        <f ca="1">mult_capex * capex_new*WI_current_2 *'forecast production'!I309</f>
        <v>0</v>
      </c>
      <c r="AH308" s="146">
        <f t="shared" ca="1" si="95"/>
        <v>0</v>
      </c>
      <c r="AI308" s="73">
        <f t="shared" ca="1" si="89"/>
        <v>84.880469656278152</v>
      </c>
      <c r="AJ308" s="72">
        <f t="shared" ca="1" si="90"/>
        <v>36.43097812856503</v>
      </c>
      <c r="AK308" s="72">
        <f t="shared" ca="1" si="96"/>
        <v>121.31144778484318</v>
      </c>
      <c r="AL308" s="73">
        <f t="shared" ca="1" si="91"/>
        <v>1335.9276773577578</v>
      </c>
      <c r="AM308" s="321">
        <f ca="1">'monthly calculations (1)'!AM308</f>
        <v>0</v>
      </c>
      <c r="AN308" s="73">
        <f t="shared" ca="1" si="97"/>
        <v>0</v>
      </c>
      <c r="AO308" s="75">
        <f t="shared" ca="1" si="99"/>
        <v>1258622.5560460223</v>
      </c>
      <c r="AP308" s="72">
        <f ca="1">AL308  /  ( 1 + disc_1/12)^(COUNT($AL$6:AL308)-1)</f>
        <v>108.97764493758982</v>
      </c>
      <c r="AQ308" s="72">
        <f t="shared" ca="1" si="100"/>
        <v>738684.71897774923</v>
      </c>
      <c r="AS308" s="303"/>
      <c r="AT308" s="300"/>
      <c r="AU308" s="297"/>
      <c r="AV308" s="303"/>
    </row>
    <row r="309" spans="2:48" x14ac:dyDescent="0.25">
      <c r="B309" s="43">
        <f t="shared" si="98"/>
        <v>53418</v>
      </c>
      <c r="C309" s="79">
        <f t="shared" si="92"/>
        <v>2046</v>
      </c>
      <c r="D309" s="64">
        <f ca="1">wellcount_base  +  SUM('forecast production'!I$7:I310)</f>
        <v>1</v>
      </c>
      <c r="E309" s="108">
        <f ca="1">'forecast production'!AE310</f>
        <v>61.630873824457986</v>
      </c>
      <c r="F309" s="97">
        <f ca="1">'forecast production'!AF310</f>
        <v>469.67879243612902</v>
      </c>
      <c r="G309" s="97">
        <f ca="1">'forecast production'!AG310</f>
        <v>1.6565439031366192E-2</v>
      </c>
      <c r="H309" s="98">
        <f ca="1">'forecast production'!AH310</f>
        <v>70.451818865419355</v>
      </c>
      <c r="I309" s="307">
        <f ca="1">IF('monthly calculations (1)'!AV308,WI_2_APO, WI_2)</f>
        <v>0</v>
      </c>
      <c r="J309" s="306">
        <f ca="1">IF('monthly calculations (1)'!AV308,NRI_2_APO, NRI_2)</f>
        <v>0.25</v>
      </c>
      <c r="K309" s="112">
        <f t="shared" ca="1" si="81"/>
        <v>15.407718456114496</v>
      </c>
      <c r="L309" s="98">
        <f t="shared" ca="1" si="82"/>
        <v>88.06477358177419</v>
      </c>
      <c r="M309" s="98">
        <f t="shared" ca="1" si="83"/>
        <v>4.141359757841548E-3</v>
      </c>
      <c r="N309" s="98">
        <f t="shared" ca="1" si="84"/>
        <v>17.612954716354839</v>
      </c>
      <c r="O309" s="67">
        <f>assumptions!M313</f>
        <v>55</v>
      </c>
      <c r="P309" s="68">
        <f>assumptions!N313</f>
        <v>3</v>
      </c>
      <c r="Q309" s="68">
        <f>assumptions!O313</f>
        <v>22</v>
      </c>
      <c r="R309" s="67">
        <f t="shared" si="85"/>
        <v>52.5</v>
      </c>
      <c r="S309" s="68">
        <f t="shared" si="86"/>
        <v>2.3275000000000001</v>
      </c>
      <c r="T309" s="68">
        <f t="shared" si="87"/>
        <v>22</v>
      </c>
      <c r="U309" s="73">
        <f t="shared" ca="1" si="93"/>
        <v>808.90521894601102</v>
      </c>
      <c r="V309" s="72">
        <f t="shared" ca="1" si="93"/>
        <v>204.97076051157944</v>
      </c>
      <c r="W309" s="72">
        <f t="shared" ca="1" si="88"/>
        <v>387.48500375980643</v>
      </c>
      <c r="X309" s="72">
        <f t="shared" ca="1" si="94"/>
        <v>1401.360983217397</v>
      </c>
      <c r="Y309" s="73">
        <f>mult_opex * fixed_month</f>
        <v>1000</v>
      </c>
      <c r="Z309" s="72">
        <f ca="1">mult_opex * fixed_well *D309</f>
        <v>5000</v>
      </c>
      <c r="AA309" s="72">
        <f ca="1">(Z309+Y309)*WI_current_2</f>
        <v>0</v>
      </c>
      <c r="AB309" s="72">
        <f ca="1">mult_opex * var_bo*E309</f>
        <v>0</v>
      </c>
      <c r="AC309" s="72">
        <f ca="1">mult_opex * var_mcf*F309</f>
        <v>0</v>
      </c>
      <c r="AD309" s="72">
        <f ca="1">mult_opex * var_bw * G309</f>
        <v>3.3130878062732384E-2</v>
      </c>
      <c r="AE309" s="72">
        <f ca="1">SUM(AB309:AD309)*WI_current_2</f>
        <v>0</v>
      </c>
      <c r="AF309" s="73">
        <f ca="1">mult_capex * IFERROR(OFFSET(assumptions!$F$39,MATCH(B309,assumptions!$E$39:$E$45,0)-1,0),0)</f>
        <v>0</v>
      </c>
      <c r="AG309" s="75">
        <f ca="1">mult_capex * capex_new*WI_current_2 *'forecast production'!I310</f>
        <v>0</v>
      </c>
      <c r="AH309" s="146">
        <f t="shared" ca="1" si="95"/>
        <v>0</v>
      </c>
      <c r="AI309" s="73">
        <f t="shared" ca="1" si="89"/>
        <v>81.643822391870444</v>
      </c>
      <c r="AJ309" s="72">
        <f t="shared" ca="1" si="90"/>
        <v>35.034024580434924</v>
      </c>
      <c r="AK309" s="72">
        <f t="shared" ca="1" si="96"/>
        <v>116.67784697230536</v>
      </c>
      <c r="AL309" s="73">
        <f t="shared" ca="1" si="91"/>
        <v>1284.6831362450916</v>
      </c>
      <c r="AM309" s="321">
        <f ca="1">'monthly calculations (1)'!AM309</f>
        <v>0</v>
      </c>
      <c r="AN309" s="73">
        <f t="shared" ca="1" si="97"/>
        <v>0</v>
      </c>
      <c r="AO309" s="75">
        <f t="shared" ca="1" si="99"/>
        <v>1258622.5560460223</v>
      </c>
      <c r="AP309" s="72">
        <f ca="1">AL309  /  ( 1 + disc_1/12)^(COUNT($AL$6:AL309)-1)</f>
        <v>103.93130244740804</v>
      </c>
      <c r="AQ309" s="72">
        <f t="shared" ca="1" si="100"/>
        <v>738684.71897774923</v>
      </c>
      <c r="AS309" s="303"/>
      <c r="AT309" s="300"/>
      <c r="AU309" s="297"/>
      <c r="AV309" s="303"/>
    </row>
    <row r="310" spans="2:48" x14ac:dyDescent="0.25">
      <c r="B310" s="43">
        <f t="shared" si="98"/>
        <v>53448</v>
      </c>
      <c r="C310" s="79">
        <f t="shared" si="92"/>
        <v>2046</v>
      </c>
      <c r="D310" s="64">
        <f ca="1">wellcount_base  +  SUM('forecast production'!I$7:I311)</f>
        <v>1</v>
      </c>
      <c r="E310" s="110">
        <f ca="1">'forecast production'!AE311</f>
        <v>63.25027549984825</v>
      </c>
      <c r="F310" s="98">
        <f ca="1">'forecast production'!AF311</f>
        <v>482.87277536773485</v>
      </c>
      <c r="G310" s="98">
        <f ca="1">'forecast production'!AG311</f>
        <v>1.6554672260123159E-2</v>
      </c>
      <c r="H310" s="98">
        <f ca="1">'forecast production'!AH311</f>
        <v>72.430916305160224</v>
      </c>
      <c r="I310" s="307">
        <f ca="1">IF('monthly calculations (1)'!AV309,WI_2_APO, WI_2)</f>
        <v>0</v>
      </c>
      <c r="J310" s="306">
        <f ca="1">IF('monthly calculations (1)'!AV309,NRI_2_APO, NRI_2)</f>
        <v>0.25</v>
      </c>
      <c r="K310" s="112">
        <f t="shared" ca="1" si="81"/>
        <v>15.812568874962063</v>
      </c>
      <c r="L310" s="98">
        <f t="shared" ca="1" si="82"/>
        <v>90.53864538145028</v>
      </c>
      <c r="M310" s="98">
        <f t="shared" ca="1" si="83"/>
        <v>4.1386680650307896E-3</v>
      </c>
      <c r="N310" s="98">
        <f t="shared" ca="1" si="84"/>
        <v>18.107729076290056</v>
      </c>
      <c r="O310" s="67">
        <f>assumptions!M314</f>
        <v>55</v>
      </c>
      <c r="P310" s="68">
        <f>assumptions!N314</f>
        <v>3</v>
      </c>
      <c r="Q310" s="68">
        <f>assumptions!O314</f>
        <v>22</v>
      </c>
      <c r="R310" s="67">
        <f t="shared" si="85"/>
        <v>52.5</v>
      </c>
      <c r="S310" s="68">
        <f t="shared" si="86"/>
        <v>2.3275000000000001</v>
      </c>
      <c r="T310" s="68">
        <f t="shared" si="87"/>
        <v>22</v>
      </c>
      <c r="U310" s="73">
        <f t="shared" ca="1" si="93"/>
        <v>830.15986593550826</v>
      </c>
      <c r="V310" s="72">
        <f t="shared" ca="1" si="93"/>
        <v>210.72869712532554</v>
      </c>
      <c r="W310" s="72">
        <f t="shared" ca="1" si="88"/>
        <v>398.3700396783812</v>
      </c>
      <c r="X310" s="72">
        <f t="shared" ca="1" si="94"/>
        <v>1439.2586027392149</v>
      </c>
      <c r="Y310" s="73">
        <f>mult_opex * fixed_month</f>
        <v>1000</v>
      </c>
      <c r="Z310" s="72">
        <f ca="1">mult_opex * fixed_well *D310</f>
        <v>5000</v>
      </c>
      <c r="AA310" s="72">
        <f ca="1">(Z310+Y310)*WI_current_2</f>
        <v>0</v>
      </c>
      <c r="AB310" s="72">
        <f ca="1">mult_opex * var_bo*E310</f>
        <v>0</v>
      </c>
      <c r="AC310" s="72">
        <f ca="1">mult_opex * var_mcf*F310</f>
        <v>0</v>
      </c>
      <c r="AD310" s="72">
        <f ca="1">mult_opex * var_bw * G310</f>
        <v>3.3109344520246317E-2</v>
      </c>
      <c r="AE310" s="72">
        <f ca="1">SUM(AB310:AD310)*WI_current_2</f>
        <v>0</v>
      </c>
      <c r="AF310" s="73">
        <f ca="1">mult_capex * IFERROR(OFFSET(assumptions!$F$39,MATCH(B310,assumptions!$E$39:$E$45,0)-1,0),0)</f>
        <v>0</v>
      </c>
      <c r="AG310" s="75">
        <f ca="1">mult_capex * capex_new*WI_current_2 *'forecast production'!I311</f>
        <v>0</v>
      </c>
      <c r="AH310" s="146">
        <f t="shared" ca="1" si="95"/>
        <v>0</v>
      </c>
      <c r="AI310" s="73">
        <f t="shared" ca="1" si="89"/>
        <v>83.869759093311387</v>
      </c>
      <c r="AJ310" s="72">
        <f t="shared" ca="1" si="90"/>
        <v>35.981465068480375</v>
      </c>
      <c r="AK310" s="72">
        <f t="shared" ca="1" si="96"/>
        <v>119.85122416179176</v>
      </c>
      <c r="AL310" s="73">
        <f t="shared" ca="1" si="91"/>
        <v>1319.4073785774231</v>
      </c>
      <c r="AM310" s="321">
        <f ca="1">'monthly calculations (1)'!AM310</f>
        <v>0</v>
      </c>
      <c r="AN310" s="73">
        <f t="shared" ca="1" si="97"/>
        <v>0</v>
      </c>
      <c r="AO310" s="75">
        <f t="shared" ca="1" si="99"/>
        <v>1258622.5560460223</v>
      </c>
      <c r="AP310" s="72">
        <f ca="1">AL310  /  ( 1 + disc_1/12)^(COUNT($AL$6:AL310)-1)</f>
        <v>105.85835251886553</v>
      </c>
      <c r="AQ310" s="72">
        <f t="shared" ca="1" si="100"/>
        <v>738684.71897774923</v>
      </c>
      <c r="AS310" s="303"/>
      <c r="AT310" s="300"/>
      <c r="AU310" s="297"/>
      <c r="AV310" s="303"/>
    </row>
    <row r="311" spans="2:48" x14ac:dyDescent="0.25">
      <c r="B311" s="43">
        <f t="shared" si="98"/>
        <v>53479</v>
      </c>
      <c r="C311" s="79">
        <f t="shared" si="92"/>
        <v>2046</v>
      </c>
      <c r="D311" s="64">
        <f ca="1">wellcount_base  +  SUM('forecast production'!I$7:I312)</f>
        <v>1</v>
      </c>
      <c r="E311" s="110">
        <f ca="1">'forecast production'!AE312</f>
        <v>60.77800324718978</v>
      </c>
      <c r="F311" s="98">
        <f ca="1">'forecast production'!AF312</f>
        <v>464.84695381078149</v>
      </c>
      <c r="G311" s="98">
        <f ca="1">'forecast production'!AG312</f>
        <v>1.5476608724221658E-2</v>
      </c>
      <c r="H311" s="98">
        <f ca="1">'forecast production'!AH312</f>
        <v>69.727043071617231</v>
      </c>
      <c r="I311" s="307">
        <f ca="1">IF('monthly calculations (1)'!AV310,WI_2_APO, WI_2)</f>
        <v>0</v>
      </c>
      <c r="J311" s="306">
        <f ca="1">IF('monthly calculations (1)'!AV310,NRI_2_APO, NRI_2)</f>
        <v>0.25</v>
      </c>
      <c r="K311" s="112">
        <f t="shared" ca="1" si="81"/>
        <v>15.194500811797445</v>
      </c>
      <c r="L311" s="98">
        <f t="shared" ca="1" si="82"/>
        <v>87.158803839521525</v>
      </c>
      <c r="M311" s="98">
        <f t="shared" ca="1" si="83"/>
        <v>3.8691521810554144E-3</v>
      </c>
      <c r="N311" s="98">
        <f t="shared" ca="1" si="84"/>
        <v>17.431760767904308</v>
      </c>
      <c r="O311" s="67">
        <f>assumptions!M315</f>
        <v>55</v>
      </c>
      <c r="P311" s="68">
        <f>assumptions!N315</f>
        <v>3</v>
      </c>
      <c r="Q311" s="68">
        <f>assumptions!O315</f>
        <v>22</v>
      </c>
      <c r="R311" s="67">
        <f t="shared" si="85"/>
        <v>52.5</v>
      </c>
      <c r="S311" s="68">
        <f t="shared" si="86"/>
        <v>2.3275000000000001</v>
      </c>
      <c r="T311" s="68">
        <f t="shared" si="87"/>
        <v>22</v>
      </c>
      <c r="U311" s="73">
        <f t="shared" ca="1" si="93"/>
        <v>797.71129261936585</v>
      </c>
      <c r="V311" s="72">
        <f t="shared" ca="1" si="93"/>
        <v>202.86211593648636</v>
      </c>
      <c r="W311" s="72">
        <f t="shared" ca="1" si="88"/>
        <v>383.49873689389477</v>
      </c>
      <c r="X311" s="72">
        <f t="shared" ca="1" si="94"/>
        <v>1384.072145449747</v>
      </c>
      <c r="Y311" s="73">
        <f>mult_opex * fixed_month</f>
        <v>1000</v>
      </c>
      <c r="Z311" s="72">
        <f ca="1">mult_opex * fixed_well *D311</f>
        <v>5000</v>
      </c>
      <c r="AA311" s="72">
        <f ca="1">(Z311+Y311)*WI_current_2</f>
        <v>0</v>
      </c>
      <c r="AB311" s="72">
        <f ca="1">mult_opex * var_bo*E311</f>
        <v>0</v>
      </c>
      <c r="AC311" s="72">
        <f ca="1">mult_opex * var_mcf*F311</f>
        <v>0</v>
      </c>
      <c r="AD311" s="72">
        <f ca="1">mult_opex * var_bw * G311</f>
        <v>3.0953217448443315E-2</v>
      </c>
      <c r="AE311" s="72">
        <f ca="1">SUM(AB311:AD311)*WI_current_2</f>
        <v>0</v>
      </c>
      <c r="AF311" s="73">
        <f ca="1">mult_capex * IFERROR(OFFSET(assumptions!$F$39,MATCH(B311,assumptions!$E$39:$E$45,0)-1,0),0)</f>
        <v>0</v>
      </c>
      <c r="AG311" s="75">
        <f ca="1">mult_capex * capex_new*WI_current_2 *'forecast production'!I312</f>
        <v>0</v>
      </c>
      <c r="AH311" s="146">
        <f t="shared" ca="1" si="95"/>
        <v>0</v>
      </c>
      <c r="AI311" s="73">
        <f t="shared" ca="1" si="89"/>
        <v>80.671783422769423</v>
      </c>
      <c r="AJ311" s="72">
        <f t="shared" ca="1" si="90"/>
        <v>34.60180363624368</v>
      </c>
      <c r="AK311" s="72">
        <f t="shared" ca="1" si="96"/>
        <v>115.2735870590131</v>
      </c>
      <c r="AL311" s="73">
        <f t="shared" ca="1" si="91"/>
        <v>1268.7985583907339</v>
      </c>
      <c r="AM311" s="321">
        <f ca="1">'monthly calculations (1)'!AM311</f>
        <v>0</v>
      </c>
      <c r="AN311" s="73">
        <f t="shared" ca="1" si="97"/>
        <v>0</v>
      </c>
      <c r="AO311" s="75">
        <f t="shared" ca="1" si="99"/>
        <v>1258622.5560460223</v>
      </c>
      <c r="AP311" s="72">
        <f ca="1">AL311  /  ( 1 + disc_1/12)^(COUNT($AL$6:AL311)-1)</f>
        <v>100.95661359651082</v>
      </c>
      <c r="AQ311" s="72">
        <f t="shared" ca="1" si="100"/>
        <v>738684.71897774923</v>
      </c>
      <c r="AS311" s="303"/>
      <c r="AT311" s="300"/>
      <c r="AU311" s="297"/>
      <c r="AV311" s="303"/>
    </row>
    <row r="312" spans="2:48" x14ac:dyDescent="0.25">
      <c r="B312" s="43">
        <f t="shared" si="98"/>
        <v>53509</v>
      </c>
      <c r="C312" s="79">
        <f t="shared" si="92"/>
        <v>2046</v>
      </c>
      <c r="D312" s="64">
        <f ca="1">wellcount_base  +  SUM('forecast production'!I$7:I313)</f>
        <v>1</v>
      </c>
      <c r="E312" s="110">
        <f ca="1">'forecast production'!AE313</f>
        <v>62.374995049800155</v>
      </c>
      <c r="F312" s="98">
        <f ca="1">'forecast production'!AF313</f>
        <v>477.90520313597841</v>
      </c>
      <c r="G312" s="98">
        <f ca="1">'forecast production'!AG313</f>
        <v>1.5466725418258108E-2</v>
      </c>
      <c r="H312" s="98">
        <f ca="1">'forecast production'!AH313</f>
        <v>71.685780470396764</v>
      </c>
      <c r="I312" s="307">
        <f ca="1">IF('monthly calculations (1)'!AV311,WI_2_APO, WI_2)</f>
        <v>0</v>
      </c>
      <c r="J312" s="306">
        <f ca="1">IF('monthly calculations (1)'!AV311,NRI_2_APO, NRI_2)</f>
        <v>0.25</v>
      </c>
      <c r="K312" s="112">
        <f t="shared" ca="1" si="81"/>
        <v>15.593748762450039</v>
      </c>
      <c r="L312" s="98">
        <f t="shared" ca="1" si="82"/>
        <v>89.607225587995956</v>
      </c>
      <c r="M312" s="98">
        <f t="shared" ca="1" si="83"/>
        <v>3.8666813545645269E-3</v>
      </c>
      <c r="N312" s="98">
        <f t="shared" ca="1" si="84"/>
        <v>17.921445117599191</v>
      </c>
      <c r="O312" s="67">
        <f>assumptions!M316</f>
        <v>55</v>
      </c>
      <c r="P312" s="68">
        <f>assumptions!N316</f>
        <v>3</v>
      </c>
      <c r="Q312" s="68">
        <f>assumptions!O316</f>
        <v>22</v>
      </c>
      <c r="R312" s="67">
        <f t="shared" si="85"/>
        <v>52.5</v>
      </c>
      <c r="S312" s="68">
        <f t="shared" si="86"/>
        <v>2.3275000000000001</v>
      </c>
      <c r="T312" s="68">
        <f t="shared" si="87"/>
        <v>22</v>
      </c>
      <c r="U312" s="73">
        <f t="shared" ca="1" si="93"/>
        <v>818.67181002862708</v>
      </c>
      <c r="V312" s="72">
        <f t="shared" ca="1" si="93"/>
        <v>208.56081755606058</v>
      </c>
      <c r="W312" s="72">
        <f t="shared" ca="1" si="88"/>
        <v>394.27179258718218</v>
      </c>
      <c r="X312" s="72">
        <f t="shared" ca="1" si="94"/>
        <v>1421.5044201718697</v>
      </c>
      <c r="Y312" s="73">
        <f>mult_opex * fixed_month</f>
        <v>1000</v>
      </c>
      <c r="Z312" s="72">
        <f ca="1">mult_opex * fixed_well *D312</f>
        <v>5000</v>
      </c>
      <c r="AA312" s="72">
        <f ca="1">(Z312+Y312)*WI_current_2</f>
        <v>0</v>
      </c>
      <c r="AB312" s="72">
        <f ca="1">mult_opex * var_bo*E312</f>
        <v>0</v>
      </c>
      <c r="AC312" s="72">
        <f ca="1">mult_opex * var_mcf*F312</f>
        <v>0</v>
      </c>
      <c r="AD312" s="72">
        <f ca="1">mult_opex * var_bw * G312</f>
        <v>3.0933450836516215E-2</v>
      </c>
      <c r="AE312" s="72">
        <f ca="1">SUM(AB312:AD312)*WI_current_2</f>
        <v>0</v>
      </c>
      <c r="AF312" s="73">
        <f ca="1">mult_capex * IFERROR(OFFSET(assumptions!$F$39,MATCH(B312,assumptions!$E$39:$E$45,0)-1,0),0)</f>
        <v>0</v>
      </c>
      <c r="AG312" s="75">
        <f ca="1">mult_capex * capex_new*WI_current_2 *'forecast production'!I313</f>
        <v>0</v>
      </c>
      <c r="AH312" s="146">
        <f t="shared" ca="1" si="95"/>
        <v>0</v>
      </c>
      <c r="AI312" s="73">
        <f t="shared" ca="1" si="89"/>
        <v>82.871349022060045</v>
      </c>
      <c r="AJ312" s="72">
        <f t="shared" ca="1" si="90"/>
        <v>35.537610504296744</v>
      </c>
      <c r="AK312" s="72">
        <f t="shared" ca="1" si="96"/>
        <v>118.4089595263568</v>
      </c>
      <c r="AL312" s="73">
        <f t="shared" ca="1" si="91"/>
        <v>1303.095460645513</v>
      </c>
      <c r="AM312" s="321">
        <f ca="1">'monthly calculations (1)'!AM312</f>
        <v>0</v>
      </c>
      <c r="AN312" s="73">
        <f t="shared" ca="1" si="97"/>
        <v>0</v>
      </c>
      <c r="AO312" s="75">
        <f t="shared" ca="1" si="99"/>
        <v>1258622.5560460223</v>
      </c>
      <c r="AP312" s="72">
        <f ca="1">AL312  /  ( 1 + disc_1/12)^(COUNT($AL$6:AL312)-1)</f>
        <v>102.82866693107955</v>
      </c>
      <c r="AQ312" s="72">
        <f t="shared" ca="1" si="100"/>
        <v>738684.71897774923</v>
      </c>
      <c r="AS312" s="303"/>
      <c r="AT312" s="300"/>
      <c r="AU312" s="297"/>
      <c r="AV312" s="303"/>
    </row>
    <row r="313" spans="2:48" x14ac:dyDescent="0.25">
      <c r="B313" s="43">
        <f t="shared" si="98"/>
        <v>53540</v>
      </c>
      <c r="C313" s="79">
        <f t="shared" si="92"/>
        <v>2046</v>
      </c>
      <c r="D313" s="64">
        <f ca="1">wellcount_base  +  SUM('forecast production'!I$7:I314)</f>
        <v>1</v>
      </c>
      <c r="E313" s="108">
        <f ca="1">'forecast production'!AE314</f>
        <v>61.934832838458377</v>
      </c>
      <c r="F313" s="97">
        <f ca="1">'forecast production'!AF314</f>
        <v>475.4003170079954</v>
      </c>
      <c r="G313" s="97">
        <f ca="1">'forecast production'!AG314</f>
        <v>1.4941669603489648E-2</v>
      </c>
      <c r="H313" s="98">
        <f ca="1">'forecast production'!AH314</f>
        <v>71.310047551199318</v>
      </c>
      <c r="I313" s="307">
        <f ca="1">IF('monthly calculations (1)'!AV312,WI_2_APO, WI_2)</f>
        <v>0</v>
      </c>
      <c r="J313" s="306">
        <f ca="1">IF('monthly calculations (1)'!AV312,NRI_2_APO, NRI_2)</f>
        <v>0.25</v>
      </c>
      <c r="K313" s="112">
        <f t="shared" ca="1" si="81"/>
        <v>15.483708209614594</v>
      </c>
      <c r="L313" s="98">
        <f t="shared" ca="1" si="82"/>
        <v>89.137559438999133</v>
      </c>
      <c r="M313" s="98">
        <f t="shared" ca="1" si="83"/>
        <v>3.7354174008724121E-3</v>
      </c>
      <c r="N313" s="98">
        <f t="shared" ca="1" si="84"/>
        <v>17.82751188779983</v>
      </c>
      <c r="O313" s="67">
        <f>assumptions!M317</f>
        <v>55</v>
      </c>
      <c r="P313" s="68">
        <f>assumptions!N317</f>
        <v>3</v>
      </c>
      <c r="Q313" s="68">
        <f>assumptions!O317</f>
        <v>22</v>
      </c>
      <c r="R313" s="67">
        <f t="shared" si="85"/>
        <v>52.5</v>
      </c>
      <c r="S313" s="68">
        <f t="shared" si="86"/>
        <v>2.3275000000000001</v>
      </c>
      <c r="T313" s="68">
        <f t="shared" si="87"/>
        <v>22</v>
      </c>
      <c r="U313" s="73">
        <f t="shared" ca="1" si="93"/>
        <v>812.8946810047662</v>
      </c>
      <c r="V313" s="72">
        <f t="shared" ca="1" si="93"/>
        <v>207.46766959427049</v>
      </c>
      <c r="W313" s="72">
        <f t="shared" ca="1" si="88"/>
        <v>392.20526153159625</v>
      </c>
      <c r="X313" s="72">
        <f t="shared" ca="1" si="94"/>
        <v>1412.5676121306331</v>
      </c>
      <c r="Y313" s="73">
        <f>mult_opex * fixed_month</f>
        <v>1000</v>
      </c>
      <c r="Z313" s="72">
        <f ca="1">mult_opex * fixed_well *D313</f>
        <v>5000</v>
      </c>
      <c r="AA313" s="72">
        <f ca="1">(Z313+Y313)*WI_current_2</f>
        <v>0</v>
      </c>
      <c r="AB313" s="72">
        <f ca="1">mult_opex * var_bo*E313</f>
        <v>0</v>
      </c>
      <c r="AC313" s="72">
        <f ca="1">mult_opex * var_mcf*F313</f>
        <v>0</v>
      </c>
      <c r="AD313" s="72">
        <f ca="1">mult_opex * var_bw * G313</f>
        <v>2.9883339206979297E-2</v>
      </c>
      <c r="AE313" s="72">
        <f ca="1">SUM(AB313:AD313)*WI_current_2</f>
        <v>0</v>
      </c>
      <c r="AF313" s="73">
        <f ca="1">mult_capex * IFERROR(OFFSET(assumptions!$F$39,MATCH(B313,assumptions!$E$39:$E$45,0)-1,0),0)</f>
        <v>0</v>
      </c>
      <c r="AG313" s="75">
        <f ca="1">mult_capex * capex_new*WI_current_2 *'forecast production'!I314</f>
        <v>0</v>
      </c>
      <c r="AH313" s="146">
        <f t="shared" ca="1" si="95"/>
        <v>0</v>
      </c>
      <c r="AI313" s="73">
        <f t="shared" ca="1" si="89"/>
        <v>82.368625160659249</v>
      </c>
      <c r="AJ313" s="72">
        <f t="shared" ca="1" si="90"/>
        <v>35.314190303265825</v>
      </c>
      <c r="AK313" s="72">
        <f t="shared" ca="1" si="96"/>
        <v>117.68281546392507</v>
      </c>
      <c r="AL313" s="73">
        <f t="shared" ca="1" si="91"/>
        <v>1294.8847966667081</v>
      </c>
      <c r="AM313" s="321">
        <f ca="1">'monthly calculations (1)'!AM313</f>
        <v>0</v>
      </c>
      <c r="AN313" s="73">
        <f t="shared" ca="1" si="97"/>
        <v>0</v>
      </c>
      <c r="AO313" s="75">
        <f t="shared" ca="1" si="99"/>
        <v>1258622.5560460223</v>
      </c>
      <c r="AP313" s="72">
        <f ca="1">AL313  /  ( 1 + disc_1/12)^(COUNT($AL$6:AL313)-1)</f>
        <v>101.33628554303866</v>
      </c>
      <c r="AQ313" s="72">
        <f t="shared" ca="1" si="100"/>
        <v>738684.71897774923</v>
      </c>
      <c r="AS313" s="303"/>
      <c r="AT313" s="300"/>
      <c r="AU313" s="297"/>
      <c r="AV313" s="303"/>
    </row>
    <row r="314" spans="2:48" x14ac:dyDescent="0.25">
      <c r="B314" s="43">
        <f t="shared" si="98"/>
        <v>53571</v>
      </c>
      <c r="C314" s="79">
        <f t="shared" si="92"/>
        <v>2046</v>
      </c>
      <c r="D314" s="64">
        <f ca="1">wellcount_base  +  SUM('forecast production'!I$7:I315)</f>
        <v>1</v>
      </c>
      <c r="E314" s="110">
        <f ca="1">'forecast production'!AE315</f>
        <v>59.513977474754412</v>
      </c>
      <c r="F314" s="98">
        <f ca="1">'forecast production'!AF315</f>
        <v>457.65344512030396</v>
      </c>
      <c r="G314" s="98">
        <f ca="1">'forecast production'!AG315</f>
        <v>1.3968894353386331E-2</v>
      </c>
      <c r="H314" s="98">
        <f ca="1">'forecast production'!AH315</f>
        <v>68.648016768045579</v>
      </c>
      <c r="I314" s="307">
        <f ca="1">IF('monthly calculations (1)'!AV313,WI_2_APO, WI_2)</f>
        <v>0</v>
      </c>
      <c r="J314" s="306">
        <f ca="1">IF('monthly calculations (1)'!AV313,NRI_2_APO, NRI_2)</f>
        <v>0.25</v>
      </c>
      <c r="K314" s="112">
        <f t="shared" ca="1" si="81"/>
        <v>14.878494368688603</v>
      </c>
      <c r="L314" s="98">
        <f t="shared" ca="1" si="82"/>
        <v>85.810020960056988</v>
      </c>
      <c r="M314" s="98">
        <f t="shared" ca="1" si="83"/>
        <v>3.4922235883465829E-3</v>
      </c>
      <c r="N314" s="98">
        <f t="shared" ca="1" si="84"/>
        <v>17.162004192011395</v>
      </c>
      <c r="O314" s="67">
        <f>assumptions!M318</f>
        <v>55</v>
      </c>
      <c r="P314" s="68">
        <f>assumptions!N318</f>
        <v>3</v>
      </c>
      <c r="Q314" s="68">
        <f>assumptions!O318</f>
        <v>22</v>
      </c>
      <c r="R314" s="67">
        <f t="shared" si="85"/>
        <v>52.5</v>
      </c>
      <c r="S314" s="68">
        <f t="shared" si="86"/>
        <v>2.3275000000000001</v>
      </c>
      <c r="T314" s="68">
        <f t="shared" si="87"/>
        <v>22</v>
      </c>
      <c r="U314" s="73">
        <f t="shared" ca="1" si="93"/>
        <v>781.12095435615163</v>
      </c>
      <c r="V314" s="72">
        <f t="shared" ca="1" si="93"/>
        <v>199.72282378453266</v>
      </c>
      <c r="W314" s="72">
        <f t="shared" ca="1" si="88"/>
        <v>377.56409222425066</v>
      </c>
      <c r="X314" s="72">
        <f t="shared" ca="1" si="94"/>
        <v>1358.407870364935</v>
      </c>
      <c r="Y314" s="73">
        <f>mult_opex * fixed_month</f>
        <v>1000</v>
      </c>
      <c r="Z314" s="72">
        <f ca="1">mult_opex * fixed_well *D314</f>
        <v>5000</v>
      </c>
      <c r="AA314" s="72">
        <f ca="1">(Z314+Y314)*WI_current_2</f>
        <v>0</v>
      </c>
      <c r="AB314" s="72">
        <f ca="1">mult_opex * var_bo*E314</f>
        <v>0</v>
      </c>
      <c r="AC314" s="72">
        <f ca="1">mult_opex * var_mcf*F314</f>
        <v>0</v>
      </c>
      <c r="AD314" s="72">
        <f ca="1">mult_opex * var_bw * G314</f>
        <v>2.7937788706772663E-2</v>
      </c>
      <c r="AE314" s="72">
        <f ca="1">SUM(AB314:AD314)*WI_current_2</f>
        <v>0</v>
      </c>
      <c r="AF314" s="73">
        <f ca="1">mult_capex * IFERROR(OFFSET(assumptions!$F$39,MATCH(B314,assumptions!$E$39:$E$45,0)-1,0),0)</f>
        <v>0</v>
      </c>
      <c r="AG314" s="75">
        <f ca="1">mult_capex * capex_new*WI_current_2 *'forecast production'!I315</f>
        <v>0</v>
      </c>
      <c r="AH314" s="146">
        <f t="shared" ca="1" si="95"/>
        <v>0</v>
      </c>
      <c r="AI314" s="73">
        <f t="shared" ca="1" si="89"/>
        <v>79.22808260104172</v>
      </c>
      <c r="AJ314" s="72">
        <f t="shared" ca="1" si="90"/>
        <v>33.960196759123377</v>
      </c>
      <c r="AK314" s="72">
        <f t="shared" ca="1" si="96"/>
        <v>113.1882793601651</v>
      </c>
      <c r="AL314" s="73">
        <f t="shared" ca="1" si="91"/>
        <v>1245.2195910047699</v>
      </c>
      <c r="AM314" s="321">
        <f ca="1">'monthly calculations (1)'!AM314</f>
        <v>0</v>
      </c>
      <c r="AN314" s="73">
        <f t="shared" ca="1" si="97"/>
        <v>0</v>
      </c>
      <c r="AO314" s="75">
        <f t="shared" ca="1" si="99"/>
        <v>1258622.5560460223</v>
      </c>
      <c r="AP314" s="72">
        <f ca="1">AL314  /  ( 1 + disc_1/12)^(COUNT($AL$6:AL314)-1)</f>
        <v>96.644172092053864</v>
      </c>
      <c r="AQ314" s="72">
        <f t="shared" ca="1" si="100"/>
        <v>738684.71897774923</v>
      </c>
      <c r="AS314" s="303"/>
      <c r="AT314" s="300"/>
      <c r="AU314" s="297"/>
      <c r="AV314" s="303"/>
    </row>
    <row r="315" spans="2:48" x14ac:dyDescent="0.25">
      <c r="B315" s="43">
        <f t="shared" si="98"/>
        <v>53601</v>
      </c>
      <c r="C315" s="79">
        <f t="shared" si="92"/>
        <v>2046</v>
      </c>
      <c r="D315" s="64">
        <f ca="1">wellcount_base  +  SUM('forecast production'!I$7:I316)</f>
        <v>1</v>
      </c>
      <c r="E315" s="110">
        <f ca="1">'forecast production'!AE316</f>
        <v>61.077755965162716</v>
      </c>
      <c r="F315" s="98">
        <f ca="1">'forecast production'!AF316</f>
        <v>470.50961797875607</v>
      </c>
      <c r="G315" s="98">
        <f ca="1">'forecast production'!AG316</f>
        <v>1.3960212946173712E-2</v>
      </c>
      <c r="H315" s="98">
        <f ca="1">'forecast production'!AH316</f>
        <v>70.576442696813416</v>
      </c>
      <c r="I315" s="307">
        <f ca="1">IF('monthly calculations (1)'!AV314,WI_2_APO, WI_2)</f>
        <v>0</v>
      </c>
      <c r="J315" s="306">
        <f ca="1">IF('monthly calculations (1)'!AV314,NRI_2_APO, NRI_2)</f>
        <v>0.25</v>
      </c>
      <c r="K315" s="112">
        <f t="shared" ca="1" si="81"/>
        <v>15.269438991290679</v>
      </c>
      <c r="L315" s="98">
        <f t="shared" ca="1" si="82"/>
        <v>88.220553371016763</v>
      </c>
      <c r="M315" s="98">
        <f t="shared" ca="1" si="83"/>
        <v>3.490053236543428E-3</v>
      </c>
      <c r="N315" s="98">
        <f t="shared" ca="1" si="84"/>
        <v>17.644110674203354</v>
      </c>
      <c r="O315" s="67">
        <f>assumptions!M319</f>
        <v>55</v>
      </c>
      <c r="P315" s="68">
        <f>assumptions!N319</f>
        <v>3</v>
      </c>
      <c r="Q315" s="68">
        <f>assumptions!O319</f>
        <v>22</v>
      </c>
      <c r="R315" s="67">
        <f t="shared" si="85"/>
        <v>52.5</v>
      </c>
      <c r="S315" s="68">
        <f t="shared" si="86"/>
        <v>2.3275000000000001</v>
      </c>
      <c r="T315" s="68">
        <f t="shared" si="87"/>
        <v>22</v>
      </c>
      <c r="U315" s="73">
        <f t="shared" ca="1" si="93"/>
        <v>801.64554704276065</v>
      </c>
      <c r="V315" s="72">
        <f t="shared" ca="1" si="93"/>
        <v>205.33333797104152</v>
      </c>
      <c r="W315" s="72">
        <f t="shared" ca="1" si="88"/>
        <v>388.1704348324738</v>
      </c>
      <c r="X315" s="72">
        <f t="shared" ca="1" si="94"/>
        <v>1395.1493198462758</v>
      </c>
      <c r="Y315" s="73">
        <f>mult_opex * fixed_month</f>
        <v>1000</v>
      </c>
      <c r="Z315" s="72">
        <f ca="1">mult_opex * fixed_well *D315</f>
        <v>5000</v>
      </c>
      <c r="AA315" s="72">
        <f ca="1">(Z315+Y315)*WI_current_2</f>
        <v>0</v>
      </c>
      <c r="AB315" s="72">
        <f ca="1">mult_opex * var_bo*E315</f>
        <v>0</v>
      </c>
      <c r="AC315" s="72">
        <f ca="1">mult_opex * var_mcf*F315</f>
        <v>0</v>
      </c>
      <c r="AD315" s="72">
        <f ca="1">mult_opex * var_bw * G315</f>
        <v>2.7920425892347424E-2</v>
      </c>
      <c r="AE315" s="72">
        <f ca="1">SUM(AB315:AD315)*WI_current_2</f>
        <v>0</v>
      </c>
      <c r="AF315" s="73">
        <f ca="1">mult_capex * IFERROR(OFFSET(assumptions!$F$39,MATCH(B315,assumptions!$E$39:$E$45,0)-1,0),0)</f>
        <v>0</v>
      </c>
      <c r="AG315" s="75">
        <f ca="1">mult_capex * capex_new*WI_current_2 *'forecast production'!I316</f>
        <v>0</v>
      </c>
      <c r="AH315" s="146">
        <f t="shared" ca="1" si="95"/>
        <v>0</v>
      </c>
      <c r="AI315" s="73">
        <f t="shared" ca="1" si="89"/>
        <v>81.38847812423063</v>
      </c>
      <c r="AJ315" s="72">
        <f t="shared" ca="1" si="90"/>
        <v>34.878732996156899</v>
      </c>
      <c r="AK315" s="72">
        <f t="shared" ca="1" si="96"/>
        <v>116.26721112038753</v>
      </c>
      <c r="AL315" s="73">
        <f t="shared" ca="1" si="91"/>
        <v>1278.8821087258882</v>
      </c>
      <c r="AM315" s="321">
        <f ca="1">'monthly calculations (1)'!AM315</f>
        <v>0</v>
      </c>
      <c r="AN315" s="73">
        <f t="shared" ca="1" si="97"/>
        <v>0</v>
      </c>
      <c r="AO315" s="75">
        <f t="shared" ca="1" si="99"/>
        <v>1258622.5560460223</v>
      </c>
      <c r="AP315" s="72">
        <f ca="1">AL315  /  ( 1 + disc_1/12)^(COUNT($AL$6:AL315)-1)</f>
        <v>98.436488461496495</v>
      </c>
      <c r="AQ315" s="72">
        <f t="shared" ca="1" si="100"/>
        <v>738684.71897774923</v>
      </c>
      <c r="AS315" s="303"/>
      <c r="AT315" s="300"/>
      <c r="AU315" s="297"/>
      <c r="AV315" s="303"/>
    </row>
    <row r="316" spans="2:48" x14ac:dyDescent="0.25">
      <c r="B316" s="43">
        <f t="shared" si="98"/>
        <v>53632</v>
      </c>
      <c r="C316" s="79">
        <f t="shared" si="92"/>
        <v>2046</v>
      </c>
      <c r="D316" s="64">
        <f ca="1">wellcount_base  +  SUM('forecast production'!I$7:I317)</f>
        <v>1</v>
      </c>
      <c r="E316" s="110">
        <f ca="1">'forecast production'!AE317</f>
        <v>58.690401283558522</v>
      </c>
      <c r="F316" s="98">
        <f ca="1">'forecast production'!AF317</f>
        <v>452.94531771756124</v>
      </c>
      <c r="G316" s="98">
        <f ca="1">'forecast production'!AG317</f>
        <v>1.3051488352919515E-2</v>
      </c>
      <c r="H316" s="98">
        <f ca="1">'forecast production'!AH317</f>
        <v>67.941797657634183</v>
      </c>
      <c r="I316" s="307">
        <f ca="1">IF('monthly calculations (1)'!AV315,WI_2_APO, WI_2)</f>
        <v>0</v>
      </c>
      <c r="J316" s="306">
        <f ca="1">IF('monthly calculations (1)'!AV315,NRI_2_APO, NRI_2)</f>
        <v>0.25</v>
      </c>
      <c r="K316" s="112">
        <f t="shared" ca="1" si="81"/>
        <v>14.672600320889631</v>
      </c>
      <c r="L316" s="98">
        <f t="shared" ca="1" si="82"/>
        <v>84.927247072042732</v>
      </c>
      <c r="M316" s="98">
        <f t="shared" ca="1" si="83"/>
        <v>3.2628720882298787E-3</v>
      </c>
      <c r="N316" s="98">
        <f t="shared" ca="1" si="84"/>
        <v>16.985449414408546</v>
      </c>
      <c r="O316" s="67">
        <f>assumptions!M320</f>
        <v>55</v>
      </c>
      <c r="P316" s="68">
        <f>assumptions!N320</f>
        <v>3</v>
      </c>
      <c r="Q316" s="68">
        <f>assumptions!O320</f>
        <v>22</v>
      </c>
      <c r="R316" s="67">
        <f t="shared" si="85"/>
        <v>52.5</v>
      </c>
      <c r="S316" s="68">
        <f t="shared" si="86"/>
        <v>2.3275000000000001</v>
      </c>
      <c r="T316" s="68">
        <f t="shared" si="87"/>
        <v>22</v>
      </c>
      <c r="U316" s="73">
        <f t="shared" ca="1" si="93"/>
        <v>770.31151684670556</v>
      </c>
      <c r="V316" s="72">
        <f t="shared" ca="1" si="93"/>
        <v>197.66816756017948</v>
      </c>
      <c r="W316" s="72">
        <f t="shared" ca="1" si="88"/>
        <v>373.67988711698803</v>
      </c>
      <c r="X316" s="72">
        <f t="shared" ca="1" si="94"/>
        <v>1341.6595715238732</v>
      </c>
      <c r="Y316" s="73">
        <f>mult_opex * fixed_month</f>
        <v>1000</v>
      </c>
      <c r="Z316" s="72">
        <f ca="1">mult_opex * fixed_well *D316</f>
        <v>5000</v>
      </c>
      <c r="AA316" s="72">
        <f ca="1">(Z316+Y316)*WI_current_2</f>
        <v>0</v>
      </c>
      <c r="AB316" s="72">
        <f ca="1">mult_opex * var_bo*E316</f>
        <v>0</v>
      </c>
      <c r="AC316" s="72">
        <f ca="1">mult_opex * var_mcf*F316</f>
        <v>0</v>
      </c>
      <c r="AD316" s="72">
        <f ca="1">mult_opex * var_bw * G316</f>
        <v>2.610297670583903E-2</v>
      </c>
      <c r="AE316" s="72">
        <f ca="1">SUM(AB316:AD316)*WI_current_2</f>
        <v>0</v>
      </c>
      <c r="AF316" s="73">
        <f ca="1">mult_capex * IFERROR(OFFSET(assumptions!$F$39,MATCH(B316,assumptions!$E$39:$E$45,0)-1,0),0)</f>
        <v>0</v>
      </c>
      <c r="AG316" s="75">
        <f ca="1">mult_capex * capex_new*WI_current_2 *'forecast production'!I317</f>
        <v>0</v>
      </c>
      <c r="AH316" s="146">
        <f t="shared" ca="1" si="95"/>
        <v>0</v>
      </c>
      <c r="AI316" s="73">
        <f t="shared" ca="1" si="89"/>
        <v>78.285433875736018</v>
      </c>
      <c r="AJ316" s="72">
        <f t="shared" ca="1" si="90"/>
        <v>33.541489288096834</v>
      </c>
      <c r="AK316" s="72">
        <f t="shared" ca="1" si="96"/>
        <v>111.82692316383284</v>
      </c>
      <c r="AL316" s="73">
        <f t="shared" ca="1" si="91"/>
        <v>1229.8326483600404</v>
      </c>
      <c r="AM316" s="321">
        <f ca="1">'monthly calculations (1)'!AM316</f>
        <v>0</v>
      </c>
      <c r="AN316" s="73">
        <f t="shared" ca="1" si="97"/>
        <v>0</v>
      </c>
      <c r="AO316" s="75">
        <f t="shared" ca="1" si="99"/>
        <v>1258622.5560460223</v>
      </c>
      <c r="AP316" s="72">
        <f ca="1">AL316  /  ( 1 + disc_1/12)^(COUNT($AL$6:AL316)-1)</f>
        <v>93.878792460075644</v>
      </c>
      <c r="AQ316" s="72">
        <f t="shared" ca="1" si="100"/>
        <v>738684.71897774923</v>
      </c>
      <c r="AS316" s="303"/>
      <c r="AT316" s="300"/>
      <c r="AU316" s="297"/>
      <c r="AV316" s="303"/>
    </row>
    <row r="317" spans="2:48" x14ac:dyDescent="0.25">
      <c r="B317" s="44">
        <f t="shared" si="98"/>
        <v>53662</v>
      </c>
      <c r="C317" s="100">
        <f t="shared" si="92"/>
        <v>2046</v>
      </c>
      <c r="D317" s="65">
        <f ca="1">wellcount_base  +  SUM('forecast production'!I$7:I318)</f>
        <v>1</v>
      </c>
      <c r="E317" s="109">
        <f ca="1">'forecast production'!AE318</f>
        <v>60.232539635168322</v>
      </c>
      <c r="F317" s="101">
        <f ca="1">'forecast production'!AF318</f>
        <v>465.66923220371291</v>
      </c>
      <c r="G317" s="101">
        <f ca="1">'forecast production'!AG318</f>
        <v>1.3043525080663834E-2</v>
      </c>
      <c r="H317" s="102">
        <f ca="1">'forecast production'!AH318</f>
        <v>69.850384830556933</v>
      </c>
      <c r="I317" s="308">
        <f ca="1">IF('monthly calculations (1)'!AV316,WI_2_APO, WI_2)</f>
        <v>0</v>
      </c>
      <c r="J317" s="309">
        <f ca="1">IF('monthly calculations (1)'!AV316,NRI_2_APO, NRI_2)</f>
        <v>0.25</v>
      </c>
      <c r="K317" s="113">
        <f t="shared" ca="1" si="81"/>
        <v>15.058134908792081</v>
      </c>
      <c r="L317" s="102">
        <f t="shared" ca="1" si="82"/>
        <v>87.31298103819617</v>
      </c>
      <c r="M317" s="102">
        <f t="shared" ca="1" si="83"/>
        <v>3.2608812701659584E-3</v>
      </c>
      <c r="N317" s="102">
        <f t="shared" ca="1" si="84"/>
        <v>17.462596207639233</v>
      </c>
      <c r="O317" s="103">
        <f>assumptions!M321</f>
        <v>55</v>
      </c>
      <c r="P317" s="104">
        <f>assumptions!N321</f>
        <v>3</v>
      </c>
      <c r="Q317" s="104">
        <f>assumptions!O321</f>
        <v>22</v>
      </c>
      <c r="R317" s="103">
        <f t="shared" si="85"/>
        <v>52.5</v>
      </c>
      <c r="S317" s="104">
        <f t="shared" si="86"/>
        <v>2.3275000000000001</v>
      </c>
      <c r="T317" s="104">
        <f t="shared" si="87"/>
        <v>22</v>
      </c>
      <c r="U317" s="105">
        <f t="shared" ca="1" si="93"/>
        <v>790.55208271158426</v>
      </c>
      <c r="V317" s="106">
        <f t="shared" ca="1" si="93"/>
        <v>203.22096336640161</v>
      </c>
      <c r="W317" s="106">
        <f t="shared" ca="1" si="88"/>
        <v>384.17711656806313</v>
      </c>
      <c r="X317" s="106">
        <f t="shared" ca="1" si="94"/>
        <v>1377.950162646049</v>
      </c>
      <c r="Y317" s="105">
        <f>mult_opex * fixed_month</f>
        <v>1000</v>
      </c>
      <c r="Z317" s="106">
        <f ca="1">mult_opex * fixed_well *D317</f>
        <v>5000</v>
      </c>
      <c r="AA317" s="106">
        <f ca="1">(Z317+Y317)*WI_current_2</f>
        <v>0</v>
      </c>
      <c r="AB317" s="106">
        <f ca="1">mult_opex * var_bo*E317</f>
        <v>0</v>
      </c>
      <c r="AC317" s="106">
        <f ca="1">mult_opex * var_mcf*F317</f>
        <v>0</v>
      </c>
      <c r="AD317" s="106">
        <f ca="1">mult_opex * var_bw * G317</f>
        <v>2.6087050161327667E-2</v>
      </c>
      <c r="AE317" s="106">
        <f ca="1">SUM(AB317:AD317)*WI_current_2</f>
        <v>0</v>
      </c>
      <c r="AF317" s="105">
        <f ca="1">mult_capex * IFERROR(OFFSET(assumptions!$F$39,MATCH(B317,assumptions!$E$39:$E$45,0)-1,0),0)</f>
        <v>0</v>
      </c>
      <c r="AG317" s="106">
        <f ca="1">mult_capex * capex_new*WI_current_2 *'forecast production'!I318</f>
        <v>0</v>
      </c>
      <c r="AH317" s="147">
        <f t="shared" ca="1" si="95"/>
        <v>0</v>
      </c>
      <c r="AI317" s="105">
        <f t="shared" ca="1" si="89"/>
        <v>80.42025179981772</v>
      </c>
      <c r="AJ317" s="106">
        <f t="shared" ca="1" si="90"/>
        <v>34.448754066151224</v>
      </c>
      <c r="AK317" s="106">
        <f t="shared" ca="1" si="96"/>
        <v>114.86900586596894</v>
      </c>
      <c r="AL317" s="105">
        <f t="shared" ca="1" si="91"/>
        <v>1263.0811567800799</v>
      </c>
      <c r="AM317" s="322">
        <f ca="1">'monthly calculations (1)'!AM317</f>
        <v>0</v>
      </c>
      <c r="AN317" s="105">
        <f t="shared" ca="1" si="97"/>
        <v>0</v>
      </c>
      <c r="AO317" s="106">
        <f t="shared" ca="1" si="99"/>
        <v>1258622.5560460223</v>
      </c>
      <c r="AP317" s="106">
        <f ca="1">AL317  /  ( 1 + disc_1/12)^(COUNT($AL$6:AL317)-1)</f>
        <v>95.619971205731559</v>
      </c>
      <c r="AQ317" s="106">
        <f t="shared" ca="1" si="100"/>
        <v>738684.71897774923</v>
      </c>
      <c r="AS317" s="304"/>
      <c r="AT317" s="301"/>
      <c r="AU317" s="298"/>
      <c r="AV317" s="304"/>
    </row>
    <row r="318" spans="2:48" x14ac:dyDescent="0.25">
      <c r="B318" s="43">
        <f t="shared" si="98"/>
        <v>53693</v>
      </c>
      <c r="C318" s="79">
        <f t="shared" si="92"/>
        <v>2047</v>
      </c>
      <c r="D318" s="64">
        <f ca="1">wellcount_base  +  SUM('forecast production'!I$7:I319)</f>
        <v>1</v>
      </c>
      <c r="E318" s="110">
        <f ca="1">'forecast production'!AE319</f>
        <v>59.807496109002436</v>
      </c>
      <c r="F318" s="98">
        <f ca="1">'forecast production'!AF319</f>
        <v>463.22847953493795</v>
      </c>
      <c r="G318" s="98">
        <f ca="1">'forecast production'!AG319</f>
        <v>1.2601101323964258E-2</v>
      </c>
      <c r="H318" s="98">
        <f ca="1">'forecast production'!AH319</f>
        <v>69.484271930240695</v>
      </c>
      <c r="I318" s="307">
        <f ca="1">IF('monthly calculations (1)'!AV317,WI_2_APO, WI_2)</f>
        <v>0</v>
      </c>
      <c r="J318" s="306">
        <f ca="1">IF('monthly calculations (1)'!AV317,NRI_2_APO, NRI_2)</f>
        <v>0.25</v>
      </c>
      <c r="K318" s="112">
        <f t="shared" ca="1" si="81"/>
        <v>14.951874027250609</v>
      </c>
      <c r="L318" s="98">
        <f t="shared" ca="1" si="82"/>
        <v>86.855339912800872</v>
      </c>
      <c r="M318" s="98">
        <f t="shared" ca="1" si="83"/>
        <v>3.1502753309910645E-3</v>
      </c>
      <c r="N318" s="98">
        <f t="shared" ca="1" si="84"/>
        <v>17.371067982560174</v>
      </c>
      <c r="O318" s="67">
        <f>assumptions!M322</f>
        <v>55</v>
      </c>
      <c r="P318" s="68">
        <f>assumptions!N322</f>
        <v>3</v>
      </c>
      <c r="Q318" s="68">
        <f>assumptions!O322</f>
        <v>22</v>
      </c>
      <c r="R318" s="67">
        <f t="shared" si="85"/>
        <v>52.5</v>
      </c>
      <c r="S318" s="68">
        <f t="shared" si="86"/>
        <v>2.3275000000000001</v>
      </c>
      <c r="T318" s="68">
        <f t="shared" si="87"/>
        <v>22</v>
      </c>
      <c r="U318" s="73">
        <f t="shared" ca="1" si="93"/>
        <v>784.973386430657</v>
      </c>
      <c r="V318" s="72">
        <f t="shared" ca="1" si="93"/>
        <v>202.15580364704405</v>
      </c>
      <c r="W318" s="72">
        <f t="shared" ca="1" si="88"/>
        <v>382.16349561632381</v>
      </c>
      <c r="X318" s="72">
        <f t="shared" ca="1" si="94"/>
        <v>1369.2926856940248</v>
      </c>
      <c r="Y318" s="73">
        <f>mult_opex * fixed_month</f>
        <v>1000</v>
      </c>
      <c r="Z318" s="72">
        <f ca="1">mult_opex * fixed_well *D318</f>
        <v>5000</v>
      </c>
      <c r="AA318" s="72">
        <f ca="1">(Z318+Y318)*WI_current_2</f>
        <v>0</v>
      </c>
      <c r="AB318" s="72">
        <f ca="1">mult_opex * var_bo*E318</f>
        <v>0</v>
      </c>
      <c r="AC318" s="72">
        <f ca="1">mult_opex * var_mcf*F318</f>
        <v>0</v>
      </c>
      <c r="AD318" s="72">
        <f ca="1">mult_opex * var_bw * G318</f>
        <v>2.5202202647928516E-2</v>
      </c>
      <c r="AE318" s="72">
        <f ca="1">SUM(AB318:AD318)*WI_current_2</f>
        <v>0</v>
      </c>
      <c r="AF318" s="73">
        <f ca="1">mult_capex * IFERROR(OFFSET(assumptions!$F$39,MATCH(B318,assumptions!$E$39:$E$45,0)-1,0),0)</f>
        <v>0</v>
      </c>
      <c r="AG318" s="75">
        <f ca="1">mult_capex * capex_new*WI_current_2 *'forecast production'!I319</f>
        <v>0</v>
      </c>
      <c r="AH318" s="146">
        <f t="shared" ca="1" si="95"/>
        <v>0</v>
      </c>
      <c r="AI318" s="73">
        <f t="shared" ca="1" si="89"/>
        <v>79.932723220562806</v>
      </c>
      <c r="AJ318" s="72">
        <f t="shared" ca="1" si="90"/>
        <v>34.232317142350624</v>
      </c>
      <c r="AK318" s="72">
        <f t="shared" ca="1" si="96"/>
        <v>114.16504036291343</v>
      </c>
      <c r="AL318" s="73">
        <f t="shared" ca="1" si="91"/>
        <v>1255.1276453311114</v>
      </c>
      <c r="AM318" s="321">
        <f ca="1">'monthly calculations (1)'!AM318</f>
        <v>0</v>
      </c>
      <c r="AN318" s="73">
        <f t="shared" ca="1" si="97"/>
        <v>0</v>
      </c>
      <c r="AO318" s="75">
        <f t="shared" ca="1" si="99"/>
        <v>1258622.5560460223</v>
      </c>
      <c r="AP318" s="72">
        <f ca="1">AL318  /  ( 1 + disc_1/12)^(COUNT($AL$6:AL318)-1)</f>
        <v>94.232589044157407</v>
      </c>
      <c r="AQ318" s="72">
        <f t="shared" ca="1" si="100"/>
        <v>738684.71897774923</v>
      </c>
      <c r="AS318" s="303"/>
      <c r="AT318" s="300"/>
      <c r="AU318" s="297"/>
      <c r="AV318" s="303"/>
    </row>
    <row r="319" spans="2:48" x14ac:dyDescent="0.25">
      <c r="B319" s="43">
        <f t="shared" si="98"/>
        <v>53724</v>
      </c>
      <c r="C319" s="79">
        <f t="shared" si="92"/>
        <v>2047</v>
      </c>
      <c r="D319" s="64">
        <f ca="1">wellcount_base  +  SUM('forecast production'!I$7:I320)</f>
        <v>1</v>
      </c>
      <c r="E319" s="110">
        <f ca="1">'forecast production'!AE320</f>
        <v>53.638472766485123</v>
      </c>
      <c r="F319" s="98">
        <f ca="1">'forecast production'!AF320</f>
        <v>416.20692110562868</v>
      </c>
      <c r="G319" s="98">
        <f ca="1">'forecast production'!AG320</f>
        <v>1.0995651142127787E-2</v>
      </c>
      <c r="H319" s="98">
        <f ca="1">'forecast production'!AH320</f>
        <v>62.431038165844306</v>
      </c>
      <c r="I319" s="307">
        <f ca="1">IF('monthly calculations (1)'!AV318,WI_2_APO, WI_2)</f>
        <v>0</v>
      </c>
      <c r="J319" s="306">
        <f ca="1">IF('monthly calculations (1)'!AV318,NRI_2_APO, NRI_2)</f>
        <v>0.25</v>
      </c>
      <c r="K319" s="112">
        <f t="shared" ca="1" si="81"/>
        <v>13.409618191621281</v>
      </c>
      <c r="L319" s="98">
        <f t="shared" ca="1" si="82"/>
        <v>78.038797707305378</v>
      </c>
      <c r="M319" s="98">
        <f t="shared" ca="1" si="83"/>
        <v>2.7489127855319468E-3</v>
      </c>
      <c r="N319" s="98">
        <f t="shared" ca="1" si="84"/>
        <v>15.607759541461077</v>
      </c>
      <c r="O319" s="67">
        <f>assumptions!M323</f>
        <v>55</v>
      </c>
      <c r="P319" s="68">
        <f>assumptions!N323</f>
        <v>3</v>
      </c>
      <c r="Q319" s="68">
        <f>assumptions!O323</f>
        <v>22</v>
      </c>
      <c r="R319" s="67">
        <f t="shared" si="85"/>
        <v>52.5</v>
      </c>
      <c r="S319" s="68">
        <f t="shared" si="86"/>
        <v>2.3275000000000001</v>
      </c>
      <c r="T319" s="68">
        <f t="shared" si="87"/>
        <v>22</v>
      </c>
      <c r="U319" s="73">
        <f t="shared" ca="1" si="93"/>
        <v>704.00495506011725</v>
      </c>
      <c r="V319" s="72">
        <f t="shared" ca="1" si="93"/>
        <v>181.63530166375327</v>
      </c>
      <c r="W319" s="72">
        <f t="shared" ca="1" si="88"/>
        <v>343.3707099121437</v>
      </c>
      <c r="X319" s="72">
        <f t="shared" ca="1" si="94"/>
        <v>1229.0109666360142</v>
      </c>
      <c r="Y319" s="73">
        <f>mult_opex * fixed_month</f>
        <v>1000</v>
      </c>
      <c r="Z319" s="72">
        <f ca="1">mult_opex * fixed_well *D319</f>
        <v>5000</v>
      </c>
      <c r="AA319" s="72">
        <f ca="1">(Z319+Y319)*WI_current_2</f>
        <v>0</v>
      </c>
      <c r="AB319" s="72">
        <f ca="1">mult_opex * var_bo*E319</f>
        <v>0</v>
      </c>
      <c r="AC319" s="72">
        <f ca="1">mult_opex * var_mcf*F319</f>
        <v>0</v>
      </c>
      <c r="AD319" s="72">
        <f ca="1">mult_opex * var_bw * G319</f>
        <v>2.1991302284255575E-2</v>
      </c>
      <c r="AE319" s="72">
        <f ca="1">SUM(AB319:AD319)*WI_current_2</f>
        <v>0</v>
      </c>
      <c r="AF319" s="73">
        <f ca="1">mult_capex * IFERROR(OFFSET(assumptions!$F$39,MATCH(B319,assumptions!$E$39:$E$45,0)-1,0),0)</f>
        <v>0</v>
      </c>
      <c r="AG319" s="75">
        <f ca="1">mult_capex * capex_new*WI_current_2 *'forecast production'!I320</f>
        <v>0</v>
      </c>
      <c r="AH319" s="146">
        <f t="shared" ca="1" si="95"/>
        <v>0</v>
      </c>
      <c r="AI319" s="73">
        <f t="shared" ca="1" si="89"/>
        <v>71.759678800957658</v>
      </c>
      <c r="AJ319" s="72">
        <f t="shared" ca="1" si="90"/>
        <v>30.725274165900359</v>
      </c>
      <c r="AK319" s="72">
        <f t="shared" ca="1" si="96"/>
        <v>102.48495296685802</v>
      </c>
      <c r="AL319" s="73">
        <f t="shared" ca="1" si="91"/>
        <v>1126.5260136691563</v>
      </c>
      <c r="AM319" s="321">
        <f ca="1">'monthly calculations (1)'!AM319</f>
        <v>0</v>
      </c>
      <c r="AN319" s="73">
        <f t="shared" ca="1" si="97"/>
        <v>0</v>
      </c>
      <c r="AO319" s="75">
        <f t="shared" ca="1" si="99"/>
        <v>1258622.5560460223</v>
      </c>
      <c r="AP319" s="72">
        <f ca="1">AL319  /  ( 1 + disc_1/12)^(COUNT($AL$6:AL319)-1)</f>
        <v>83.878436914447306</v>
      </c>
      <c r="AQ319" s="72">
        <f t="shared" ca="1" si="100"/>
        <v>738684.71897774923</v>
      </c>
      <c r="AS319" s="303"/>
      <c r="AT319" s="300"/>
      <c r="AU319" s="297"/>
      <c r="AV319" s="303"/>
    </row>
    <row r="320" spans="2:48" x14ac:dyDescent="0.25">
      <c r="B320" s="43">
        <f t="shared" si="98"/>
        <v>53752</v>
      </c>
      <c r="C320" s="79">
        <f t="shared" si="92"/>
        <v>2047</v>
      </c>
      <c r="D320" s="64">
        <f ca="1">wellcount_base  +  SUM('forecast production'!I$7:I321)</f>
        <v>1</v>
      </c>
      <c r="E320" s="110">
        <f ca="1">'forecast production'!AE321</f>
        <v>59.006811300002809</v>
      </c>
      <c r="F320" s="98">
        <f ca="1">'forecast production'!AF321</f>
        <v>458.61846391636027</v>
      </c>
      <c r="G320" s="98">
        <f ca="1">'forecast production'!AG321</f>
        <v>1.180029872300095E-2</v>
      </c>
      <c r="H320" s="98">
        <f ca="1">'forecast production'!AH321</f>
        <v>68.792769587454032</v>
      </c>
      <c r="I320" s="307">
        <f ca="1">IF('monthly calculations (1)'!AV319,WI_2_APO, WI_2)</f>
        <v>0</v>
      </c>
      <c r="J320" s="306">
        <f ca="1">IF('monthly calculations (1)'!AV319,NRI_2_APO, NRI_2)</f>
        <v>0.25</v>
      </c>
      <c r="K320" s="112">
        <f t="shared" ca="1" si="81"/>
        <v>14.751702825000702</v>
      </c>
      <c r="L320" s="98">
        <f t="shared" ca="1" si="82"/>
        <v>85.990961984317551</v>
      </c>
      <c r="M320" s="98">
        <f t="shared" ca="1" si="83"/>
        <v>2.9500746807502374E-3</v>
      </c>
      <c r="N320" s="98">
        <f t="shared" ca="1" si="84"/>
        <v>17.198192396863508</v>
      </c>
      <c r="O320" s="67">
        <f>assumptions!M324</f>
        <v>55</v>
      </c>
      <c r="P320" s="68">
        <f>assumptions!N324</f>
        <v>3</v>
      </c>
      <c r="Q320" s="68">
        <f>assumptions!O324</f>
        <v>22</v>
      </c>
      <c r="R320" s="67">
        <f t="shared" si="85"/>
        <v>52.5</v>
      </c>
      <c r="S320" s="68">
        <f t="shared" si="86"/>
        <v>2.3275000000000001</v>
      </c>
      <c r="T320" s="68">
        <f t="shared" si="87"/>
        <v>22</v>
      </c>
      <c r="U320" s="73">
        <f t="shared" ca="1" si="93"/>
        <v>774.4643983125369</v>
      </c>
      <c r="V320" s="72">
        <f t="shared" ca="1" si="93"/>
        <v>200.1439640184991</v>
      </c>
      <c r="W320" s="72">
        <f t="shared" ca="1" si="88"/>
        <v>378.36023273099715</v>
      </c>
      <c r="X320" s="72">
        <f t="shared" ca="1" si="94"/>
        <v>1352.9685950620333</v>
      </c>
      <c r="Y320" s="73">
        <f>mult_opex * fixed_month</f>
        <v>1000</v>
      </c>
      <c r="Z320" s="72">
        <f ca="1">mult_opex * fixed_well *D320</f>
        <v>5000</v>
      </c>
      <c r="AA320" s="72">
        <f ca="1">(Z320+Y320)*WI_current_2</f>
        <v>0</v>
      </c>
      <c r="AB320" s="72">
        <f ca="1">mult_opex * var_bo*E320</f>
        <v>0</v>
      </c>
      <c r="AC320" s="72">
        <f ca="1">mult_opex * var_mcf*F320</f>
        <v>0</v>
      </c>
      <c r="AD320" s="72">
        <f ca="1">mult_opex * var_bw * G320</f>
        <v>2.36005974460019E-2</v>
      </c>
      <c r="AE320" s="72">
        <f ca="1">SUM(AB320:AD320)*WI_current_2</f>
        <v>0</v>
      </c>
      <c r="AF320" s="73">
        <f ca="1">mult_capex * IFERROR(OFFSET(assumptions!$F$39,MATCH(B320,assumptions!$E$39:$E$45,0)-1,0),0)</f>
        <v>0</v>
      </c>
      <c r="AG320" s="75">
        <f ca="1">mult_capex * capex_new*WI_current_2 *'forecast production'!I321</f>
        <v>0</v>
      </c>
      <c r="AH320" s="146">
        <f t="shared" ca="1" si="95"/>
        <v>0</v>
      </c>
      <c r="AI320" s="73">
        <f t="shared" ca="1" si="89"/>
        <v>79.01317707858891</v>
      </c>
      <c r="AJ320" s="72">
        <f t="shared" ca="1" si="90"/>
        <v>33.824214876550833</v>
      </c>
      <c r="AK320" s="72">
        <f t="shared" ca="1" si="96"/>
        <v>112.83739195513974</v>
      </c>
      <c r="AL320" s="73">
        <f t="shared" ca="1" si="91"/>
        <v>1240.1312031068935</v>
      </c>
      <c r="AM320" s="321">
        <f ca="1">'monthly calculations (1)'!AM320</f>
        <v>0</v>
      </c>
      <c r="AN320" s="73">
        <f t="shared" ca="1" si="97"/>
        <v>0</v>
      </c>
      <c r="AO320" s="75">
        <f t="shared" ca="1" si="99"/>
        <v>1258622.5560460223</v>
      </c>
      <c r="AP320" s="72">
        <f ca="1">AL320  /  ( 1 + disc_1/12)^(COUNT($AL$6:AL320)-1)</f>
        <v>91.574090617124028</v>
      </c>
      <c r="AQ320" s="72">
        <f t="shared" ca="1" si="100"/>
        <v>738684.71897774923</v>
      </c>
      <c r="AS320" s="303"/>
      <c r="AT320" s="300"/>
      <c r="AU320" s="297"/>
      <c r="AV320" s="303"/>
    </row>
    <row r="321" spans="2:48" x14ac:dyDescent="0.25">
      <c r="B321" s="43">
        <f t="shared" si="98"/>
        <v>53783</v>
      </c>
      <c r="C321" s="79">
        <f t="shared" si="92"/>
        <v>2047</v>
      </c>
      <c r="D321" s="64">
        <f ca="1">wellcount_base  +  SUM('forecast production'!I$7:I322)</f>
        <v>1</v>
      </c>
      <c r="E321" s="110">
        <f ca="1">'forecast production'!AE322</f>
        <v>56.700403918501351</v>
      </c>
      <c r="F321" s="98">
        <f ca="1">'forecast production'!AF322</f>
        <v>441.49806488996131</v>
      </c>
      <c r="G321" s="98">
        <f ca="1">'forecast production'!AG322</f>
        <v>1.1032491251799508E-2</v>
      </c>
      <c r="H321" s="98">
        <f ca="1">'forecast production'!AH322</f>
        <v>66.224709733494194</v>
      </c>
      <c r="I321" s="307">
        <f ca="1">IF('monthly calculations (1)'!AV320,WI_2_APO, WI_2)</f>
        <v>0</v>
      </c>
      <c r="J321" s="306">
        <f ca="1">IF('monthly calculations (1)'!AV320,NRI_2_APO, NRI_2)</f>
        <v>0.25</v>
      </c>
      <c r="K321" s="112">
        <f t="shared" ca="1" si="81"/>
        <v>14.175100979625338</v>
      </c>
      <c r="L321" s="98">
        <f t="shared" ca="1" si="82"/>
        <v>82.780887166867743</v>
      </c>
      <c r="M321" s="98">
        <f t="shared" ca="1" si="83"/>
        <v>2.7581228129498771E-3</v>
      </c>
      <c r="N321" s="98">
        <f t="shared" ca="1" si="84"/>
        <v>16.556177433373549</v>
      </c>
      <c r="O321" s="67">
        <f>assumptions!M325</f>
        <v>55</v>
      </c>
      <c r="P321" s="68">
        <f>assumptions!N325</f>
        <v>3</v>
      </c>
      <c r="Q321" s="68">
        <f>assumptions!O325</f>
        <v>22</v>
      </c>
      <c r="R321" s="67">
        <f t="shared" si="85"/>
        <v>52.5</v>
      </c>
      <c r="S321" s="68">
        <f t="shared" si="86"/>
        <v>2.3275000000000001</v>
      </c>
      <c r="T321" s="68">
        <f t="shared" si="87"/>
        <v>22</v>
      </c>
      <c r="U321" s="73">
        <f t="shared" ca="1" si="93"/>
        <v>744.19280143033018</v>
      </c>
      <c r="V321" s="72">
        <f t="shared" ca="1" si="93"/>
        <v>192.67251488088468</v>
      </c>
      <c r="W321" s="72">
        <f t="shared" ca="1" si="88"/>
        <v>364.2359035342181</v>
      </c>
      <c r="X321" s="72">
        <f t="shared" ca="1" si="94"/>
        <v>1301.101219845433</v>
      </c>
      <c r="Y321" s="73">
        <f>mult_opex * fixed_month</f>
        <v>1000</v>
      </c>
      <c r="Z321" s="72">
        <f ca="1">mult_opex * fixed_well *D321</f>
        <v>5000</v>
      </c>
      <c r="AA321" s="72">
        <f ca="1">(Z321+Y321)*WI_current_2</f>
        <v>0</v>
      </c>
      <c r="AB321" s="72">
        <f ca="1">mult_opex * var_bo*E321</f>
        <v>0</v>
      </c>
      <c r="AC321" s="72">
        <f ca="1">mult_opex * var_mcf*F321</f>
        <v>0</v>
      </c>
      <c r="AD321" s="72">
        <f ca="1">mult_opex * var_bw * G321</f>
        <v>2.2064982503599017E-2</v>
      </c>
      <c r="AE321" s="72">
        <f ca="1">SUM(AB321:AD321)*WI_current_2</f>
        <v>0</v>
      </c>
      <c r="AF321" s="73">
        <f ca="1">mult_capex * IFERROR(OFFSET(assumptions!$F$39,MATCH(B321,assumptions!$E$39:$E$45,0)-1,0),0)</f>
        <v>0</v>
      </c>
      <c r="AG321" s="75">
        <f ca="1">mult_capex * capex_new*WI_current_2 *'forecast production'!I322</f>
        <v>0</v>
      </c>
      <c r="AH321" s="146">
        <f t="shared" ca="1" si="95"/>
        <v>0</v>
      </c>
      <c r="AI321" s="73">
        <f t="shared" ca="1" si="89"/>
        <v>76.001000246927902</v>
      </c>
      <c r="AJ321" s="72">
        <f t="shared" ca="1" si="90"/>
        <v>32.527530496135824</v>
      </c>
      <c r="AK321" s="72">
        <f t="shared" ca="1" si="96"/>
        <v>108.52853074306373</v>
      </c>
      <c r="AL321" s="73">
        <f t="shared" ca="1" si="91"/>
        <v>1192.5726891023692</v>
      </c>
      <c r="AM321" s="321">
        <f ca="1">'monthly calculations (1)'!AM321</f>
        <v>0</v>
      </c>
      <c r="AN321" s="73">
        <f t="shared" ca="1" si="97"/>
        <v>0</v>
      </c>
      <c r="AO321" s="75">
        <f t="shared" ca="1" si="99"/>
        <v>1258622.5560460223</v>
      </c>
      <c r="AP321" s="72">
        <f ca="1">AL321  /  ( 1 + disc_1/12)^(COUNT($AL$6:AL321)-1)</f>
        <v>87.334475172166449</v>
      </c>
      <c r="AQ321" s="72">
        <f t="shared" ca="1" si="100"/>
        <v>738684.71897774923</v>
      </c>
      <c r="AS321" s="303"/>
      <c r="AT321" s="300"/>
      <c r="AU321" s="297"/>
      <c r="AV321" s="303"/>
    </row>
    <row r="322" spans="2:48" x14ac:dyDescent="0.25">
      <c r="B322" s="43">
        <f t="shared" si="98"/>
        <v>53813</v>
      </c>
      <c r="C322" s="79">
        <f t="shared" si="92"/>
        <v>2047</v>
      </c>
      <c r="D322" s="64">
        <f ca="1">wellcount_base  +  SUM('forecast production'!I$7:I323)</f>
        <v>1</v>
      </c>
      <c r="E322" s="110">
        <f ca="1">'forecast production'!AE323</f>
        <v>58.190253459860386</v>
      </c>
      <c r="F322" s="98">
        <f ca="1">'forecast production'!AF323</f>
        <v>453.90040884567071</v>
      </c>
      <c r="G322" s="98">
        <f ca="1">'forecast production'!AG323</f>
        <v>1.1026069150755134E-2</v>
      </c>
      <c r="H322" s="98">
        <f ca="1">'forecast production'!AH323</f>
        <v>68.085061326850607</v>
      </c>
      <c r="I322" s="307">
        <f ca="1">IF('monthly calculations (1)'!AV321,WI_2_APO, WI_2)</f>
        <v>0</v>
      </c>
      <c r="J322" s="306">
        <f ca="1">IF('monthly calculations (1)'!AV321,NRI_2_APO, NRI_2)</f>
        <v>0.25</v>
      </c>
      <c r="K322" s="112">
        <f t="shared" ca="1" si="81"/>
        <v>14.547563364965097</v>
      </c>
      <c r="L322" s="98">
        <f t="shared" ca="1" si="82"/>
        <v>85.106326658563262</v>
      </c>
      <c r="M322" s="98">
        <f t="shared" ca="1" si="83"/>
        <v>2.7565172876887834E-3</v>
      </c>
      <c r="N322" s="98">
        <f t="shared" ca="1" si="84"/>
        <v>17.021265331712652</v>
      </c>
      <c r="O322" s="67">
        <f>assumptions!M326</f>
        <v>55</v>
      </c>
      <c r="P322" s="68">
        <f>assumptions!N326</f>
        <v>3</v>
      </c>
      <c r="Q322" s="68">
        <f>assumptions!O326</f>
        <v>22</v>
      </c>
      <c r="R322" s="67">
        <f t="shared" si="85"/>
        <v>52.5</v>
      </c>
      <c r="S322" s="68">
        <f t="shared" si="86"/>
        <v>2.3275000000000001</v>
      </c>
      <c r="T322" s="68">
        <f t="shared" si="87"/>
        <v>22</v>
      </c>
      <c r="U322" s="73">
        <f t="shared" ca="1" si="93"/>
        <v>763.74707666066752</v>
      </c>
      <c r="V322" s="72">
        <f t="shared" ca="1" si="93"/>
        <v>198.08497529780601</v>
      </c>
      <c r="W322" s="72">
        <f t="shared" ca="1" si="88"/>
        <v>374.46783729767833</v>
      </c>
      <c r="X322" s="72">
        <f t="shared" ca="1" si="94"/>
        <v>1336.2998892561518</v>
      </c>
      <c r="Y322" s="73">
        <f>mult_opex * fixed_month</f>
        <v>1000</v>
      </c>
      <c r="Z322" s="72">
        <f ca="1">mult_opex * fixed_well *D322</f>
        <v>5000</v>
      </c>
      <c r="AA322" s="72">
        <f ca="1">(Z322+Y322)*WI_current_2</f>
        <v>0</v>
      </c>
      <c r="AB322" s="72">
        <f ca="1">mult_opex * var_bo*E322</f>
        <v>0</v>
      </c>
      <c r="AC322" s="72">
        <f ca="1">mult_opex * var_mcf*F322</f>
        <v>0</v>
      </c>
      <c r="AD322" s="72">
        <f ca="1">mult_opex * var_bw * G322</f>
        <v>2.2052138301510267E-2</v>
      </c>
      <c r="AE322" s="72">
        <f ca="1">SUM(AB322:AD322)*WI_current_2</f>
        <v>0</v>
      </c>
      <c r="AF322" s="73">
        <f ca="1">mult_capex * IFERROR(OFFSET(assumptions!$F$39,MATCH(B322,assumptions!$E$39:$E$45,0)-1,0),0)</f>
        <v>0</v>
      </c>
      <c r="AG322" s="75">
        <f ca="1">mult_capex * capex_new*WI_current_2 *'forecast production'!I323</f>
        <v>0</v>
      </c>
      <c r="AH322" s="146">
        <f t="shared" ca="1" si="95"/>
        <v>0</v>
      </c>
      <c r="AI322" s="73">
        <f t="shared" ca="1" si="89"/>
        <v>78.07382647105203</v>
      </c>
      <c r="AJ322" s="72">
        <f t="shared" ca="1" si="90"/>
        <v>33.407497231403795</v>
      </c>
      <c r="AK322" s="72">
        <f t="shared" ca="1" si="96"/>
        <v>111.48132370245582</v>
      </c>
      <c r="AL322" s="73">
        <f t="shared" ca="1" si="91"/>
        <v>1224.8185655536959</v>
      </c>
      <c r="AM322" s="321">
        <f ca="1">'monthly calculations (1)'!AM322</f>
        <v>0</v>
      </c>
      <c r="AN322" s="73">
        <f t="shared" ca="1" si="97"/>
        <v>0</v>
      </c>
      <c r="AO322" s="75">
        <f t="shared" ca="1" si="99"/>
        <v>1258622.5560460223</v>
      </c>
      <c r="AP322" s="72">
        <f ca="1">AL322  /  ( 1 + disc_1/12)^(COUNT($AL$6:AL322)-1)</f>
        <v>88.95461650933089</v>
      </c>
      <c r="AQ322" s="72">
        <f t="shared" ca="1" si="100"/>
        <v>738684.71897774923</v>
      </c>
      <c r="AS322" s="303"/>
      <c r="AT322" s="300"/>
      <c r="AU322" s="297"/>
      <c r="AV322" s="303"/>
    </row>
    <row r="323" spans="2:48" x14ac:dyDescent="0.25">
      <c r="B323" s="43">
        <f t="shared" si="98"/>
        <v>53844</v>
      </c>
      <c r="C323" s="79">
        <f t="shared" si="92"/>
        <v>2047</v>
      </c>
      <c r="D323" s="64">
        <f ca="1">wellcount_base  +  SUM('forecast production'!I$7:I324)</f>
        <v>1</v>
      </c>
      <c r="E323" s="110">
        <f ca="1">'forecast production'!AE324</f>
        <v>55.915762987414602</v>
      </c>
      <c r="F323" s="98">
        <f ca="1">'forecast production'!AF324</f>
        <v>436.95613658213455</v>
      </c>
      <c r="G323" s="98">
        <f ca="1">'forecast production'!AG324</f>
        <v>1.0308758918630489E-2</v>
      </c>
      <c r="H323" s="98">
        <f ca="1">'forecast production'!AH324</f>
        <v>65.543420487320176</v>
      </c>
      <c r="I323" s="307">
        <f ca="1">IF('monthly calculations (1)'!AV322,WI_2_APO, WI_2)</f>
        <v>0</v>
      </c>
      <c r="J323" s="306">
        <f ca="1">IF('monthly calculations (1)'!AV322,NRI_2_APO, NRI_2)</f>
        <v>0.25</v>
      </c>
      <c r="K323" s="112">
        <f t="shared" ca="1" si="81"/>
        <v>13.978940746853651</v>
      </c>
      <c r="L323" s="98">
        <f t="shared" ca="1" si="82"/>
        <v>81.929275609150224</v>
      </c>
      <c r="M323" s="98">
        <f t="shared" ca="1" si="83"/>
        <v>2.5771897296576222E-3</v>
      </c>
      <c r="N323" s="98">
        <f t="shared" ca="1" si="84"/>
        <v>16.385855121830044</v>
      </c>
      <c r="O323" s="67">
        <f>assumptions!M327</f>
        <v>55</v>
      </c>
      <c r="P323" s="68">
        <f>assumptions!N327</f>
        <v>3</v>
      </c>
      <c r="Q323" s="68">
        <f>assumptions!O327</f>
        <v>22</v>
      </c>
      <c r="R323" s="67">
        <f t="shared" si="85"/>
        <v>52.5</v>
      </c>
      <c r="S323" s="68">
        <f t="shared" si="86"/>
        <v>2.3275000000000001</v>
      </c>
      <c r="T323" s="68">
        <f t="shared" si="87"/>
        <v>22</v>
      </c>
      <c r="U323" s="73">
        <f t="shared" ca="1" si="93"/>
        <v>733.89438920981661</v>
      </c>
      <c r="V323" s="72">
        <f t="shared" ca="1" si="93"/>
        <v>190.69038898029714</v>
      </c>
      <c r="W323" s="72">
        <f t="shared" ca="1" si="88"/>
        <v>360.48881268026099</v>
      </c>
      <c r="X323" s="72">
        <f t="shared" ca="1" si="94"/>
        <v>1285.0735908703748</v>
      </c>
      <c r="Y323" s="73">
        <f>mult_opex * fixed_month</f>
        <v>1000</v>
      </c>
      <c r="Z323" s="72">
        <f ca="1">mult_opex * fixed_well *D323</f>
        <v>5000</v>
      </c>
      <c r="AA323" s="72">
        <f ca="1">(Z323+Y323)*WI_current_2</f>
        <v>0</v>
      </c>
      <c r="AB323" s="72">
        <f ca="1">mult_opex * var_bo*E323</f>
        <v>0</v>
      </c>
      <c r="AC323" s="72">
        <f ca="1">mult_opex * var_mcf*F323</f>
        <v>0</v>
      </c>
      <c r="AD323" s="72">
        <f ca="1">mult_opex * var_bw * G323</f>
        <v>2.0617517837260978E-2</v>
      </c>
      <c r="AE323" s="72">
        <f ca="1">SUM(AB323:AD323)*WI_current_2</f>
        <v>0</v>
      </c>
      <c r="AF323" s="73">
        <f ca="1">mult_capex * IFERROR(OFFSET(assumptions!$F$39,MATCH(B323,assumptions!$E$39:$E$45,0)-1,0),0)</f>
        <v>0</v>
      </c>
      <c r="AG323" s="75">
        <f ca="1">mult_capex * capex_new*WI_current_2 *'forecast production'!I324</f>
        <v>0</v>
      </c>
      <c r="AH323" s="146">
        <f t="shared" ca="1" si="95"/>
        <v>0</v>
      </c>
      <c r="AI323" s="73">
        <f t="shared" ca="1" si="89"/>
        <v>75.097582028193415</v>
      </c>
      <c r="AJ323" s="72">
        <f t="shared" ca="1" si="90"/>
        <v>32.126839771759371</v>
      </c>
      <c r="AK323" s="72">
        <f t="shared" ca="1" si="96"/>
        <v>107.22442179995278</v>
      </c>
      <c r="AL323" s="73">
        <f t="shared" ca="1" si="91"/>
        <v>1177.849169070422</v>
      </c>
      <c r="AM323" s="321">
        <f ca="1">'monthly calculations (1)'!AM323</f>
        <v>0</v>
      </c>
      <c r="AN323" s="73">
        <f t="shared" ca="1" si="97"/>
        <v>0</v>
      </c>
      <c r="AO323" s="75">
        <f t="shared" ca="1" si="99"/>
        <v>1258622.5560460223</v>
      </c>
      <c r="AP323" s="72">
        <f ca="1">AL323  /  ( 1 + disc_1/12)^(COUNT($AL$6:AL323)-1)</f>
        <v>84.836410853594217</v>
      </c>
      <c r="AQ323" s="72">
        <f t="shared" ca="1" si="100"/>
        <v>738684.71897774923</v>
      </c>
      <c r="AS323" s="303"/>
      <c r="AT323" s="300"/>
      <c r="AU323" s="297"/>
      <c r="AV323" s="303"/>
    </row>
    <row r="324" spans="2:48" x14ac:dyDescent="0.25">
      <c r="B324" s="43">
        <f t="shared" si="98"/>
        <v>53874</v>
      </c>
      <c r="C324" s="79">
        <f t="shared" si="92"/>
        <v>2047</v>
      </c>
      <c r="D324" s="64">
        <f ca="1">wellcount_base  +  SUM('forecast production'!I$7:I325)</f>
        <v>1</v>
      </c>
      <c r="E324" s="110">
        <f ca="1">'forecast production'!AE325</f>
        <v>57.384995445816145</v>
      </c>
      <c r="F324" s="98">
        <f ca="1">'forecast production'!AF325</f>
        <v>449.23089094781972</v>
      </c>
      <c r="G324" s="98">
        <f ca="1">'forecast production'!AG325</f>
        <v>1.0302874722912806E-2</v>
      </c>
      <c r="H324" s="98">
        <f ca="1">'forecast production'!AH325</f>
        <v>67.384633642172957</v>
      </c>
      <c r="I324" s="307">
        <f ca="1">IF('monthly calculations (1)'!AV323,WI_2_APO, WI_2)</f>
        <v>0</v>
      </c>
      <c r="J324" s="306">
        <f ca="1">IF('monthly calculations (1)'!AV323,NRI_2_APO, NRI_2)</f>
        <v>0.25</v>
      </c>
      <c r="K324" s="112">
        <f t="shared" ca="1" si="81"/>
        <v>14.346248861454036</v>
      </c>
      <c r="L324" s="98">
        <f t="shared" ca="1" si="82"/>
        <v>84.230792052716197</v>
      </c>
      <c r="M324" s="98">
        <f t="shared" ca="1" si="83"/>
        <v>2.5757186807282015E-3</v>
      </c>
      <c r="N324" s="98">
        <f t="shared" ca="1" si="84"/>
        <v>16.846158410543239</v>
      </c>
      <c r="O324" s="67">
        <f>assumptions!M328</f>
        <v>55</v>
      </c>
      <c r="P324" s="68">
        <f>assumptions!N328</f>
        <v>3</v>
      </c>
      <c r="Q324" s="68">
        <f>assumptions!O328</f>
        <v>22</v>
      </c>
      <c r="R324" s="67">
        <f t="shared" si="85"/>
        <v>52.5</v>
      </c>
      <c r="S324" s="68">
        <f t="shared" si="86"/>
        <v>2.3275000000000001</v>
      </c>
      <c r="T324" s="68">
        <f t="shared" si="87"/>
        <v>22</v>
      </c>
      <c r="U324" s="73">
        <f t="shared" ca="1" si="93"/>
        <v>753.17806522633691</v>
      </c>
      <c r="V324" s="72">
        <f t="shared" ca="1" si="93"/>
        <v>196.04716850269696</v>
      </c>
      <c r="W324" s="72">
        <f t="shared" ca="1" si="88"/>
        <v>370.61548503195127</v>
      </c>
      <c r="X324" s="72">
        <f t="shared" ca="1" si="94"/>
        <v>1319.8407187609851</v>
      </c>
      <c r="Y324" s="73">
        <f>mult_opex * fixed_month</f>
        <v>1000</v>
      </c>
      <c r="Z324" s="72">
        <f ca="1">mult_opex * fixed_well *D324</f>
        <v>5000</v>
      </c>
      <c r="AA324" s="72">
        <f ca="1">(Z324+Y324)*WI_current_2</f>
        <v>0</v>
      </c>
      <c r="AB324" s="72">
        <f ca="1">mult_opex * var_bo*E324</f>
        <v>0</v>
      </c>
      <c r="AC324" s="72">
        <f ca="1">mult_opex * var_mcf*F324</f>
        <v>0</v>
      </c>
      <c r="AD324" s="72">
        <f ca="1">mult_opex * var_bw * G324</f>
        <v>2.0605749445825612E-2</v>
      </c>
      <c r="AE324" s="72">
        <f ca="1">SUM(AB324:AD324)*WI_current_2</f>
        <v>0</v>
      </c>
      <c r="AF324" s="73">
        <f ca="1">mult_capex * IFERROR(OFFSET(assumptions!$F$39,MATCH(B324,assumptions!$E$39:$E$45,0)-1,0),0)</f>
        <v>0</v>
      </c>
      <c r="AG324" s="75">
        <f ca="1">mult_capex * capex_new*WI_current_2 *'forecast production'!I325</f>
        <v>0</v>
      </c>
      <c r="AH324" s="146">
        <f t="shared" ca="1" si="95"/>
        <v>0</v>
      </c>
      <c r="AI324" s="73">
        <f t="shared" ca="1" si="89"/>
        <v>77.145890015510119</v>
      </c>
      <c r="AJ324" s="72">
        <f t="shared" ca="1" si="90"/>
        <v>32.996017969024628</v>
      </c>
      <c r="AK324" s="72">
        <f t="shared" ca="1" si="96"/>
        <v>110.14190798453475</v>
      </c>
      <c r="AL324" s="73">
        <f t="shared" ca="1" si="91"/>
        <v>1209.6988107764503</v>
      </c>
      <c r="AM324" s="321">
        <f ca="1">'monthly calculations (1)'!AM324</f>
        <v>0</v>
      </c>
      <c r="AN324" s="73">
        <f t="shared" ca="1" si="97"/>
        <v>0</v>
      </c>
      <c r="AO324" s="75">
        <f t="shared" ca="1" si="99"/>
        <v>1258622.5560460223</v>
      </c>
      <c r="AP324" s="72">
        <f ca="1">AL324  /  ( 1 + disc_1/12)^(COUNT($AL$6:AL324)-1)</f>
        <v>86.410344427996975</v>
      </c>
      <c r="AQ324" s="72">
        <f t="shared" ca="1" si="100"/>
        <v>738684.71897774923</v>
      </c>
      <c r="AS324" s="303"/>
      <c r="AT324" s="300"/>
      <c r="AU324" s="297"/>
      <c r="AV324" s="303"/>
    </row>
    <row r="325" spans="2:48" x14ac:dyDescent="0.25">
      <c r="B325" s="43">
        <f t="shared" si="98"/>
        <v>53905</v>
      </c>
      <c r="C325" s="79">
        <f t="shared" si="92"/>
        <v>2047</v>
      </c>
      <c r="D325" s="64">
        <f ca="1">wellcount_base  +  SUM('forecast production'!I$7:I326)</f>
        <v>1</v>
      </c>
      <c r="E325" s="110">
        <f ca="1">'forecast production'!AE326</f>
        <v>56.980046211381698</v>
      </c>
      <c r="F325" s="98">
        <f ca="1">'forecast production'!AF326</f>
        <v>446.87629798751567</v>
      </c>
      <c r="G325" s="98">
        <f ca="1">'forecast production'!AG326</f>
        <v>9.9538159783710261E-3</v>
      </c>
      <c r="H325" s="98">
        <f ca="1">'forecast production'!AH326</f>
        <v>67.031444698127345</v>
      </c>
      <c r="I325" s="307">
        <f ca="1">IF('monthly calculations (1)'!AV324,WI_2_APO, WI_2)</f>
        <v>0</v>
      </c>
      <c r="J325" s="306">
        <f ca="1">IF('monthly calculations (1)'!AV324,NRI_2_APO, NRI_2)</f>
        <v>0.25</v>
      </c>
      <c r="K325" s="112">
        <f t="shared" ca="1" si="81"/>
        <v>14.245011552845424</v>
      </c>
      <c r="L325" s="98">
        <f t="shared" ca="1" si="82"/>
        <v>83.789305872659185</v>
      </c>
      <c r="M325" s="98">
        <f t="shared" ca="1" si="83"/>
        <v>2.4884539945927565E-3</v>
      </c>
      <c r="N325" s="98">
        <f t="shared" ca="1" si="84"/>
        <v>16.757861174531836</v>
      </c>
      <c r="O325" s="67">
        <f>assumptions!M329</f>
        <v>55</v>
      </c>
      <c r="P325" s="68">
        <f>assumptions!N329</f>
        <v>3</v>
      </c>
      <c r="Q325" s="68">
        <f>assumptions!O329</f>
        <v>22</v>
      </c>
      <c r="R325" s="67">
        <f t="shared" si="85"/>
        <v>52.5</v>
      </c>
      <c r="S325" s="68">
        <f t="shared" si="86"/>
        <v>2.3275000000000001</v>
      </c>
      <c r="T325" s="68">
        <f t="shared" si="87"/>
        <v>22</v>
      </c>
      <c r="U325" s="73">
        <f t="shared" ca="1" si="93"/>
        <v>747.86310652438476</v>
      </c>
      <c r="V325" s="72">
        <f t="shared" ca="1" si="93"/>
        <v>195.01960941861427</v>
      </c>
      <c r="W325" s="72">
        <f t="shared" ca="1" si="88"/>
        <v>368.67294583970039</v>
      </c>
      <c r="X325" s="72">
        <f t="shared" ca="1" si="94"/>
        <v>1311.5556617826994</v>
      </c>
      <c r="Y325" s="73">
        <f>mult_opex * fixed_month</f>
        <v>1000</v>
      </c>
      <c r="Z325" s="72">
        <f ca="1">mult_opex * fixed_well *D325</f>
        <v>5000</v>
      </c>
      <c r="AA325" s="72">
        <f ca="1">(Z325+Y325)*WI_current_2</f>
        <v>0</v>
      </c>
      <c r="AB325" s="72">
        <f ca="1">mult_opex * var_bo*E325</f>
        <v>0</v>
      </c>
      <c r="AC325" s="72">
        <f ca="1">mult_opex * var_mcf*F325</f>
        <v>0</v>
      </c>
      <c r="AD325" s="72">
        <f ca="1">mult_opex * var_bw * G325</f>
        <v>1.9907631956742052E-2</v>
      </c>
      <c r="AE325" s="72">
        <f ca="1">SUM(AB325:AD325)*WI_current_2</f>
        <v>0</v>
      </c>
      <c r="AF325" s="73">
        <f ca="1">mult_capex * IFERROR(OFFSET(assumptions!$F$39,MATCH(B325,assumptions!$E$39:$E$45,0)-1,0),0)</f>
        <v>0</v>
      </c>
      <c r="AG325" s="75">
        <f ca="1">mult_capex * capex_new*WI_current_2 *'forecast production'!I326</f>
        <v>0</v>
      </c>
      <c r="AH325" s="146">
        <f t="shared" ca="1" si="95"/>
        <v>0</v>
      </c>
      <c r="AI325" s="73">
        <f t="shared" ca="1" si="89"/>
        <v>76.678644544495299</v>
      </c>
      <c r="AJ325" s="72">
        <f t="shared" ca="1" si="90"/>
        <v>32.788891544567484</v>
      </c>
      <c r="AK325" s="72">
        <f t="shared" ca="1" si="96"/>
        <v>109.46753608906278</v>
      </c>
      <c r="AL325" s="73">
        <f t="shared" ca="1" si="91"/>
        <v>1202.0881256936366</v>
      </c>
      <c r="AM325" s="321">
        <f ca="1">'monthly calculations (1)'!AM325</f>
        <v>0</v>
      </c>
      <c r="AN325" s="73">
        <f t="shared" ca="1" si="97"/>
        <v>0</v>
      </c>
      <c r="AO325" s="75">
        <f t="shared" ca="1" si="99"/>
        <v>1258622.5560460223</v>
      </c>
      <c r="AP325" s="72">
        <f ca="1">AL325  /  ( 1 + disc_1/12)^(COUNT($AL$6:AL325)-1)</f>
        <v>85.157061211432065</v>
      </c>
      <c r="AQ325" s="72">
        <f t="shared" ca="1" si="100"/>
        <v>738684.71897774923</v>
      </c>
      <c r="AS325" s="303"/>
      <c r="AT325" s="300"/>
      <c r="AU325" s="297"/>
      <c r="AV325" s="303"/>
    </row>
    <row r="326" spans="2:48" x14ac:dyDescent="0.25">
      <c r="B326" s="43">
        <f t="shared" si="98"/>
        <v>53936</v>
      </c>
      <c r="C326" s="79">
        <f t="shared" si="92"/>
        <v>2047</v>
      </c>
      <c r="D326" s="64">
        <f ca="1">wellcount_base  +  SUM('forecast production'!I$7:I327)</f>
        <v>1</v>
      </c>
      <c r="E326" s="110">
        <f ca="1">'forecast production'!AE327</f>
        <v>54.752859276774053</v>
      </c>
      <c r="F326" s="98">
        <f ca="1">'forecast production'!AF327</f>
        <v>430.19423841308571</v>
      </c>
      <c r="G326" s="98">
        <f ca="1">'forecast production'!AG327</f>
        <v>9.3064261603922338E-3</v>
      </c>
      <c r="H326" s="98">
        <f ca="1">'forecast production'!AH327</f>
        <v>64.529135761962863</v>
      </c>
      <c r="I326" s="307">
        <f ca="1">IF('monthly calculations (1)'!AV325,WI_2_APO, WI_2)</f>
        <v>0</v>
      </c>
      <c r="J326" s="306">
        <f ca="1">IF('monthly calculations (1)'!AV325,NRI_2_APO, NRI_2)</f>
        <v>0.25</v>
      </c>
      <c r="K326" s="112">
        <f t="shared" ref="K326:K365" ca="1" si="101">E326*NRI_current</f>
        <v>13.688214819193513</v>
      </c>
      <c r="L326" s="98">
        <f t="shared" ref="L326:L365" ca="1" si="102">F326 * NRI_current * ( 1-shrink_ngl-shrink_leaseuse) - vol_leaseuse</f>
        <v>80.661419702453571</v>
      </c>
      <c r="M326" s="98">
        <f t="shared" ref="M326:M365" ca="1" si="103">G326*NRI_current</f>
        <v>2.3266065400980585E-3</v>
      </c>
      <c r="N326" s="98">
        <f t="shared" ref="N326:N365" ca="1" si="104">H326 * NRI_current</f>
        <v>16.132283940490716</v>
      </c>
      <c r="O326" s="67">
        <f>assumptions!M330</f>
        <v>55</v>
      </c>
      <c r="P326" s="68">
        <f>assumptions!N330</f>
        <v>3</v>
      </c>
      <c r="Q326" s="68">
        <f>assumptions!O330</f>
        <v>22</v>
      </c>
      <c r="R326" s="67">
        <f t="shared" ref="R326:R365" si="105" xml:space="preserve"> (O326*mult_oilprice )  *  (1+  pdiff_oil)   + diff_oil</f>
        <v>52.5</v>
      </c>
      <c r="S326" s="68">
        <f t="shared" ref="S326:S365" si="106">(  (P326*mult_gasprice )  * (1+   pdiff_gas)  +  diff_gas ) *  energy_residue/1000</f>
        <v>2.3275000000000001</v>
      </c>
      <c r="T326" s="68">
        <f t="shared" ref="T326:T365" si="107">mult_oilprice * (1+pdiff_ngl)*O326</f>
        <v>22</v>
      </c>
      <c r="U326" s="73">
        <f t="shared" ca="1" si="93"/>
        <v>718.63127800765949</v>
      </c>
      <c r="V326" s="72">
        <f t="shared" ca="1" si="93"/>
        <v>187.73945435746069</v>
      </c>
      <c r="W326" s="72">
        <f t="shared" ref="W326:W365" ca="1" si="108">N326*T326</f>
        <v>354.91024669079576</v>
      </c>
      <c r="X326" s="72">
        <f t="shared" ca="1" si="94"/>
        <v>1261.2809790559159</v>
      </c>
      <c r="Y326" s="73">
        <f>mult_opex * fixed_month</f>
        <v>1000</v>
      </c>
      <c r="Z326" s="72">
        <f ca="1">mult_opex * fixed_well *D326</f>
        <v>5000</v>
      </c>
      <c r="AA326" s="72">
        <f ca="1">(Z326+Y326)*WI_current_2</f>
        <v>0</v>
      </c>
      <c r="AB326" s="72">
        <f ca="1">mult_opex * var_bo*E326</f>
        <v>0</v>
      </c>
      <c r="AC326" s="72">
        <f ca="1">mult_opex * var_mcf*F326</f>
        <v>0</v>
      </c>
      <c r="AD326" s="72">
        <f ca="1">mult_opex * var_bw * G326</f>
        <v>1.8612852320784468E-2</v>
      </c>
      <c r="AE326" s="72">
        <f ca="1">SUM(AB326:AD326)*WI_current_2</f>
        <v>0</v>
      </c>
      <c r="AF326" s="73">
        <f ca="1">mult_capex * IFERROR(OFFSET(assumptions!$F$39,MATCH(B326,assumptions!$E$39:$E$45,0)-1,0),0)</f>
        <v>0</v>
      </c>
      <c r="AG326" s="75">
        <f ca="1">mult_capex * capex_new*WI_current_2 *'forecast production'!I327</f>
        <v>0</v>
      </c>
      <c r="AH326" s="146">
        <f t="shared" ca="1" si="95"/>
        <v>0</v>
      </c>
      <c r="AI326" s="73">
        <f t="shared" ref="AI326:AI365" ca="1" si="109">U326*sev_oil   +  V326*sev_gas  +  W326*sev_ngl</f>
        <v>73.755766366971571</v>
      </c>
      <c r="AJ326" s="72">
        <f t="shared" ref="AJ326:AJ365" ca="1" si="110">adval * X326</f>
        <v>31.532024476397897</v>
      </c>
      <c r="AK326" s="72">
        <f t="shared" ca="1" si="96"/>
        <v>105.28779084336946</v>
      </c>
      <c r="AL326" s="73">
        <f t="shared" ref="AL326:AL365" ca="1" si="111">X326-AE326-AH326-AK326-AA326</f>
        <v>1155.9931882125463</v>
      </c>
      <c r="AM326" s="321">
        <f ca="1">'monthly calculations (1)'!AM326</f>
        <v>0</v>
      </c>
      <c r="AN326" s="73">
        <f t="shared" ca="1" si="97"/>
        <v>0</v>
      </c>
      <c r="AO326" s="75">
        <f t="shared" ca="1" si="99"/>
        <v>1258622.5560460223</v>
      </c>
      <c r="AP326" s="72">
        <f ca="1">AL326  /  ( 1 + disc_1/12)^(COUNT($AL$6:AL326)-1)</f>
        <v>81.214861674038204</v>
      </c>
      <c r="AQ326" s="72">
        <f t="shared" ca="1" si="100"/>
        <v>738684.71897774923</v>
      </c>
      <c r="AS326" s="303"/>
      <c r="AT326" s="300"/>
      <c r="AU326" s="297"/>
      <c r="AV326" s="303"/>
    </row>
    <row r="327" spans="2:48" x14ac:dyDescent="0.25">
      <c r="B327" s="43">
        <f t="shared" si="98"/>
        <v>53966</v>
      </c>
      <c r="C327" s="79">
        <f t="shared" ref="C327:C365" si="112">YEAR(B327)</f>
        <v>2047</v>
      </c>
      <c r="D327" s="64">
        <f ca="1">wellcount_base  +  SUM('forecast production'!I$7:I328)</f>
        <v>1</v>
      </c>
      <c r="E327" s="110">
        <f ca="1">'forecast production'!AE328</f>
        <v>56.191535487949693</v>
      </c>
      <c r="F327" s="98">
        <f ca="1">'forecast production'!AF328</f>
        <v>442.27904090003062</v>
      </c>
      <c r="G327" s="98">
        <f ca="1">'forecast production'!AG328</f>
        <v>9.3012727366541485E-3</v>
      </c>
      <c r="H327" s="98">
        <f ca="1">'forecast production'!AH328</f>
        <v>66.341856135004591</v>
      </c>
      <c r="I327" s="307">
        <f ca="1">IF('monthly calculations (1)'!AV326,WI_2_APO, WI_2)</f>
        <v>0</v>
      </c>
      <c r="J327" s="306">
        <f ca="1">IF('monthly calculations (1)'!AV326,NRI_2_APO, NRI_2)</f>
        <v>0.25</v>
      </c>
      <c r="K327" s="112">
        <f t="shared" ca="1" si="101"/>
        <v>14.047883871987423</v>
      </c>
      <c r="L327" s="98">
        <f t="shared" ca="1" si="102"/>
        <v>82.927320168755742</v>
      </c>
      <c r="M327" s="98">
        <f t="shared" ca="1" si="103"/>
        <v>2.3253181841635371E-3</v>
      </c>
      <c r="N327" s="98">
        <f t="shared" ca="1" si="104"/>
        <v>16.585464033751148</v>
      </c>
      <c r="O327" s="67">
        <f>assumptions!M331</f>
        <v>55</v>
      </c>
      <c r="P327" s="68">
        <f>assumptions!N331</f>
        <v>3</v>
      </c>
      <c r="Q327" s="68">
        <f>assumptions!O331</f>
        <v>22</v>
      </c>
      <c r="R327" s="67">
        <f t="shared" si="105"/>
        <v>52.5</v>
      </c>
      <c r="S327" s="68">
        <f t="shared" si="106"/>
        <v>2.3275000000000001</v>
      </c>
      <c r="T327" s="68">
        <f t="shared" si="107"/>
        <v>22</v>
      </c>
      <c r="U327" s="73">
        <f t="shared" ref="U327:V365" ca="1" si="113">K327*R327</f>
        <v>737.51390327933973</v>
      </c>
      <c r="V327" s="72">
        <f t="shared" ca="1" si="113"/>
        <v>193.013337692779</v>
      </c>
      <c r="W327" s="72">
        <f t="shared" ca="1" si="108"/>
        <v>364.88020874252527</v>
      </c>
      <c r="X327" s="72">
        <f t="shared" ref="X327:X365" ca="1" si="114">SUM(U327:W327)</f>
        <v>1295.4074497146439</v>
      </c>
      <c r="Y327" s="73">
        <f>mult_opex * fixed_month</f>
        <v>1000</v>
      </c>
      <c r="Z327" s="72">
        <f ca="1">mult_opex * fixed_well *D327</f>
        <v>5000</v>
      </c>
      <c r="AA327" s="72">
        <f ca="1">(Z327+Y327)*WI_current_2</f>
        <v>0</v>
      </c>
      <c r="AB327" s="72">
        <f ca="1">mult_opex * var_bo*E327</f>
        <v>0</v>
      </c>
      <c r="AC327" s="72">
        <f ca="1">mult_opex * var_mcf*F327</f>
        <v>0</v>
      </c>
      <c r="AD327" s="72">
        <f ca="1">mult_opex * var_bw * G327</f>
        <v>1.8602545473308297E-2</v>
      </c>
      <c r="AE327" s="72">
        <f ca="1">SUM(AB327:AD327)*WI_current_2</f>
        <v>0</v>
      </c>
      <c r="AF327" s="73">
        <f ca="1">mult_capex * IFERROR(OFFSET(assumptions!$F$39,MATCH(B327,assumptions!$E$39:$E$45,0)-1,0),0)</f>
        <v>0</v>
      </c>
      <c r="AG327" s="75">
        <f ca="1">mult_capex * capex_new*WI_current_2 *'forecast production'!I328</f>
        <v>0</v>
      </c>
      <c r="AH327" s="146">
        <f t="shared" ref="AH327:AH365" ca="1" si="115">AG327+AF327</f>
        <v>0</v>
      </c>
      <c r="AI327" s="73">
        <f t="shared" ca="1" si="109"/>
        <v>75.767655533497447</v>
      </c>
      <c r="AJ327" s="72">
        <f t="shared" ca="1" si="110"/>
        <v>32.385186242866098</v>
      </c>
      <c r="AK327" s="72">
        <f t="shared" ref="AK327:AK365" ca="1" si="116">SUM(AI327:AJ327)</f>
        <v>108.15284177636354</v>
      </c>
      <c r="AL327" s="73">
        <f t="shared" ca="1" si="111"/>
        <v>1187.2546079382803</v>
      </c>
      <c r="AM327" s="321">
        <f ca="1">'monthly calculations (1)'!AM327</f>
        <v>0</v>
      </c>
      <c r="AN327" s="73">
        <f t="shared" ref="AN327:AN365" ca="1" si="117">AL327*AM327</f>
        <v>0</v>
      </c>
      <c r="AO327" s="75">
        <f t="shared" ca="1" si="99"/>
        <v>1258622.5560460223</v>
      </c>
      <c r="AP327" s="72">
        <f ca="1">AL327  /  ( 1 + disc_1/12)^(COUNT($AL$6:AL327)-1)</f>
        <v>82.721799537804145</v>
      </c>
      <c r="AQ327" s="72">
        <f t="shared" ca="1" si="100"/>
        <v>738684.71897774923</v>
      </c>
      <c r="AS327" s="303"/>
      <c r="AT327" s="300"/>
      <c r="AU327" s="297"/>
      <c r="AV327" s="303"/>
    </row>
    <row r="328" spans="2:48" x14ac:dyDescent="0.25">
      <c r="B328" s="43">
        <f t="shared" ref="B328:B365" si="118">EOMONTH(B327,0)+1</f>
        <v>53997</v>
      </c>
      <c r="C328" s="79">
        <f t="shared" si="112"/>
        <v>2047</v>
      </c>
      <c r="D328" s="64">
        <f ca="1">wellcount_base  +  SUM('forecast production'!I$7:I329)</f>
        <v>1</v>
      </c>
      <c r="E328" s="110">
        <f ca="1">'forecast production'!AE329</f>
        <v>53.995169180873852</v>
      </c>
      <c r="F328" s="98">
        <f ca="1">'forecast production'!AF329</f>
        <v>425.76859865450757</v>
      </c>
      <c r="G328" s="98">
        <f ca="1">'forecast production'!AG329</f>
        <v>8.6964254879974313E-3</v>
      </c>
      <c r="H328" s="98">
        <f ca="1">'forecast production'!AH329</f>
        <v>63.865289798176128</v>
      </c>
      <c r="I328" s="307">
        <f ca="1">IF('monthly calculations (1)'!AV327,WI_2_APO, WI_2)</f>
        <v>0</v>
      </c>
      <c r="J328" s="306">
        <f ca="1">IF('monthly calculations (1)'!AV327,NRI_2_APO, NRI_2)</f>
        <v>0.25</v>
      </c>
      <c r="K328" s="112">
        <f t="shared" ca="1" si="101"/>
        <v>13.498792295218463</v>
      </c>
      <c r="L328" s="98">
        <f t="shared" ca="1" si="102"/>
        <v>79.831612247720173</v>
      </c>
      <c r="M328" s="98">
        <f t="shared" ca="1" si="103"/>
        <v>2.1741063719993578E-3</v>
      </c>
      <c r="N328" s="98">
        <f t="shared" ca="1" si="104"/>
        <v>15.966322449544032</v>
      </c>
      <c r="O328" s="67">
        <f>assumptions!M332</f>
        <v>55</v>
      </c>
      <c r="P328" s="68">
        <f>assumptions!N332</f>
        <v>3</v>
      </c>
      <c r="Q328" s="68">
        <f>assumptions!O332</f>
        <v>22</v>
      </c>
      <c r="R328" s="67">
        <f t="shared" si="105"/>
        <v>52.5</v>
      </c>
      <c r="S328" s="68">
        <f t="shared" si="106"/>
        <v>2.3275000000000001</v>
      </c>
      <c r="T328" s="68">
        <f t="shared" si="107"/>
        <v>22</v>
      </c>
      <c r="U328" s="73">
        <f t="shared" ca="1" si="113"/>
        <v>708.68659549896927</v>
      </c>
      <c r="V328" s="72">
        <f t="shared" ca="1" si="113"/>
        <v>185.80807750656871</v>
      </c>
      <c r="W328" s="72">
        <f t="shared" ca="1" si="108"/>
        <v>351.25909388996871</v>
      </c>
      <c r="X328" s="72">
        <f t="shared" ca="1" si="114"/>
        <v>1245.7537668955067</v>
      </c>
      <c r="Y328" s="73">
        <f>mult_opex * fixed_month</f>
        <v>1000</v>
      </c>
      <c r="Z328" s="72">
        <f ca="1">mult_opex * fixed_well *D328</f>
        <v>5000</v>
      </c>
      <c r="AA328" s="72">
        <f ca="1">(Z328+Y328)*WI_current_2</f>
        <v>0</v>
      </c>
      <c r="AB328" s="72">
        <f ca="1">mult_opex * var_bo*E328</f>
        <v>0</v>
      </c>
      <c r="AC328" s="72">
        <f ca="1">mult_opex * var_mcf*F328</f>
        <v>0</v>
      </c>
      <c r="AD328" s="72">
        <f ca="1">mult_opex * var_bw * G328</f>
        <v>1.7392850975994863E-2</v>
      </c>
      <c r="AE328" s="72">
        <f ca="1">SUM(AB328:AD328)*WI_current_2</f>
        <v>0</v>
      </c>
      <c r="AF328" s="73">
        <f ca="1">mult_capex * IFERROR(OFFSET(assumptions!$F$39,MATCH(B328,assumptions!$E$39:$E$45,0)-1,0),0)</f>
        <v>0</v>
      </c>
      <c r="AG328" s="75">
        <f ca="1">mult_capex * capex_new*WI_current_2 *'forecast production'!I329</f>
        <v>0</v>
      </c>
      <c r="AH328" s="146">
        <f t="shared" ca="1" si="115"/>
        <v>0</v>
      </c>
      <c r="AI328" s="73">
        <f t="shared" ca="1" si="109"/>
        <v>72.879621247692896</v>
      </c>
      <c r="AJ328" s="72">
        <f t="shared" ca="1" si="110"/>
        <v>31.14384417238767</v>
      </c>
      <c r="AK328" s="72">
        <f t="shared" ca="1" si="116"/>
        <v>104.02346542008057</v>
      </c>
      <c r="AL328" s="73">
        <f t="shared" ca="1" si="111"/>
        <v>1141.7303014754261</v>
      </c>
      <c r="AM328" s="321">
        <f ca="1">'monthly calculations (1)'!AM328</f>
        <v>0</v>
      </c>
      <c r="AN328" s="73">
        <f t="shared" ca="1" si="117"/>
        <v>0</v>
      </c>
      <c r="AO328" s="75">
        <f t="shared" ref="AO328:AO365" ca="1" si="119">AO327+AN328</f>
        <v>1258622.5560460223</v>
      </c>
      <c r="AP328" s="72">
        <f ca="1">AL328  /  ( 1 + disc_1/12)^(COUNT($AL$6:AL328)-1)</f>
        <v>78.892462633546145</v>
      </c>
      <c r="AQ328" s="72">
        <f t="shared" ref="AQ328:AQ365" ca="1" si="120">AQ327+AP328*AM328</f>
        <v>738684.71897774923</v>
      </c>
      <c r="AS328" s="303"/>
      <c r="AT328" s="300"/>
      <c r="AU328" s="297"/>
      <c r="AV328" s="303"/>
    </row>
    <row r="329" spans="2:48" x14ac:dyDescent="0.25">
      <c r="B329" s="44">
        <f t="shared" si="118"/>
        <v>54027</v>
      </c>
      <c r="C329" s="100">
        <f t="shared" si="112"/>
        <v>2047</v>
      </c>
      <c r="D329" s="65">
        <f ca="1">wellcount_base  +  SUM('forecast production'!I$7:I330)</f>
        <v>1</v>
      </c>
      <c r="E329" s="109">
        <f ca="1">'forecast production'!AE330</f>
        <v>55.413936464354869</v>
      </c>
      <c r="F329" s="101">
        <f ca="1">'forecast production'!AF330</f>
        <v>437.72907827149015</v>
      </c>
      <c r="G329" s="101">
        <f ca="1">'forecast production'!AG330</f>
        <v>8.691708062981994E-3</v>
      </c>
      <c r="H329" s="102">
        <f ca="1">'forecast production'!AH330</f>
        <v>65.659361740723526</v>
      </c>
      <c r="I329" s="308">
        <f ca="1">IF('monthly calculations (1)'!AV328,WI_2_APO, WI_2)</f>
        <v>0</v>
      </c>
      <c r="J329" s="309">
        <f ca="1">IF('monthly calculations (1)'!AV328,NRI_2_APO, NRI_2)</f>
        <v>0.25</v>
      </c>
      <c r="K329" s="113">
        <f t="shared" ca="1" si="101"/>
        <v>13.853484116088717</v>
      </c>
      <c r="L329" s="102">
        <f t="shared" ca="1" si="102"/>
        <v>82.074202175904404</v>
      </c>
      <c r="M329" s="102">
        <f t="shared" ca="1" si="103"/>
        <v>2.1729270157454985E-3</v>
      </c>
      <c r="N329" s="102">
        <f t="shared" ca="1" si="104"/>
        <v>16.414840435180881</v>
      </c>
      <c r="O329" s="103">
        <f>assumptions!M333</f>
        <v>55</v>
      </c>
      <c r="P329" s="104">
        <f>assumptions!N333</f>
        <v>3</v>
      </c>
      <c r="Q329" s="104">
        <f>assumptions!O333</f>
        <v>22</v>
      </c>
      <c r="R329" s="103">
        <f t="shared" si="105"/>
        <v>52.5</v>
      </c>
      <c r="S329" s="104">
        <f t="shared" si="106"/>
        <v>2.3275000000000001</v>
      </c>
      <c r="T329" s="104">
        <f t="shared" si="107"/>
        <v>22</v>
      </c>
      <c r="U329" s="105">
        <f t="shared" ca="1" si="113"/>
        <v>727.30791609465768</v>
      </c>
      <c r="V329" s="106">
        <f t="shared" ca="1" si="113"/>
        <v>191.02770556441752</v>
      </c>
      <c r="W329" s="106">
        <f t="shared" ca="1" si="108"/>
        <v>361.12648957397937</v>
      </c>
      <c r="X329" s="106">
        <f t="shared" ca="1" si="114"/>
        <v>1279.4621112330547</v>
      </c>
      <c r="Y329" s="105">
        <f>mult_opex * fixed_month</f>
        <v>1000</v>
      </c>
      <c r="Z329" s="106">
        <f ca="1">mult_opex * fixed_well *D329</f>
        <v>5000</v>
      </c>
      <c r="AA329" s="106">
        <f ca="1">(Z329+Y329)*WI_current_2</f>
        <v>0</v>
      </c>
      <c r="AB329" s="106">
        <f ca="1">mult_opex * var_bo*E329</f>
        <v>0</v>
      </c>
      <c r="AC329" s="106">
        <f ca="1">mult_opex * var_mcf*F329</f>
        <v>0</v>
      </c>
      <c r="AD329" s="106">
        <f ca="1">mult_opex * var_bw * G329</f>
        <v>1.7383416125963988E-2</v>
      </c>
      <c r="AE329" s="106">
        <f ca="1">SUM(AB329:AD329)*WI_current_2</f>
        <v>0</v>
      </c>
      <c r="AF329" s="105">
        <f ca="1">mult_capex * IFERROR(OFFSET(assumptions!$F$39,MATCH(B329,assumptions!$E$39:$E$45,0)-1,0),0)</f>
        <v>0</v>
      </c>
      <c r="AG329" s="106">
        <f ca="1">mult_capex * capex_new*WI_current_2 *'forecast production'!I330</f>
        <v>0</v>
      </c>
      <c r="AH329" s="147">
        <f t="shared" ca="1" si="115"/>
        <v>0</v>
      </c>
      <c r="AI329" s="105">
        <f t="shared" ca="1" si="109"/>
        <v>74.867728775734022</v>
      </c>
      <c r="AJ329" s="106">
        <f t="shared" ca="1" si="110"/>
        <v>31.986552780826369</v>
      </c>
      <c r="AK329" s="106">
        <f t="shared" ca="1" si="116"/>
        <v>106.85428155656039</v>
      </c>
      <c r="AL329" s="105">
        <f t="shared" ca="1" si="111"/>
        <v>1172.6078296764942</v>
      </c>
      <c r="AM329" s="322">
        <f ca="1">'monthly calculations (1)'!AM329</f>
        <v>0</v>
      </c>
      <c r="AN329" s="105">
        <f t="shared" ca="1" si="117"/>
        <v>0</v>
      </c>
      <c r="AO329" s="106">
        <f t="shared" ca="1" si="119"/>
        <v>1258622.5560460223</v>
      </c>
      <c r="AP329" s="106">
        <f ca="1">AL329  /  ( 1 + disc_1/12)^(COUNT($AL$6:AL329)-1)</f>
        <v>80.356433108307485</v>
      </c>
      <c r="AQ329" s="106">
        <f t="shared" ca="1" si="120"/>
        <v>738684.71897774923</v>
      </c>
      <c r="AS329" s="304"/>
      <c r="AT329" s="301"/>
      <c r="AU329" s="298"/>
      <c r="AV329" s="304"/>
    </row>
    <row r="330" spans="2:48" x14ac:dyDescent="0.25">
      <c r="B330" s="43">
        <f t="shared" si="118"/>
        <v>54058</v>
      </c>
      <c r="C330" s="79">
        <f t="shared" si="112"/>
        <v>2048</v>
      </c>
      <c r="D330" s="64">
        <f ca="1">wellcount_base  +  SUM('forecast production'!I$7:I331)</f>
        <v>1</v>
      </c>
      <c r="E330" s="110">
        <f ca="1">'forecast production'!AE331</f>
        <v>55.022896420282251</v>
      </c>
      <c r="F330" s="98">
        <f ca="1">'forecast production'!AF331</f>
        <v>435.43477076284165</v>
      </c>
      <c r="G330" s="98">
        <f ca="1">'forecast production'!AG331</f>
        <v>8.3974811986447379E-3</v>
      </c>
      <c r="H330" s="98">
        <f ca="1">'forecast production'!AH331</f>
        <v>65.315215614426251</v>
      </c>
      <c r="I330" s="307">
        <f ca="1">IF('monthly calculations (1)'!AV329,WI_2_APO, WI_2)</f>
        <v>0</v>
      </c>
      <c r="J330" s="306">
        <f ca="1">IF('monthly calculations (1)'!AV329,NRI_2_APO, NRI_2)</f>
        <v>0.25</v>
      </c>
      <c r="K330" s="112">
        <f t="shared" ca="1" si="101"/>
        <v>13.755724105070563</v>
      </c>
      <c r="L330" s="98">
        <f t="shared" ca="1" si="102"/>
        <v>81.644019518032806</v>
      </c>
      <c r="M330" s="98">
        <f t="shared" ca="1" si="103"/>
        <v>2.0993702996611845E-3</v>
      </c>
      <c r="N330" s="98">
        <f t="shared" ca="1" si="104"/>
        <v>16.328803903606563</v>
      </c>
      <c r="O330" s="67">
        <f>assumptions!M334</f>
        <v>55</v>
      </c>
      <c r="P330" s="68">
        <f>assumptions!N334</f>
        <v>3</v>
      </c>
      <c r="Q330" s="68">
        <f>assumptions!O334</f>
        <v>22</v>
      </c>
      <c r="R330" s="67">
        <f t="shared" si="105"/>
        <v>52.5</v>
      </c>
      <c r="S330" s="68">
        <f t="shared" si="106"/>
        <v>2.3275000000000001</v>
      </c>
      <c r="T330" s="68">
        <f t="shared" si="107"/>
        <v>22</v>
      </c>
      <c r="U330" s="73">
        <f t="shared" ca="1" si="113"/>
        <v>722.17551551620454</v>
      </c>
      <c r="V330" s="72">
        <f t="shared" ca="1" si="113"/>
        <v>190.02645542822137</v>
      </c>
      <c r="W330" s="72">
        <f t="shared" ca="1" si="108"/>
        <v>359.23368587934436</v>
      </c>
      <c r="X330" s="72">
        <f t="shared" ca="1" si="114"/>
        <v>1271.4356568237704</v>
      </c>
      <c r="Y330" s="73">
        <f>mult_opex * fixed_month</f>
        <v>1000</v>
      </c>
      <c r="Z330" s="72">
        <f ca="1">mult_opex * fixed_well *D330</f>
        <v>5000</v>
      </c>
      <c r="AA330" s="72">
        <f ca="1">(Z330+Y330)*WI_current_2</f>
        <v>0</v>
      </c>
      <c r="AB330" s="72">
        <f ca="1">mult_opex * var_bo*E330</f>
        <v>0</v>
      </c>
      <c r="AC330" s="72">
        <f ca="1">mult_opex * var_mcf*F330</f>
        <v>0</v>
      </c>
      <c r="AD330" s="72">
        <f ca="1">mult_opex * var_bw * G330</f>
        <v>1.6794962397289476E-2</v>
      </c>
      <c r="AE330" s="72">
        <f ca="1">SUM(AB330:AD330)*WI_current_2</f>
        <v>0</v>
      </c>
      <c r="AF330" s="73">
        <f ca="1">mult_capex * IFERROR(OFFSET(assumptions!$F$39,MATCH(B330,assumptions!$E$39:$E$45,0)-1,0),0)</f>
        <v>0</v>
      </c>
      <c r="AG330" s="75">
        <f ca="1">mult_capex * capex_new*WI_current_2 *'forecast production'!I331</f>
        <v>0</v>
      </c>
      <c r="AH330" s="146">
        <f t="shared" ca="1" si="115"/>
        <v>0</v>
      </c>
      <c r="AI330" s="73">
        <f t="shared" ca="1" si="109"/>
        <v>74.414584311812831</v>
      </c>
      <c r="AJ330" s="72">
        <f t="shared" ca="1" si="110"/>
        <v>31.785891420594261</v>
      </c>
      <c r="AK330" s="72">
        <f t="shared" ca="1" si="116"/>
        <v>106.20047573240709</v>
      </c>
      <c r="AL330" s="73">
        <f t="shared" ca="1" si="111"/>
        <v>1165.2351810913633</v>
      </c>
      <c r="AM330" s="321">
        <f ca="1">'monthly calculations (1)'!AM330</f>
        <v>0</v>
      </c>
      <c r="AN330" s="73">
        <f t="shared" ca="1" si="117"/>
        <v>0</v>
      </c>
      <c r="AO330" s="75">
        <f t="shared" ca="1" si="119"/>
        <v>1258622.5560460223</v>
      </c>
      <c r="AP330" s="72">
        <f ca="1">AL330  /  ( 1 + disc_1/12)^(COUNT($AL$6:AL330)-1)</f>
        <v>79.191273197300333</v>
      </c>
      <c r="AQ330" s="72">
        <f t="shared" ca="1" si="120"/>
        <v>738684.71897774923</v>
      </c>
      <c r="AS330" s="303"/>
      <c r="AT330" s="300"/>
      <c r="AU330" s="297"/>
      <c r="AV330" s="303"/>
    </row>
    <row r="331" spans="2:48" x14ac:dyDescent="0.25">
      <c r="B331" s="43">
        <f t="shared" si="118"/>
        <v>54089</v>
      </c>
      <c r="C331" s="79">
        <f t="shared" si="112"/>
        <v>2048</v>
      </c>
      <c r="D331" s="64">
        <f ca="1">wellcount_base  +  SUM('forecast production'!I$7:I332)</f>
        <v>1</v>
      </c>
      <c r="E331" s="110">
        <f ca="1">'forecast production'!AE332</f>
        <v>51.109801907493669</v>
      </c>
      <c r="F331" s="98">
        <f ca="1">'forecast production'!AF332</f>
        <v>405.20716676212277</v>
      </c>
      <c r="G331" s="98">
        <f ca="1">'forecast production'!AG332</f>
        <v>7.5898261532698361E-3</v>
      </c>
      <c r="H331" s="98">
        <f ca="1">'forecast production'!AH332</f>
        <v>60.781075014318411</v>
      </c>
      <c r="I331" s="307">
        <f ca="1">IF('monthly calculations (1)'!AV330,WI_2_APO, WI_2)</f>
        <v>0</v>
      </c>
      <c r="J331" s="306">
        <f ca="1">IF('monthly calculations (1)'!AV330,NRI_2_APO, NRI_2)</f>
        <v>0.25</v>
      </c>
      <c r="K331" s="112">
        <f t="shared" ca="1" si="101"/>
        <v>12.777450476873417</v>
      </c>
      <c r="L331" s="98">
        <f t="shared" ca="1" si="102"/>
        <v>75.976343767898015</v>
      </c>
      <c r="M331" s="98">
        <f t="shared" ca="1" si="103"/>
        <v>1.897456538317459E-3</v>
      </c>
      <c r="N331" s="98">
        <f t="shared" ca="1" si="104"/>
        <v>15.195268753579603</v>
      </c>
      <c r="O331" s="67">
        <f>assumptions!M335</f>
        <v>55</v>
      </c>
      <c r="P331" s="68">
        <f>assumptions!N335</f>
        <v>3</v>
      </c>
      <c r="Q331" s="68">
        <f>assumptions!O335</f>
        <v>22</v>
      </c>
      <c r="R331" s="67">
        <f t="shared" si="105"/>
        <v>52.5</v>
      </c>
      <c r="S331" s="68">
        <f t="shared" si="106"/>
        <v>2.3275000000000001</v>
      </c>
      <c r="T331" s="68">
        <f t="shared" si="107"/>
        <v>22</v>
      </c>
      <c r="U331" s="73">
        <f t="shared" ca="1" si="113"/>
        <v>670.81615003585443</v>
      </c>
      <c r="V331" s="72">
        <f t="shared" ca="1" si="113"/>
        <v>176.83494011978263</v>
      </c>
      <c r="W331" s="72">
        <f t="shared" ca="1" si="108"/>
        <v>334.29591257875126</v>
      </c>
      <c r="X331" s="72">
        <f t="shared" ca="1" si="114"/>
        <v>1181.9470027343884</v>
      </c>
      <c r="Y331" s="73">
        <f>mult_opex * fixed_month</f>
        <v>1000</v>
      </c>
      <c r="Z331" s="72">
        <f ca="1">mult_opex * fixed_well *D331</f>
        <v>5000</v>
      </c>
      <c r="AA331" s="72">
        <f ca="1">(Z331+Y331)*WI_current_2</f>
        <v>0</v>
      </c>
      <c r="AB331" s="72">
        <f ca="1">mult_opex * var_bo*E331</f>
        <v>0</v>
      </c>
      <c r="AC331" s="72">
        <f ca="1">mult_opex * var_mcf*F331</f>
        <v>0</v>
      </c>
      <c r="AD331" s="72">
        <f ca="1">mult_opex * var_bw * G331</f>
        <v>1.5179652306539672E-2</v>
      </c>
      <c r="AE331" s="72">
        <f ca="1">SUM(AB331:AD331)*WI_current_2</f>
        <v>0</v>
      </c>
      <c r="AF331" s="73">
        <f ca="1">mult_capex * IFERROR(OFFSET(assumptions!$F$39,MATCH(B331,assumptions!$E$39:$E$45,0)-1,0),0)</f>
        <v>0</v>
      </c>
      <c r="AG331" s="75">
        <f ca="1">mult_capex * capex_new*WI_current_2 *'forecast production'!I332</f>
        <v>0</v>
      </c>
      <c r="AH331" s="146">
        <f t="shared" ca="1" si="115"/>
        <v>0</v>
      </c>
      <c r="AI331" s="73">
        <f t="shared" ca="1" si="109"/>
        <v>69.192356854039346</v>
      </c>
      <c r="AJ331" s="72">
        <f t="shared" ca="1" si="110"/>
        <v>29.548675068359714</v>
      </c>
      <c r="AK331" s="72">
        <f t="shared" ca="1" si="116"/>
        <v>98.74103192239906</v>
      </c>
      <c r="AL331" s="73">
        <f t="shared" ca="1" si="111"/>
        <v>1083.2059708119893</v>
      </c>
      <c r="AM331" s="321">
        <f ca="1">'monthly calculations (1)'!AM331</f>
        <v>0</v>
      </c>
      <c r="AN331" s="73">
        <f t="shared" ca="1" si="117"/>
        <v>0</v>
      </c>
      <c r="AO331" s="75">
        <f t="shared" ca="1" si="119"/>
        <v>1258622.5560460223</v>
      </c>
      <c r="AP331" s="72">
        <f ca="1">AL331  /  ( 1 + disc_1/12)^(COUNT($AL$6:AL331)-1)</f>
        <v>73.008034706482846</v>
      </c>
      <c r="AQ331" s="72">
        <f t="shared" ca="1" si="120"/>
        <v>738684.71897774923</v>
      </c>
      <c r="AS331" s="303"/>
      <c r="AT331" s="300"/>
      <c r="AU331" s="297"/>
      <c r="AV331" s="303"/>
    </row>
    <row r="332" spans="2:48" x14ac:dyDescent="0.25">
      <c r="B332" s="43">
        <f t="shared" si="118"/>
        <v>54118</v>
      </c>
      <c r="C332" s="79">
        <f t="shared" si="112"/>
        <v>2048</v>
      </c>
      <c r="D332" s="64">
        <f ca="1">wellcount_base  +  SUM('forecast production'!I$7:I333)</f>
        <v>1</v>
      </c>
      <c r="E332" s="110">
        <f ca="1">'forecast production'!AE333</f>
        <v>54.273866507634395</v>
      </c>
      <c r="F332" s="98">
        <f ca="1">'forecast production'!AF333</f>
        <v>431.02828126050179</v>
      </c>
      <c r="G332" s="98">
        <f ca="1">'forecast production'!AG333</f>
        <v>7.8561376031237948E-3</v>
      </c>
      <c r="H332" s="98">
        <f ca="1">'forecast production'!AH333</f>
        <v>64.654242189075262</v>
      </c>
      <c r="I332" s="307">
        <f ca="1">IF('monthly calculations (1)'!AV331,WI_2_APO, WI_2)</f>
        <v>0</v>
      </c>
      <c r="J332" s="306">
        <f ca="1">IF('monthly calculations (1)'!AV331,NRI_2_APO, NRI_2)</f>
        <v>0.25</v>
      </c>
      <c r="K332" s="112">
        <f t="shared" ca="1" si="101"/>
        <v>13.568466626908599</v>
      </c>
      <c r="L332" s="98">
        <f t="shared" ca="1" si="102"/>
        <v>80.817802736344078</v>
      </c>
      <c r="M332" s="98">
        <f t="shared" ca="1" si="103"/>
        <v>1.9640344007809487E-3</v>
      </c>
      <c r="N332" s="98">
        <f t="shared" ca="1" si="104"/>
        <v>16.163560547268816</v>
      </c>
      <c r="O332" s="67">
        <f>assumptions!M336</f>
        <v>55</v>
      </c>
      <c r="P332" s="68">
        <f>assumptions!N336</f>
        <v>3</v>
      </c>
      <c r="Q332" s="68">
        <f>assumptions!O336</f>
        <v>22</v>
      </c>
      <c r="R332" s="67">
        <f t="shared" si="105"/>
        <v>52.5</v>
      </c>
      <c r="S332" s="68">
        <f t="shared" si="106"/>
        <v>2.3275000000000001</v>
      </c>
      <c r="T332" s="68">
        <f t="shared" si="107"/>
        <v>22</v>
      </c>
      <c r="U332" s="73">
        <f t="shared" ca="1" si="113"/>
        <v>712.3444979127014</v>
      </c>
      <c r="V332" s="72">
        <f t="shared" ca="1" si="113"/>
        <v>188.10343586884085</v>
      </c>
      <c r="W332" s="72">
        <f t="shared" ca="1" si="108"/>
        <v>355.59833203991394</v>
      </c>
      <c r="X332" s="72">
        <f t="shared" ca="1" si="114"/>
        <v>1256.0462658214562</v>
      </c>
      <c r="Y332" s="73">
        <f>mult_opex * fixed_month</f>
        <v>1000</v>
      </c>
      <c r="Z332" s="72">
        <f ca="1">mult_opex * fixed_well *D332</f>
        <v>5000</v>
      </c>
      <c r="AA332" s="72">
        <f ca="1">(Z332+Y332)*WI_current_2</f>
        <v>0</v>
      </c>
      <c r="AB332" s="72">
        <f ca="1">mult_opex * var_bo*E332</f>
        <v>0</v>
      </c>
      <c r="AC332" s="72">
        <f ca="1">mult_opex * var_mcf*F332</f>
        <v>0</v>
      </c>
      <c r="AD332" s="72">
        <f ca="1">mult_opex * var_bw * G332</f>
        <v>1.571227520624759E-2</v>
      </c>
      <c r="AE332" s="72">
        <f ca="1">SUM(AB332:AD332)*WI_current_2</f>
        <v>0</v>
      </c>
      <c r="AF332" s="73">
        <f ca="1">mult_capex * IFERROR(OFFSET(assumptions!$F$39,MATCH(B332,assumptions!$E$39:$E$45,0)-1,0),0)</f>
        <v>0</v>
      </c>
      <c r="AG332" s="75">
        <f ca="1">mult_capex * capex_new*WI_current_2 *'forecast production'!I333</f>
        <v>0</v>
      </c>
      <c r="AH332" s="146">
        <f t="shared" ca="1" si="115"/>
        <v>0</v>
      </c>
      <c r="AI332" s="73">
        <f t="shared" ca="1" si="109"/>
        <v>73.545479497140875</v>
      </c>
      <c r="AJ332" s="72">
        <f t="shared" ca="1" si="110"/>
        <v>31.401156645536407</v>
      </c>
      <c r="AK332" s="72">
        <f t="shared" ca="1" si="116"/>
        <v>104.94663614267728</v>
      </c>
      <c r="AL332" s="73">
        <f t="shared" ca="1" si="111"/>
        <v>1151.0996296787789</v>
      </c>
      <c r="AM332" s="321">
        <f ca="1">'monthly calculations (1)'!AM332</f>
        <v>0</v>
      </c>
      <c r="AN332" s="73">
        <f t="shared" ca="1" si="117"/>
        <v>0</v>
      </c>
      <c r="AO332" s="75">
        <f t="shared" ca="1" si="119"/>
        <v>1258622.5560460223</v>
      </c>
      <c r="AP332" s="72">
        <f ca="1">AL332  /  ( 1 + disc_1/12)^(COUNT($AL$6:AL332)-1)</f>
        <v>76.942873708460752</v>
      </c>
      <c r="AQ332" s="72">
        <f t="shared" ca="1" si="120"/>
        <v>738684.71897774923</v>
      </c>
      <c r="AS332" s="303"/>
      <c r="AT332" s="300"/>
      <c r="AU332" s="297"/>
      <c r="AV332" s="303"/>
    </row>
    <row r="333" spans="2:48" x14ac:dyDescent="0.25">
      <c r="B333" s="43">
        <f t="shared" si="118"/>
        <v>54149</v>
      </c>
      <c r="C333" s="79">
        <f t="shared" si="112"/>
        <v>2048</v>
      </c>
      <c r="D333" s="64">
        <f ca="1">wellcount_base  +  SUM('forecast production'!I$7:I334)</f>
        <v>1</v>
      </c>
      <c r="E333" s="110">
        <f ca="1">'forecast production'!AE334</f>
        <v>52.152456392801994</v>
      </c>
      <c r="F333" s="98">
        <f ca="1">'forecast production'!AF334</f>
        <v>414.93783408611904</v>
      </c>
      <c r="G333" s="98">
        <f ca="1">'forecast production'!AG334</f>
        <v>7.3454787676499392E-3</v>
      </c>
      <c r="H333" s="98">
        <f ca="1">'forecast production'!AH334</f>
        <v>62.240675112917856</v>
      </c>
      <c r="I333" s="307">
        <f ca="1">IF('monthly calculations (1)'!AV332,WI_2_APO, WI_2)</f>
        <v>0</v>
      </c>
      <c r="J333" s="306">
        <f ca="1">IF('monthly calculations (1)'!AV332,NRI_2_APO, NRI_2)</f>
        <v>0.25</v>
      </c>
      <c r="K333" s="112">
        <f t="shared" ca="1" si="101"/>
        <v>13.038114098200499</v>
      </c>
      <c r="L333" s="98">
        <f t="shared" ca="1" si="102"/>
        <v>77.800843891147323</v>
      </c>
      <c r="M333" s="98">
        <f t="shared" ca="1" si="103"/>
        <v>1.8363696919124848E-3</v>
      </c>
      <c r="N333" s="98">
        <f t="shared" ca="1" si="104"/>
        <v>15.560168778229464</v>
      </c>
      <c r="O333" s="67">
        <f>assumptions!M337</f>
        <v>55</v>
      </c>
      <c r="P333" s="68">
        <f>assumptions!N337</f>
        <v>3</v>
      </c>
      <c r="Q333" s="68">
        <f>assumptions!O337</f>
        <v>22</v>
      </c>
      <c r="R333" s="67">
        <f t="shared" si="105"/>
        <v>52.5</v>
      </c>
      <c r="S333" s="68">
        <f t="shared" si="106"/>
        <v>2.3275000000000001</v>
      </c>
      <c r="T333" s="68">
        <f t="shared" si="107"/>
        <v>22</v>
      </c>
      <c r="U333" s="73">
        <f t="shared" ca="1" si="113"/>
        <v>684.50099015552621</v>
      </c>
      <c r="V333" s="72">
        <f t="shared" ca="1" si="113"/>
        <v>181.08146415664541</v>
      </c>
      <c r="W333" s="72">
        <f t="shared" ca="1" si="108"/>
        <v>342.32371312104823</v>
      </c>
      <c r="X333" s="72">
        <f t="shared" ca="1" si="114"/>
        <v>1207.9061674332199</v>
      </c>
      <c r="Y333" s="73">
        <f>mult_opex * fixed_month</f>
        <v>1000</v>
      </c>
      <c r="Z333" s="72">
        <f ca="1">mult_opex * fixed_well *D333</f>
        <v>5000</v>
      </c>
      <c r="AA333" s="72">
        <f ca="1">(Z333+Y333)*WI_current_2</f>
        <v>0</v>
      </c>
      <c r="AB333" s="72">
        <f ca="1">mult_opex * var_bo*E333</f>
        <v>0</v>
      </c>
      <c r="AC333" s="72">
        <f ca="1">mult_opex * var_mcf*F333</f>
        <v>0</v>
      </c>
      <c r="AD333" s="72">
        <f ca="1">mult_opex * var_bw * G333</f>
        <v>1.4690957535299878E-2</v>
      </c>
      <c r="AE333" s="72">
        <f ca="1">SUM(AB333:AD333)*WI_current_2</f>
        <v>0</v>
      </c>
      <c r="AF333" s="73">
        <f ca="1">mult_capex * IFERROR(OFFSET(assumptions!$F$39,MATCH(B333,assumptions!$E$39:$E$45,0)-1,0),0)</f>
        <v>0</v>
      </c>
      <c r="AG333" s="75">
        <f ca="1">mult_capex * capex_new*WI_current_2 *'forecast production'!I334</f>
        <v>0</v>
      </c>
      <c r="AH333" s="146">
        <f t="shared" ca="1" si="115"/>
        <v>0</v>
      </c>
      <c r="AI333" s="73">
        <f t="shared" ca="1" si="109"/>
        <v>70.742433842981228</v>
      </c>
      <c r="AJ333" s="72">
        <f t="shared" ca="1" si="110"/>
        <v>30.197654185830501</v>
      </c>
      <c r="AK333" s="72">
        <f t="shared" ca="1" si="116"/>
        <v>100.94008802881173</v>
      </c>
      <c r="AL333" s="73">
        <f t="shared" ca="1" si="111"/>
        <v>1106.9660794044082</v>
      </c>
      <c r="AM333" s="321">
        <f ca="1">'monthly calculations (1)'!AM333</f>
        <v>0</v>
      </c>
      <c r="AN333" s="73">
        <f t="shared" ca="1" si="117"/>
        <v>0</v>
      </c>
      <c r="AO333" s="75">
        <f t="shared" ca="1" si="119"/>
        <v>1258622.5560460223</v>
      </c>
      <c r="AP333" s="72">
        <f ca="1">AL333  /  ( 1 + disc_1/12)^(COUNT($AL$6:AL333)-1)</f>
        <v>73.381346608415924</v>
      </c>
      <c r="AQ333" s="72">
        <f t="shared" ca="1" si="120"/>
        <v>738684.71897774923</v>
      </c>
      <c r="AS333" s="303"/>
      <c r="AT333" s="300"/>
      <c r="AU333" s="297"/>
      <c r="AV333" s="303"/>
    </row>
    <row r="334" spans="2:48" x14ac:dyDescent="0.25">
      <c r="B334" s="43">
        <f t="shared" si="118"/>
        <v>54179</v>
      </c>
      <c r="C334" s="79">
        <f t="shared" si="112"/>
        <v>2048</v>
      </c>
      <c r="D334" s="64">
        <f ca="1">wellcount_base  +  SUM('forecast production'!I$7:I335)</f>
        <v>1</v>
      </c>
      <c r="E334" s="110">
        <f ca="1">'forecast production'!AE335</f>
        <v>53.522804888894633</v>
      </c>
      <c r="F334" s="98">
        <f ca="1">'forecast production'!AF335</f>
        <v>426.5940612540814</v>
      </c>
      <c r="G334" s="98">
        <f ca="1">'forecast production'!AG335</f>
        <v>7.3417006380692169E-3</v>
      </c>
      <c r="H334" s="98">
        <f ca="1">'forecast production'!AH335</f>
        <v>63.989109188112209</v>
      </c>
      <c r="I334" s="307">
        <f ca="1">IF('monthly calculations (1)'!AV333,WI_2_APO, WI_2)</f>
        <v>0</v>
      </c>
      <c r="J334" s="306">
        <f ca="1">IF('monthly calculations (1)'!AV333,NRI_2_APO, NRI_2)</f>
        <v>0.25</v>
      </c>
      <c r="K334" s="112">
        <f t="shared" ca="1" si="101"/>
        <v>13.380701222223658</v>
      </c>
      <c r="L334" s="98">
        <f t="shared" ca="1" si="102"/>
        <v>79.986386485140258</v>
      </c>
      <c r="M334" s="98">
        <f t="shared" ca="1" si="103"/>
        <v>1.8354251595173042E-3</v>
      </c>
      <c r="N334" s="98">
        <f t="shared" ca="1" si="104"/>
        <v>15.997277297028052</v>
      </c>
      <c r="O334" s="67">
        <f>assumptions!M338</f>
        <v>55</v>
      </c>
      <c r="P334" s="68">
        <f>assumptions!N338</f>
        <v>3</v>
      </c>
      <c r="Q334" s="68">
        <f>assumptions!O338</f>
        <v>22</v>
      </c>
      <c r="R334" s="67">
        <f t="shared" si="105"/>
        <v>52.5</v>
      </c>
      <c r="S334" s="68">
        <f t="shared" si="106"/>
        <v>2.3275000000000001</v>
      </c>
      <c r="T334" s="68">
        <f t="shared" si="107"/>
        <v>22</v>
      </c>
      <c r="U334" s="73">
        <f t="shared" ca="1" si="113"/>
        <v>702.48681416674208</v>
      </c>
      <c r="V334" s="72">
        <f t="shared" ca="1" si="113"/>
        <v>186.16831454416396</v>
      </c>
      <c r="W334" s="72">
        <f t="shared" ca="1" si="108"/>
        <v>351.94010053461716</v>
      </c>
      <c r="X334" s="72">
        <f t="shared" ca="1" si="114"/>
        <v>1240.5952292455231</v>
      </c>
      <c r="Y334" s="73">
        <f>mult_opex * fixed_month</f>
        <v>1000</v>
      </c>
      <c r="Z334" s="72">
        <f ca="1">mult_opex * fixed_well *D334</f>
        <v>5000</v>
      </c>
      <c r="AA334" s="72">
        <f ca="1">(Z334+Y334)*WI_current_2</f>
        <v>0</v>
      </c>
      <c r="AB334" s="72">
        <f ca="1">mult_opex * var_bo*E334</f>
        <v>0</v>
      </c>
      <c r="AC334" s="72">
        <f ca="1">mult_opex * var_mcf*F334</f>
        <v>0</v>
      </c>
      <c r="AD334" s="72">
        <f ca="1">mult_opex * var_bw * G334</f>
        <v>1.4683401276138434E-2</v>
      </c>
      <c r="AE334" s="72">
        <f ca="1">SUM(AB334:AD334)*WI_current_2</f>
        <v>0</v>
      </c>
      <c r="AF334" s="73">
        <f ca="1">mult_capex * IFERROR(OFFSET(assumptions!$F$39,MATCH(B334,assumptions!$E$39:$E$45,0)-1,0),0)</f>
        <v>0</v>
      </c>
      <c r="AG334" s="75">
        <f ca="1">mult_capex * capex_new*WI_current_2 *'forecast production'!I335</f>
        <v>0</v>
      </c>
      <c r="AH334" s="146">
        <f t="shared" ca="1" si="115"/>
        <v>0</v>
      </c>
      <c r="AI334" s="73">
        <f t="shared" ca="1" si="109"/>
        <v>72.672524582578717</v>
      </c>
      <c r="AJ334" s="72">
        <f t="shared" ca="1" si="110"/>
        <v>31.014880731138078</v>
      </c>
      <c r="AK334" s="72">
        <f t="shared" ca="1" si="116"/>
        <v>103.68740531371679</v>
      </c>
      <c r="AL334" s="73">
        <f t="shared" ca="1" si="111"/>
        <v>1136.9078239318064</v>
      </c>
      <c r="AM334" s="321">
        <f ca="1">'monthly calculations (1)'!AM334</f>
        <v>0</v>
      </c>
      <c r="AN334" s="73">
        <f t="shared" ca="1" si="117"/>
        <v>0</v>
      </c>
      <c r="AO334" s="75">
        <f t="shared" ca="1" si="119"/>
        <v>1258622.5560460223</v>
      </c>
      <c r="AP334" s="72">
        <f ca="1">AL334  /  ( 1 + disc_1/12)^(COUNT($AL$6:AL334)-1)</f>
        <v>74.743338982871776</v>
      </c>
      <c r="AQ334" s="72">
        <f t="shared" ca="1" si="120"/>
        <v>738684.71897774923</v>
      </c>
      <c r="AS334" s="303"/>
      <c r="AT334" s="300"/>
      <c r="AU334" s="297"/>
      <c r="AV334" s="303"/>
    </row>
    <row r="335" spans="2:48" x14ac:dyDescent="0.25">
      <c r="B335" s="43">
        <f t="shared" si="118"/>
        <v>54210</v>
      </c>
      <c r="C335" s="79">
        <f t="shared" si="112"/>
        <v>2048</v>
      </c>
      <c r="D335" s="64">
        <f ca="1">wellcount_base  +  SUM('forecast production'!I$7:I336)</f>
        <v>1</v>
      </c>
      <c r="E335" s="110">
        <f ca="1">'forecast production'!AE336</f>
        <v>51.430751623267604</v>
      </c>
      <c r="F335" s="98">
        <f ca="1">'forecast production'!AF336</f>
        <v>410.66914517330639</v>
      </c>
      <c r="G335" s="98">
        <f ca="1">'forecast production'!AG336</f>
        <v>6.8645608419690409E-3</v>
      </c>
      <c r="H335" s="98">
        <f ca="1">'forecast production'!AH336</f>
        <v>61.60037177599596</v>
      </c>
      <c r="I335" s="307">
        <f ca="1">IF('monthly calculations (1)'!AV334,WI_2_APO, WI_2)</f>
        <v>0</v>
      </c>
      <c r="J335" s="306">
        <f ca="1">IF('monthly calculations (1)'!AV334,NRI_2_APO, NRI_2)</f>
        <v>0.25</v>
      </c>
      <c r="K335" s="112">
        <f t="shared" ca="1" si="101"/>
        <v>12.857687905816901</v>
      </c>
      <c r="L335" s="98">
        <f t="shared" ca="1" si="102"/>
        <v>77.000464719994952</v>
      </c>
      <c r="M335" s="98">
        <f t="shared" ca="1" si="103"/>
        <v>1.7161402104922602E-3</v>
      </c>
      <c r="N335" s="98">
        <f t="shared" ca="1" si="104"/>
        <v>15.40009294399899</v>
      </c>
      <c r="O335" s="67">
        <f>assumptions!M339</f>
        <v>55</v>
      </c>
      <c r="P335" s="68">
        <f>assumptions!N339</f>
        <v>3</v>
      </c>
      <c r="Q335" s="68">
        <f>assumptions!O339</f>
        <v>22</v>
      </c>
      <c r="R335" s="67">
        <f t="shared" si="105"/>
        <v>52.5</v>
      </c>
      <c r="S335" s="68">
        <f t="shared" si="106"/>
        <v>2.3275000000000001</v>
      </c>
      <c r="T335" s="68">
        <f t="shared" si="107"/>
        <v>22</v>
      </c>
      <c r="U335" s="73">
        <f t="shared" ca="1" si="113"/>
        <v>675.02861505538726</v>
      </c>
      <c r="V335" s="72">
        <f t="shared" ca="1" si="113"/>
        <v>179.21858163578827</v>
      </c>
      <c r="W335" s="72">
        <f t="shared" ca="1" si="108"/>
        <v>338.8020447679778</v>
      </c>
      <c r="X335" s="72">
        <f t="shared" ca="1" si="114"/>
        <v>1193.0492414591533</v>
      </c>
      <c r="Y335" s="73">
        <f>mult_opex * fixed_month</f>
        <v>1000</v>
      </c>
      <c r="Z335" s="72">
        <f ca="1">mult_opex * fixed_well *D335</f>
        <v>5000</v>
      </c>
      <c r="AA335" s="72">
        <f ca="1">(Z335+Y335)*WI_current_2</f>
        <v>0</v>
      </c>
      <c r="AB335" s="72">
        <f ca="1">mult_opex * var_bo*E335</f>
        <v>0</v>
      </c>
      <c r="AC335" s="72">
        <f ca="1">mult_opex * var_mcf*F335</f>
        <v>0</v>
      </c>
      <c r="AD335" s="72">
        <f ca="1">mult_opex * var_bw * G335</f>
        <v>1.3729121683938082E-2</v>
      </c>
      <c r="AE335" s="72">
        <f ca="1">SUM(AB335:AD335)*WI_current_2</f>
        <v>0</v>
      </c>
      <c r="AF335" s="73">
        <f ca="1">mult_capex * IFERROR(OFFSET(assumptions!$F$39,MATCH(B335,assumptions!$E$39:$E$45,0)-1,0),0)</f>
        <v>0</v>
      </c>
      <c r="AG335" s="75">
        <f ca="1">mult_capex * capex_new*WI_current_2 *'forecast production'!I336</f>
        <v>0</v>
      </c>
      <c r="AH335" s="146">
        <f t="shared" ca="1" si="115"/>
        <v>0</v>
      </c>
      <c r="AI335" s="73">
        <f t="shared" ca="1" si="109"/>
        <v>69.902863272830274</v>
      </c>
      <c r="AJ335" s="72">
        <f t="shared" ca="1" si="110"/>
        <v>29.826231036478834</v>
      </c>
      <c r="AK335" s="72">
        <f t="shared" ca="1" si="116"/>
        <v>99.729094309309104</v>
      </c>
      <c r="AL335" s="73">
        <f t="shared" ca="1" si="111"/>
        <v>1093.3201471498442</v>
      </c>
      <c r="AM335" s="321">
        <f ca="1">'monthly calculations (1)'!AM335</f>
        <v>0</v>
      </c>
      <c r="AN335" s="73">
        <f t="shared" ca="1" si="117"/>
        <v>0</v>
      </c>
      <c r="AO335" s="75">
        <f t="shared" ca="1" si="119"/>
        <v>1258622.5560460223</v>
      </c>
      <c r="AP335" s="72">
        <f ca="1">AL335  /  ( 1 + disc_1/12)^(COUNT($AL$6:AL335)-1)</f>
        <v>71.283738228392309</v>
      </c>
      <c r="AQ335" s="72">
        <f t="shared" ca="1" si="120"/>
        <v>738684.71897774923</v>
      </c>
      <c r="AS335" s="303"/>
      <c r="AT335" s="300"/>
      <c r="AU335" s="297"/>
      <c r="AV335" s="303"/>
    </row>
    <row r="336" spans="2:48" x14ac:dyDescent="0.25">
      <c r="B336" s="43">
        <f t="shared" si="118"/>
        <v>54240</v>
      </c>
      <c r="C336" s="79">
        <f t="shared" si="112"/>
        <v>2048</v>
      </c>
      <c r="D336" s="64">
        <f ca="1">wellcount_base  +  SUM('forecast production'!I$7:I337)</f>
        <v>1</v>
      </c>
      <c r="E336" s="110">
        <f ca="1">'forecast production'!AE337</f>
        <v>52.782136735582</v>
      </c>
      <c r="F336" s="98">
        <f ca="1">'forecast production'!AF337</f>
        <v>422.20545845636906</v>
      </c>
      <c r="G336" s="98">
        <f ca="1">'forecast production'!AG337</f>
        <v>6.8611074149187599E-3</v>
      </c>
      <c r="H336" s="98">
        <f ca="1">'forecast production'!AH337</f>
        <v>63.330818768455345</v>
      </c>
      <c r="I336" s="307">
        <f ca="1">IF('monthly calculations (1)'!AV335,WI_2_APO, WI_2)</f>
        <v>0</v>
      </c>
      <c r="J336" s="306">
        <f ca="1">IF('monthly calculations (1)'!AV335,NRI_2_APO, NRI_2)</f>
        <v>0.25</v>
      </c>
      <c r="K336" s="112">
        <f t="shared" ca="1" si="101"/>
        <v>13.1955341838955</v>
      </c>
      <c r="L336" s="98">
        <f t="shared" ca="1" si="102"/>
        <v>79.163523460569195</v>
      </c>
      <c r="M336" s="98">
        <f t="shared" ca="1" si="103"/>
        <v>1.71527685372969E-3</v>
      </c>
      <c r="N336" s="98">
        <f t="shared" ca="1" si="104"/>
        <v>15.832704692113836</v>
      </c>
      <c r="O336" s="67">
        <f>assumptions!M340</f>
        <v>55</v>
      </c>
      <c r="P336" s="68">
        <f>assumptions!N340</f>
        <v>3</v>
      </c>
      <c r="Q336" s="68">
        <f>assumptions!O340</f>
        <v>22</v>
      </c>
      <c r="R336" s="67">
        <f t="shared" si="105"/>
        <v>52.5</v>
      </c>
      <c r="S336" s="68">
        <f t="shared" si="106"/>
        <v>2.3275000000000001</v>
      </c>
      <c r="T336" s="68">
        <f t="shared" si="107"/>
        <v>22</v>
      </c>
      <c r="U336" s="73">
        <f t="shared" ca="1" si="113"/>
        <v>692.76554465451375</v>
      </c>
      <c r="V336" s="72">
        <f t="shared" ca="1" si="113"/>
        <v>184.25310085447481</v>
      </c>
      <c r="W336" s="72">
        <f t="shared" ca="1" si="108"/>
        <v>348.31950322650437</v>
      </c>
      <c r="X336" s="72">
        <f t="shared" ca="1" si="114"/>
        <v>1225.338148735493</v>
      </c>
      <c r="Y336" s="73">
        <f>mult_opex * fixed_month</f>
        <v>1000</v>
      </c>
      <c r="Z336" s="72">
        <f ca="1">mult_opex * fixed_well *D336</f>
        <v>5000</v>
      </c>
      <c r="AA336" s="72">
        <f ca="1">(Z336+Y336)*WI_current_2</f>
        <v>0</v>
      </c>
      <c r="AB336" s="72">
        <f ca="1">mult_opex * var_bo*E336</f>
        <v>0</v>
      </c>
      <c r="AC336" s="72">
        <f ca="1">mult_opex * var_mcf*F336</f>
        <v>0</v>
      </c>
      <c r="AD336" s="72">
        <f ca="1">mult_opex * var_bw * G336</f>
        <v>1.372221482983752E-2</v>
      </c>
      <c r="AE336" s="72">
        <f ca="1">SUM(AB336:AD336)*WI_current_2</f>
        <v>0</v>
      </c>
      <c r="AF336" s="73">
        <f ca="1">mult_capex * IFERROR(OFFSET(assumptions!$F$39,MATCH(B336,assumptions!$E$39:$E$45,0)-1,0),0)</f>
        <v>0</v>
      </c>
      <c r="AG336" s="75">
        <f ca="1">mult_capex * capex_new*WI_current_2 *'forecast production'!I337</f>
        <v>0</v>
      </c>
      <c r="AH336" s="146">
        <f t="shared" ca="1" si="115"/>
        <v>0</v>
      </c>
      <c r="AI336" s="73">
        <f t="shared" ca="1" si="109"/>
        <v>71.810160360181072</v>
      </c>
      <c r="AJ336" s="72">
        <f t="shared" ca="1" si="110"/>
        <v>30.633453718387326</v>
      </c>
      <c r="AK336" s="72">
        <f t="shared" ca="1" si="116"/>
        <v>102.4436140785684</v>
      </c>
      <c r="AL336" s="73">
        <f t="shared" ca="1" si="111"/>
        <v>1122.8945346569246</v>
      </c>
      <c r="AM336" s="321">
        <f ca="1">'monthly calculations (1)'!AM336</f>
        <v>0</v>
      </c>
      <c r="AN336" s="73">
        <f t="shared" ca="1" si="117"/>
        <v>0</v>
      </c>
      <c r="AO336" s="75">
        <f t="shared" ca="1" si="119"/>
        <v>1258622.5560460223</v>
      </c>
      <c r="AP336" s="72">
        <f ca="1">AL336  /  ( 1 + disc_1/12)^(COUNT($AL$6:AL336)-1)</f>
        <v>72.606910812057052</v>
      </c>
      <c r="AQ336" s="72">
        <f t="shared" ca="1" si="120"/>
        <v>738684.71897774923</v>
      </c>
      <c r="AS336" s="303"/>
      <c r="AT336" s="300"/>
      <c r="AU336" s="297"/>
      <c r="AV336" s="303"/>
    </row>
    <row r="337" spans="2:48" x14ac:dyDescent="0.25">
      <c r="B337" s="43">
        <f t="shared" si="118"/>
        <v>54271</v>
      </c>
      <c r="C337" s="79">
        <f t="shared" si="112"/>
        <v>2048</v>
      </c>
      <c r="D337" s="64">
        <f ca="1">wellcount_base  +  SUM('forecast production'!I$7:I338)</f>
        <v>1</v>
      </c>
      <c r="E337" s="110">
        <f ca="1">'forecast production'!AE338</f>
        <v>52.409668537286699</v>
      </c>
      <c r="F337" s="98">
        <f ca="1">'forecast production'!AF338</f>
        <v>419.99251624710593</v>
      </c>
      <c r="G337" s="98">
        <f ca="1">'forecast production'!AG338</f>
        <v>6.6291187920378908E-3</v>
      </c>
      <c r="H337" s="98">
        <f ca="1">'forecast production'!AH338</f>
        <v>62.9988774370659</v>
      </c>
      <c r="I337" s="307">
        <f ca="1">IF('monthly calculations (1)'!AV336,WI_2_APO, WI_2)</f>
        <v>0</v>
      </c>
      <c r="J337" s="306">
        <f ca="1">IF('monthly calculations (1)'!AV336,NRI_2_APO, NRI_2)</f>
        <v>0.25</v>
      </c>
      <c r="K337" s="112">
        <f t="shared" ca="1" si="101"/>
        <v>13.102417134321675</v>
      </c>
      <c r="L337" s="98">
        <f t="shared" ca="1" si="102"/>
        <v>78.748596796332365</v>
      </c>
      <c r="M337" s="98">
        <f t="shared" ca="1" si="103"/>
        <v>1.6572796980094727E-3</v>
      </c>
      <c r="N337" s="98">
        <f t="shared" ca="1" si="104"/>
        <v>15.749719359266475</v>
      </c>
      <c r="O337" s="67">
        <f>assumptions!M341</f>
        <v>55</v>
      </c>
      <c r="P337" s="68">
        <f>assumptions!N341</f>
        <v>3</v>
      </c>
      <c r="Q337" s="68">
        <f>assumptions!O341</f>
        <v>22</v>
      </c>
      <c r="R337" s="67">
        <f t="shared" si="105"/>
        <v>52.5</v>
      </c>
      <c r="S337" s="68">
        <f t="shared" si="106"/>
        <v>2.3275000000000001</v>
      </c>
      <c r="T337" s="68">
        <f t="shared" si="107"/>
        <v>22</v>
      </c>
      <c r="U337" s="73">
        <f t="shared" ca="1" si="113"/>
        <v>687.87689955188796</v>
      </c>
      <c r="V337" s="72">
        <f t="shared" ca="1" si="113"/>
        <v>183.2873590434636</v>
      </c>
      <c r="W337" s="72">
        <f t="shared" ca="1" si="108"/>
        <v>346.49382590386244</v>
      </c>
      <c r="X337" s="72">
        <f t="shared" ca="1" si="114"/>
        <v>1217.6580844992141</v>
      </c>
      <c r="Y337" s="73">
        <f>mult_opex * fixed_month</f>
        <v>1000</v>
      </c>
      <c r="Z337" s="72">
        <f ca="1">mult_opex * fixed_well *D337</f>
        <v>5000</v>
      </c>
      <c r="AA337" s="72">
        <f ca="1">(Z337+Y337)*WI_current_2</f>
        <v>0</v>
      </c>
      <c r="AB337" s="72">
        <f ca="1">mult_opex * var_bo*E337</f>
        <v>0</v>
      </c>
      <c r="AC337" s="72">
        <f ca="1">mult_opex * var_mcf*F337</f>
        <v>0</v>
      </c>
      <c r="AD337" s="72">
        <f ca="1">mult_opex * var_bw * G337</f>
        <v>1.3258237584075782E-2</v>
      </c>
      <c r="AE337" s="72">
        <f ca="1">SUM(AB337:AD337)*WI_current_2</f>
        <v>0</v>
      </c>
      <c r="AF337" s="73">
        <f ca="1">mult_capex * IFERROR(OFFSET(assumptions!$F$39,MATCH(B337,assumptions!$E$39:$E$45,0)-1,0),0)</f>
        <v>0</v>
      </c>
      <c r="AG337" s="75">
        <f ca="1">mult_capex * capex_new*WI_current_2 *'forecast production'!I338</f>
        <v>0</v>
      </c>
      <c r="AH337" s="146">
        <f t="shared" ca="1" si="115"/>
        <v>0</v>
      </c>
      <c r="AI337" s="73">
        <f t="shared" ca="1" si="109"/>
        <v>71.375926250436294</v>
      </c>
      <c r="AJ337" s="72">
        <f t="shared" ca="1" si="110"/>
        <v>30.441452112480352</v>
      </c>
      <c r="AK337" s="72">
        <f t="shared" ca="1" si="116"/>
        <v>101.81737836291664</v>
      </c>
      <c r="AL337" s="73">
        <f t="shared" ca="1" si="111"/>
        <v>1115.8407061362975</v>
      </c>
      <c r="AM337" s="321">
        <f ca="1">'monthly calculations (1)'!AM337</f>
        <v>0</v>
      </c>
      <c r="AN337" s="73">
        <f t="shared" ca="1" si="117"/>
        <v>0</v>
      </c>
      <c r="AO337" s="75">
        <f t="shared" ca="1" si="119"/>
        <v>1258622.5560460223</v>
      </c>
      <c r="AP337" s="72">
        <f ca="1">AL337  /  ( 1 + disc_1/12)^(COUNT($AL$6:AL337)-1)</f>
        <v>71.554519144111012</v>
      </c>
      <c r="AQ337" s="72">
        <f t="shared" ca="1" si="120"/>
        <v>738684.71897774923</v>
      </c>
      <c r="AS337" s="303"/>
      <c r="AT337" s="300"/>
      <c r="AU337" s="297"/>
      <c r="AV337" s="303"/>
    </row>
    <row r="338" spans="2:48" x14ac:dyDescent="0.25">
      <c r="B338" s="43">
        <f t="shared" si="118"/>
        <v>54302</v>
      </c>
      <c r="C338" s="79">
        <f t="shared" si="112"/>
        <v>2048</v>
      </c>
      <c r="D338" s="64">
        <f ca="1">wellcount_base  +  SUM('forecast production'!I$7:I339)</f>
        <v>1</v>
      </c>
      <c r="E338" s="110">
        <f ca="1">'forecast production'!AE339</f>
        <v>50.361124585947344</v>
      </c>
      <c r="F338" s="98">
        <f ca="1">'forecast production'!AF339</f>
        <v>404.31403831394721</v>
      </c>
      <c r="G338" s="98">
        <f ca="1">'forecast production'!AG339</f>
        <v>6.1983987884552845E-3</v>
      </c>
      <c r="H338" s="98">
        <f ca="1">'forecast production'!AH339</f>
        <v>60.64710574709207</v>
      </c>
      <c r="I338" s="307">
        <f ca="1">IF('monthly calculations (1)'!AV337,WI_2_APO, WI_2)</f>
        <v>0</v>
      </c>
      <c r="J338" s="306">
        <f ca="1">IF('monthly calculations (1)'!AV337,NRI_2_APO, NRI_2)</f>
        <v>0.25</v>
      </c>
      <c r="K338" s="112">
        <f t="shared" ca="1" si="101"/>
        <v>12.590281146486836</v>
      </c>
      <c r="L338" s="98">
        <f t="shared" ca="1" si="102"/>
        <v>75.808882183865109</v>
      </c>
      <c r="M338" s="98">
        <f t="shared" ca="1" si="103"/>
        <v>1.5495996971138211E-3</v>
      </c>
      <c r="N338" s="98">
        <f t="shared" ca="1" si="104"/>
        <v>15.161776436773017</v>
      </c>
      <c r="O338" s="67">
        <f>assumptions!M342</f>
        <v>55</v>
      </c>
      <c r="P338" s="68">
        <f>assumptions!N342</f>
        <v>3</v>
      </c>
      <c r="Q338" s="68">
        <f>assumptions!O342</f>
        <v>22</v>
      </c>
      <c r="R338" s="67">
        <f t="shared" si="105"/>
        <v>52.5</v>
      </c>
      <c r="S338" s="68">
        <f t="shared" si="106"/>
        <v>2.3275000000000001</v>
      </c>
      <c r="T338" s="68">
        <f t="shared" si="107"/>
        <v>22</v>
      </c>
      <c r="U338" s="73">
        <f t="shared" ca="1" si="113"/>
        <v>660.98976019055885</v>
      </c>
      <c r="V338" s="72">
        <f t="shared" ca="1" si="113"/>
        <v>176.44517328294606</v>
      </c>
      <c r="W338" s="72">
        <f t="shared" ca="1" si="108"/>
        <v>333.5590816090064</v>
      </c>
      <c r="X338" s="72">
        <f t="shared" ca="1" si="114"/>
        <v>1170.9940150825114</v>
      </c>
      <c r="Y338" s="73">
        <f>mult_opex * fixed_month</f>
        <v>1000</v>
      </c>
      <c r="Z338" s="72">
        <f ca="1">mult_opex * fixed_well *D338</f>
        <v>5000</v>
      </c>
      <c r="AA338" s="72">
        <f ca="1">(Z338+Y338)*WI_current_2</f>
        <v>0</v>
      </c>
      <c r="AB338" s="72">
        <f ca="1">mult_opex * var_bo*E338</f>
        <v>0</v>
      </c>
      <c r="AC338" s="72">
        <f ca="1">mult_opex * var_mcf*F338</f>
        <v>0</v>
      </c>
      <c r="AD338" s="72">
        <f ca="1">mult_opex * var_bw * G338</f>
        <v>1.2396797576910569E-2</v>
      </c>
      <c r="AE338" s="72">
        <f ca="1">SUM(AB338:AD338)*WI_current_2</f>
        <v>0</v>
      </c>
      <c r="AF338" s="73">
        <f ca="1">mult_capex * IFERROR(OFFSET(assumptions!$F$39,MATCH(B338,assumptions!$E$39:$E$45,0)-1,0),0)</f>
        <v>0</v>
      </c>
      <c r="AG338" s="75">
        <f ca="1">mult_capex * capex_new*WI_current_2 *'forecast production'!I339</f>
        <v>0</v>
      </c>
      <c r="AH338" s="146">
        <f t="shared" ca="1" si="115"/>
        <v>0</v>
      </c>
      <c r="AI338" s="73">
        <f t="shared" ca="1" si="109"/>
        <v>68.655848085662143</v>
      </c>
      <c r="AJ338" s="72">
        <f t="shared" ca="1" si="110"/>
        <v>29.274850377062787</v>
      </c>
      <c r="AK338" s="72">
        <f t="shared" ca="1" si="116"/>
        <v>97.930698462724934</v>
      </c>
      <c r="AL338" s="73">
        <f t="shared" ca="1" si="111"/>
        <v>1073.0633166197865</v>
      </c>
      <c r="AM338" s="321">
        <f ca="1">'monthly calculations (1)'!AM338</f>
        <v>0</v>
      </c>
      <c r="AN338" s="73">
        <f t="shared" ca="1" si="117"/>
        <v>0</v>
      </c>
      <c r="AO338" s="75">
        <f t="shared" ca="1" si="119"/>
        <v>1258622.5560460223</v>
      </c>
      <c r="AP338" s="72">
        <f ca="1">AL338  /  ( 1 + disc_1/12)^(COUNT($AL$6:AL338)-1)</f>
        <v>68.242682716773118</v>
      </c>
      <c r="AQ338" s="72">
        <f t="shared" ca="1" si="120"/>
        <v>738684.71897774923</v>
      </c>
      <c r="AS338" s="303"/>
      <c r="AT338" s="300"/>
      <c r="AU338" s="297"/>
      <c r="AV338" s="303"/>
    </row>
    <row r="339" spans="2:48" x14ac:dyDescent="0.25">
      <c r="B339" s="43">
        <f t="shared" si="118"/>
        <v>54332</v>
      </c>
      <c r="C339" s="79">
        <f t="shared" si="112"/>
        <v>2048</v>
      </c>
      <c r="D339" s="64">
        <f ca="1">wellcount_base  +  SUM('forecast production'!I$7:I340)</f>
        <v>1</v>
      </c>
      <c r="E339" s="110">
        <f ca="1">'forecast production'!AE340</f>
        <v>51.68440437200573</v>
      </c>
      <c r="F339" s="98">
        <f ca="1">'forecast production'!AF340</f>
        <v>415.67182709732776</v>
      </c>
      <c r="G339" s="98">
        <f ca="1">'forecast production'!AG340</f>
        <v>6.1953857358854302E-3</v>
      </c>
      <c r="H339" s="98">
        <f ca="1">'forecast production'!AH340</f>
        <v>62.350774064599165</v>
      </c>
      <c r="I339" s="307">
        <f ca="1">IF('monthly calculations (1)'!AV338,WI_2_APO, WI_2)</f>
        <v>0</v>
      </c>
      <c r="J339" s="306">
        <f ca="1">IF('monthly calculations (1)'!AV338,NRI_2_APO, NRI_2)</f>
        <v>0.25</v>
      </c>
      <c r="K339" s="112">
        <f t="shared" ca="1" si="101"/>
        <v>12.921101093001433</v>
      </c>
      <c r="L339" s="98">
        <f t="shared" ca="1" si="102"/>
        <v>77.938467580748949</v>
      </c>
      <c r="M339" s="98">
        <f t="shared" ca="1" si="103"/>
        <v>1.5488464339713575E-3</v>
      </c>
      <c r="N339" s="98">
        <f t="shared" ca="1" si="104"/>
        <v>15.587693516149791</v>
      </c>
      <c r="O339" s="67">
        <f>assumptions!M343</f>
        <v>55</v>
      </c>
      <c r="P339" s="68">
        <f>assumptions!N343</f>
        <v>3</v>
      </c>
      <c r="Q339" s="68">
        <f>assumptions!O343</f>
        <v>22</v>
      </c>
      <c r="R339" s="67">
        <f t="shared" si="105"/>
        <v>52.5</v>
      </c>
      <c r="S339" s="68">
        <f t="shared" si="106"/>
        <v>2.3275000000000001</v>
      </c>
      <c r="T339" s="68">
        <f t="shared" si="107"/>
        <v>22</v>
      </c>
      <c r="U339" s="73">
        <f t="shared" ca="1" si="113"/>
        <v>678.35780738257517</v>
      </c>
      <c r="V339" s="72">
        <f t="shared" ca="1" si="113"/>
        <v>181.40178329419319</v>
      </c>
      <c r="W339" s="72">
        <f t="shared" ca="1" si="108"/>
        <v>342.92925735529542</v>
      </c>
      <c r="X339" s="72">
        <f t="shared" ca="1" si="114"/>
        <v>1202.6888480320638</v>
      </c>
      <c r="Y339" s="73">
        <f>mult_opex * fixed_month</f>
        <v>1000</v>
      </c>
      <c r="Z339" s="72">
        <f ca="1">mult_opex * fixed_well *D339</f>
        <v>5000</v>
      </c>
      <c r="AA339" s="72">
        <f ca="1">(Z339+Y339)*WI_current_2</f>
        <v>0</v>
      </c>
      <c r="AB339" s="72">
        <f ca="1">mult_opex * var_bo*E339</f>
        <v>0</v>
      </c>
      <c r="AC339" s="72">
        <f ca="1">mult_opex * var_mcf*F339</f>
        <v>0</v>
      </c>
      <c r="AD339" s="72">
        <f ca="1">mult_opex * var_bw * G339</f>
        <v>1.239077147177086E-2</v>
      </c>
      <c r="AE339" s="72">
        <f ca="1">SUM(AB339:AD339)*WI_current_2</f>
        <v>0</v>
      </c>
      <c r="AF339" s="73">
        <f ca="1">mult_capex * IFERROR(OFFSET(assumptions!$F$39,MATCH(B339,assumptions!$E$39:$E$45,0)-1,0),0)</f>
        <v>0</v>
      </c>
      <c r="AG339" s="75">
        <f ca="1">mult_capex * capex_new*WI_current_2 *'forecast production'!I340</f>
        <v>0</v>
      </c>
      <c r="AH339" s="146">
        <f t="shared" ca="1" si="115"/>
        <v>0</v>
      </c>
      <c r="AI339" s="73">
        <f t="shared" ca="1" si="109"/>
        <v>70.529287188310107</v>
      </c>
      <c r="AJ339" s="72">
        <f t="shared" ca="1" si="110"/>
        <v>30.067221200801598</v>
      </c>
      <c r="AK339" s="72">
        <f t="shared" ca="1" si="116"/>
        <v>100.5965083891117</v>
      </c>
      <c r="AL339" s="73">
        <f t="shared" ca="1" si="111"/>
        <v>1102.0923396429521</v>
      </c>
      <c r="AM339" s="321">
        <f ca="1">'monthly calculations (1)'!AM339</f>
        <v>0</v>
      </c>
      <c r="AN339" s="73">
        <f t="shared" ca="1" si="117"/>
        <v>0</v>
      </c>
      <c r="AO339" s="75">
        <f t="shared" ca="1" si="119"/>
        <v>1258622.5560460223</v>
      </c>
      <c r="AP339" s="72">
        <f ca="1">AL339  /  ( 1 + disc_1/12)^(COUNT($AL$6:AL339)-1)</f>
        <v>69.509570052510355</v>
      </c>
      <c r="AQ339" s="72">
        <f t="shared" ca="1" si="120"/>
        <v>738684.71897774923</v>
      </c>
      <c r="AS339" s="303"/>
      <c r="AT339" s="300"/>
      <c r="AU339" s="297"/>
      <c r="AV339" s="303"/>
    </row>
    <row r="340" spans="2:48" x14ac:dyDescent="0.25">
      <c r="B340" s="43">
        <f t="shared" si="118"/>
        <v>54363</v>
      </c>
      <c r="C340" s="79">
        <f t="shared" si="112"/>
        <v>2048</v>
      </c>
      <c r="D340" s="64">
        <f ca="1">wellcount_base  +  SUM('forecast production'!I$7:I341)</f>
        <v>1</v>
      </c>
      <c r="E340" s="110">
        <f ca="1">'forecast production'!AE341</f>
        <v>49.664208921246058</v>
      </c>
      <c r="F340" s="98">
        <f ca="1">'forecast production'!AF341</f>
        <v>400.154642108377</v>
      </c>
      <c r="G340" s="98">
        <f ca="1">'forecast production'!AG341</f>
        <v>5.7929144674182514E-3</v>
      </c>
      <c r="H340" s="98">
        <f ca="1">'forecast production'!AH341</f>
        <v>60.023196316256545</v>
      </c>
      <c r="I340" s="307">
        <f ca="1">IF('monthly calculations (1)'!AV339,WI_2_APO, WI_2)</f>
        <v>0</v>
      </c>
      <c r="J340" s="306">
        <f ca="1">IF('monthly calculations (1)'!AV339,NRI_2_APO, NRI_2)</f>
        <v>0.25</v>
      </c>
      <c r="K340" s="112">
        <f t="shared" ca="1" si="101"/>
        <v>12.416052230311514</v>
      </c>
      <c r="L340" s="98">
        <f t="shared" ca="1" si="102"/>
        <v>75.028995395320692</v>
      </c>
      <c r="M340" s="98">
        <f t="shared" ca="1" si="103"/>
        <v>1.4482286168545628E-3</v>
      </c>
      <c r="N340" s="98">
        <f t="shared" ca="1" si="104"/>
        <v>15.005799079064136</v>
      </c>
      <c r="O340" s="67">
        <f>assumptions!M344</f>
        <v>55</v>
      </c>
      <c r="P340" s="68">
        <f>assumptions!N344</f>
        <v>3</v>
      </c>
      <c r="Q340" s="68">
        <f>assumptions!O344</f>
        <v>22</v>
      </c>
      <c r="R340" s="67">
        <f t="shared" si="105"/>
        <v>52.5</v>
      </c>
      <c r="S340" s="68">
        <f t="shared" si="106"/>
        <v>2.3275000000000001</v>
      </c>
      <c r="T340" s="68">
        <f t="shared" si="107"/>
        <v>22</v>
      </c>
      <c r="U340" s="73">
        <f t="shared" ca="1" si="113"/>
        <v>651.84274209135447</v>
      </c>
      <c r="V340" s="72">
        <f t="shared" ca="1" si="113"/>
        <v>174.62998678260891</v>
      </c>
      <c r="W340" s="72">
        <f t="shared" ca="1" si="108"/>
        <v>330.12757973941098</v>
      </c>
      <c r="X340" s="72">
        <f t="shared" ca="1" si="114"/>
        <v>1156.6003086133744</v>
      </c>
      <c r="Y340" s="73">
        <f>mult_opex * fixed_month</f>
        <v>1000</v>
      </c>
      <c r="Z340" s="72">
        <f ca="1">mult_opex * fixed_well *D340</f>
        <v>5000</v>
      </c>
      <c r="AA340" s="72">
        <f ca="1">(Z340+Y340)*WI_current_2</f>
        <v>0</v>
      </c>
      <c r="AB340" s="72">
        <f ca="1">mult_opex * var_bo*E340</f>
        <v>0</v>
      </c>
      <c r="AC340" s="72">
        <f ca="1">mult_opex * var_mcf*F340</f>
        <v>0</v>
      </c>
      <c r="AD340" s="72">
        <f ca="1">mult_opex * var_bw * G340</f>
        <v>1.1585828934836503E-2</v>
      </c>
      <c r="AE340" s="72">
        <f ca="1">SUM(AB340:AD340)*WI_current_2</f>
        <v>0</v>
      </c>
      <c r="AF340" s="73">
        <f ca="1">mult_capex * IFERROR(OFFSET(assumptions!$F$39,MATCH(B340,assumptions!$E$39:$E$45,0)-1,0),0)</f>
        <v>0</v>
      </c>
      <c r="AG340" s="75">
        <f ca="1">mult_capex * capex_new*WI_current_2 *'forecast production'!I341</f>
        <v>0</v>
      </c>
      <c r="AH340" s="146">
        <f t="shared" ca="1" si="115"/>
        <v>0</v>
      </c>
      <c r="AI340" s="73">
        <f t="shared" ca="1" si="109"/>
        <v>67.841583625353792</v>
      </c>
      <c r="AJ340" s="72">
        <f t="shared" ca="1" si="110"/>
        <v>28.915007715334362</v>
      </c>
      <c r="AK340" s="72">
        <f t="shared" ca="1" si="116"/>
        <v>96.756591340688146</v>
      </c>
      <c r="AL340" s="73">
        <f t="shared" ca="1" si="111"/>
        <v>1059.8437172726863</v>
      </c>
      <c r="AM340" s="321">
        <f ca="1">'monthly calculations (1)'!AM340</f>
        <v>0</v>
      </c>
      <c r="AN340" s="73">
        <f t="shared" ca="1" si="117"/>
        <v>0</v>
      </c>
      <c r="AO340" s="75">
        <f t="shared" ca="1" si="119"/>
        <v>1258622.5560460223</v>
      </c>
      <c r="AP340" s="72">
        <f ca="1">AL340  /  ( 1 + disc_1/12)^(COUNT($AL$6:AL340)-1)</f>
        <v>66.292488794702493</v>
      </c>
      <c r="AQ340" s="72">
        <f t="shared" ca="1" si="120"/>
        <v>738684.71897774923</v>
      </c>
      <c r="AS340" s="303"/>
      <c r="AT340" s="300"/>
      <c r="AU340" s="297"/>
      <c r="AV340" s="303"/>
    </row>
    <row r="341" spans="2:48" x14ac:dyDescent="0.25">
      <c r="B341" s="44">
        <f t="shared" si="118"/>
        <v>54393</v>
      </c>
      <c r="C341" s="100">
        <f t="shared" si="112"/>
        <v>2048</v>
      </c>
      <c r="D341" s="65">
        <f ca="1">wellcount_base  +  SUM('forecast production'!I$7:I342)</f>
        <v>1</v>
      </c>
      <c r="E341" s="109">
        <f ca="1">'forecast production'!AE342</f>
        <v>50.969176677553946</v>
      </c>
      <c r="F341" s="101">
        <f ca="1">'forecast production'!AF342</f>
        <v>411.39558720320736</v>
      </c>
      <c r="G341" s="101">
        <f ca="1">'forecast production'!AG342</f>
        <v>5.7901636818443363E-3</v>
      </c>
      <c r="H341" s="102">
        <f ca="1">'forecast production'!AH342</f>
        <v>61.70933808048111</v>
      </c>
      <c r="I341" s="308">
        <f ca="1">IF('monthly calculations (1)'!AV340,WI_2_APO, WI_2)</f>
        <v>0</v>
      </c>
      <c r="J341" s="309">
        <f ca="1">IF('monthly calculations (1)'!AV340,NRI_2_APO, NRI_2)</f>
        <v>0.25</v>
      </c>
      <c r="K341" s="113">
        <f t="shared" ca="1" si="101"/>
        <v>12.742294169388487</v>
      </c>
      <c r="L341" s="102">
        <f t="shared" ca="1" si="102"/>
        <v>77.136672600601372</v>
      </c>
      <c r="M341" s="102">
        <f t="shared" ca="1" si="103"/>
        <v>1.4475409204610841E-3</v>
      </c>
      <c r="N341" s="102">
        <f t="shared" ca="1" si="104"/>
        <v>15.427334520120278</v>
      </c>
      <c r="O341" s="103">
        <f>assumptions!M345</f>
        <v>55</v>
      </c>
      <c r="P341" s="104">
        <f>assumptions!N345</f>
        <v>3</v>
      </c>
      <c r="Q341" s="104">
        <f>assumptions!O345</f>
        <v>22</v>
      </c>
      <c r="R341" s="103">
        <f t="shared" si="105"/>
        <v>52.5</v>
      </c>
      <c r="S341" s="104">
        <f t="shared" si="106"/>
        <v>2.3275000000000001</v>
      </c>
      <c r="T341" s="104">
        <f t="shared" si="107"/>
        <v>22</v>
      </c>
      <c r="U341" s="105">
        <f t="shared" ca="1" si="113"/>
        <v>668.97044389289556</v>
      </c>
      <c r="V341" s="106">
        <f t="shared" ca="1" si="113"/>
        <v>179.53560547789971</v>
      </c>
      <c r="W341" s="106">
        <f t="shared" ca="1" si="108"/>
        <v>339.40135944264608</v>
      </c>
      <c r="X341" s="106">
        <f t="shared" ca="1" si="114"/>
        <v>1187.9074088134414</v>
      </c>
      <c r="Y341" s="105">
        <f>mult_opex * fixed_month</f>
        <v>1000</v>
      </c>
      <c r="Z341" s="106">
        <f ca="1">mult_opex * fixed_well *D341</f>
        <v>5000</v>
      </c>
      <c r="AA341" s="106">
        <f ca="1">(Z341+Y341)*WI_current_2</f>
        <v>0</v>
      </c>
      <c r="AB341" s="106">
        <f ca="1">mult_opex * var_bo*E341</f>
        <v>0</v>
      </c>
      <c r="AC341" s="106">
        <f ca="1">mult_opex * var_mcf*F341</f>
        <v>0</v>
      </c>
      <c r="AD341" s="106">
        <f ca="1">mult_opex * var_bw * G341</f>
        <v>1.1580327363688673E-2</v>
      </c>
      <c r="AE341" s="106">
        <f ca="1">SUM(AB341:AD341)*WI_current_2</f>
        <v>0</v>
      </c>
      <c r="AF341" s="105">
        <f ca="1">mult_capex * IFERROR(OFFSET(assumptions!$F$39,MATCH(B341,assumptions!$E$39:$E$45,0)-1,0),0)</f>
        <v>0</v>
      </c>
      <c r="AG341" s="106">
        <f ca="1">mult_capex * capex_new*WI_current_2 *'forecast production'!I342</f>
        <v>0</v>
      </c>
      <c r="AH341" s="147">
        <f t="shared" ca="1" si="115"/>
        <v>0</v>
      </c>
      <c r="AI341" s="105">
        <f t="shared" ca="1" si="109"/>
        <v>69.692912788114128</v>
      </c>
      <c r="AJ341" s="106">
        <f t="shared" ca="1" si="110"/>
        <v>29.697685220336037</v>
      </c>
      <c r="AK341" s="106">
        <f t="shared" ca="1" si="116"/>
        <v>99.390598008450169</v>
      </c>
      <c r="AL341" s="105">
        <f t="shared" ca="1" si="111"/>
        <v>1088.5168108049913</v>
      </c>
      <c r="AM341" s="322">
        <f ca="1">'monthly calculations (1)'!AM341</f>
        <v>0</v>
      </c>
      <c r="AN341" s="105">
        <f t="shared" ca="1" si="117"/>
        <v>0</v>
      </c>
      <c r="AO341" s="106">
        <f t="shared" ca="1" si="119"/>
        <v>1258622.5560460223</v>
      </c>
      <c r="AP341" s="106">
        <f ca="1">AL341  /  ( 1 + disc_1/12)^(COUNT($AL$6:AL341)-1)</f>
        <v>67.523276916598604</v>
      </c>
      <c r="AQ341" s="106">
        <f t="shared" ca="1" si="120"/>
        <v>738684.71897774923</v>
      </c>
      <c r="AS341" s="304"/>
      <c r="AT341" s="301"/>
      <c r="AU341" s="298"/>
      <c r="AV341" s="304"/>
    </row>
    <row r="342" spans="2:48" x14ac:dyDescent="0.25">
      <c r="B342" s="43">
        <f t="shared" si="118"/>
        <v>54424</v>
      </c>
      <c r="C342" s="79">
        <f t="shared" si="112"/>
        <v>2049</v>
      </c>
      <c r="D342" s="64">
        <f ca="1">wellcount_base  +  SUM('forecast production'!I$7:I343)</f>
        <v>1</v>
      </c>
      <c r="E342" s="110">
        <f ca="1">'forecast production'!AE343</f>
        <v>50.609502011467811</v>
      </c>
      <c r="F342" s="98">
        <f ca="1">'forecast production'!AF343</f>
        <v>411.39558720320736</v>
      </c>
      <c r="G342" s="98">
        <f ca="1">'forecast production'!AG343</f>
        <v>5.7901636818443363E-3</v>
      </c>
      <c r="H342" s="98">
        <f ca="1">'forecast production'!AH343</f>
        <v>61.70933808048111</v>
      </c>
      <c r="I342" s="307">
        <f ca="1">IF('monthly calculations (1)'!AV341,WI_2_APO, WI_2)</f>
        <v>0</v>
      </c>
      <c r="J342" s="306">
        <f ca="1">IF('monthly calculations (1)'!AV341,NRI_2_APO, NRI_2)</f>
        <v>0.25</v>
      </c>
      <c r="K342" s="112">
        <f t="shared" ca="1" si="101"/>
        <v>12.652375502866953</v>
      </c>
      <c r="L342" s="98">
        <f t="shared" ca="1" si="102"/>
        <v>77.136672600601372</v>
      </c>
      <c r="M342" s="98">
        <f t="shared" ca="1" si="103"/>
        <v>1.4475409204610841E-3</v>
      </c>
      <c r="N342" s="98">
        <f t="shared" ca="1" si="104"/>
        <v>15.427334520120278</v>
      </c>
      <c r="O342" s="67">
        <f>assumptions!M346</f>
        <v>55</v>
      </c>
      <c r="P342" s="68">
        <f>assumptions!N346</f>
        <v>3</v>
      </c>
      <c r="Q342" s="68">
        <f>assumptions!O346</f>
        <v>22</v>
      </c>
      <c r="R342" s="67">
        <f t="shared" si="105"/>
        <v>52.5</v>
      </c>
      <c r="S342" s="68">
        <f t="shared" si="106"/>
        <v>2.3275000000000001</v>
      </c>
      <c r="T342" s="68">
        <f t="shared" si="107"/>
        <v>22</v>
      </c>
      <c r="U342" s="73">
        <f t="shared" ca="1" si="113"/>
        <v>664.24971390051496</v>
      </c>
      <c r="V342" s="72">
        <f t="shared" ca="1" si="113"/>
        <v>179.53560547789971</v>
      </c>
      <c r="W342" s="72">
        <f t="shared" ca="1" si="108"/>
        <v>339.40135944264608</v>
      </c>
      <c r="X342" s="72">
        <f t="shared" ca="1" si="114"/>
        <v>1183.1866788210607</v>
      </c>
      <c r="Y342" s="73">
        <f>mult_opex * fixed_month</f>
        <v>1000</v>
      </c>
      <c r="Z342" s="72">
        <f ca="1">mult_opex * fixed_well *D342</f>
        <v>5000</v>
      </c>
      <c r="AA342" s="72">
        <f ca="1">(Z342+Y342)*WI_current_2</f>
        <v>0</v>
      </c>
      <c r="AB342" s="72">
        <f ca="1">mult_opex * var_bo*E342</f>
        <v>0</v>
      </c>
      <c r="AC342" s="72">
        <f ca="1">mult_opex * var_mcf*F342</f>
        <v>0</v>
      </c>
      <c r="AD342" s="72">
        <f ca="1">mult_opex * var_bw * G342</f>
        <v>1.1580327363688673E-2</v>
      </c>
      <c r="AE342" s="72">
        <f ca="1">SUM(AB342:AD342)*WI_current_2</f>
        <v>0</v>
      </c>
      <c r="AF342" s="73">
        <f ca="1">mult_capex * IFERROR(OFFSET(assumptions!$F$39,MATCH(B342,assumptions!$E$39:$E$45,0)-1,0),0)</f>
        <v>0</v>
      </c>
      <c r="AG342" s="75">
        <f ca="1">mult_capex * capex_new*WI_current_2 *'forecast production'!I343</f>
        <v>0</v>
      </c>
      <c r="AH342" s="146">
        <f t="shared" ca="1" si="115"/>
        <v>0</v>
      </c>
      <c r="AI342" s="73">
        <f t="shared" ca="1" si="109"/>
        <v>69.475759208464609</v>
      </c>
      <c r="AJ342" s="72">
        <f t="shared" ca="1" si="110"/>
        <v>29.579666970526517</v>
      </c>
      <c r="AK342" s="72">
        <f t="shared" ca="1" si="116"/>
        <v>99.055426178991127</v>
      </c>
      <c r="AL342" s="73">
        <f t="shared" ca="1" si="111"/>
        <v>1084.1312526420695</v>
      </c>
      <c r="AM342" s="321">
        <f ca="1">'monthly calculations (1)'!AM342</f>
        <v>0</v>
      </c>
      <c r="AN342" s="73">
        <f t="shared" ca="1" si="117"/>
        <v>0</v>
      </c>
      <c r="AO342" s="75">
        <f t="shared" ca="1" si="119"/>
        <v>1258622.5560460223</v>
      </c>
      <c r="AP342" s="72">
        <f ca="1">AL342  /  ( 1 + disc_1/12)^(COUNT($AL$6:AL342)-1)</f>
        <v>66.695435060398239</v>
      </c>
      <c r="AQ342" s="72">
        <f t="shared" ca="1" si="120"/>
        <v>738684.71897774923</v>
      </c>
      <c r="AS342" s="303"/>
      <c r="AT342" s="300"/>
      <c r="AU342" s="297"/>
      <c r="AV342" s="303"/>
    </row>
    <row r="343" spans="2:48" x14ac:dyDescent="0.25">
      <c r="B343" s="43">
        <f t="shared" si="118"/>
        <v>54455</v>
      </c>
      <c r="C343" s="79">
        <f t="shared" si="112"/>
        <v>2049</v>
      </c>
      <c r="D343" s="64">
        <f ca="1">wellcount_base  +  SUM('forecast production'!I$7:I344)</f>
        <v>1</v>
      </c>
      <c r="E343" s="110">
        <f ca="1">'forecast production'!AE344</f>
        <v>45.389233323193331</v>
      </c>
      <c r="F343" s="98">
        <f ca="1">'forecast production'!AF344</f>
        <v>371.58311102225184</v>
      </c>
      <c r="G343" s="98">
        <f ca="1">'forecast production'!AG344</f>
        <v>5.2298252610206908E-3</v>
      </c>
      <c r="H343" s="98">
        <f ca="1">'forecast production'!AH344</f>
        <v>55.737466653337776</v>
      </c>
      <c r="I343" s="307">
        <f ca="1">IF('monthly calculations (1)'!AV342,WI_2_APO, WI_2)</f>
        <v>0</v>
      </c>
      <c r="J343" s="306">
        <f ca="1">IF('monthly calculations (1)'!AV342,NRI_2_APO, NRI_2)</f>
        <v>0.25</v>
      </c>
      <c r="K343" s="112">
        <f t="shared" ca="1" si="101"/>
        <v>11.347308330798333</v>
      </c>
      <c r="L343" s="98">
        <f t="shared" ca="1" si="102"/>
        <v>69.67183331667222</v>
      </c>
      <c r="M343" s="98">
        <f t="shared" ca="1" si="103"/>
        <v>1.3074563152551727E-3</v>
      </c>
      <c r="N343" s="98">
        <f t="shared" ca="1" si="104"/>
        <v>13.934366663334444</v>
      </c>
      <c r="O343" s="67">
        <f>assumptions!M347</f>
        <v>55</v>
      </c>
      <c r="P343" s="68">
        <f>assumptions!N347</f>
        <v>3</v>
      </c>
      <c r="Q343" s="68">
        <f>assumptions!O347</f>
        <v>22</v>
      </c>
      <c r="R343" s="67">
        <f t="shared" si="105"/>
        <v>52.5</v>
      </c>
      <c r="S343" s="68">
        <f t="shared" si="106"/>
        <v>2.3275000000000001</v>
      </c>
      <c r="T343" s="68">
        <f t="shared" si="107"/>
        <v>22</v>
      </c>
      <c r="U343" s="73">
        <f t="shared" ca="1" si="113"/>
        <v>595.73368736691248</v>
      </c>
      <c r="V343" s="72">
        <f t="shared" ca="1" si="113"/>
        <v>162.16119204455461</v>
      </c>
      <c r="W343" s="72">
        <f t="shared" ca="1" si="108"/>
        <v>306.55606659335774</v>
      </c>
      <c r="X343" s="72">
        <f t="shared" ca="1" si="114"/>
        <v>1064.4509460048248</v>
      </c>
      <c r="Y343" s="73">
        <f>mult_opex * fixed_month</f>
        <v>1000</v>
      </c>
      <c r="Z343" s="72">
        <f ca="1">mult_opex * fixed_well *D343</f>
        <v>5000</v>
      </c>
      <c r="AA343" s="72">
        <f ca="1">(Z343+Y343)*WI_current_2</f>
        <v>0</v>
      </c>
      <c r="AB343" s="72">
        <f ca="1">mult_opex * var_bo*E343</f>
        <v>0</v>
      </c>
      <c r="AC343" s="72">
        <f ca="1">mult_opex * var_mcf*F343</f>
        <v>0</v>
      </c>
      <c r="AD343" s="72">
        <f ca="1">mult_opex * var_bw * G343</f>
        <v>1.0459650522041382E-2</v>
      </c>
      <c r="AE343" s="72">
        <f ca="1">SUM(AB343:AD343)*WI_current_2</f>
        <v>0</v>
      </c>
      <c r="AF343" s="73">
        <f ca="1">mult_capex * IFERROR(OFFSET(assumptions!$F$39,MATCH(B343,assumptions!$E$39:$E$45,0)-1,0),0)</f>
        <v>0</v>
      </c>
      <c r="AG343" s="75">
        <f ca="1">mult_capex * capex_new*WI_current_2 *'forecast production'!I344</f>
        <v>0</v>
      </c>
      <c r="AH343" s="146">
        <f t="shared" ca="1" si="115"/>
        <v>0</v>
      </c>
      <c r="AI343" s="73">
        <f t="shared" ca="1" si="109"/>
        <v>62.557544016721401</v>
      </c>
      <c r="AJ343" s="72">
        <f t="shared" ca="1" si="110"/>
        <v>26.611273650120623</v>
      </c>
      <c r="AK343" s="72">
        <f t="shared" ca="1" si="116"/>
        <v>89.168817666842017</v>
      </c>
      <c r="AL343" s="73">
        <f t="shared" ca="1" si="111"/>
        <v>975.28212833798284</v>
      </c>
      <c r="AM343" s="321">
        <f ca="1">'monthly calculations (1)'!AM343</f>
        <v>0</v>
      </c>
      <c r="AN343" s="73">
        <f t="shared" ca="1" si="117"/>
        <v>0</v>
      </c>
      <c r="AO343" s="75">
        <f t="shared" ca="1" si="119"/>
        <v>1258622.5560460223</v>
      </c>
      <c r="AP343" s="72">
        <f ca="1">AL343  /  ( 1 + disc_1/12)^(COUNT($AL$6:AL343)-1)</f>
        <v>59.503208947396004</v>
      </c>
      <c r="AQ343" s="72">
        <f t="shared" ca="1" si="120"/>
        <v>738684.71897774923</v>
      </c>
      <c r="AS343" s="303"/>
      <c r="AT343" s="300"/>
      <c r="AU343" s="297"/>
      <c r="AV343" s="303"/>
    </row>
    <row r="344" spans="2:48" x14ac:dyDescent="0.25">
      <c r="B344" s="43">
        <f t="shared" si="118"/>
        <v>54483</v>
      </c>
      <c r="C344" s="79">
        <f t="shared" si="112"/>
        <v>2049</v>
      </c>
      <c r="D344" s="64">
        <f ca="1">wellcount_base  +  SUM('forecast production'!I$7:I345)</f>
        <v>1</v>
      </c>
      <c r="E344" s="110">
        <f ca="1">'forecast production'!AE345</f>
        <v>49.931957187023649</v>
      </c>
      <c r="F344" s="98">
        <f ca="1">'forecast production'!AF345</f>
        <v>411.39558720320736</v>
      </c>
      <c r="G344" s="98">
        <f ca="1">'forecast production'!AG345</f>
        <v>5.7901636818443363E-3</v>
      </c>
      <c r="H344" s="98">
        <f ca="1">'forecast production'!AH345</f>
        <v>61.70933808048111</v>
      </c>
      <c r="I344" s="307">
        <f ca="1">IF('monthly calculations (1)'!AV343,WI_2_APO, WI_2)</f>
        <v>0</v>
      </c>
      <c r="J344" s="306">
        <f ca="1">IF('monthly calculations (1)'!AV343,NRI_2_APO, NRI_2)</f>
        <v>0.25</v>
      </c>
      <c r="K344" s="112">
        <f t="shared" ca="1" si="101"/>
        <v>12.482989296755912</v>
      </c>
      <c r="L344" s="98">
        <f t="shared" ca="1" si="102"/>
        <v>77.136672600601372</v>
      </c>
      <c r="M344" s="98">
        <f t="shared" ca="1" si="103"/>
        <v>1.4475409204610841E-3</v>
      </c>
      <c r="N344" s="98">
        <f t="shared" ca="1" si="104"/>
        <v>15.427334520120278</v>
      </c>
      <c r="O344" s="67">
        <f>assumptions!M348</f>
        <v>55</v>
      </c>
      <c r="P344" s="68">
        <f>assumptions!N348</f>
        <v>3</v>
      </c>
      <c r="Q344" s="68">
        <f>assumptions!O348</f>
        <v>22</v>
      </c>
      <c r="R344" s="67">
        <f t="shared" si="105"/>
        <v>52.5</v>
      </c>
      <c r="S344" s="68">
        <f t="shared" si="106"/>
        <v>2.3275000000000001</v>
      </c>
      <c r="T344" s="68">
        <f t="shared" si="107"/>
        <v>22</v>
      </c>
      <c r="U344" s="73">
        <f t="shared" ca="1" si="113"/>
        <v>655.35693807968539</v>
      </c>
      <c r="V344" s="72">
        <f t="shared" ca="1" si="113"/>
        <v>179.53560547789971</v>
      </c>
      <c r="W344" s="72">
        <f t="shared" ca="1" si="108"/>
        <v>339.40135944264608</v>
      </c>
      <c r="X344" s="72">
        <f t="shared" ca="1" si="114"/>
        <v>1174.2939030002312</v>
      </c>
      <c r="Y344" s="73">
        <f>mult_opex * fixed_month</f>
        <v>1000</v>
      </c>
      <c r="Z344" s="72">
        <f ca="1">mult_opex * fixed_well *D344</f>
        <v>5000</v>
      </c>
      <c r="AA344" s="72">
        <f ca="1">(Z344+Y344)*WI_current_2</f>
        <v>0</v>
      </c>
      <c r="AB344" s="72">
        <f ca="1">mult_opex * var_bo*E344</f>
        <v>0</v>
      </c>
      <c r="AC344" s="72">
        <f ca="1">mult_opex * var_mcf*F344</f>
        <v>0</v>
      </c>
      <c r="AD344" s="72">
        <f ca="1">mult_opex * var_bw * G344</f>
        <v>1.1580327363688673E-2</v>
      </c>
      <c r="AE344" s="72">
        <f ca="1">SUM(AB344:AD344)*WI_current_2</f>
        <v>0</v>
      </c>
      <c r="AF344" s="73">
        <f ca="1">mult_capex * IFERROR(OFFSET(assumptions!$F$39,MATCH(B344,assumptions!$E$39:$E$45,0)-1,0),0)</f>
        <v>0</v>
      </c>
      <c r="AG344" s="75">
        <f ca="1">mult_capex * capex_new*WI_current_2 *'forecast production'!I345</f>
        <v>0</v>
      </c>
      <c r="AH344" s="146">
        <f t="shared" ca="1" si="115"/>
        <v>0</v>
      </c>
      <c r="AI344" s="73">
        <f t="shared" ca="1" si="109"/>
        <v>69.066691520706456</v>
      </c>
      <c r="AJ344" s="72">
        <f t="shared" ca="1" si="110"/>
        <v>29.357347575005782</v>
      </c>
      <c r="AK344" s="72">
        <f t="shared" ca="1" si="116"/>
        <v>98.424039095712232</v>
      </c>
      <c r="AL344" s="73">
        <f t="shared" ca="1" si="111"/>
        <v>1075.869863904519</v>
      </c>
      <c r="AM344" s="321">
        <f ca="1">'monthly calculations (1)'!AM344</f>
        <v>0</v>
      </c>
      <c r="AN344" s="73">
        <f t="shared" ca="1" si="117"/>
        <v>0</v>
      </c>
      <c r="AO344" s="75">
        <f t="shared" ca="1" si="119"/>
        <v>1258622.5560460223</v>
      </c>
      <c r="AP344" s="72">
        <f ca="1">AL344  /  ( 1 + disc_1/12)^(COUNT($AL$6:AL344)-1)</f>
        <v>65.097714281430044</v>
      </c>
      <c r="AQ344" s="72">
        <f t="shared" ca="1" si="120"/>
        <v>738684.71897774923</v>
      </c>
      <c r="AS344" s="303"/>
      <c r="AT344" s="300"/>
      <c r="AU344" s="297"/>
      <c r="AV344" s="303"/>
    </row>
    <row r="345" spans="2:48" x14ac:dyDescent="0.25">
      <c r="B345" s="43">
        <f t="shared" si="118"/>
        <v>54514</v>
      </c>
      <c r="C345" s="79">
        <f t="shared" si="112"/>
        <v>2049</v>
      </c>
      <c r="D345" s="64">
        <f ca="1">wellcount_base  +  SUM('forecast production'!I$7:I346)</f>
        <v>1</v>
      </c>
      <c r="E345" s="110">
        <f ca="1">'forecast production'!AE346</f>
        <v>47.98025988137784</v>
      </c>
      <c r="F345" s="98">
        <f ca="1">'forecast production'!AF346</f>
        <v>398.12476180955554</v>
      </c>
      <c r="G345" s="98">
        <f ca="1">'forecast production'!AG346</f>
        <v>5.6033842082364544E-3</v>
      </c>
      <c r="H345" s="98">
        <f ca="1">'forecast production'!AH346</f>
        <v>59.718714271433328</v>
      </c>
      <c r="I345" s="307">
        <f ca="1">IF('monthly calculations (1)'!AV344,WI_2_APO, WI_2)</f>
        <v>0</v>
      </c>
      <c r="J345" s="306">
        <f ca="1">IF('monthly calculations (1)'!AV344,NRI_2_APO, NRI_2)</f>
        <v>0.25</v>
      </c>
      <c r="K345" s="112">
        <f t="shared" ca="1" si="101"/>
        <v>11.99506497034446</v>
      </c>
      <c r="L345" s="98">
        <f t="shared" ca="1" si="102"/>
        <v>74.64839283929166</v>
      </c>
      <c r="M345" s="98">
        <f t="shared" ca="1" si="103"/>
        <v>1.4008460520591136E-3</v>
      </c>
      <c r="N345" s="98">
        <f t="shared" ca="1" si="104"/>
        <v>14.929678567858332</v>
      </c>
      <c r="O345" s="67">
        <f>assumptions!M349</f>
        <v>55</v>
      </c>
      <c r="P345" s="68">
        <f>assumptions!N349</f>
        <v>3</v>
      </c>
      <c r="Q345" s="68">
        <f>assumptions!O349</f>
        <v>22</v>
      </c>
      <c r="R345" s="67">
        <f t="shared" si="105"/>
        <v>52.5</v>
      </c>
      <c r="S345" s="68">
        <f t="shared" si="106"/>
        <v>2.3275000000000001</v>
      </c>
      <c r="T345" s="68">
        <f t="shared" si="107"/>
        <v>22</v>
      </c>
      <c r="U345" s="73">
        <f t="shared" ca="1" si="113"/>
        <v>629.74091094308415</v>
      </c>
      <c r="V345" s="72">
        <f t="shared" ca="1" si="113"/>
        <v>173.74413433345134</v>
      </c>
      <c r="W345" s="72">
        <f t="shared" ca="1" si="108"/>
        <v>328.4529284928833</v>
      </c>
      <c r="X345" s="72">
        <f t="shared" ca="1" si="114"/>
        <v>1131.9379737694189</v>
      </c>
      <c r="Y345" s="73">
        <f>mult_opex * fixed_month</f>
        <v>1000</v>
      </c>
      <c r="Z345" s="72">
        <f ca="1">mult_opex * fixed_well *D345</f>
        <v>5000</v>
      </c>
      <c r="AA345" s="72">
        <f ca="1">(Z345+Y345)*WI_current_2</f>
        <v>0</v>
      </c>
      <c r="AB345" s="72">
        <f ca="1">mult_opex * var_bo*E345</f>
        <v>0</v>
      </c>
      <c r="AC345" s="72">
        <f ca="1">mult_opex * var_mcf*F345</f>
        <v>0</v>
      </c>
      <c r="AD345" s="72">
        <f ca="1">mult_opex * var_bw * G345</f>
        <v>1.1206768416472909E-2</v>
      </c>
      <c r="AE345" s="72">
        <f ca="1">SUM(AB345:AD345)*WI_current_2</f>
        <v>0</v>
      </c>
      <c r="AF345" s="73">
        <f ca="1">mult_capex * IFERROR(OFFSET(assumptions!$F$39,MATCH(B345,assumptions!$E$39:$E$45,0)-1,0),0)</f>
        <v>0</v>
      </c>
      <c r="AG345" s="75">
        <f ca="1">mult_capex * capex_new*WI_current_2 *'forecast production'!I346</f>
        <v>0</v>
      </c>
      <c r="AH345" s="146">
        <f t="shared" ca="1" si="115"/>
        <v>0</v>
      </c>
      <c r="AI345" s="73">
        <f t="shared" ca="1" si="109"/>
        <v>66.632861615356958</v>
      </c>
      <c r="AJ345" s="72">
        <f t="shared" ca="1" si="110"/>
        <v>28.298449344235475</v>
      </c>
      <c r="AK345" s="72">
        <f t="shared" ca="1" si="116"/>
        <v>94.931310959592437</v>
      </c>
      <c r="AL345" s="73">
        <f t="shared" ca="1" si="111"/>
        <v>1037.0066628098266</v>
      </c>
      <c r="AM345" s="321">
        <f ca="1">'monthly calculations (1)'!AM345</f>
        <v>0</v>
      </c>
      <c r="AN345" s="73">
        <f t="shared" ca="1" si="117"/>
        <v>0</v>
      </c>
      <c r="AO345" s="75">
        <f t="shared" ca="1" si="119"/>
        <v>1258622.5560460223</v>
      </c>
      <c r="AP345" s="72">
        <f ca="1">AL345  /  ( 1 + disc_1/12)^(COUNT($AL$6:AL345)-1)</f>
        <v>62.227652761522052</v>
      </c>
      <c r="AQ345" s="72">
        <f t="shared" ca="1" si="120"/>
        <v>738684.71897774923</v>
      </c>
      <c r="AS345" s="303"/>
      <c r="AT345" s="300"/>
      <c r="AU345" s="297"/>
      <c r="AV345" s="303"/>
    </row>
    <row r="346" spans="2:48" x14ac:dyDescent="0.25">
      <c r="B346" s="43">
        <f t="shared" si="118"/>
        <v>54544</v>
      </c>
      <c r="C346" s="79">
        <f t="shared" si="112"/>
        <v>2049</v>
      </c>
      <c r="D346" s="64">
        <f ca="1">wellcount_base  +  SUM('forecast production'!I$7:I347)</f>
        <v>1</v>
      </c>
      <c r="E346" s="110">
        <f ca="1">'forecast production'!AE347</f>
        <v>49.24098049778307</v>
      </c>
      <c r="F346" s="98">
        <f ca="1">'forecast production'!AF347</f>
        <v>411.39558720320736</v>
      </c>
      <c r="G346" s="98">
        <f ca="1">'forecast production'!AG347</f>
        <v>5.7901636818443363E-3</v>
      </c>
      <c r="H346" s="98">
        <f ca="1">'forecast production'!AH347</f>
        <v>61.70933808048111</v>
      </c>
      <c r="I346" s="307">
        <f ca="1">IF('monthly calculations (1)'!AV345,WI_2_APO, WI_2)</f>
        <v>0</v>
      </c>
      <c r="J346" s="306">
        <f ca="1">IF('monthly calculations (1)'!AV345,NRI_2_APO, NRI_2)</f>
        <v>0.25</v>
      </c>
      <c r="K346" s="112">
        <f t="shared" ca="1" si="101"/>
        <v>12.310245124445768</v>
      </c>
      <c r="L346" s="98">
        <f t="shared" ca="1" si="102"/>
        <v>77.136672600601372</v>
      </c>
      <c r="M346" s="98">
        <f t="shared" ca="1" si="103"/>
        <v>1.4475409204610841E-3</v>
      </c>
      <c r="N346" s="98">
        <f t="shared" ca="1" si="104"/>
        <v>15.427334520120278</v>
      </c>
      <c r="O346" s="67">
        <f>assumptions!M350</f>
        <v>55</v>
      </c>
      <c r="P346" s="68">
        <f>assumptions!N350</f>
        <v>3</v>
      </c>
      <c r="Q346" s="68">
        <f>assumptions!O350</f>
        <v>22</v>
      </c>
      <c r="R346" s="67">
        <f t="shared" si="105"/>
        <v>52.5</v>
      </c>
      <c r="S346" s="68">
        <f t="shared" si="106"/>
        <v>2.3275000000000001</v>
      </c>
      <c r="T346" s="68">
        <f t="shared" si="107"/>
        <v>22</v>
      </c>
      <c r="U346" s="73">
        <f t="shared" ca="1" si="113"/>
        <v>646.28786903340279</v>
      </c>
      <c r="V346" s="72">
        <f t="shared" ca="1" si="113"/>
        <v>179.53560547789971</v>
      </c>
      <c r="W346" s="72">
        <f t="shared" ca="1" si="108"/>
        <v>339.40135944264608</v>
      </c>
      <c r="X346" s="72">
        <f t="shared" ca="1" si="114"/>
        <v>1165.2248339539485</v>
      </c>
      <c r="Y346" s="73">
        <f>mult_opex * fixed_month</f>
        <v>1000</v>
      </c>
      <c r="Z346" s="72">
        <f ca="1">mult_opex * fixed_well *D346</f>
        <v>5000</v>
      </c>
      <c r="AA346" s="72">
        <f ca="1">(Z346+Y346)*WI_current_2</f>
        <v>0</v>
      </c>
      <c r="AB346" s="72">
        <f ca="1">mult_opex * var_bo*E346</f>
        <v>0</v>
      </c>
      <c r="AC346" s="72">
        <f ca="1">mult_opex * var_mcf*F346</f>
        <v>0</v>
      </c>
      <c r="AD346" s="72">
        <f ca="1">mult_opex * var_bw * G346</f>
        <v>1.1580327363688673E-2</v>
      </c>
      <c r="AE346" s="72">
        <f ca="1">SUM(AB346:AD346)*WI_current_2</f>
        <v>0</v>
      </c>
      <c r="AF346" s="73">
        <f ca="1">mult_capex * IFERROR(OFFSET(assumptions!$F$39,MATCH(B346,assumptions!$E$39:$E$45,0)-1,0),0)</f>
        <v>0</v>
      </c>
      <c r="AG346" s="75">
        <f ca="1">mult_capex * capex_new*WI_current_2 *'forecast production'!I347</f>
        <v>0</v>
      </c>
      <c r="AH346" s="146">
        <f t="shared" ca="1" si="115"/>
        <v>0</v>
      </c>
      <c r="AI346" s="73">
        <f t="shared" ca="1" si="109"/>
        <v>68.649514344577454</v>
      </c>
      <c r="AJ346" s="72">
        <f t="shared" ca="1" si="110"/>
        <v>29.130620848848714</v>
      </c>
      <c r="AK346" s="72">
        <f t="shared" ca="1" si="116"/>
        <v>97.780135193426162</v>
      </c>
      <c r="AL346" s="73">
        <f t="shared" ca="1" si="111"/>
        <v>1067.4446987605224</v>
      </c>
      <c r="AM346" s="321">
        <f ca="1">'monthly calculations (1)'!AM346</f>
        <v>0</v>
      </c>
      <c r="AN346" s="73">
        <f t="shared" ca="1" si="117"/>
        <v>0</v>
      </c>
      <c r="AO346" s="75">
        <f t="shared" ca="1" si="119"/>
        <v>1258622.5560460223</v>
      </c>
      <c r="AP346" s="72">
        <f ca="1">AL346  /  ( 1 + disc_1/12)^(COUNT($AL$6:AL346)-1)</f>
        <v>63.524774684755158</v>
      </c>
      <c r="AQ346" s="72">
        <f t="shared" ca="1" si="120"/>
        <v>738684.71897774923</v>
      </c>
      <c r="AS346" s="303"/>
      <c r="AT346" s="300"/>
      <c r="AU346" s="297"/>
      <c r="AV346" s="303"/>
    </row>
    <row r="347" spans="2:48" x14ac:dyDescent="0.25">
      <c r="B347" s="43">
        <f t="shared" si="118"/>
        <v>54575</v>
      </c>
      <c r="C347" s="79">
        <f t="shared" si="112"/>
        <v>2049</v>
      </c>
      <c r="D347" s="64">
        <f ca="1">wellcount_base  +  SUM('forecast production'!I$7:I348)</f>
        <v>1</v>
      </c>
      <c r="E347" s="110">
        <f ca="1">'forecast production'!AE348</f>
        <v>47.31629149340619</v>
      </c>
      <c r="F347" s="98">
        <f ca="1">'forecast production'!AF348</f>
        <v>398.12476180955554</v>
      </c>
      <c r="G347" s="98">
        <f ca="1">'forecast production'!AG348</f>
        <v>5.6033842082364544E-3</v>
      </c>
      <c r="H347" s="98">
        <f ca="1">'forecast production'!AH348</f>
        <v>59.718714271433328</v>
      </c>
      <c r="I347" s="307">
        <f ca="1">IF('monthly calculations (1)'!AV346,WI_2_APO, WI_2)</f>
        <v>0</v>
      </c>
      <c r="J347" s="306">
        <f ca="1">IF('monthly calculations (1)'!AV346,NRI_2_APO, NRI_2)</f>
        <v>0.25</v>
      </c>
      <c r="K347" s="112">
        <f t="shared" ca="1" si="101"/>
        <v>11.829072873351548</v>
      </c>
      <c r="L347" s="98">
        <f t="shared" ca="1" si="102"/>
        <v>74.64839283929166</v>
      </c>
      <c r="M347" s="98">
        <f t="shared" ca="1" si="103"/>
        <v>1.4008460520591136E-3</v>
      </c>
      <c r="N347" s="98">
        <f t="shared" ca="1" si="104"/>
        <v>14.929678567858332</v>
      </c>
      <c r="O347" s="67">
        <f>assumptions!M351</f>
        <v>55</v>
      </c>
      <c r="P347" s="68">
        <f>assumptions!N351</f>
        <v>3</v>
      </c>
      <c r="Q347" s="68">
        <f>assumptions!O351</f>
        <v>22</v>
      </c>
      <c r="R347" s="67">
        <f t="shared" si="105"/>
        <v>52.5</v>
      </c>
      <c r="S347" s="68">
        <f t="shared" si="106"/>
        <v>2.3275000000000001</v>
      </c>
      <c r="T347" s="68">
        <f t="shared" si="107"/>
        <v>22</v>
      </c>
      <c r="U347" s="73">
        <f t="shared" ca="1" si="113"/>
        <v>621.02632585095625</v>
      </c>
      <c r="V347" s="72">
        <f t="shared" ca="1" si="113"/>
        <v>173.74413433345134</v>
      </c>
      <c r="W347" s="72">
        <f t="shared" ca="1" si="108"/>
        <v>328.4529284928833</v>
      </c>
      <c r="X347" s="72">
        <f t="shared" ca="1" si="114"/>
        <v>1123.223388677291</v>
      </c>
      <c r="Y347" s="73">
        <f>mult_opex * fixed_month</f>
        <v>1000</v>
      </c>
      <c r="Z347" s="72">
        <f ca="1">mult_opex * fixed_well *D347</f>
        <v>5000</v>
      </c>
      <c r="AA347" s="72">
        <f ca="1">(Z347+Y347)*WI_current_2</f>
        <v>0</v>
      </c>
      <c r="AB347" s="72">
        <f ca="1">mult_opex * var_bo*E347</f>
        <v>0</v>
      </c>
      <c r="AC347" s="72">
        <f ca="1">mult_opex * var_mcf*F347</f>
        <v>0</v>
      </c>
      <c r="AD347" s="72">
        <f ca="1">mult_opex * var_bw * G347</f>
        <v>1.1206768416472909E-2</v>
      </c>
      <c r="AE347" s="72">
        <f ca="1">SUM(AB347:AD347)*WI_current_2</f>
        <v>0</v>
      </c>
      <c r="AF347" s="73">
        <f ca="1">mult_capex * IFERROR(OFFSET(assumptions!$F$39,MATCH(B347,assumptions!$E$39:$E$45,0)-1,0),0)</f>
        <v>0</v>
      </c>
      <c r="AG347" s="75">
        <f ca="1">mult_capex * capex_new*WI_current_2 *'forecast production'!I348</f>
        <v>0</v>
      </c>
      <c r="AH347" s="146">
        <f t="shared" ca="1" si="115"/>
        <v>0</v>
      </c>
      <c r="AI347" s="73">
        <f t="shared" ca="1" si="109"/>
        <v>66.231990701119088</v>
      </c>
      <c r="AJ347" s="72">
        <f t="shared" ca="1" si="110"/>
        <v>28.080584716932279</v>
      </c>
      <c r="AK347" s="72">
        <f t="shared" ca="1" si="116"/>
        <v>94.312575418051367</v>
      </c>
      <c r="AL347" s="73">
        <f t="shared" ca="1" si="111"/>
        <v>1028.9108132592396</v>
      </c>
      <c r="AM347" s="321">
        <f ca="1">'monthly calculations (1)'!AM347</f>
        <v>0</v>
      </c>
      <c r="AN347" s="73">
        <f t="shared" ca="1" si="117"/>
        <v>0</v>
      </c>
      <c r="AO347" s="75">
        <f t="shared" ca="1" si="119"/>
        <v>1258622.5560460223</v>
      </c>
      <c r="AP347" s="72">
        <f ca="1">AL347  /  ( 1 + disc_1/12)^(COUNT($AL$6:AL347)-1)</f>
        <v>60.725535849541238</v>
      </c>
      <c r="AQ347" s="72">
        <f t="shared" ca="1" si="120"/>
        <v>738684.71897774923</v>
      </c>
      <c r="AS347" s="303"/>
      <c r="AT347" s="300"/>
      <c r="AU347" s="297"/>
      <c r="AV347" s="303"/>
    </row>
    <row r="348" spans="2:48" x14ac:dyDescent="0.25">
      <c r="B348" s="43">
        <f t="shared" si="118"/>
        <v>54605</v>
      </c>
      <c r="C348" s="79">
        <f t="shared" si="112"/>
        <v>2049</v>
      </c>
      <c r="D348" s="64">
        <f ca="1">wellcount_base  +  SUM('forecast production'!I$7:I349)</f>
        <v>1</v>
      </c>
      <c r="E348" s="110">
        <f ca="1">'forecast production'!AE349</f>
        <v>48.559565796735434</v>
      </c>
      <c r="F348" s="98">
        <f ca="1">'forecast production'!AF349</f>
        <v>411.39558720320736</v>
      </c>
      <c r="G348" s="98">
        <f ca="1">'forecast production'!AG349</f>
        <v>5.7901636818443363E-3</v>
      </c>
      <c r="H348" s="98">
        <f ca="1">'forecast production'!AH349</f>
        <v>61.70933808048111</v>
      </c>
      <c r="I348" s="307">
        <f ca="1">IF('monthly calculations (1)'!AV347,WI_2_APO, WI_2)</f>
        <v>0</v>
      </c>
      <c r="J348" s="306">
        <f ca="1">IF('monthly calculations (1)'!AV347,NRI_2_APO, NRI_2)</f>
        <v>0.25</v>
      </c>
      <c r="K348" s="112">
        <f t="shared" ca="1" si="101"/>
        <v>12.139891449183859</v>
      </c>
      <c r="L348" s="98">
        <f t="shared" ca="1" si="102"/>
        <v>77.136672600601372</v>
      </c>
      <c r="M348" s="98">
        <f t="shared" ca="1" si="103"/>
        <v>1.4475409204610841E-3</v>
      </c>
      <c r="N348" s="98">
        <f t="shared" ca="1" si="104"/>
        <v>15.427334520120278</v>
      </c>
      <c r="O348" s="67">
        <f>assumptions!M352</f>
        <v>55</v>
      </c>
      <c r="P348" s="68">
        <f>assumptions!N352</f>
        <v>3</v>
      </c>
      <c r="Q348" s="68">
        <f>assumptions!O352</f>
        <v>22</v>
      </c>
      <c r="R348" s="67">
        <f t="shared" si="105"/>
        <v>52.5</v>
      </c>
      <c r="S348" s="68">
        <f t="shared" si="106"/>
        <v>2.3275000000000001</v>
      </c>
      <c r="T348" s="68">
        <f t="shared" si="107"/>
        <v>22</v>
      </c>
      <c r="U348" s="73">
        <f t="shared" ca="1" si="113"/>
        <v>637.34430108215258</v>
      </c>
      <c r="V348" s="72">
        <f t="shared" ca="1" si="113"/>
        <v>179.53560547789971</v>
      </c>
      <c r="W348" s="72">
        <f t="shared" ca="1" si="108"/>
        <v>339.40135944264608</v>
      </c>
      <c r="X348" s="72">
        <f t="shared" ca="1" si="114"/>
        <v>1156.2812660026984</v>
      </c>
      <c r="Y348" s="73">
        <f>mult_opex * fixed_month</f>
        <v>1000</v>
      </c>
      <c r="Z348" s="72">
        <f ca="1">mult_opex * fixed_well *D348</f>
        <v>5000</v>
      </c>
      <c r="AA348" s="72">
        <f ca="1">(Z348+Y348)*WI_current_2</f>
        <v>0</v>
      </c>
      <c r="AB348" s="72">
        <f ca="1">mult_opex * var_bo*E348</f>
        <v>0</v>
      </c>
      <c r="AC348" s="72">
        <f ca="1">mult_opex * var_mcf*F348</f>
        <v>0</v>
      </c>
      <c r="AD348" s="72">
        <f ca="1">mult_opex * var_bw * G348</f>
        <v>1.1580327363688673E-2</v>
      </c>
      <c r="AE348" s="72">
        <f ca="1">SUM(AB348:AD348)*WI_current_2</f>
        <v>0</v>
      </c>
      <c r="AF348" s="73">
        <f ca="1">mult_capex * IFERROR(OFFSET(assumptions!$F$39,MATCH(B348,assumptions!$E$39:$E$45,0)-1,0),0)</f>
        <v>0</v>
      </c>
      <c r="AG348" s="75">
        <f ca="1">mult_capex * capex_new*WI_current_2 *'forecast production'!I349</f>
        <v>0</v>
      </c>
      <c r="AH348" s="146">
        <f t="shared" ca="1" si="115"/>
        <v>0</v>
      </c>
      <c r="AI348" s="73">
        <f t="shared" ca="1" si="109"/>
        <v>68.238110218819941</v>
      </c>
      <c r="AJ348" s="72">
        <f t="shared" ca="1" si="110"/>
        <v>28.907031650067463</v>
      </c>
      <c r="AK348" s="72">
        <f t="shared" ca="1" si="116"/>
        <v>97.145141868887407</v>
      </c>
      <c r="AL348" s="73">
        <f t="shared" ca="1" si="111"/>
        <v>1059.1361241338111</v>
      </c>
      <c r="AM348" s="321">
        <f ca="1">'monthly calculations (1)'!AM348</f>
        <v>0</v>
      </c>
      <c r="AN348" s="73">
        <f t="shared" ca="1" si="117"/>
        <v>0</v>
      </c>
      <c r="AO348" s="75">
        <f t="shared" ca="1" si="119"/>
        <v>1258622.5560460223</v>
      </c>
      <c r="AP348" s="72">
        <f ca="1">AL348  /  ( 1 + disc_1/12)^(COUNT($AL$6:AL348)-1)</f>
        <v>61.992804073195352</v>
      </c>
      <c r="AQ348" s="72">
        <f t="shared" ca="1" si="120"/>
        <v>738684.71897774923</v>
      </c>
      <c r="AS348" s="303"/>
      <c r="AT348" s="300"/>
      <c r="AU348" s="297"/>
      <c r="AV348" s="303"/>
    </row>
    <row r="349" spans="2:48" x14ac:dyDescent="0.25">
      <c r="B349" s="43">
        <f t="shared" si="118"/>
        <v>54636</v>
      </c>
      <c r="C349" s="79">
        <f t="shared" si="112"/>
        <v>2049</v>
      </c>
      <c r="D349" s="64">
        <f ca="1">wellcount_base  +  SUM('forecast production'!I$7:I350)</f>
        <v>1</v>
      </c>
      <c r="E349" s="108">
        <f ca="1">'forecast production'!AE350</f>
        <v>48.216895054303762</v>
      </c>
      <c r="F349" s="97">
        <f ca="1">'forecast production'!AF350</f>
        <v>411.39558720320736</v>
      </c>
      <c r="G349" s="97">
        <f ca="1">'forecast production'!AG350</f>
        <v>5.7901636818443363E-3</v>
      </c>
      <c r="H349" s="98">
        <f ca="1">'forecast production'!AH350</f>
        <v>61.70933808048111</v>
      </c>
      <c r="I349" s="307">
        <f ca="1">IF('monthly calculations (1)'!AV348,WI_2_APO, WI_2)</f>
        <v>0</v>
      </c>
      <c r="J349" s="306">
        <f ca="1">IF('monthly calculations (1)'!AV348,NRI_2_APO, NRI_2)</f>
        <v>0.25</v>
      </c>
      <c r="K349" s="112">
        <f t="shared" ca="1" si="101"/>
        <v>12.054223763575941</v>
      </c>
      <c r="L349" s="98">
        <f t="shared" ca="1" si="102"/>
        <v>77.136672600601372</v>
      </c>
      <c r="M349" s="98">
        <f t="shared" ca="1" si="103"/>
        <v>1.4475409204610841E-3</v>
      </c>
      <c r="N349" s="98">
        <f t="shared" ca="1" si="104"/>
        <v>15.427334520120278</v>
      </c>
      <c r="O349" s="67">
        <f>assumptions!M353</f>
        <v>55</v>
      </c>
      <c r="P349" s="68">
        <f>assumptions!N353</f>
        <v>3</v>
      </c>
      <c r="Q349" s="68">
        <f>assumptions!O353</f>
        <v>22</v>
      </c>
      <c r="R349" s="67">
        <f t="shared" si="105"/>
        <v>52.5</v>
      </c>
      <c r="S349" s="68">
        <f t="shared" si="106"/>
        <v>2.3275000000000001</v>
      </c>
      <c r="T349" s="68">
        <f t="shared" si="107"/>
        <v>22</v>
      </c>
      <c r="U349" s="73">
        <f t="shared" ca="1" si="113"/>
        <v>632.8467475877369</v>
      </c>
      <c r="V349" s="72">
        <f t="shared" ca="1" si="113"/>
        <v>179.53560547789971</v>
      </c>
      <c r="W349" s="72">
        <f t="shared" ca="1" si="108"/>
        <v>339.40135944264608</v>
      </c>
      <c r="X349" s="72">
        <f t="shared" ca="1" si="114"/>
        <v>1151.7837125082826</v>
      </c>
      <c r="Y349" s="73">
        <f>mult_opex * fixed_month</f>
        <v>1000</v>
      </c>
      <c r="Z349" s="72">
        <f ca="1">mult_opex * fixed_well *D349</f>
        <v>5000</v>
      </c>
      <c r="AA349" s="72">
        <f ca="1">(Z349+Y349)*WI_current_2</f>
        <v>0</v>
      </c>
      <c r="AB349" s="72">
        <f ca="1">mult_opex * var_bo*E349</f>
        <v>0</v>
      </c>
      <c r="AC349" s="72">
        <f ca="1">mult_opex * var_mcf*F349</f>
        <v>0</v>
      </c>
      <c r="AD349" s="72">
        <f ca="1">mult_opex * var_bw * G349</f>
        <v>1.1580327363688673E-2</v>
      </c>
      <c r="AE349" s="72">
        <f ca="1">SUM(AB349:AD349)*WI_current_2</f>
        <v>0</v>
      </c>
      <c r="AF349" s="73">
        <f ca="1">mult_capex * IFERROR(OFFSET(assumptions!$F$39,MATCH(B349,assumptions!$E$39:$E$45,0)-1,0),0)</f>
        <v>0</v>
      </c>
      <c r="AG349" s="75">
        <f ca="1">mult_capex * capex_new*WI_current_2 *'forecast production'!I350</f>
        <v>0</v>
      </c>
      <c r="AH349" s="146">
        <f t="shared" ca="1" si="115"/>
        <v>0</v>
      </c>
      <c r="AI349" s="73">
        <f t="shared" ca="1" si="109"/>
        <v>68.031222758076836</v>
      </c>
      <c r="AJ349" s="72">
        <f t="shared" ca="1" si="110"/>
        <v>28.794592812707066</v>
      </c>
      <c r="AK349" s="72">
        <f t="shared" ca="1" si="116"/>
        <v>96.825815570783902</v>
      </c>
      <c r="AL349" s="73">
        <f t="shared" ca="1" si="111"/>
        <v>1054.9578969374988</v>
      </c>
      <c r="AM349" s="321">
        <f ca="1">'monthly calculations (1)'!AM349</f>
        <v>0</v>
      </c>
      <c r="AN349" s="73">
        <f t="shared" ca="1" si="117"/>
        <v>0</v>
      </c>
      <c r="AO349" s="75">
        <f t="shared" ca="1" si="119"/>
        <v>1258622.5560460223</v>
      </c>
      <c r="AP349" s="72">
        <f ca="1">AL349  /  ( 1 + disc_1/12)^(COUNT($AL$6:AL349)-1)</f>
        <v>61.237930170000531</v>
      </c>
      <c r="AQ349" s="72">
        <f t="shared" ca="1" si="120"/>
        <v>738684.71897774923</v>
      </c>
      <c r="AS349" s="303"/>
      <c r="AT349" s="300"/>
      <c r="AU349" s="297"/>
      <c r="AV349" s="303"/>
    </row>
    <row r="350" spans="2:48" x14ac:dyDescent="0.25">
      <c r="B350" s="43">
        <f t="shared" si="118"/>
        <v>54667</v>
      </c>
      <c r="C350" s="79">
        <f t="shared" si="112"/>
        <v>2049</v>
      </c>
      <c r="D350" s="64">
        <f ca="1">wellcount_base  +  SUM('forecast production'!I$7:I351)</f>
        <v>1</v>
      </c>
      <c r="E350" s="110">
        <f ca="1">'forecast production'!AE351</f>
        <v>46.332234619071556</v>
      </c>
      <c r="F350" s="98">
        <f ca="1">'forecast production'!AF351</f>
        <v>398.12476180955554</v>
      </c>
      <c r="G350" s="98">
        <f ca="1">'forecast production'!AG351</f>
        <v>5.6033842082364544E-3</v>
      </c>
      <c r="H350" s="98">
        <f ca="1">'forecast production'!AH351</f>
        <v>59.718714271433328</v>
      </c>
      <c r="I350" s="307">
        <f ca="1">IF('monthly calculations (1)'!AV349,WI_2_APO, WI_2)</f>
        <v>0</v>
      </c>
      <c r="J350" s="306">
        <f ca="1">IF('monthly calculations (1)'!AV349,NRI_2_APO, NRI_2)</f>
        <v>0.25</v>
      </c>
      <c r="K350" s="112">
        <f t="shared" ca="1" si="101"/>
        <v>11.583058654767889</v>
      </c>
      <c r="L350" s="98">
        <f t="shared" ca="1" si="102"/>
        <v>74.64839283929166</v>
      </c>
      <c r="M350" s="98">
        <f t="shared" ca="1" si="103"/>
        <v>1.4008460520591136E-3</v>
      </c>
      <c r="N350" s="98">
        <f t="shared" ca="1" si="104"/>
        <v>14.929678567858332</v>
      </c>
      <c r="O350" s="67">
        <f>assumptions!M354</f>
        <v>55</v>
      </c>
      <c r="P350" s="68">
        <f>assumptions!N354</f>
        <v>3</v>
      </c>
      <c r="Q350" s="68">
        <f>assumptions!O354</f>
        <v>22</v>
      </c>
      <c r="R350" s="67">
        <f t="shared" si="105"/>
        <v>52.5</v>
      </c>
      <c r="S350" s="68">
        <f t="shared" si="106"/>
        <v>2.3275000000000001</v>
      </c>
      <c r="T350" s="68">
        <f t="shared" si="107"/>
        <v>22</v>
      </c>
      <c r="U350" s="73">
        <f t="shared" ca="1" si="113"/>
        <v>608.11057937531416</v>
      </c>
      <c r="V350" s="72">
        <f t="shared" ca="1" si="113"/>
        <v>173.74413433345134</v>
      </c>
      <c r="W350" s="72">
        <f t="shared" ca="1" si="108"/>
        <v>328.4529284928833</v>
      </c>
      <c r="X350" s="72">
        <f t="shared" ca="1" si="114"/>
        <v>1110.3076422016488</v>
      </c>
      <c r="Y350" s="73">
        <f>mult_opex * fixed_month</f>
        <v>1000</v>
      </c>
      <c r="Z350" s="72">
        <f ca="1">mult_opex * fixed_well *D350</f>
        <v>5000</v>
      </c>
      <c r="AA350" s="72">
        <f ca="1">(Z350+Y350)*WI_current_2</f>
        <v>0</v>
      </c>
      <c r="AB350" s="72">
        <f ca="1">mult_opex * var_bo*E350</f>
        <v>0</v>
      </c>
      <c r="AC350" s="72">
        <f ca="1">mult_opex * var_mcf*F350</f>
        <v>0</v>
      </c>
      <c r="AD350" s="72">
        <f ca="1">mult_opex * var_bw * G350</f>
        <v>1.1206768416472909E-2</v>
      </c>
      <c r="AE350" s="72">
        <f ca="1">SUM(AB350:AD350)*WI_current_2</f>
        <v>0</v>
      </c>
      <c r="AF350" s="73">
        <f ca="1">mult_capex * IFERROR(OFFSET(assumptions!$F$39,MATCH(B350,assumptions!$E$39:$E$45,0)-1,0),0)</f>
        <v>0</v>
      </c>
      <c r="AG350" s="75">
        <f ca="1">mult_capex * capex_new*WI_current_2 *'forecast production'!I351</f>
        <v>0</v>
      </c>
      <c r="AH350" s="146">
        <f t="shared" ca="1" si="115"/>
        <v>0</v>
      </c>
      <c r="AI350" s="73">
        <f t="shared" ca="1" si="109"/>
        <v>65.637866363239553</v>
      </c>
      <c r="AJ350" s="72">
        <f t="shared" ca="1" si="110"/>
        <v>27.757691055041221</v>
      </c>
      <c r="AK350" s="72">
        <f t="shared" ca="1" si="116"/>
        <v>93.395557418280774</v>
      </c>
      <c r="AL350" s="73">
        <f t="shared" ca="1" si="111"/>
        <v>1016.9120847833681</v>
      </c>
      <c r="AM350" s="321">
        <f ca="1">'monthly calculations (1)'!AM350</f>
        <v>0</v>
      </c>
      <c r="AN350" s="73">
        <f t="shared" ca="1" si="117"/>
        <v>0</v>
      </c>
      <c r="AO350" s="75">
        <f t="shared" ca="1" si="119"/>
        <v>1258622.5560460223</v>
      </c>
      <c r="AP350" s="72">
        <f ca="1">AL350  /  ( 1 + disc_1/12)^(COUNT($AL$6:AL350)-1)</f>
        <v>58.541609705429167</v>
      </c>
      <c r="AQ350" s="72">
        <f t="shared" ca="1" si="120"/>
        <v>738684.71897774923</v>
      </c>
      <c r="AS350" s="303"/>
      <c r="AT350" s="300"/>
      <c r="AU350" s="297"/>
      <c r="AV350" s="303"/>
    </row>
    <row r="351" spans="2:48" x14ac:dyDescent="0.25">
      <c r="B351" s="43">
        <f t="shared" si="118"/>
        <v>54697</v>
      </c>
      <c r="C351" s="79">
        <f t="shared" si="112"/>
        <v>2049</v>
      </c>
      <c r="D351" s="64">
        <f ca="1">wellcount_base  +  SUM('forecast production'!I$7:I352)</f>
        <v>1</v>
      </c>
      <c r="E351" s="110">
        <f ca="1">'forecast production'!AE352</f>
        <v>47.549652022245283</v>
      </c>
      <c r="F351" s="98">
        <f ca="1">'forecast production'!AF352</f>
        <v>411.39558720320736</v>
      </c>
      <c r="G351" s="98">
        <f ca="1">'forecast production'!AG352</f>
        <v>5.7901636818443363E-3</v>
      </c>
      <c r="H351" s="98">
        <f ca="1">'forecast production'!AH352</f>
        <v>61.70933808048111</v>
      </c>
      <c r="I351" s="307">
        <f ca="1">IF('monthly calculations (1)'!AV350,WI_2_APO, WI_2)</f>
        <v>0</v>
      </c>
      <c r="J351" s="306">
        <f ca="1">IF('monthly calculations (1)'!AV350,NRI_2_APO, NRI_2)</f>
        <v>0.25</v>
      </c>
      <c r="K351" s="112">
        <f t="shared" ca="1" si="101"/>
        <v>11.887413005561321</v>
      </c>
      <c r="L351" s="98">
        <f t="shared" ca="1" si="102"/>
        <v>77.136672600601372</v>
      </c>
      <c r="M351" s="98">
        <f t="shared" ca="1" si="103"/>
        <v>1.4475409204610841E-3</v>
      </c>
      <c r="N351" s="98">
        <f t="shared" ca="1" si="104"/>
        <v>15.427334520120278</v>
      </c>
      <c r="O351" s="67">
        <f>assumptions!M355</f>
        <v>55</v>
      </c>
      <c r="P351" s="68">
        <f>assumptions!N355</f>
        <v>3</v>
      </c>
      <c r="Q351" s="68">
        <f>assumptions!O355</f>
        <v>22</v>
      </c>
      <c r="R351" s="67">
        <f t="shared" si="105"/>
        <v>52.5</v>
      </c>
      <c r="S351" s="68">
        <f t="shared" si="106"/>
        <v>2.3275000000000001</v>
      </c>
      <c r="T351" s="68">
        <f t="shared" si="107"/>
        <v>22</v>
      </c>
      <c r="U351" s="73">
        <f t="shared" ca="1" si="113"/>
        <v>624.08918279196939</v>
      </c>
      <c r="V351" s="72">
        <f t="shared" ca="1" si="113"/>
        <v>179.53560547789971</v>
      </c>
      <c r="W351" s="72">
        <f t="shared" ca="1" si="108"/>
        <v>339.40135944264608</v>
      </c>
      <c r="X351" s="72">
        <f t="shared" ca="1" si="114"/>
        <v>1143.0261477125152</v>
      </c>
      <c r="Y351" s="73">
        <f>mult_opex * fixed_month</f>
        <v>1000</v>
      </c>
      <c r="Z351" s="72">
        <f ca="1">mult_opex * fixed_well *D351</f>
        <v>5000</v>
      </c>
      <c r="AA351" s="72">
        <f ca="1">(Z351+Y351)*WI_current_2</f>
        <v>0</v>
      </c>
      <c r="AB351" s="72">
        <f ca="1">mult_opex * var_bo*E351</f>
        <v>0</v>
      </c>
      <c r="AC351" s="72">
        <f ca="1">mult_opex * var_mcf*F351</f>
        <v>0</v>
      </c>
      <c r="AD351" s="72">
        <f ca="1">mult_opex * var_bw * G351</f>
        <v>1.1580327363688673E-2</v>
      </c>
      <c r="AE351" s="72">
        <f ca="1">SUM(AB351:AD351)*WI_current_2</f>
        <v>0</v>
      </c>
      <c r="AF351" s="73">
        <f ca="1">mult_capex * IFERROR(OFFSET(assumptions!$F$39,MATCH(B351,assumptions!$E$39:$E$45,0)-1,0),0)</f>
        <v>0</v>
      </c>
      <c r="AG351" s="75">
        <f ca="1">mult_capex * capex_new*WI_current_2 *'forecast production'!I352</f>
        <v>0</v>
      </c>
      <c r="AH351" s="146">
        <f t="shared" ca="1" si="115"/>
        <v>0</v>
      </c>
      <c r="AI351" s="73">
        <f t="shared" ca="1" si="109"/>
        <v>67.628374777471521</v>
      </c>
      <c r="AJ351" s="72">
        <f t="shared" ca="1" si="110"/>
        <v>28.575653692812882</v>
      </c>
      <c r="AK351" s="72">
        <f t="shared" ca="1" si="116"/>
        <v>96.204028470284399</v>
      </c>
      <c r="AL351" s="73">
        <f t="shared" ca="1" si="111"/>
        <v>1046.8221192422309</v>
      </c>
      <c r="AM351" s="321">
        <f ca="1">'monthly calculations (1)'!AM351</f>
        <v>0</v>
      </c>
      <c r="AN351" s="73">
        <f t="shared" ca="1" si="117"/>
        <v>0</v>
      </c>
      <c r="AO351" s="75">
        <f t="shared" ca="1" si="119"/>
        <v>1258622.5560460223</v>
      </c>
      <c r="AP351" s="72">
        <f ca="1">AL351  /  ( 1 + disc_1/12)^(COUNT($AL$6:AL351)-1)</f>
        <v>59.765425789802073</v>
      </c>
      <c r="AQ351" s="72">
        <f t="shared" ca="1" si="120"/>
        <v>738684.71897774923</v>
      </c>
      <c r="AS351" s="303"/>
      <c r="AT351" s="300"/>
      <c r="AU351" s="297"/>
      <c r="AV351" s="303"/>
    </row>
    <row r="352" spans="2:48" x14ac:dyDescent="0.25">
      <c r="B352" s="43">
        <f t="shared" si="118"/>
        <v>54728</v>
      </c>
      <c r="C352" s="79">
        <f t="shared" si="112"/>
        <v>2049</v>
      </c>
      <c r="D352" s="64">
        <f ca="1">wellcount_base  +  SUM('forecast production'!I$7:I353)</f>
        <v>1</v>
      </c>
      <c r="E352" s="110">
        <f ca="1">'forecast production'!AE353</f>
        <v>45.69107220754637</v>
      </c>
      <c r="F352" s="98">
        <f ca="1">'forecast production'!AF353</f>
        <v>398.12476180955554</v>
      </c>
      <c r="G352" s="98">
        <f ca="1">'forecast production'!AG353</f>
        <v>5.6033842082364544E-3</v>
      </c>
      <c r="H352" s="98">
        <f ca="1">'forecast production'!AH353</f>
        <v>59.718714271433328</v>
      </c>
      <c r="I352" s="307">
        <f ca="1">IF('monthly calculations (1)'!AV351,WI_2_APO, WI_2)</f>
        <v>0</v>
      </c>
      <c r="J352" s="306">
        <f ca="1">IF('monthly calculations (1)'!AV351,NRI_2_APO, NRI_2)</f>
        <v>0.25</v>
      </c>
      <c r="K352" s="112">
        <f t="shared" ca="1" si="101"/>
        <v>11.422768051886592</v>
      </c>
      <c r="L352" s="98">
        <f t="shared" ca="1" si="102"/>
        <v>74.64839283929166</v>
      </c>
      <c r="M352" s="98">
        <f t="shared" ca="1" si="103"/>
        <v>1.4008460520591136E-3</v>
      </c>
      <c r="N352" s="98">
        <f t="shared" ca="1" si="104"/>
        <v>14.929678567858332</v>
      </c>
      <c r="O352" s="67">
        <f>assumptions!M356</f>
        <v>55</v>
      </c>
      <c r="P352" s="68">
        <f>assumptions!N356</f>
        <v>3</v>
      </c>
      <c r="Q352" s="68">
        <f>assumptions!O356</f>
        <v>22</v>
      </c>
      <c r="R352" s="67">
        <f t="shared" si="105"/>
        <v>52.5</v>
      </c>
      <c r="S352" s="68">
        <f t="shared" si="106"/>
        <v>2.3275000000000001</v>
      </c>
      <c r="T352" s="68">
        <f t="shared" si="107"/>
        <v>22</v>
      </c>
      <c r="U352" s="73">
        <f t="shared" ca="1" si="113"/>
        <v>599.69532272404615</v>
      </c>
      <c r="V352" s="72">
        <f t="shared" ca="1" si="113"/>
        <v>173.74413433345134</v>
      </c>
      <c r="W352" s="72">
        <f t="shared" ca="1" si="108"/>
        <v>328.4529284928833</v>
      </c>
      <c r="X352" s="72">
        <f t="shared" ca="1" si="114"/>
        <v>1101.8923855503808</v>
      </c>
      <c r="Y352" s="73">
        <f>mult_opex * fixed_month</f>
        <v>1000</v>
      </c>
      <c r="Z352" s="72">
        <f ca="1">mult_opex * fixed_well *D352</f>
        <v>5000</v>
      </c>
      <c r="AA352" s="72">
        <f ca="1">(Z352+Y352)*WI_current_2</f>
        <v>0</v>
      </c>
      <c r="AB352" s="72">
        <f ca="1">mult_opex * var_bo*E352</f>
        <v>0</v>
      </c>
      <c r="AC352" s="72">
        <f ca="1">mult_opex * var_mcf*F352</f>
        <v>0</v>
      </c>
      <c r="AD352" s="72">
        <f ca="1">mult_opex * var_bw * G352</f>
        <v>1.1206768416472909E-2</v>
      </c>
      <c r="AE352" s="72">
        <f ca="1">SUM(AB352:AD352)*WI_current_2</f>
        <v>0</v>
      </c>
      <c r="AF352" s="73">
        <f ca="1">mult_capex * IFERROR(OFFSET(assumptions!$F$39,MATCH(B352,assumptions!$E$39:$E$45,0)-1,0),0)</f>
        <v>0</v>
      </c>
      <c r="AG352" s="75">
        <f ca="1">mult_capex * capex_new*WI_current_2 *'forecast production'!I353</f>
        <v>0</v>
      </c>
      <c r="AH352" s="146">
        <f t="shared" ca="1" si="115"/>
        <v>0</v>
      </c>
      <c r="AI352" s="73">
        <f t="shared" ca="1" si="109"/>
        <v>65.250764557281215</v>
      </c>
      <c r="AJ352" s="72">
        <f t="shared" ca="1" si="110"/>
        <v>27.547309638759522</v>
      </c>
      <c r="AK352" s="72">
        <f t="shared" ca="1" si="116"/>
        <v>92.798074196040744</v>
      </c>
      <c r="AL352" s="73">
        <f t="shared" ca="1" si="111"/>
        <v>1009.0943113543401</v>
      </c>
      <c r="AM352" s="321">
        <f ca="1">'monthly calculations (1)'!AM352</f>
        <v>0</v>
      </c>
      <c r="AN352" s="73">
        <f t="shared" ca="1" si="117"/>
        <v>0</v>
      </c>
      <c r="AO352" s="75">
        <f t="shared" ca="1" si="119"/>
        <v>1258622.5560460223</v>
      </c>
      <c r="AP352" s="72">
        <f ca="1">AL352  /  ( 1 + disc_1/12)^(COUNT($AL$6:AL352)-1)</f>
        <v>57.135332733818316</v>
      </c>
      <c r="AQ352" s="72">
        <f t="shared" ca="1" si="120"/>
        <v>738684.71897774923</v>
      </c>
      <c r="AS352" s="303"/>
      <c r="AT352" s="300"/>
      <c r="AU352" s="297"/>
      <c r="AV352" s="303"/>
    </row>
    <row r="353" spans="1:48" x14ac:dyDescent="0.25">
      <c r="B353" s="44">
        <f t="shared" si="118"/>
        <v>54758</v>
      </c>
      <c r="C353" s="100">
        <f t="shared" si="112"/>
        <v>2049</v>
      </c>
      <c r="D353" s="65">
        <f ca="1">wellcount_base  +  SUM('forecast production'!I$7:I354)</f>
        <v>1</v>
      </c>
      <c r="E353" s="109">
        <f ca="1">'forecast production'!AE354</f>
        <v>46.891642543349633</v>
      </c>
      <c r="F353" s="101">
        <f ca="1">'forecast production'!AF354</f>
        <v>411.39558720320736</v>
      </c>
      <c r="G353" s="101">
        <f ca="1">'forecast production'!AG354</f>
        <v>5.7901636818443363E-3</v>
      </c>
      <c r="H353" s="102">
        <f ca="1">'forecast production'!AH354</f>
        <v>61.70933808048111</v>
      </c>
      <c r="I353" s="308">
        <f ca="1">IF('monthly calculations (1)'!AV352,WI_2_APO, WI_2)</f>
        <v>0</v>
      </c>
      <c r="J353" s="309">
        <f ca="1">IF('monthly calculations (1)'!AV352,NRI_2_APO, NRI_2)</f>
        <v>0.25</v>
      </c>
      <c r="K353" s="113">
        <f t="shared" ca="1" si="101"/>
        <v>11.722910635837408</v>
      </c>
      <c r="L353" s="102">
        <f t="shared" ca="1" si="102"/>
        <v>77.136672600601372</v>
      </c>
      <c r="M353" s="102">
        <f t="shared" ca="1" si="103"/>
        <v>1.4475409204610841E-3</v>
      </c>
      <c r="N353" s="102">
        <f t="shared" ca="1" si="104"/>
        <v>15.427334520120278</v>
      </c>
      <c r="O353" s="103">
        <f>assumptions!M357</f>
        <v>55</v>
      </c>
      <c r="P353" s="104">
        <f>assumptions!N357</f>
        <v>3</v>
      </c>
      <c r="Q353" s="104">
        <f>assumptions!O357</f>
        <v>22</v>
      </c>
      <c r="R353" s="103">
        <f t="shared" si="105"/>
        <v>52.5</v>
      </c>
      <c r="S353" s="104">
        <f t="shared" si="106"/>
        <v>2.3275000000000001</v>
      </c>
      <c r="T353" s="104">
        <f t="shared" si="107"/>
        <v>22</v>
      </c>
      <c r="U353" s="105">
        <f t="shared" ca="1" si="113"/>
        <v>615.45280838146391</v>
      </c>
      <c r="V353" s="106">
        <f t="shared" ca="1" si="113"/>
        <v>179.53560547789971</v>
      </c>
      <c r="W353" s="106">
        <f t="shared" ca="1" si="108"/>
        <v>339.40135944264608</v>
      </c>
      <c r="X353" s="106">
        <f t="shared" ca="1" si="114"/>
        <v>1134.3897733020096</v>
      </c>
      <c r="Y353" s="105">
        <f>mult_opex * fixed_month</f>
        <v>1000</v>
      </c>
      <c r="Z353" s="106">
        <f ca="1">mult_opex * fixed_well *D353</f>
        <v>5000</v>
      </c>
      <c r="AA353" s="106">
        <f ca="1">(Z353+Y353)*WI_current_2</f>
        <v>0</v>
      </c>
      <c r="AB353" s="106">
        <f ca="1">mult_opex * var_bo*E353</f>
        <v>0</v>
      </c>
      <c r="AC353" s="106">
        <f ca="1">mult_opex * var_mcf*F353</f>
        <v>0</v>
      </c>
      <c r="AD353" s="106">
        <f ca="1">mult_opex * var_bw * G353</f>
        <v>1.1580327363688673E-2</v>
      </c>
      <c r="AE353" s="106">
        <f ca="1">SUM(AB353:AD353)*WI_current_2</f>
        <v>0</v>
      </c>
      <c r="AF353" s="105">
        <f ca="1">mult_capex * IFERROR(OFFSET(assumptions!$F$39,MATCH(B353,assumptions!$E$39:$E$45,0)-1,0),0)</f>
        <v>0</v>
      </c>
      <c r="AG353" s="106">
        <f ca="1">mult_capex * capex_new*WI_current_2 *'forecast production'!I354</f>
        <v>0</v>
      </c>
      <c r="AH353" s="147">
        <f t="shared" ca="1" si="115"/>
        <v>0</v>
      </c>
      <c r="AI353" s="105">
        <f t="shared" ca="1" si="109"/>
        <v>67.231101554588264</v>
      </c>
      <c r="AJ353" s="106">
        <f t="shared" ca="1" si="110"/>
        <v>28.359744332550243</v>
      </c>
      <c r="AK353" s="106">
        <f t="shared" ca="1" si="116"/>
        <v>95.590845887138499</v>
      </c>
      <c r="AL353" s="105">
        <f t="shared" ca="1" si="111"/>
        <v>1038.7989274148711</v>
      </c>
      <c r="AM353" s="322">
        <f ca="1">'monthly calculations (1)'!AM353</f>
        <v>0</v>
      </c>
      <c r="AN353" s="105">
        <f t="shared" ca="1" si="117"/>
        <v>0</v>
      </c>
      <c r="AO353" s="106">
        <f t="shared" ca="1" si="119"/>
        <v>1258622.5560460223</v>
      </c>
      <c r="AP353" s="106">
        <f ca="1">AL353  /  ( 1 + disc_1/12)^(COUNT($AL$6:AL353)-1)</f>
        <v>58.331127518137272</v>
      </c>
      <c r="AQ353" s="106">
        <f t="shared" ca="1" si="120"/>
        <v>738684.71897774923</v>
      </c>
      <c r="AS353" s="304"/>
      <c r="AT353" s="301"/>
      <c r="AU353" s="298"/>
      <c r="AV353" s="304"/>
    </row>
    <row r="354" spans="1:48" x14ac:dyDescent="0.25">
      <c r="B354" s="43">
        <f t="shared" si="118"/>
        <v>54789</v>
      </c>
      <c r="C354" s="79">
        <f t="shared" si="112"/>
        <v>2050</v>
      </c>
      <c r="D354" s="64">
        <f ca="1">wellcount_base  +  SUM('forecast production'!I$7:I355)</f>
        <v>1</v>
      </c>
      <c r="E354" s="110">
        <f ca="1">'forecast production'!AE355</f>
        <v>46.560741850550372</v>
      </c>
      <c r="F354" s="98">
        <f ca="1">'forecast production'!AF355</f>
        <v>411.39558720320736</v>
      </c>
      <c r="G354" s="98">
        <f ca="1">'forecast production'!AG355</f>
        <v>5.7901636818443363E-3</v>
      </c>
      <c r="H354" s="98">
        <f ca="1">'forecast production'!AH355</f>
        <v>61.70933808048111</v>
      </c>
      <c r="I354" s="307">
        <f ca="1">IF('monthly calculations (1)'!AV353,WI_2_APO, WI_2)</f>
        <v>0</v>
      </c>
      <c r="J354" s="306">
        <f ca="1">IF('monthly calculations (1)'!AV353,NRI_2_APO, NRI_2)</f>
        <v>0.25</v>
      </c>
      <c r="K354" s="112">
        <f t="shared" ca="1" si="101"/>
        <v>11.640185462637593</v>
      </c>
      <c r="L354" s="98">
        <f t="shared" ca="1" si="102"/>
        <v>77.136672600601372</v>
      </c>
      <c r="M354" s="98">
        <f t="shared" ca="1" si="103"/>
        <v>1.4475409204610841E-3</v>
      </c>
      <c r="N354" s="98">
        <f t="shared" ca="1" si="104"/>
        <v>15.427334520120278</v>
      </c>
      <c r="O354" s="67">
        <f>assumptions!M358</f>
        <v>55</v>
      </c>
      <c r="P354" s="68">
        <f>assumptions!N358</f>
        <v>3</v>
      </c>
      <c r="Q354" s="68">
        <f>assumptions!O358</f>
        <v>22</v>
      </c>
      <c r="R354" s="67">
        <f t="shared" si="105"/>
        <v>52.5</v>
      </c>
      <c r="S354" s="68">
        <f t="shared" si="106"/>
        <v>2.3275000000000001</v>
      </c>
      <c r="T354" s="68">
        <f t="shared" si="107"/>
        <v>22</v>
      </c>
      <c r="U354" s="73">
        <f t="shared" ca="1" si="113"/>
        <v>611.10973678847358</v>
      </c>
      <c r="V354" s="72">
        <f t="shared" ca="1" si="113"/>
        <v>179.53560547789971</v>
      </c>
      <c r="W354" s="72">
        <f t="shared" ca="1" si="108"/>
        <v>339.40135944264608</v>
      </c>
      <c r="X354" s="72">
        <f t="shared" ca="1" si="114"/>
        <v>1130.0467017090193</v>
      </c>
      <c r="Y354" s="73">
        <f>mult_opex * fixed_month</f>
        <v>1000</v>
      </c>
      <c r="Z354" s="72">
        <f ca="1">mult_opex * fixed_well *D354</f>
        <v>5000</v>
      </c>
      <c r="AA354" s="72">
        <f ca="1">(Z354+Y354)*WI_current_2</f>
        <v>0</v>
      </c>
      <c r="AB354" s="72">
        <f ca="1">mult_opex * var_bo*E354</f>
        <v>0</v>
      </c>
      <c r="AC354" s="72">
        <f ca="1">mult_opex * var_mcf*F354</f>
        <v>0</v>
      </c>
      <c r="AD354" s="72">
        <f ca="1">mult_opex * var_bw * G354</f>
        <v>1.1580327363688673E-2</v>
      </c>
      <c r="AE354" s="72">
        <f ca="1">SUM(AB354:AD354)*WI_current_2</f>
        <v>0</v>
      </c>
      <c r="AF354" s="73">
        <f ca="1">mult_capex * IFERROR(OFFSET(assumptions!$F$39,MATCH(B354,assumptions!$E$39:$E$45,0)-1,0),0)</f>
        <v>0</v>
      </c>
      <c r="AG354" s="75">
        <f ca="1">mult_capex * capex_new*WI_current_2 *'forecast production'!I355</f>
        <v>0</v>
      </c>
      <c r="AH354" s="146">
        <f t="shared" ca="1" si="115"/>
        <v>0</v>
      </c>
      <c r="AI354" s="73">
        <f t="shared" ca="1" si="109"/>
        <v>67.031320261310725</v>
      </c>
      <c r="AJ354" s="72">
        <f t="shared" ca="1" si="110"/>
        <v>28.251167542725483</v>
      </c>
      <c r="AK354" s="72">
        <f t="shared" ca="1" si="116"/>
        <v>95.282487804036208</v>
      </c>
      <c r="AL354" s="73">
        <f t="shared" ca="1" si="111"/>
        <v>1034.7642139049831</v>
      </c>
      <c r="AM354" s="321">
        <f ca="1">'monthly calculations (1)'!AM354</f>
        <v>0</v>
      </c>
      <c r="AN354" s="73">
        <f t="shared" ca="1" si="117"/>
        <v>0</v>
      </c>
      <c r="AO354" s="75">
        <f t="shared" ca="1" si="119"/>
        <v>1258622.5560460223</v>
      </c>
      <c r="AP354" s="72">
        <f ca="1">AL354  /  ( 1 + disc_1/12)^(COUNT($AL$6:AL354)-1)</f>
        <v>57.624365336920164</v>
      </c>
      <c r="AQ354" s="72">
        <f t="shared" ca="1" si="120"/>
        <v>738684.71897774923</v>
      </c>
      <c r="AS354" s="303"/>
      <c r="AT354" s="300"/>
      <c r="AU354" s="297"/>
      <c r="AV354" s="303"/>
    </row>
    <row r="355" spans="1:48" x14ac:dyDescent="0.25">
      <c r="B355" s="43">
        <f t="shared" si="118"/>
        <v>54820</v>
      </c>
      <c r="C355" s="79">
        <f t="shared" si="112"/>
        <v>2050</v>
      </c>
      <c r="D355" s="64">
        <f ca="1">wellcount_base  +  SUM('forecast production'!I$7:I356)</f>
        <v>1</v>
      </c>
      <c r="E355" s="110">
        <f ca="1">'forecast production'!AE356</f>
        <v>41.758094657337871</v>
      </c>
      <c r="F355" s="98">
        <f ca="1">'forecast production'!AF356</f>
        <v>371.58311102225184</v>
      </c>
      <c r="G355" s="98">
        <f ca="1">'forecast production'!AG356</f>
        <v>5.2298252610206908E-3</v>
      </c>
      <c r="H355" s="98">
        <f ca="1">'forecast production'!AH356</f>
        <v>55.737466653337776</v>
      </c>
      <c r="I355" s="307">
        <f ca="1">IF('monthly calculations (1)'!AV354,WI_2_APO, WI_2)</f>
        <v>0</v>
      </c>
      <c r="J355" s="306">
        <f ca="1">IF('monthly calculations (1)'!AV354,NRI_2_APO, NRI_2)</f>
        <v>0.25</v>
      </c>
      <c r="K355" s="112">
        <f t="shared" ca="1" si="101"/>
        <v>10.439523664334468</v>
      </c>
      <c r="L355" s="98">
        <f t="shared" ca="1" si="102"/>
        <v>69.67183331667222</v>
      </c>
      <c r="M355" s="98">
        <f t="shared" ca="1" si="103"/>
        <v>1.3074563152551727E-3</v>
      </c>
      <c r="N355" s="98">
        <f t="shared" ca="1" si="104"/>
        <v>13.934366663334444</v>
      </c>
      <c r="O355" s="67">
        <f>assumptions!M359</f>
        <v>55</v>
      </c>
      <c r="P355" s="68">
        <f>assumptions!N359</f>
        <v>3</v>
      </c>
      <c r="Q355" s="68">
        <f>assumptions!O359</f>
        <v>22</v>
      </c>
      <c r="R355" s="67">
        <f t="shared" si="105"/>
        <v>52.5</v>
      </c>
      <c r="S355" s="68">
        <f t="shared" si="106"/>
        <v>2.3275000000000001</v>
      </c>
      <c r="T355" s="68">
        <f t="shared" si="107"/>
        <v>22</v>
      </c>
      <c r="U355" s="73">
        <f t="shared" ca="1" si="113"/>
        <v>548.07499237755951</v>
      </c>
      <c r="V355" s="72">
        <f t="shared" ca="1" si="113"/>
        <v>162.16119204455461</v>
      </c>
      <c r="W355" s="72">
        <f t="shared" ca="1" si="108"/>
        <v>306.55606659335774</v>
      </c>
      <c r="X355" s="72">
        <f t="shared" ca="1" si="114"/>
        <v>1016.7922510154718</v>
      </c>
      <c r="Y355" s="73">
        <f>mult_opex * fixed_month</f>
        <v>1000</v>
      </c>
      <c r="Z355" s="72">
        <f ca="1">mult_opex * fixed_well *D355</f>
        <v>5000</v>
      </c>
      <c r="AA355" s="72">
        <f ca="1">(Z355+Y355)*WI_current_2</f>
        <v>0</v>
      </c>
      <c r="AB355" s="72">
        <f ca="1">mult_opex * var_bo*E355</f>
        <v>0</v>
      </c>
      <c r="AC355" s="72">
        <f ca="1">mult_opex * var_mcf*F355</f>
        <v>0</v>
      </c>
      <c r="AD355" s="72">
        <f ca="1">mult_opex * var_bw * G355</f>
        <v>1.0459650522041382E-2</v>
      </c>
      <c r="AE355" s="72">
        <f ca="1">SUM(AB355:AD355)*WI_current_2</f>
        <v>0</v>
      </c>
      <c r="AF355" s="73">
        <f ca="1">mult_capex * IFERROR(OFFSET(assumptions!$F$39,MATCH(B355,assumptions!$E$39:$E$45,0)-1,0),0)</f>
        <v>0</v>
      </c>
      <c r="AG355" s="75">
        <f ca="1">mult_capex * capex_new*WI_current_2 *'forecast production'!I356</f>
        <v>0</v>
      </c>
      <c r="AH355" s="146">
        <f t="shared" ca="1" si="115"/>
        <v>0</v>
      </c>
      <c r="AI355" s="73">
        <f t="shared" ca="1" si="109"/>
        <v>60.365244047211164</v>
      </c>
      <c r="AJ355" s="72">
        <f t="shared" ca="1" si="110"/>
        <v>25.419806275386797</v>
      </c>
      <c r="AK355" s="72">
        <f t="shared" ca="1" si="116"/>
        <v>85.785050322597954</v>
      </c>
      <c r="AL355" s="73">
        <f t="shared" ca="1" si="111"/>
        <v>931.00720069287388</v>
      </c>
      <c r="AM355" s="321">
        <f ca="1">'monthly calculations (1)'!AM355</f>
        <v>0</v>
      </c>
      <c r="AN355" s="73">
        <f t="shared" ca="1" si="117"/>
        <v>0</v>
      </c>
      <c r="AO355" s="75">
        <f t="shared" ca="1" si="119"/>
        <v>1258622.5560460223</v>
      </c>
      <c r="AP355" s="72">
        <f ca="1">AL355  /  ( 1 + disc_1/12)^(COUNT($AL$6:AL355)-1)</f>
        <v>51.417821249373027</v>
      </c>
      <c r="AQ355" s="72">
        <f t="shared" ca="1" si="120"/>
        <v>738684.71897774923</v>
      </c>
      <c r="AS355" s="303"/>
      <c r="AT355" s="300"/>
      <c r="AU355" s="297"/>
      <c r="AV355" s="303"/>
    </row>
    <row r="356" spans="1:48" x14ac:dyDescent="0.25">
      <c r="B356" s="43">
        <f t="shared" si="118"/>
        <v>54848</v>
      </c>
      <c r="C356" s="79">
        <f t="shared" si="112"/>
        <v>2050</v>
      </c>
      <c r="D356" s="64">
        <f ca="1">wellcount_base  +  SUM('forecast production'!I$7:I357)</f>
        <v>1</v>
      </c>
      <c r="E356" s="110">
        <f ca="1">'forecast production'!AE357</f>
        <v>45.937400612061758</v>
      </c>
      <c r="F356" s="98">
        <f ca="1">'forecast production'!AF357</f>
        <v>411.39558720320736</v>
      </c>
      <c r="G356" s="98">
        <f ca="1">'forecast production'!AG357</f>
        <v>5.7901636818443363E-3</v>
      </c>
      <c r="H356" s="98">
        <f ca="1">'forecast production'!AH357</f>
        <v>61.70933808048111</v>
      </c>
      <c r="I356" s="307">
        <f ca="1">IF('monthly calculations (1)'!AV355,WI_2_APO, WI_2)</f>
        <v>0</v>
      </c>
      <c r="J356" s="306">
        <f ca="1">IF('monthly calculations (1)'!AV355,NRI_2_APO, NRI_2)</f>
        <v>0.25</v>
      </c>
      <c r="K356" s="112">
        <f t="shared" ca="1" si="101"/>
        <v>11.484350153015439</v>
      </c>
      <c r="L356" s="98">
        <f t="shared" ca="1" si="102"/>
        <v>77.136672600601372</v>
      </c>
      <c r="M356" s="98">
        <f t="shared" ca="1" si="103"/>
        <v>1.4475409204610841E-3</v>
      </c>
      <c r="N356" s="98">
        <f t="shared" ca="1" si="104"/>
        <v>15.427334520120278</v>
      </c>
      <c r="O356" s="67">
        <f>assumptions!M360</f>
        <v>55</v>
      </c>
      <c r="P356" s="68">
        <f>assumptions!N360</f>
        <v>3</v>
      </c>
      <c r="Q356" s="68">
        <f>assumptions!O360</f>
        <v>22</v>
      </c>
      <c r="R356" s="67">
        <f t="shared" si="105"/>
        <v>52.5</v>
      </c>
      <c r="S356" s="68">
        <f t="shared" si="106"/>
        <v>2.3275000000000001</v>
      </c>
      <c r="T356" s="68">
        <f t="shared" si="107"/>
        <v>22</v>
      </c>
      <c r="U356" s="73">
        <f t="shared" ca="1" si="113"/>
        <v>602.92838303331052</v>
      </c>
      <c r="V356" s="72">
        <f t="shared" ca="1" si="113"/>
        <v>179.53560547789971</v>
      </c>
      <c r="W356" s="72">
        <f t="shared" ca="1" si="108"/>
        <v>339.40135944264608</v>
      </c>
      <c r="X356" s="72">
        <f t="shared" ca="1" si="114"/>
        <v>1121.8653479538564</v>
      </c>
      <c r="Y356" s="73">
        <f>mult_opex * fixed_month</f>
        <v>1000</v>
      </c>
      <c r="Z356" s="72">
        <f ca="1">mult_opex * fixed_well *D356</f>
        <v>5000</v>
      </c>
      <c r="AA356" s="72">
        <f ca="1">(Z356+Y356)*WI_current_2</f>
        <v>0</v>
      </c>
      <c r="AB356" s="72">
        <f ca="1">mult_opex * var_bo*E356</f>
        <v>0</v>
      </c>
      <c r="AC356" s="72">
        <f ca="1">mult_opex * var_mcf*F356</f>
        <v>0</v>
      </c>
      <c r="AD356" s="72">
        <f ca="1">mult_opex * var_bw * G356</f>
        <v>1.1580327363688673E-2</v>
      </c>
      <c r="AE356" s="72">
        <f ca="1">SUM(AB356:AD356)*WI_current_2</f>
        <v>0</v>
      </c>
      <c r="AF356" s="73">
        <f ca="1">mult_capex * IFERROR(OFFSET(assumptions!$F$39,MATCH(B356,assumptions!$E$39:$E$45,0)-1,0),0)</f>
        <v>0</v>
      </c>
      <c r="AG356" s="75">
        <f ca="1">mult_capex * capex_new*WI_current_2 *'forecast production'!I357</f>
        <v>0</v>
      </c>
      <c r="AH356" s="146">
        <f t="shared" ca="1" si="115"/>
        <v>0</v>
      </c>
      <c r="AI356" s="73">
        <f t="shared" ca="1" si="109"/>
        <v>66.654977988573222</v>
      </c>
      <c r="AJ356" s="72">
        <f t="shared" ca="1" si="110"/>
        <v>28.04663369884641</v>
      </c>
      <c r="AK356" s="72">
        <f t="shared" ca="1" si="116"/>
        <v>94.701611687419629</v>
      </c>
      <c r="AL356" s="73">
        <f t="shared" ca="1" si="111"/>
        <v>1027.1637362664367</v>
      </c>
      <c r="AM356" s="321">
        <f ca="1">'monthly calculations (1)'!AM356</f>
        <v>0</v>
      </c>
      <c r="AN356" s="73">
        <f t="shared" ca="1" si="117"/>
        <v>0</v>
      </c>
      <c r="AO356" s="75">
        <f t="shared" ca="1" si="119"/>
        <v>1258622.5560460223</v>
      </c>
      <c r="AP356" s="72">
        <f ca="1">AL356  /  ( 1 + disc_1/12)^(COUNT($AL$6:AL356)-1)</f>
        <v>56.259540955637668</v>
      </c>
      <c r="AQ356" s="72">
        <f t="shared" ca="1" si="120"/>
        <v>738684.71897774923</v>
      </c>
      <c r="AS356" s="303"/>
      <c r="AT356" s="300"/>
      <c r="AU356" s="297"/>
      <c r="AV356" s="303"/>
    </row>
    <row r="357" spans="1:48" x14ac:dyDescent="0.25">
      <c r="B357" s="43">
        <f t="shared" si="118"/>
        <v>54879</v>
      </c>
      <c r="C357" s="79">
        <f t="shared" si="112"/>
        <v>2050</v>
      </c>
      <c r="D357" s="64">
        <f ca="1">wellcount_base  +  SUM('forecast production'!I$7:I358)</f>
        <v>1</v>
      </c>
      <c r="E357" s="108">
        <f ca="1">'forecast production'!AE358</f>
        <v>44.141839090867613</v>
      </c>
      <c r="F357" s="97">
        <f ca="1">'forecast production'!AF358</f>
        <v>398.12476180955554</v>
      </c>
      <c r="G357" s="97">
        <f ca="1">'forecast production'!AG358</f>
        <v>5.6033842082364544E-3</v>
      </c>
      <c r="H357" s="98">
        <f ca="1">'forecast production'!AH358</f>
        <v>59.718714271433328</v>
      </c>
      <c r="I357" s="307">
        <f ca="1">IF('monthly calculations (1)'!AV356,WI_2_APO, WI_2)</f>
        <v>0</v>
      </c>
      <c r="J357" s="306">
        <f ca="1">IF('monthly calculations (1)'!AV356,NRI_2_APO, NRI_2)</f>
        <v>0.25</v>
      </c>
      <c r="K357" s="112">
        <f t="shared" ca="1" si="101"/>
        <v>11.035459772716903</v>
      </c>
      <c r="L357" s="98">
        <f t="shared" ca="1" si="102"/>
        <v>74.64839283929166</v>
      </c>
      <c r="M357" s="98">
        <f t="shared" ca="1" si="103"/>
        <v>1.4008460520591136E-3</v>
      </c>
      <c r="N357" s="98">
        <f t="shared" ca="1" si="104"/>
        <v>14.929678567858332</v>
      </c>
      <c r="O357" s="67">
        <f>assumptions!M361</f>
        <v>55</v>
      </c>
      <c r="P357" s="68">
        <f>assumptions!N361</f>
        <v>3</v>
      </c>
      <c r="Q357" s="68">
        <f>assumptions!O361</f>
        <v>22</v>
      </c>
      <c r="R357" s="67">
        <f t="shared" si="105"/>
        <v>52.5</v>
      </c>
      <c r="S357" s="68">
        <f t="shared" si="106"/>
        <v>2.3275000000000001</v>
      </c>
      <c r="T357" s="68">
        <f t="shared" si="107"/>
        <v>22</v>
      </c>
      <c r="U357" s="73">
        <f t="shared" ca="1" si="113"/>
        <v>579.36163806763739</v>
      </c>
      <c r="V357" s="72">
        <f t="shared" ca="1" si="113"/>
        <v>173.74413433345134</v>
      </c>
      <c r="W357" s="72">
        <f t="shared" ca="1" si="108"/>
        <v>328.4529284928833</v>
      </c>
      <c r="X357" s="72">
        <f t="shared" ca="1" si="114"/>
        <v>1081.5587008939719</v>
      </c>
      <c r="Y357" s="73">
        <f>mult_opex * fixed_month</f>
        <v>1000</v>
      </c>
      <c r="Z357" s="72">
        <f ca="1">mult_opex * fixed_well *D357</f>
        <v>5000</v>
      </c>
      <c r="AA357" s="72">
        <f ca="1">(Z357+Y357)*WI_current_2</f>
        <v>0</v>
      </c>
      <c r="AB357" s="72">
        <f ca="1">mult_opex * var_bo*E357</f>
        <v>0</v>
      </c>
      <c r="AC357" s="72">
        <f ca="1">mult_opex * var_mcf*F357</f>
        <v>0</v>
      </c>
      <c r="AD357" s="72">
        <f ca="1">mult_opex * var_bw * G357</f>
        <v>1.1206768416472909E-2</v>
      </c>
      <c r="AE357" s="72">
        <f ca="1">SUM(AB357:AD357)*WI_current_2</f>
        <v>0</v>
      </c>
      <c r="AF357" s="73">
        <f ca="1">mult_capex * IFERROR(OFFSET(assumptions!$F$39,MATCH(B357,assumptions!$E$39:$E$45,0)-1,0),0)</f>
        <v>0</v>
      </c>
      <c r="AG357" s="75">
        <f ca="1">mult_capex * capex_new*WI_current_2 *'forecast production'!I358</f>
        <v>0</v>
      </c>
      <c r="AH357" s="146">
        <f t="shared" ca="1" si="115"/>
        <v>0</v>
      </c>
      <c r="AI357" s="73">
        <f t="shared" ca="1" si="109"/>
        <v>64.315415063086419</v>
      </c>
      <c r="AJ357" s="72">
        <f t="shared" ca="1" si="110"/>
        <v>27.038967522349299</v>
      </c>
      <c r="AK357" s="72">
        <f t="shared" ca="1" si="116"/>
        <v>91.354382585435715</v>
      </c>
      <c r="AL357" s="73">
        <f t="shared" ca="1" si="111"/>
        <v>990.20431830853624</v>
      </c>
      <c r="AM357" s="321">
        <f ca="1">'monthly calculations (1)'!AM357</f>
        <v>0</v>
      </c>
      <c r="AN357" s="73">
        <f t="shared" ca="1" si="117"/>
        <v>0</v>
      </c>
      <c r="AO357" s="75">
        <f t="shared" ca="1" si="119"/>
        <v>1258622.5560460223</v>
      </c>
      <c r="AP357" s="72">
        <f ca="1">AL357  /  ( 1 + disc_1/12)^(COUNT($AL$6:AL357)-1)</f>
        <v>53.786984602141899</v>
      </c>
      <c r="AQ357" s="72">
        <f t="shared" ca="1" si="120"/>
        <v>738684.71897774923</v>
      </c>
      <c r="AS357" s="303"/>
      <c r="AT357" s="300"/>
      <c r="AU357" s="297"/>
      <c r="AV357" s="303"/>
    </row>
    <row r="358" spans="1:48" x14ac:dyDescent="0.25">
      <c r="B358" s="43">
        <f t="shared" si="118"/>
        <v>54909</v>
      </c>
      <c r="C358" s="79">
        <f t="shared" si="112"/>
        <v>2050</v>
      </c>
      <c r="D358" s="64">
        <f ca="1">wellcount_base  +  SUM('forecast production'!I$7:I359)</f>
        <v>1</v>
      </c>
      <c r="E358" s="110">
        <f ca="1">'forecast production'!AE359</f>
        <v>45.301702057960426</v>
      </c>
      <c r="F358" s="98">
        <f ca="1">'forecast production'!AF359</f>
        <v>411.39558720320736</v>
      </c>
      <c r="G358" s="98">
        <f ca="1">'forecast production'!AG359</f>
        <v>5.7901636818443363E-3</v>
      </c>
      <c r="H358" s="98">
        <f ca="1">'forecast production'!AH359</f>
        <v>61.70933808048111</v>
      </c>
      <c r="I358" s="307">
        <f ca="1">IF('monthly calculations (1)'!AV357,WI_2_APO, WI_2)</f>
        <v>0</v>
      </c>
      <c r="J358" s="306">
        <f ca="1">IF('monthly calculations (1)'!AV357,NRI_2_APO, NRI_2)</f>
        <v>0.25</v>
      </c>
      <c r="K358" s="112">
        <f t="shared" ca="1" si="101"/>
        <v>11.325425514490107</v>
      </c>
      <c r="L358" s="98">
        <f t="shared" ca="1" si="102"/>
        <v>77.136672600601372</v>
      </c>
      <c r="M358" s="98">
        <f t="shared" ca="1" si="103"/>
        <v>1.4475409204610841E-3</v>
      </c>
      <c r="N358" s="98">
        <f t="shared" ca="1" si="104"/>
        <v>15.427334520120278</v>
      </c>
      <c r="O358" s="67">
        <f>assumptions!M362</f>
        <v>55</v>
      </c>
      <c r="P358" s="68">
        <f>assumptions!N362</f>
        <v>3</v>
      </c>
      <c r="Q358" s="68">
        <f>assumptions!O362</f>
        <v>22</v>
      </c>
      <c r="R358" s="67">
        <f t="shared" si="105"/>
        <v>52.5</v>
      </c>
      <c r="S358" s="68">
        <f t="shared" si="106"/>
        <v>2.3275000000000001</v>
      </c>
      <c r="T358" s="68">
        <f t="shared" si="107"/>
        <v>22</v>
      </c>
      <c r="U358" s="73">
        <f t="shared" ca="1" si="113"/>
        <v>594.5848395107306</v>
      </c>
      <c r="V358" s="72">
        <f t="shared" ca="1" si="113"/>
        <v>179.53560547789971</v>
      </c>
      <c r="W358" s="72">
        <f t="shared" ca="1" si="108"/>
        <v>339.40135944264608</v>
      </c>
      <c r="X358" s="72">
        <f t="shared" ca="1" si="114"/>
        <v>1113.5218044312765</v>
      </c>
      <c r="Y358" s="73">
        <f>mult_opex * fixed_month</f>
        <v>1000</v>
      </c>
      <c r="Z358" s="72">
        <f ca="1">mult_opex * fixed_well *D358</f>
        <v>5000</v>
      </c>
      <c r="AA358" s="72">
        <f ca="1">(Z358+Y358)*WI_current_2</f>
        <v>0</v>
      </c>
      <c r="AB358" s="72">
        <f ca="1">mult_opex * var_bo*E358</f>
        <v>0</v>
      </c>
      <c r="AC358" s="72">
        <f ca="1">mult_opex * var_mcf*F358</f>
        <v>0</v>
      </c>
      <c r="AD358" s="72">
        <f ca="1">mult_opex * var_bw * G358</f>
        <v>1.1580327363688673E-2</v>
      </c>
      <c r="AE358" s="72">
        <f ca="1">SUM(AB358:AD358)*WI_current_2</f>
        <v>0</v>
      </c>
      <c r="AF358" s="73">
        <f ca="1">mult_capex * IFERROR(OFFSET(assumptions!$F$39,MATCH(B358,assumptions!$E$39:$E$45,0)-1,0),0)</f>
        <v>0</v>
      </c>
      <c r="AG358" s="75">
        <f ca="1">mult_capex * capex_new*WI_current_2 *'forecast production'!I359</f>
        <v>0</v>
      </c>
      <c r="AH358" s="146">
        <f t="shared" ca="1" si="115"/>
        <v>0</v>
      </c>
      <c r="AI358" s="73">
        <f t="shared" ca="1" si="109"/>
        <v>66.271174986534533</v>
      </c>
      <c r="AJ358" s="72">
        <f t="shared" ca="1" si="110"/>
        <v>27.838045110781913</v>
      </c>
      <c r="AK358" s="72">
        <f t="shared" ca="1" si="116"/>
        <v>94.109220097316438</v>
      </c>
      <c r="AL358" s="73">
        <f t="shared" ca="1" si="111"/>
        <v>1019.41258433396</v>
      </c>
      <c r="AM358" s="321">
        <f ca="1">'monthly calculations (1)'!AM358</f>
        <v>0</v>
      </c>
      <c r="AN358" s="73">
        <f t="shared" ca="1" si="117"/>
        <v>0</v>
      </c>
      <c r="AO358" s="75">
        <f t="shared" ca="1" si="119"/>
        <v>1258622.5560460223</v>
      </c>
      <c r="AP358" s="72">
        <f ca="1">AL358  /  ( 1 + disc_1/12)^(COUNT($AL$6:AL358)-1)</f>
        <v>54.91591800309871</v>
      </c>
      <c r="AQ358" s="72">
        <f t="shared" ca="1" si="120"/>
        <v>738684.71897774923</v>
      </c>
      <c r="AS358" s="303"/>
      <c r="AT358" s="300"/>
      <c r="AU358" s="297"/>
      <c r="AV358" s="303"/>
    </row>
    <row r="359" spans="1:48" x14ac:dyDescent="0.25">
      <c r="B359" s="43">
        <f t="shared" si="118"/>
        <v>54940</v>
      </c>
      <c r="C359" s="79">
        <f t="shared" si="112"/>
        <v>2050</v>
      </c>
      <c r="D359" s="64">
        <f ca="1">wellcount_base  +  SUM('forecast production'!I$7:I360)</f>
        <v>1</v>
      </c>
      <c r="E359" s="110">
        <f ca="1">'forecast production'!AE360</f>
        <v>43.5309881739337</v>
      </c>
      <c r="F359" s="98">
        <f ca="1">'forecast production'!AF360</f>
        <v>398.12476180955554</v>
      </c>
      <c r="G359" s="98">
        <f ca="1">'forecast production'!AG360</f>
        <v>5.6033842082364544E-3</v>
      </c>
      <c r="H359" s="98">
        <f ca="1">'forecast production'!AH360</f>
        <v>59.718714271433328</v>
      </c>
      <c r="I359" s="307">
        <f ca="1">IF('monthly calculations (1)'!AV358,WI_2_APO, WI_2)</f>
        <v>0</v>
      </c>
      <c r="J359" s="306">
        <f ca="1">IF('monthly calculations (1)'!AV358,NRI_2_APO, NRI_2)</f>
        <v>0.25</v>
      </c>
      <c r="K359" s="112">
        <f t="shared" ca="1" si="101"/>
        <v>10.882747043483425</v>
      </c>
      <c r="L359" s="98">
        <f t="shared" ca="1" si="102"/>
        <v>74.64839283929166</v>
      </c>
      <c r="M359" s="98">
        <f t="shared" ca="1" si="103"/>
        <v>1.4008460520591136E-3</v>
      </c>
      <c r="N359" s="98">
        <f t="shared" ca="1" si="104"/>
        <v>14.929678567858332</v>
      </c>
      <c r="O359" s="67">
        <f>assumptions!M363</f>
        <v>55</v>
      </c>
      <c r="P359" s="68">
        <f>assumptions!N363</f>
        <v>3</v>
      </c>
      <c r="Q359" s="68">
        <f>assumptions!O363</f>
        <v>22</v>
      </c>
      <c r="R359" s="67">
        <f t="shared" si="105"/>
        <v>52.5</v>
      </c>
      <c r="S359" s="68">
        <f t="shared" si="106"/>
        <v>2.3275000000000001</v>
      </c>
      <c r="T359" s="68">
        <f t="shared" si="107"/>
        <v>22</v>
      </c>
      <c r="U359" s="73">
        <f t="shared" ca="1" si="113"/>
        <v>571.3442197828798</v>
      </c>
      <c r="V359" s="72">
        <f t="shared" ca="1" si="113"/>
        <v>173.74413433345134</v>
      </c>
      <c r="W359" s="72">
        <f t="shared" ca="1" si="108"/>
        <v>328.4529284928833</v>
      </c>
      <c r="X359" s="72">
        <f t="shared" ca="1" si="114"/>
        <v>1073.5412826092145</v>
      </c>
      <c r="Y359" s="73">
        <f>mult_opex * fixed_month</f>
        <v>1000</v>
      </c>
      <c r="Z359" s="72">
        <f ca="1">mult_opex * fixed_well *D359</f>
        <v>5000</v>
      </c>
      <c r="AA359" s="72">
        <f ca="1">(Z359+Y359)*WI_current_2</f>
        <v>0</v>
      </c>
      <c r="AB359" s="72">
        <f ca="1">mult_opex * var_bo*E359</f>
        <v>0</v>
      </c>
      <c r="AC359" s="72">
        <f ca="1">mult_opex * var_mcf*F359</f>
        <v>0</v>
      </c>
      <c r="AD359" s="72">
        <f ca="1">mult_opex * var_bw * G359</f>
        <v>1.1206768416472909E-2</v>
      </c>
      <c r="AE359" s="72">
        <f ca="1">SUM(AB359:AD359)*WI_current_2</f>
        <v>0</v>
      </c>
      <c r="AF359" s="73">
        <f ca="1">mult_capex * IFERROR(OFFSET(assumptions!$F$39,MATCH(B359,assumptions!$E$39:$E$45,0)-1,0),0)</f>
        <v>0</v>
      </c>
      <c r="AG359" s="75">
        <f ca="1">mult_capex * capex_new*WI_current_2 *'forecast production'!I360</f>
        <v>0</v>
      </c>
      <c r="AH359" s="146">
        <f t="shared" ca="1" si="115"/>
        <v>0</v>
      </c>
      <c r="AI359" s="73">
        <f t="shared" ca="1" si="109"/>
        <v>63.946613821987569</v>
      </c>
      <c r="AJ359" s="72">
        <f t="shared" ca="1" si="110"/>
        <v>26.838532065230364</v>
      </c>
      <c r="AK359" s="72">
        <f t="shared" ca="1" si="116"/>
        <v>90.785145887217936</v>
      </c>
      <c r="AL359" s="73">
        <f t="shared" ca="1" si="111"/>
        <v>982.75613672199654</v>
      </c>
      <c r="AM359" s="321">
        <f ca="1">'monthly calculations (1)'!AM359</f>
        <v>0</v>
      </c>
      <c r="AN359" s="73">
        <f t="shared" ca="1" si="117"/>
        <v>0</v>
      </c>
      <c r="AO359" s="75">
        <f t="shared" ca="1" si="119"/>
        <v>1258622.5560460223</v>
      </c>
      <c r="AP359" s="72">
        <f ca="1">AL359  /  ( 1 + disc_1/12)^(COUNT($AL$6:AL359)-1)</f>
        <v>52.503698520915997</v>
      </c>
      <c r="AQ359" s="72">
        <f t="shared" ca="1" si="120"/>
        <v>738684.71897774923</v>
      </c>
      <c r="AS359" s="303"/>
      <c r="AT359" s="300"/>
      <c r="AU359" s="297"/>
      <c r="AV359" s="303"/>
    </row>
    <row r="360" spans="1:48" x14ac:dyDescent="0.25">
      <c r="B360" s="43">
        <f t="shared" si="118"/>
        <v>54970</v>
      </c>
      <c r="C360" s="79">
        <f t="shared" si="112"/>
        <v>2050</v>
      </c>
      <c r="D360" s="64">
        <f ca="1">wellcount_base  +  SUM('forecast production'!I$7:I361)</f>
        <v>1</v>
      </c>
      <c r="E360" s="110">
        <f ca="1">'forecast production'!AE361</f>
        <v>44.674800532996613</v>
      </c>
      <c r="F360" s="98">
        <f ca="1">'forecast production'!AF361</f>
        <v>411.39558720320736</v>
      </c>
      <c r="G360" s="98">
        <f ca="1">'forecast production'!AG361</f>
        <v>5.7901636818443363E-3</v>
      </c>
      <c r="H360" s="98">
        <f ca="1">'forecast production'!AH361</f>
        <v>61.70933808048111</v>
      </c>
      <c r="I360" s="307">
        <f ca="1">IF('monthly calculations (1)'!AV359,WI_2_APO, WI_2)</f>
        <v>0</v>
      </c>
      <c r="J360" s="306">
        <f ca="1">IF('monthly calculations (1)'!AV359,NRI_2_APO, NRI_2)</f>
        <v>0.25</v>
      </c>
      <c r="K360" s="112">
        <f t="shared" ca="1" si="101"/>
        <v>11.168700133249153</v>
      </c>
      <c r="L360" s="98">
        <f t="shared" ca="1" si="102"/>
        <v>77.136672600601372</v>
      </c>
      <c r="M360" s="98">
        <f t="shared" ca="1" si="103"/>
        <v>1.4475409204610841E-3</v>
      </c>
      <c r="N360" s="98">
        <f t="shared" ca="1" si="104"/>
        <v>15.427334520120278</v>
      </c>
      <c r="O360" s="67">
        <f>assumptions!M364</f>
        <v>55</v>
      </c>
      <c r="P360" s="68">
        <f>assumptions!N364</f>
        <v>3</v>
      </c>
      <c r="Q360" s="68">
        <f>assumptions!O364</f>
        <v>22</v>
      </c>
      <c r="R360" s="67">
        <f t="shared" si="105"/>
        <v>52.5</v>
      </c>
      <c r="S360" s="68">
        <f t="shared" si="106"/>
        <v>2.3275000000000001</v>
      </c>
      <c r="T360" s="68">
        <f t="shared" si="107"/>
        <v>22</v>
      </c>
      <c r="U360" s="73">
        <f t="shared" ca="1" si="113"/>
        <v>586.35675699558055</v>
      </c>
      <c r="V360" s="72">
        <f t="shared" ca="1" si="113"/>
        <v>179.53560547789971</v>
      </c>
      <c r="W360" s="72">
        <f t="shared" ca="1" si="108"/>
        <v>339.40135944264608</v>
      </c>
      <c r="X360" s="72">
        <f t="shared" ca="1" si="114"/>
        <v>1105.2937219161263</v>
      </c>
      <c r="Y360" s="73">
        <f>mult_opex * fixed_month</f>
        <v>1000</v>
      </c>
      <c r="Z360" s="72">
        <f ca="1">mult_opex * fixed_well *D360</f>
        <v>5000</v>
      </c>
      <c r="AA360" s="72">
        <f ca="1">(Z360+Y360)*WI_current_2</f>
        <v>0</v>
      </c>
      <c r="AB360" s="72">
        <f ca="1">mult_opex * var_bo*E360</f>
        <v>0</v>
      </c>
      <c r="AC360" s="72">
        <f ca="1">mult_opex * var_mcf*F360</f>
        <v>0</v>
      </c>
      <c r="AD360" s="72">
        <f ca="1">mult_opex * var_bw * G360</f>
        <v>1.1580327363688673E-2</v>
      </c>
      <c r="AE360" s="72">
        <f ca="1">SUM(AB360:AD360)*WI_current_2</f>
        <v>0</v>
      </c>
      <c r="AF360" s="73">
        <f ca="1">mult_capex * IFERROR(OFFSET(assumptions!$F$39,MATCH(B360,assumptions!$E$39:$E$45,0)-1,0),0)</f>
        <v>0</v>
      </c>
      <c r="AG360" s="75">
        <f ca="1">mult_capex * capex_new*WI_current_2 *'forecast production'!I361</f>
        <v>0</v>
      </c>
      <c r="AH360" s="146">
        <f t="shared" ca="1" si="115"/>
        <v>0</v>
      </c>
      <c r="AI360" s="73">
        <f t="shared" ca="1" si="109"/>
        <v>65.89268319083763</v>
      </c>
      <c r="AJ360" s="72">
        <f t="shared" ca="1" si="110"/>
        <v>27.632343047903159</v>
      </c>
      <c r="AK360" s="72">
        <f t="shared" ca="1" si="116"/>
        <v>93.525026238740793</v>
      </c>
      <c r="AL360" s="73">
        <f t="shared" ca="1" si="111"/>
        <v>1011.7686956773855</v>
      </c>
      <c r="AM360" s="321">
        <f ca="1">'monthly calculations (1)'!AM360</f>
        <v>0</v>
      </c>
      <c r="AN360" s="73">
        <f t="shared" ca="1" si="117"/>
        <v>0</v>
      </c>
      <c r="AO360" s="75">
        <f t="shared" ca="1" si="119"/>
        <v>1258622.5560460223</v>
      </c>
      <c r="AP360" s="72">
        <f ca="1">AL360  /  ( 1 + disc_1/12)^(COUNT($AL$6:AL360)-1)</f>
        <v>53.606968327542965</v>
      </c>
      <c r="AQ360" s="72">
        <f t="shared" ca="1" si="120"/>
        <v>738684.71897774923</v>
      </c>
      <c r="AS360" s="303"/>
      <c r="AT360" s="300"/>
      <c r="AU360" s="297"/>
      <c r="AV360" s="303"/>
    </row>
    <row r="361" spans="1:48" x14ac:dyDescent="0.25">
      <c r="B361" s="43">
        <f t="shared" si="118"/>
        <v>55001</v>
      </c>
      <c r="C361" s="79">
        <f t="shared" si="112"/>
        <v>2050</v>
      </c>
      <c r="D361" s="64">
        <f ca="1">wellcount_base  +  SUM('forecast production'!I$7:I362)</f>
        <v>1</v>
      </c>
      <c r="E361" s="110">
        <f ca="1">'forecast production'!AE362</f>
        <v>44.359543449959453</v>
      </c>
      <c r="F361" s="98">
        <f ca="1">'forecast production'!AF362</f>
        <v>411.39558720320736</v>
      </c>
      <c r="G361" s="98">
        <f ca="1">'forecast production'!AG362</f>
        <v>5.7901636818443363E-3</v>
      </c>
      <c r="H361" s="98">
        <f ca="1">'forecast production'!AH362</f>
        <v>61.70933808048111</v>
      </c>
      <c r="I361" s="307">
        <f ca="1">IF('monthly calculations (1)'!AV360,WI_2_APO, WI_2)</f>
        <v>0</v>
      </c>
      <c r="J361" s="306">
        <f ca="1">IF('monthly calculations (1)'!AV360,NRI_2_APO, NRI_2)</f>
        <v>0.25</v>
      </c>
      <c r="K361" s="112">
        <f t="shared" ca="1" si="101"/>
        <v>11.089885862489863</v>
      </c>
      <c r="L361" s="98">
        <f t="shared" ca="1" si="102"/>
        <v>77.136672600601372</v>
      </c>
      <c r="M361" s="98">
        <f t="shared" ca="1" si="103"/>
        <v>1.4475409204610841E-3</v>
      </c>
      <c r="N361" s="98">
        <f t="shared" ca="1" si="104"/>
        <v>15.427334520120278</v>
      </c>
      <c r="O361" s="67">
        <f>assumptions!M365</f>
        <v>55</v>
      </c>
      <c r="P361" s="68">
        <f>assumptions!N365</f>
        <v>3</v>
      </c>
      <c r="Q361" s="68">
        <f>assumptions!O365</f>
        <v>22</v>
      </c>
      <c r="R361" s="67">
        <f t="shared" si="105"/>
        <v>52.5</v>
      </c>
      <c r="S361" s="68">
        <f t="shared" si="106"/>
        <v>2.3275000000000001</v>
      </c>
      <c r="T361" s="68">
        <f t="shared" si="107"/>
        <v>22</v>
      </c>
      <c r="U361" s="73">
        <f t="shared" ca="1" si="113"/>
        <v>582.21900778071779</v>
      </c>
      <c r="V361" s="72">
        <f t="shared" ca="1" si="113"/>
        <v>179.53560547789971</v>
      </c>
      <c r="W361" s="72">
        <f t="shared" ca="1" si="108"/>
        <v>339.40135944264608</v>
      </c>
      <c r="X361" s="72">
        <f t="shared" ca="1" si="114"/>
        <v>1101.1559727012636</v>
      </c>
      <c r="Y361" s="73">
        <f>mult_opex * fixed_month</f>
        <v>1000</v>
      </c>
      <c r="Z361" s="72">
        <f ca="1">mult_opex * fixed_well *D361</f>
        <v>5000</v>
      </c>
      <c r="AA361" s="72">
        <f ca="1">(Z361+Y361)*WI_current_2</f>
        <v>0</v>
      </c>
      <c r="AB361" s="72">
        <f ca="1">mult_opex * var_bo*E361</f>
        <v>0</v>
      </c>
      <c r="AC361" s="72">
        <f ca="1">mult_opex * var_mcf*F361</f>
        <v>0</v>
      </c>
      <c r="AD361" s="72">
        <f ca="1">mult_opex * var_bw * G361</f>
        <v>1.1580327363688673E-2</v>
      </c>
      <c r="AE361" s="72">
        <f ca="1">SUM(AB361:AD361)*WI_current_2</f>
        <v>0</v>
      </c>
      <c r="AF361" s="73">
        <f ca="1">mult_capex * IFERROR(OFFSET(assumptions!$F$39,MATCH(B361,assumptions!$E$39:$E$45,0)-1,0),0)</f>
        <v>0</v>
      </c>
      <c r="AG361" s="75">
        <f ca="1">mult_capex * capex_new*WI_current_2 *'forecast production'!I362</f>
        <v>0</v>
      </c>
      <c r="AH361" s="146">
        <f t="shared" ca="1" si="115"/>
        <v>0</v>
      </c>
      <c r="AI361" s="73">
        <f t="shared" ca="1" si="109"/>
        <v>65.702346726953948</v>
      </c>
      <c r="AJ361" s="72">
        <f t="shared" ca="1" si="110"/>
        <v>27.528899317531593</v>
      </c>
      <c r="AK361" s="72">
        <f t="shared" ca="1" si="116"/>
        <v>93.231246044485545</v>
      </c>
      <c r="AL361" s="73">
        <f t="shared" ca="1" si="111"/>
        <v>1007.9247266567781</v>
      </c>
      <c r="AM361" s="321">
        <f ca="1">'monthly calculations (1)'!AM361</f>
        <v>0</v>
      </c>
      <c r="AN361" s="73">
        <f t="shared" ca="1" si="117"/>
        <v>0</v>
      </c>
      <c r="AO361" s="75">
        <f t="shared" ca="1" si="119"/>
        <v>1258622.5560460223</v>
      </c>
      <c r="AP361" s="72">
        <f ca="1">AL361  /  ( 1 + disc_1/12)^(COUNT($AL$6:AL361)-1)</f>
        <v>52.961952091883241</v>
      </c>
      <c r="AQ361" s="72">
        <f t="shared" ca="1" si="120"/>
        <v>738684.71897774923</v>
      </c>
      <c r="AS361" s="303"/>
      <c r="AT361" s="300"/>
      <c r="AU361" s="297"/>
      <c r="AV361" s="303"/>
    </row>
    <row r="362" spans="1:48" x14ac:dyDescent="0.25">
      <c r="B362" s="43">
        <f t="shared" si="118"/>
        <v>55032</v>
      </c>
      <c r="C362" s="79">
        <f t="shared" si="112"/>
        <v>2050</v>
      </c>
      <c r="D362" s="64">
        <f ca="1">wellcount_base  +  SUM('forecast production'!I$7:I363)</f>
        <v>1</v>
      </c>
      <c r="E362" s="110">
        <f ca="1">'forecast production'!AE363</f>
        <v>42.625655849545836</v>
      </c>
      <c r="F362" s="98">
        <f ca="1">'forecast production'!AF363</f>
        <v>398.12476180955554</v>
      </c>
      <c r="G362" s="98">
        <f ca="1">'forecast production'!AG363</f>
        <v>5.6033842082364544E-3</v>
      </c>
      <c r="H362" s="98">
        <f ca="1">'forecast production'!AH363</f>
        <v>59.718714271433328</v>
      </c>
      <c r="I362" s="307">
        <f ca="1">IF('monthly calculations (1)'!AV361,WI_2_APO, WI_2)</f>
        <v>0</v>
      </c>
      <c r="J362" s="306">
        <f ca="1">IF('monthly calculations (1)'!AV361,NRI_2_APO, NRI_2)</f>
        <v>0.25</v>
      </c>
      <c r="K362" s="112">
        <f t="shared" ca="1" si="101"/>
        <v>10.656413962386459</v>
      </c>
      <c r="L362" s="98">
        <f t="shared" ca="1" si="102"/>
        <v>74.64839283929166</v>
      </c>
      <c r="M362" s="98">
        <f t="shared" ca="1" si="103"/>
        <v>1.4008460520591136E-3</v>
      </c>
      <c r="N362" s="98">
        <f t="shared" ca="1" si="104"/>
        <v>14.929678567858332</v>
      </c>
      <c r="O362" s="67">
        <f>assumptions!M366</f>
        <v>55</v>
      </c>
      <c r="P362" s="68">
        <f>assumptions!N366</f>
        <v>3</v>
      </c>
      <c r="Q362" s="68">
        <f>assumptions!O366</f>
        <v>22</v>
      </c>
      <c r="R362" s="67">
        <f t="shared" si="105"/>
        <v>52.5</v>
      </c>
      <c r="S362" s="68">
        <f t="shared" si="106"/>
        <v>2.3275000000000001</v>
      </c>
      <c r="T362" s="68">
        <f t="shared" si="107"/>
        <v>22</v>
      </c>
      <c r="U362" s="73">
        <f t="shared" ca="1" si="113"/>
        <v>559.46173302528905</v>
      </c>
      <c r="V362" s="72">
        <f t="shared" ca="1" si="113"/>
        <v>173.74413433345134</v>
      </c>
      <c r="W362" s="72">
        <f t="shared" ca="1" si="108"/>
        <v>328.4529284928833</v>
      </c>
      <c r="X362" s="72">
        <f t="shared" ca="1" si="114"/>
        <v>1061.6587958516238</v>
      </c>
      <c r="Y362" s="73">
        <f>mult_opex * fixed_month</f>
        <v>1000</v>
      </c>
      <c r="Z362" s="72">
        <f ca="1">mult_opex * fixed_well *D362</f>
        <v>5000</v>
      </c>
      <c r="AA362" s="72">
        <f ca="1">(Z362+Y362)*WI_current_2</f>
        <v>0</v>
      </c>
      <c r="AB362" s="72">
        <f ca="1">mult_opex * var_bo*E362</f>
        <v>0</v>
      </c>
      <c r="AC362" s="72">
        <f ca="1">mult_opex * var_mcf*F362</f>
        <v>0</v>
      </c>
      <c r="AD362" s="72">
        <f ca="1">mult_opex * var_bw * G362</f>
        <v>1.1206768416472909E-2</v>
      </c>
      <c r="AE362" s="72">
        <f ca="1">SUM(AB362:AD362)*WI_current_2</f>
        <v>0</v>
      </c>
      <c r="AF362" s="73">
        <f ca="1">mult_capex * IFERROR(OFFSET(assumptions!$F$39,MATCH(B362,assumptions!$E$39:$E$45,0)-1,0),0)</f>
        <v>0</v>
      </c>
      <c r="AG362" s="75">
        <f ca="1">mult_capex * capex_new*WI_current_2 *'forecast production'!I363</f>
        <v>0</v>
      </c>
      <c r="AH362" s="146">
        <f t="shared" ca="1" si="115"/>
        <v>0</v>
      </c>
      <c r="AI362" s="73">
        <f t="shared" ca="1" si="109"/>
        <v>63.400019431138389</v>
      </c>
      <c r="AJ362" s="72">
        <f t="shared" ca="1" si="110"/>
        <v>26.541469896290597</v>
      </c>
      <c r="AK362" s="72">
        <f t="shared" ca="1" si="116"/>
        <v>89.941489327428982</v>
      </c>
      <c r="AL362" s="73">
        <f t="shared" ca="1" si="111"/>
        <v>971.7173065241949</v>
      </c>
      <c r="AM362" s="321">
        <f ca="1">'monthly calculations (1)'!AM362</f>
        <v>0</v>
      </c>
      <c r="AN362" s="73">
        <f t="shared" ca="1" si="117"/>
        <v>0</v>
      </c>
      <c r="AO362" s="75">
        <f t="shared" ca="1" si="119"/>
        <v>1258622.5560460223</v>
      </c>
      <c r="AP362" s="72">
        <f ca="1">AL362  /  ( 1 + disc_1/12)^(COUNT($AL$6:AL362)-1)</f>
        <v>50.637434915139998</v>
      </c>
      <c r="AQ362" s="72">
        <f t="shared" ca="1" si="120"/>
        <v>738684.71897774923</v>
      </c>
      <c r="AS362" s="303"/>
      <c r="AT362" s="300"/>
      <c r="AU362" s="297"/>
      <c r="AV362" s="303"/>
    </row>
    <row r="363" spans="1:48" x14ac:dyDescent="0.25">
      <c r="B363" s="43">
        <f t="shared" si="118"/>
        <v>55062</v>
      </c>
      <c r="C363" s="79">
        <f t="shared" si="112"/>
        <v>2050</v>
      </c>
      <c r="D363" s="64">
        <f ca="1">wellcount_base  +  SUM('forecast production'!I$7:I364)</f>
        <v>1</v>
      </c>
      <c r="E363" s="110">
        <f ca="1">'forecast production'!AE364</f>
        <v>43.745679860465657</v>
      </c>
      <c r="F363" s="98">
        <f ca="1">'forecast production'!AF364</f>
        <v>411.39558720320736</v>
      </c>
      <c r="G363" s="98">
        <f ca="1">'forecast production'!AG364</f>
        <v>5.7901636818443363E-3</v>
      </c>
      <c r="H363" s="98">
        <f ca="1">'forecast production'!AH364</f>
        <v>61.70933808048111</v>
      </c>
      <c r="I363" s="307">
        <f ca="1">IF('monthly calculations (1)'!AV362,WI_2_APO, WI_2)</f>
        <v>0</v>
      </c>
      <c r="J363" s="306">
        <f ca="1">IF('monthly calculations (1)'!AV362,NRI_2_APO, NRI_2)</f>
        <v>0.25</v>
      </c>
      <c r="K363" s="112">
        <f t="shared" ca="1" si="101"/>
        <v>10.936419965116414</v>
      </c>
      <c r="L363" s="98">
        <f t="shared" ca="1" si="102"/>
        <v>77.136672600601372</v>
      </c>
      <c r="M363" s="98">
        <f t="shared" ca="1" si="103"/>
        <v>1.4475409204610841E-3</v>
      </c>
      <c r="N363" s="98">
        <f t="shared" ca="1" si="104"/>
        <v>15.427334520120278</v>
      </c>
      <c r="O363" s="67">
        <f>assumptions!M367</f>
        <v>55</v>
      </c>
      <c r="P363" s="68">
        <f>assumptions!N367</f>
        <v>3</v>
      </c>
      <c r="Q363" s="68">
        <f>assumptions!O367</f>
        <v>22</v>
      </c>
      <c r="R363" s="67">
        <f t="shared" si="105"/>
        <v>52.5</v>
      </c>
      <c r="S363" s="68">
        <f t="shared" si="106"/>
        <v>2.3275000000000001</v>
      </c>
      <c r="T363" s="68">
        <f t="shared" si="107"/>
        <v>22</v>
      </c>
      <c r="U363" s="73">
        <f t="shared" ca="1" si="113"/>
        <v>574.1620481686117</v>
      </c>
      <c r="V363" s="72">
        <f t="shared" ca="1" si="113"/>
        <v>179.53560547789971</v>
      </c>
      <c r="W363" s="72">
        <f t="shared" ca="1" si="108"/>
        <v>339.40135944264608</v>
      </c>
      <c r="X363" s="72">
        <f t="shared" ca="1" si="114"/>
        <v>1093.0990130891576</v>
      </c>
      <c r="Y363" s="73">
        <f>mult_opex * fixed_month</f>
        <v>1000</v>
      </c>
      <c r="Z363" s="72">
        <f ca="1">mult_opex * fixed_well *D363</f>
        <v>5000</v>
      </c>
      <c r="AA363" s="72">
        <f ca="1">(Z363+Y363)*WI_current_2</f>
        <v>0</v>
      </c>
      <c r="AB363" s="72">
        <f ca="1">mult_opex * var_bo*E363</f>
        <v>0</v>
      </c>
      <c r="AC363" s="72">
        <f ca="1">mult_opex * var_mcf*F363</f>
        <v>0</v>
      </c>
      <c r="AD363" s="72">
        <f ca="1">mult_opex * var_bw * G363</f>
        <v>1.1580327363688673E-2</v>
      </c>
      <c r="AE363" s="72">
        <f ca="1">SUM(AB363:AD363)*WI_current_2</f>
        <v>0</v>
      </c>
      <c r="AF363" s="73">
        <f ca="1">mult_capex * IFERROR(OFFSET(assumptions!$F$39,MATCH(B363,assumptions!$E$39:$E$45,0)-1,0),0)</f>
        <v>0</v>
      </c>
      <c r="AG363" s="75">
        <f ca="1">mult_capex * capex_new*WI_current_2 *'forecast production'!I364</f>
        <v>0</v>
      </c>
      <c r="AH363" s="146">
        <f t="shared" ca="1" si="115"/>
        <v>0</v>
      </c>
      <c r="AI363" s="73">
        <f t="shared" ca="1" si="109"/>
        <v>65.331726584797067</v>
      </c>
      <c r="AJ363" s="72">
        <f t="shared" ca="1" si="110"/>
        <v>27.327475327228939</v>
      </c>
      <c r="AK363" s="72">
        <f t="shared" ca="1" si="116"/>
        <v>92.659201912026006</v>
      </c>
      <c r="AL363" s="73">
        <f t="shared" ca="1" si="111"/>
        <v>1000.4398111771316</v>
      </c>
      <c r="AM363" s="321">
        <f ca="1">'monthly calculations (1)'!AM363</f>
        <v>0</v>
      </c>
      <c r="AN363" s="73">
        <f t="shared" ca="1" si="117"/>
        <v>0</v>
      </c>
      <c r="AO363" s="75">
        <f t="shared" ca="1" si="119"/>
        <v>1258622.5560460223</v>
      </c>
      <c r="AP363" s="72">
        <f ca="1">AL363  /  ( 1 + disc_1/12)^(COUNT($AL$6:AL363)-1)</f>
        <v>51.703340295497703</v>
      </c>
      <c r="AQ363" s="72">
        <f t="shared" ca="1" si="120"/>
        <v>738684.71897774923</v>
      </c>
      <c r="AS363" s="303"/>
      <c r="AT363" s="300"/>
      <c r="AU363" s="297"/>
      <c r="AV363" s="303"/>
    </row>
    <row r="364" spans="1:48" x14ac:dyDescent="0.25">
      <c r="B364" s="43">
        <f t="shared" si="118"/>
        <v>55093</v>
      </c>
      <c r="C364" s="79">
        <f t="shared" si="112"/>
        <v>2050</v>
      </c>
      <c r="D364" s="64">
        <f ca="1">wellcount_base  +  SUM('forecast production'!I$7:I365)</f>
        <v>1</v>
      </c>
      <c r="E364" s="110">
        <f ca="1">'forecast production'!AE365</f>
        <v>42.035786430942665</v>
      </c>
      <c r="F364" s="98">
        <f ca="1">'forecast production'!AF365</f>
        <v>398.12476180955554</v>
      </c>
      <c r="G364" s="98">
        <f ca="1">'forecast production'!AG365</f>
        <v>5.6033842082364544E-3</v>
      </c>
      <c r="H364" s="98">
        <f ca="1">'forecast production'!AH365</f>
        <v>59.718714271433328</v>
      </c>
      <c r="I364" s="307">
        <f ca="1">IF('monthly calculations (1)'!AV363,WI_2_APO, WI_2)</f>
        <v>0</v>
      </c>
      <c r="J364" s="306">
        <f ca="1">IF('monthly calculations (1)'!AV363,NRI_2_APO, NRI_2)</f>
        <v>0.25</v>
      </c>
      <c r="K364" s="112">
        <f t="shared" ca="1" si="101"/>
        <v>10.508946607735666</v>
      </c>
      <c r="L364" s="98">
        <f t="shared" ca="1" si="102"/>
        <v>74.64839283929166</v>
      </c>
      <c r="M364" s="98">
        <f t="shared" ca="1" si="103"/>
        <v>1.4008460520591136E-3</v>
      </c>
      <c r="N364" s="98">
        <f t="shared" ca="1" si="104"/>
        <v>14.929678567858332</v>
      </c>
      <c r="O364" s="67">
        <f>assumptions!M368</f>
        <v>55</v>
      </c>
      <c r="P364" s="68">
        <f>assumptions!N368</f>
        <v>3</v>
      </c>
      <c r="Q364" s="68">
        <f>assumptions!O368</f>
        <v>22</v>
      </c>
      <c r="R364" s="67">
        <f t="shared" si="105"/>
        <v>52.5</v>
      </c>
      <c r="S364" s="68">
        <f t="shared" si="106"/>
        <v>2.3275000000000001</v>
      </c>
      <c r="T364" s="68">
        <f t="shared" si="107"/>
        <v>22</v>
      </c>
      <c r="U364" s="73">
        <f t="shared" ca="1" si="113"/>
        <v>551.71969690612252</v>
      </c>
      <c r="V364" s="72">
        <f t="shared" ca="1" si="113"/>
        <v>173.74413433345134</v>
      </c>
      <c r="W364" s="72">
        <f t="shared" ca="1" si="108"/>
        <v>328.4529284928833</v>
      </c>
      <c r="X364" s="72">
        <f t="shared" ca="1" si="114"/>
        <v>1053.9167597324572</v>
      </c>
      <c r="Y364" s="73">
        <f>mult_opex * fixed_month</f>
        <v>1000</v>
      </c>
      <c r="Z364" s="72">
        <f ca="1">mult_opex * fixed_well *D364</f>
        <v>5000</v>
      </c>
      <c r="AA364" s="72">
        <f ca="1">(Z364+Y364)*WI_current_2</f>
        <v>0</v>
      </c>
      <c r="AB364" s="72">
        <f ca="1">mult_opex * var_bo*E364</f>
        <v>0</v>
      </c>
      <c r="AC364" s="72">
        <f ca="1">mult_opex * var_mcf*F364</f>
        <v>0</v>
      </c>
      <c r="AD364" s="72">
        <f ca="1">mult_opex * var_bw * G364</f>
        <v>1.1206768416472909E-2</v>
      </c>
      <c r="AE364" s="72">
        <f ca="1">SUM(AB364:AD364)*WI_current_2</f>
        <v>0</v>
      </c>
      <c r="AF364" s="73">
        <f ca="1">mult_capex * IFERROR(OFFSET(assumptions!$F$39,MATCH(B364,assumptions!$E$39:$E$45,0)-1,0),0)</f>
        <v>0</v>
      </c>
      <c r="AG364" s="75">
        <f ca="1">mult_capex * capex_new*WI_current_2 *'forecast production'!I365</f>
        <v>0</v>
      </c>
      <c r="AH364" s="146">
        <f t="shared" ca="1" si="115"/>
        <v>0</v>
      </c>
      <c r="AI364" s="73">
        <f t="shared" ca="1" si="109"/>
        <v>63.043885769656725</v>
      </c>
      <c r="AJ364" s="72">
        <f t="shared" ca="1" si="110"/>
        <v>26.347918993311431</v>
      </c>
      <c r="AK364" s="72">
        <f t="shared" ca="1" si="116"/>
        <v>89.39180476296815</v>
      </c>
      <c r="AL364" s="73">
        <f t="shared" ca="1" si="111"/>
        <v>964.52495496948904</v>
      </c>
      <c r="AM364" s="321">
        <f ca="1">'monthly calculations (1)'!AM364</f>
        <v>0</v>
      </c>
      <c r="AN364" s="73">
        <f t="shared" ca="1" si="117"/>
        <v>0</v>
      </c>
      <c r="AO364" s="75">
        <f t="shared" ca="1" si="119"/>
        <v>1258622.5560460223</v>
      </c>
      <c r="AP364" s="72">
        <f ca="1">AL364  /  ( 1 + disc_1/12)^(COUNT($AL$6:AL364)-1)</f>
        <v>49.435277948035761</v>
      </c>
      <c r="AQ364" s="72">
        <f t="shared" ca="1" si="120"/>
        <v>738684.71897774923</v>
      </c>
      <c r="AS364" s="303"/>
      <c r="AT364" s="300"/>
      <c r="AU364" s="297"/>
      <c r="AV364" s="303"/>
    </row>
    <row r="365" spans="1:48" x14ac:dyDescent="0.25">
      <c r="B365" s="44">
        <f t="shared" si="118"/>
        <v>55123</v>
      </c>
      <c r="C365" s="100">
        <f t="shared" si="112"/>
        <v>2050</v>
      </c>
      <c r="D365" s="65">
        <f ca="1">wellcount_base  +  SUM('forecast production'!I$7:I366)</f>
        <v>1</v>
      </c>
      <c r="E365" s="109">
        <f ca="1">'forecast production'!AE366</f>
        <v>43.140311139881675</v>
      </c>
      <c r="F365" s="101">
        <f ca="1">'forecast production'!AF366</f>
        <v>411.39558720320736</v>
      </c>
      <c r="G365" s="101">
        <f ca="1">'forecast production'!AG366</f>
        <v>5.7901636818443363E-3</v>
      </c>
      <c r="H365" s="102">
        <f ca="1">'forecast production'!AH366</f>
        <v>61.70933808048111</v>
      </c>
      <c r="I365" s="308">
        <f ca="1">IF('monthly calculations (1)'!AV364,WI_2_APO, WI_2)</f>
        <v>0</v>
      </c>
      <c r="J365" s="309">
        <f ca="1">IF('monthly calculations (1)'!AV364,NRI_2_APO, NRI_2)</f>
        <v>0.25</v>
      </c>
      <c r="K365" s="113">
        <f t="shared" ca="1" si="101"/>
        <v>10.785077784970419</v>
      </c>
      <c r="L365" s="102">
        <f t="shared" ca="1" si="102"/>
        <v>77.136672600601372</v>
      </c>
      <c r="M365" s="102">
        <f t="shared" ca="1" si="103"/>
        <v>1.4475409204610841E-3</v>
      </c>
      <c r="N365" s="102">
        <f t="shared" ca="1" si="104"/>
        <v>15.427334520120278</v>
      </c>
      <c r="O365" s="103">
        <f>assumptions!M369</f>
        <v>55</v>
      </c>
      <c r="P365" s="104">
        <f>assumptions!N369</f>
        <v>3</v>
      </c>
      <c r="Q365" s="104">
        <f>assumptions!O369</f>
        <v>22</v>
      </c>
      <c r="R365" s="103">
        <f t="shared" si="105"/>
        <v>52.5</v>
      </c>
      <c r="S365" s="104">
        <f t="shared" si="106"/>
        <v>2.3275000000000001</v>
      </c>
      <c r="T365" s="104">
        <f t="shared" si="107"/>
        <v>22</v>
      </c>
      <c r="U365" s="105">
        <f t="shared" ca="1" si="113"/>
        <v>566.21658371094702</v>
      </c>
      <c r="V365" s="106">
        <f t="shared" ca="1" si="113"/>
        <v>179.53560547789971</v>
      </c>
      <c r="W365" s="106">
        <f t="shared" ca="1" si="108"/>
        <v>339.40135944264608</v>
      </c>
      <c r="X365" s="106">
        <f t="shared" ca="1" si="114"/>
        <v>1085.1535486314929</v>
      </c>
      <c r="Y365" s="105">
        <f>mult_opex * fixed_month</f>
        <v>1000</v>
      </c>
      <c r="Z365" s="106">
        <f ca="1">mult_opex * fixed_well *D365</f>
        <v>5000</v>
      </c>
      <c r="AA365" s="106">
        <f ca="1">(Z365+Y365)*WI_current_2</f>
        <v>0</v>
      </c>
      <c r="AB365" s="106">
        <f ca="1">mult_opex * var_bo*E365</f>
        <v>0</v>
      </c>
      <c r="AC365" s="106">
        <f ca="1">mult_opex * var_mcf*F365</f>
        <v>0</v>
      </c>
      <c r="AD365" s="106">
        <f ca="1">mult_opex * var_bw * G365</f>
        <v>1.1580327363688673E-2</v>
      </c>
      <c r="AE365" s="106">
        <f ca="1">SUM(AB365:AD365)*WI_current_2</f>
        <v>0</v>
      </c>
      <c r="AF365" s="105">
        <f ca="1">mult_capex * IFERROR(OFFSET(assumptions!$F$39,MATCH(B365,assumptions!$E$39:$E$45,0)-1,0),0)</f>
        <v>0</v>
      </c>
      <c r="AG365" s="106">
        <f ca="1">mult_capex * capex_new*WI_current_2 *'forecast production'!I366</f>
        <v>0</v>
      </c>
      <c r="AH365" s="147">
        <f t="shared" ca="1" si="115"/>
        <v>0</v>
      </c>
      <c r="AI365" s="105">
        <f t="shared" ca="1" si="109"/>
        <v>64.966235219744505</v>
      </c>
      <c r="AJ365" s="106">
        <f t="shared" ca="1" si="110"/>
        <v>27.128838715787325</v>
      </c>
      <c r="AK365" s="106">
        <f t="shared" ca="1" si="116"/>
        <v>92.095073935531829</v>
      </c>
      <c r="AL365" s="105">
        <f t="shared" ca="1" si="111"/>
        <v>993.05847469596108</v>
      </c>
      <c r="AM365" s="322">
        <f ca="1">'monthly calculations (1)'!AM365</f>
        <v>0</v>
      </c>
      <c r="AN365" s="105">
        <f t="shared" ca="1" si="117"/>
        <v>0</v>
      </c>
      <c r="AO365" s="106">
        <f t="shared" ca="1" si="119"/>
        <v>1258622.5560460223</v>
      </c>
      <c r="AP365" s="106">
        <f ca="1">AL365  /  ( 1 + disc_1/12)^(COUNT($AL$6:AL365)-1)</f>
        <v>50.477078327757518</v>
      </c>
      <c r="AQ365" s="106">
        <f t="shared" ca="1" si="120"/>
        <v>738684.71897774923</v>
      </c>
      <c r="AS365" s="304"/>
      <c r="AT365" s="301"/>
      <c r="AU365" s="298"/>
      <c r="AV365" s="304"/>
    </row>
    <row r="366" spans="1:48" x14ac:dyDescent="0.25">
      <c r="A366" s="18" t="s">
        <v>18</v>
      </c>
      <c r="B366" s="18" t="s">
        <v>18</v>
      </c>
      <c r="C366" s="18" t="s">
        <v>18</v>
      </c>
      <c r="D366" s="66" t="s">
        <v>18</v>
      </c>
      <c r="E366" s="18" t="s">
        <v>18</v>
      </c>
      <c r="F366" s="18" t="s">
        <v>18</v>
      </c>
      <c r="G366" s="18" t="s">
        <v>18</v>
      </c>
      <c r="H366" s="18" t="s">
        <v>18</v>
      </c>
      <c r="I366" s="18" t="s">
        <v>18</v>
      </c>
      <c r="J366" s="18" t="s">
        <v>18</v>
      </c>
      <c r="K366" s="18" t="s">
        <v>18</v>
      </c>
      <c r="L366" s="18" t="s">
        <v>18</v>
      </c>
      <c r="M366" s="18" t="s">
        <v>18</v>
      </c>
      <c r="N366" s="18" t="s">
        <v>18</v>
      </c>
      <c r="O366" s="70" t="s">
        <v>18</v>
      </c>
      <c r="P366" s="70" t="s">
        <v>18</v>
      </c>
      <c r="Q366" s="70" t="s">
        <v>18</v>
      </c>
      <c r="R366" s="70" t="s">
        <v>18</v>
      </c>
      <c r="S366" s="70" t="s">
        <v>18</v>
      </c>
      <c r="T366" s="70" t="s">
        <v>18</v>
      </c>
      <c r="U366" s="74" t="s">
        <v>18</v>
      </c>
      <c r="V366" s="74" t="s">
        <v>18</v>
      </c>
      <c r="W366" s="74" t="s">
        <v>18</v>
      </c>
      <c r="X366" s="74" t="s">
        <v>18</v>
      </c>
      <c r="Y366" s="74" t="s">
        <v>18</v>
      </c>
      <c r="Z366" s="74" t="s">
        <v>18</v>
      </c>
      <c r="AA366" s="74" t="s">
        <v>18</v>
      </c>
      <c r="AB366" s="74" t="s">
        <v>18</v>
      </c>
      <c r="AC366" s="74" t="s">
        <v>18</v>
      </c>
      <c r="AD366" s="74" t="s">
        <v>18</v>
      </c>
      <c r="AE366" s="72">
        <f t="shared" ref="AE327:AE366" si="121">SUM(AB366:AD366)</f>
        <v>0</v>
      </c>
      <c r="AF366" s="74" t="s">
        <v>18</v>
      </c>
      <c r="AG366" s="74" t="s">
        <v>18</v>
      </c>
      <c r="AH366" s="74" t="s">
        <v>18</v>
      </c>
      <c r="AI366" s="74" t="s">
        <v>18</v>
      </c>
      <c r="AJ366" s="74" t="s">
        <v>18</v>
      </c>
      <c r="AK366" s="74" t="s">
        <v>18</v>
      </c>
      <c r="AL366" s="74" t="s">
        <v>18</v>
      </c>
      <c r="AM366" s="74" t="s">
        <v>18</v>
      </c>
      <c r="AN366" s="74" t="s">
        <v>18</v>
      </c>
      <c r="AO366" s="74" t="s">
        <v>18</v>
      </c>
      <c r="AP366" s="18" t="s">
        <v>18</v>
      </c>
      <c r="AQ366" s="18"/>
      <c r="AS366" s="74" t="s">
        <v>18</v>
      </c>
      <c r="AT366" s="74" t="s">
        <v>18</v>
      </c>
      <c r="AU366" s="74" t="s">
        <v>18</v>
      </c>
      <c r="AV366" s="74" t="s">
        <v>18</v>
      </c>
    </row>
    <row r="393" spans="2:41" x14ac:dyDescent="0.25">
      <c r="B393" s="43"/>
      <c r="C393" s="79"/>
      <c r="D393" s="64"/>
      <c r="E393" s="96"/>
      <c r="F393" s="97"/>
      <c r="G393" s="97"/>
      <c r="H393" s="98"/>
      <c r="I393" s="98"/>
      <c r="J393" s="98"/>
      <c r="K393" s="99"/>
      <c r="L393" s="98"/>
      <c r="M393" s="98"/>
      <c r="N393" s="98"/>
      <c r="O393" s="67"/>
      <c r="P393" s="68"/>
      <c r="Q393" s="68"/>
      <c r="R393" s="67"/>
      <c r="S393" s="68"/>
      <c r="T393" s="68"/>
      <c r="U393" s="73"/>
      <c r="V393" s="72"/>
      <c r="W393" s="72"/>
      <c r="X393" s="72"/>
      <c r="Y393" s="73"/>
      <c r="Z393" s="72"/>
      <c r="AA393" s="72"/>
      <c r="AB393" s="72"/>
      <c r="AC393" s="72"/>
      <c r="AD393" s="72"/>
      <c r="AE393" s="72"/>
      <c r="AF393" s="73"/>
      <c r="AG393" s="73"/>
      <c r="AH393" s="73"/>
      <c r="AI393" s="73"/>
      <c r="AJ393" s="72"/>
      <c r="AK393" s="72"/>
      <c r="AL393" s="73"/>
      <c r="AM393" s="75"/>
      <c r="AN393" s="75"/>
      <c r="AO393" s="75"/>
    </row>
  </sheetData>
  <printOptions horizontalCentered="1"/>
  <pageMargins left="0.7" right="0.7" top="0.75" bottom="0.75" header="0.3" footer="0.3"/>
  <pageSetup scale="10" orientation="landscape" verticalDpi="0" r:id="rId1"/>
  <headerFooter>
    <oddFooter>&amp;L&amp;K01+047&amp;D,  &amp;T&amp;R&amp;K01+045 © AAPL 2018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102</vt:i4>
      </vt:variant>
    </vt:vector>
  </HeadingPairs>
  <TitlesOfParts>
    <vt:vector size="112" baseType="lpstr">
      <vt:lpstr>notes</vt:lpstr>
      <vt:lpstr>assumptions</vt:lpstr>
      <vt:lpstr>output table (1)</vt:lpstr>
      <vt:lpstr>output table (2)</vt:lpstr>
      <vt:lpstr>historical production</vt:lpstr>
      <vt:lpstr>forecast production</vt:lpstr>
      <vt:lpstr>monthly calculations (1)</vt:lpstr>
      <vt:lpstr>monthly calculations (2)</vt:lpstr>
      <vt:lpstr>rate time graph</vt:lpstr>
      <vt:lpstr>cash flow graph</vt:lpstr>
      <vt:lpstr>adval</vt:lpstr>
      <vt:lpstr>as_of</vt:lpstr>
      <vt:lpstr>b_gas</vt:lpstr>
      <vt:lpstr>b_gas_new</vt:lpstr>
      <vt:lpstr>b_oil</vt:lpstr>
      <vt:lpstr>b_oil_new</vt:lpstr>
      <vt:lpstr>b_water</vt:lpstr>
      <vt:lpstr>b_water_new</vt:lpstr>
      <vt:lpstr>capex_new</vt:lpstr>
      <vt:lpstr>d_gas</vt:lpstr>
      <vt:lpstr>d_gas_new</vt:lpstr>
      <vt:lpstr>d_oil</vt:lpstr>
      <vt:lpstr>d_oil_new</vt:lpstr>
      <vt:lpstr>d_water</vt:lpstr>
      <vt:lpstr>d_water_new</vt:lpstr>
      <vt:lpstr>daily_base</vt:lpstr>
      <vt:lpstr>days</vt:lpstr>
      <vt:lpstr>diff_gas</vt:lpstr>
      <vt:lpstr>diff_oil</vt:lpstr>
      <vt:lpstr>disc_1</vt:lpstr>
      <vt:lpstr>disc_2</vt:lpstr>
      <vt:lpstr>disc_3</vt:lpstr>
      <vt:lpstr>disc_4</vt:lpstr>
      <vt:lpstr>disc_5</vt:lpstr>
      <vt:lpstr>disc_6</vt:lpstr>
      <vt:lpstr>disc_7</vt:lpstr>
      <vt:lpstr>disc_8</vt:lpstr>
      <vt:lpstr>dmin_gas</vt:lpstr>
      <vt:lpstr>dmin_gas_new</vt:lpstr>
      <vt:lpstr>dmin_oil</vt:lpstr>
      <vt:lpstr>dmin_oil_new</vt:lpstr>
      <vt:lpstr>dmin_water</vt:lpstr>
      <vt:lpstr>dmin_water_new</vt:lpstr>
      <vt:lpstr>energy_residue</vt:lpstr>
      <vt:lpstr>fixed_month</vt:lpstr>
      <vt:lpstr>fixed_well</vt:lpstr>
      <vt:lpstr>gas_daily_base</vt:lpstr>
      <vt:lpstr>gas_daily_new</vt:lpstr>
      <vt:lpstr>initial_investment</vt:lpstr>
      <vt:lpstr>initial_investment_partner2</vt:lpstr>
      <vt:lpstr>lease_NRI</vt:lpstr>
      <vt:lpstr>mult_capex</vt:lpstr>
      <vt:lpstr>mult_gasprice</vt:lpstr>
      <vt:lpstr>mult_oilprice</vt:lpstr>
      <vt:lpstr>mult_opex</vt:lpstr>
      <vt:lpstr>mult_vol</vt:lpstr>
      <vt:lpstr>NGL_yield</vt:lpstr>
      <vt:lpstr>NRI</vt:lpstr>
      <vt:lpstr>NRI_2</vt:lpstr>
      <vt:lpstr>NRI_2_APO</vt:lpstr>
      <vt:lpstr>NRI_APO</vt:lpstr>
      <vt:lpstr>'monthly calculations (2)'!NRI_current</vt:lpstr>
      <vt:lpstr>NRI_current</vt:lpstr>
      <vt:lpstr>oil_daily_base</vt:lpstr>
      <vt:lpstr>oil_daily_new</vt:lpstr>
      <vt:lpstr>pdiff_gas</vt:lpstr>
      <vt:lpstr>pdiff_ngl</vt:lpstr>
      <vt:lpstr>pdiff_oil</vt:lpstr>
      <vt:lpstr>price_gas</vt:lpstr>
      <vt:lpstr>price_ngl</vt:lpstr>
      <vt:lpstr>price_oil</vt:lpstr>
      <vt:lpstr>assumptions!Print_Area</vt:lpstr>
      <vt:lpstr>notes!Print_Area</vt:lpstr>
      <vt:lpstr>qi_gas</vt:lpstr>
      <vt:lpstr>qi_gas_new</vt:lpstr>
      <vt:lpstr>qi_oil</vt:lpstr>
      <vt:lpstr>qi_oil_new</vt:lpstr>
      <vt:lpstr>qi_start</vt:lpstr>
      <vt:lpstr>qi_water</vt:lpstr>
      <vt:lpstr>qi_water_new</vt:lpstr>
      <vt:lpstr>qlim_gas</vt:lpstr>
      <vt:lpstr>qlim_gas_new</vt:lpstr>
      <vt:lpstr>qlim_oil</vt:lpstr>
      <vt:lpstr>qlim_oil_new</vt:lpstr>
      <vt:lpstr>qlim_water</vt:lpstr>
      <vt:lpstr>qlim_water_new</vt:lpstr>
      <vt:lpstr>ROI_threshold</vt:lpstr>
      <vt:lpstr>ROR_threshold</vt:lpstr>
      <vt:lpstr>sev_gas</vt:lpstr>
      <vt:lpstr>sev_ngl</vt:lpstr>
      <vt:lpstr>sev_oil</vt:lpstr>
      <vt:lpstr>shrink_leaseuse</vt:lpstr>
      <vt:lpstr>shrink_ngl</vt:lpstr>
      <vt:lpstr>tlim_gas</vt:lpstr>
      <vt:lpstr>tlim_gas_new</vt:lpstr>
      <vt:lpstr>tlim_oil</vt:lpstr>
      <vt:lpstr>tlim_oil_new</vt:lpstr>
      <vt:lpstr>tlim_water</vt:lpstr>
      <vt:lpstr>tlim_water_new</vt:lpstr>
      <vt:lpstr>var_bo</vt:lpstr>
      <vt:lpstr>var_bw</vt:lpstr>
      <vt:lpstr>var_mcf</vt:lpstr>
      <vt:lpstr>vol_leaseuse</vt:lpstr>
      <vt:lpstr>water_daily_base</vt:lpstr>
      <vt:lpstr>water_daily_new</vt:lpstr>
      <vt:lpstr>wellcount_base</vt:lpstr>
      <vt:lpstr>WI</vt:lpstr>
      <vt:lpstr>WI_2</vt:lpstr>
      <vt:lpstr>WI_2_APO</vt:lpstr>
      <vt:lpstr>WI_APO</vt:lpstr>
      <vt:lpstr>WI_current_1</vt:lpstr>
      <vt:lpstr>'monthly calculations (2)'!WI_current_2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Dwayne Purvis</dc:creator>
  <cp:lastModifiedBy>Dwayne Purvis</cp:lastModifiedBy>
  <cp:lastPrinted>2018-05-10T21:17:13Z</cp:lastPrinted>
  <dcterms:created xsi:type="dcterms:W3CDTF">2017-04-13T14:24:15Z</dcterms:created>
  <dcterms:modified xsi:type="dcterms:W3CDTF">2021-02-08T21:18:13Z</dcterms:modified>
</cp:coreProperties>
</file>