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jaffe/Documents/TPIA/Water Level Management Plan/Tools/"/>
    </mc:Choice>
  </mc:AlternateContent>
  <xr:revisionPtr revIDLastSave="0" documentId="13_ncr:1_{6FBFDED1-8393-B244-8CBD-86CF12C1ADC6}" xr6:coauthVersionLast="47" xr6:coauthVersionMax="47" xr10:uidLastSave="{00000000-0000-0000-0000-000000000000}"/>
  <bookViews>
    <workbookView xWindow="4360" yWindow="4700" windowWidth="28740" windowHeight="16540" xr2:uid="{36D325E1-D6BF-F944-96E0-E852C8F72E95}"/>
  </bookViews>
  <sheets>
    <sheet name="Outflows" sheetId="1" r:id="rId1"/>
    <sheet name="Impact" sheetId="2" r:id="rId2"/>
    <sheet name="Constant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2" l="1"/>
  <c r="C18" i="2"/>
  <c r="C17" i="2"/>
  <c r="G28" i="2"/>
  <c r="C28" i="2"/>
  <c r="B8" i="4"/>
  <c r="C19" i="2" l="1"/>
  <c r="D28" i="2"/>
  <c r="H28" i="2"/>
  <c r="D6" i="1" l="1"/>
  <c r="D12" i="1" l="1"/>
  <c r="D11" i="1"/>
  <c r="D10" i="1"/>
  <c r="D9" i="1"/>
  <c r="D8" i="1"/>
  <c r="D7" i="1"/>
  <c r="A4" i="4"/>
  <c r="A6" i="4"/>
  <c r="B6" i="4"/>
  <c r="E7" i="1" l="1"/>
  <c r="F7" i="1" s="1"/>
  <c r="G7" i="1" s="1"/>
  <c r="E8" i="1"/>
  <c r="F8" i="1" s="1"/>
  <c r="G8" i="1" s="1"/>
  <c r="A8" i="4"/>
  <c r="E9" i="1"/>
  <c r="F9" i="1" s="1"/>
  <c r="G9" i="1" s="1"/>
  <c r="E11" i="1"/>
  <c r="F11" i="1" s="1"/>
  <c r="G11" i="1" s="1"/>
  <c r="I28" i="2"/>
  <c r="E28" i="2"/>
  <c r="E6" i="1"/>
  <c r="F6" i="1" s="1"/>
  <c r="G6" i="1" s="1"/>
  <c r="E10" i="1"/>
  <c r="F10" i="1" s="1"/>
  <c r="G10" i="1" s="1"/>
  <c r="E12" i="1"/>
  <c r="F12" i="1" s="1"/>
  <c r="G12" i="1" s="1"/>
  <c r="D18" i="2"/>
  <c r="D17" i="2"/>
  <c r="D19" i="2" l="1"/>
  <c r="K28" i="2"/>
  <c r="L28" i="2" s="1"/>
  <c r="J28" i="2"/>
  <c r="G29" i="2" s="1"/>
  <c r="F28" i="2"/>
  <c r="C29" i="2" s="1"/>
  <c r="E17" i="2"/>
  <c r="E18" i="2"/>
  <c r="F18" i="2" l="1"/>
  <c r="G18" i="2" s="1"/>
  <c r="E19" i="2"/>
  <c r="E22" i="2" s="1"/>
  <c r="F22" i="2" s="1"/>
  <c r="D29" i="2"/>
  <c r="E29" i="2" s="1"/>
  <c r="H29" i="2"/>
  <c r="I29" i="2" s="1"/>
  <c r="F17" i="2"/>
  <c r="K29" i="2" l="1"/>
  <c r="L29" i="2" s="1"/>
  <c r="F29" i="2"/>
  <c r="C30" i="2" s="1"/>
  <c r="J29" i="2"/>
  <c r="G30" i="2" s="1"/>
  <c r="G17" i="2"/>
  <c r="F19" i="2"/>
  <c r="D30" i="2" l="1"/>
  <c r="E30" i="2" s="1"/>
  <c r="H30" i="2"/>
  <c r="I30" i="2" s="1"/>
  <c r="E11" i="2"/>
  <c r="G19" i="2"/>
  <c r="K30" i="2" l="1"/>
  <c r="L30" i="2" s="1"/>
  <c r="F30" i="2"/>
  <c r="C31" i="2" s="1"/>
  <c r="J30" i="2"/>
  <c r="G31" i="2" s="1"/>
  <c r="H31" i="2" l="1"/>
  <c r="I31" i="2" s="1"/>
  <c r="D31" i="2"/>
  <c r="E31" i="2" s="1"/>
  <c r="K31" i="2" s="1"/>
  <c r="L31" i="2" s="1"/>
  <c r="J31" i="2" l="1"/>
  <c r="G32" i="2" s="1"/>
  <c r="F31" i="2"/>
  <c r="C32" i="2" s="1"/>
  <c r="H32" i="2" l="1"/>
  <c r="I32" i="2" s="1"/>
  <c r="J32" i="2" s="1"/>
  <c r="G33" i="2" s="1"/>
  <c r="D32" i="2"/>
  <c r="E32" i="2" s="1"/>
  <c r="H33" i="2" l="1"/>
  <c r="I33" i="2" s="1"/>
  <c r="K32" i="2"/>
  <c r="L32" i="2" s="1"/>
  <c r="F11" i="2" s="1"/>
  <c r="F32" i="2"/>
  <c r="C33" i="2" s="1"/>
  <c r="D33" i="2" s="1"/>
  <c r="E33" i="2" s="1"/>
  <c r="J33" i="2" l="1"/>
  <c r="G34" i="2" s="1"/>
  <c r="K33" i="2"/>
  <c r="L33" i="2" s="1"/>
  <c r="F33" i="2"/>
  <c r="C34" i="2" s="1"/>
  <c r="D34" i="2" l="1"/>
  <c r="E34" i="2" s="1"/>
  <c r="H34" i="2"/>
  <c r="I34" i="2" s="1"/>
  <c r="F34" i="2" l="1"/>
  <c r="C35" i="2" s="1"/>
  <c r="K34" i="2"/>
  <c r="L34" i="2" s="1"/>
  <c r="J34" i="2"/>
  <c r="G35" i="2" s="1"/>
  <c r="D35" i="2" l="1"/>
  <c r="E35" i="2" s="1"/>
  <c r="H35" i="2"/>
  <c r="I35" i="2" s="1"/>
  <c r="K35" i="2" l="1"/>
  <c r="L35" i="2" s="1"/>
  <c r="F35" i="2"/>
  <c r="C36" i="2" s="1"/>
  <c r="J35" i="2"/>
  <c r="G36" i="2" s="1"/>
  <c r="D36" i="2" l="1"/>
  <c r="E36" i="2" s="1"/>
  <c r="H36" i="2"/>
  <c r="I36" i="2"/>
  <c r="F36" i="2" l="1"/>
  <c r="C37" i="2" s="1"/>
  <c r="K36" i="2"/>
  <c r="L36" i="2" s="1"/>
  <c r="J36" i="2"/>
  <c r="G37" i="2" s="1"/>
  <c r="D37" i="2" l="1"/>
  <c r="E37" i="2" s="1"/>
  <c r="H37" i="2"/>
  <c r="I37" i="2" s="1"/>
  <c r="F37" i="2" l="1"/>
  <c r="C38" i="2" s="1"/>
  <c r="J37" i="2"/>
  <c r="G38" i="2" s="1"/>
  <c r="K37" i="2"/>
  <c r="L37" i="2" s="1"/>
  <c r="D38" i="2" l="1"/>
  <c r="E38" i="2" s="1"/>
  <c r="H38" i="2"/>
  <c r="I38" i="2" s="1"/>
  <c r="F38" i="2" l="1"/>
  <c r="C39" i="2" s="1"/>
  <c r="K38" i="2"/>
  <c r="L38" i="2" s="1"/>
  <c r="J38" i="2"/>
  <c r="G39" i="2" s="1"/>
  <c r="D39" i="2" l="1"/>
  <c r="E39" i="2" s="1"/>
  <c r="H39" i="2"/>
  <c r="I39" i="2"/>
  <c r="F39" i="2" l="1"/>
  <c r="C40" i="2" s="1"/>
  <c r="J39" i="2"/>
  <c r="G40" i="2" s="1"/>
  <c r="K39" i="2"/>
  <c r="L39" i="2" s="1"/>
  <c r="D40" i="2" l="1"/>
  <c r="E40" i="2" s="1"/>
  <c r="H40" i="2"/>
  <c r="I40" i="2" s="1"/>
  <c r="F40" i="2" l="1"/>
  <c r="C41" i="2" s="1"/>
  <c r="K40" i="2"/>
  <c r="L40" i="2" s="1"/>
  <c r="J40" i="2"/>
  <c r="G41" i="2" s="1"/>
  <c r="D41" i="2" l="1"/>
  <c r="E41" i="2" s="1"/>
  <c r="H41" i="2"/>
  <c r="I41" i="2" s="1"/>
  <c r="K41" i="2" l="1"/>
  <c r="L41" i="2" s="1"/>
  <c r="F41" i="2"/>
  <c r="J41" i="2"/>
</calcChain>
</file>

<file path=xl/sharedStrings.xml><?xml version="1.0" encoding="utf-8"?>
<sst xmlns="http://schemas.openxmlformats.org/spreadsheetml/2006/main" count="73" uniqueCount="58">
  <si>
    <t>Flow Depth (Inches)</t>
  </si>
  <si>
    <t>Seconds/ Day</t>
  </si>
  <si>
    <t>Cubic Feet in 1 Acre-Inch of Water</t>
  </si>
  <si>
    <t>Enter any flow depth in the blue box below to see its outflow rate and impact</t>
  </si>
  <si>
    <t>Dam width in Feet</t>
  </si>
  <si>
    <t>Approximate Time to Discharge 1" of Pond Water</t>
  </si>
  <si>
    <t>Pond Size</t>
  </si>
  <si>
    <t>(Acres)</t>
  </si>
  <si>
    <t>Q=ROUND(3.333*($B$17-0.2*($B4/12))*($B4/12)^1.5,2)</t>
  </si>
  <si>
    <t>Formula to calculate rate of flow over the dam in cfs given depth in inches</t>
  </si>
  <si>
    <t>in Excel format</t>
  </si>
  <si>
    <t>Q=3.333*(W-.0.2*H)*H^3/2</t>
  </si>
  <si>
    <t>W = Width of Dam in Feet</t>
  </si>
  <si>
    <t xml:space="preserve">Where </t>
  </si>
  <si>
    <t>Divided by 12 above to convert inches to fractions of feet</t>
  </si>
  <si>
    <t>H = Height of water flow over the dam in Feet</t>
  </si>
  <si>
    <t>Q = flow of water in cubic feet/second</t>
  </si>
  <si>
    <t>LOW NORMAL</t>
  </si>
  <si>
    <t>MID NORMAL</t>
  </si>
  <si>
    <t>MAX NORMAL</t>
  </si>
  <si>
    <t>MAX PRE-FLOOD</t>
  </si>
  <si>
    <t>FLOW</t>
  </si>
  <si>
    <t>MAX FLOOD DANGER</t>
  </si>
  <si>
    <t>MIN = ABF</t>
  </si>
  <si>
    <t>Pre-Change Flow</t>
  </si>
  <si>
    <t>Post-Change Flow</t>
  </si>
  <si>
    <t>Discharge Impact</t>
  </si>
  <si>
    <t>Enter before and after flow depths in first two blue boxes and duration in third blue box.</t>
  </si>
  <si>
    <t>Discharge Rate (CF/S)</t>
  </si>
  <si>
    <t>Values Used in Impact  Calculations</t>
  </si>
  <si>
    <t>Number of Days After Change</t>
  </si>
  <si>
    <t>After Change</t>
  </si>
  <si>
    <t>Before Change</t>
  </si>
  <si>
    <t>Net Change</t>
  </si>
  <si>
    <t>Daily Discharge (CF/D)</t>
  </si>
  <si>
    <t>Steady State</t>
  </si>
  <si>
    <t>Model</t>
  </si>
  <si>
    <t>Flow Affected</t>
  </si>
  <si>
    <t>Days for Impact Analysis</t>
  </si>
  <si>
    <t>Flow Depth 
(Inches)</t>
  </si>
  <si>
    <t>Gallons in 1 Cubic Foot of Water</t>
  </si>
  <si>
    <t>Daily Pond Elevation Discharged (Inches)</t>
  </si>
  <si>
    <t>Change 
(Cubic Feet)</t>
  </si>
  <si>
    <t>Elevation Change (Inches)</t>
  </si>
  <si>
    <t>Daily Water Discharged (CF/D)</t>
  </si>
  <si>
    <t>Flow Change Results Summary</t>
  </si>
  <si>
    <t>Enter Flow Here ==&gt;</t>
  </si>
  <si>
    <t>Water Discharge Amount &amp; Timeframe Calculator</t>
  </si>
  <si>
    <t>Daily Pond Elevation
(Inches)</t>
  </si>
  <si>
    <t>This tool estimates the impact of making a change to the Stop Logs on the Pond Elevation.
It does not account for inflows or outflows, only for changes in Stop Logs.</t>
  </si>
  <si>
    <t>Note - The above table does not account for water seepage through the dam.</t>
  </si>
  <si>
    <t>Discharge Difference in Pond Elevation  (Inches)</t>
  </si>
  <si>
    <t>Daily Discharge in Pond Elevation (Inches)</t>
  </si>
  <si>
    <t>Impact on Discharge &amp; Elevation</t>
  </si>
  <si>
    <t>Approximate Impact on Discharge Amount &amp; Pond Elevation(Steady State Model)</t>
  </si>
  <si>
    <t>Approximate Impact on Discharge Amount &amp; Pond Elevation (Flow Affected Model)</t>
  </si>
  <si>
    <t>Note - A negative number indicates the change will result in a lower Pond Elevation</t>
  </si>
  <si>
    <r>
      <t xml:space="preserve">This tool converts inches of flow </t>
    </r>
    <r>
      <rPr>
        <b/>
        <u/>
        <sz val="11"/>
        <color theme="1"/>
        <rFont val="Calibri"/>
        <family val="2"/>
      </rPr>
      <t>over</t>
    </r>
    <r>
      <rPr>
        <b/>
        <sz val="11"/>
        <color theme="1"/>
        <rFont val="Calibri"/>
        <family val="2"/>
      </rPr>
      <t xml:space="preserve"> the dam to cubic feet/second and calculates 
(a) how much water is discharged over the dam per day, 
(b) what that translates to in inches/day, and 
(c) how long will it take to discharge water equal to 1" in Pond Elevation at that constant rate.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</si>
</sst>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37" x14ac:knownFonts="1">
    <font>
      <sz val="11"/>
      <color theme="1"/>
      <name val="Atkinson Hyperlegible"/>
      <family val="2"/>
    </font>
    <font>
      <sz val="11"/>
      <color theme="1"/>
      <name val="Atkinson Hyperlegible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b/>
      <i/>
      <sz val="11"/>
      <color theme="4" tint="-0.249977111117893"/>
      <name val="Calibri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b/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wrapText="1"/>
    </xf>
    <xf numFmtId="0" fontId="6" fillId="0" borderId="13" xfId="0" applyFont="1" applyBorder="1" applyAlignment="1">
      <alignment horizontal="left" wrapText="1"/>
    </xf>
    <xf numFmtId="0" fontId="7" fillId="2" borderId="9" xfId="0" applyFont="1" applyFill="1" applyBorder="1" applyProtection="1">
      <protection locked="0"/>
    </xf>
    <xf numFmtId="2" fontId="11" fillId="0" borderId="0" xfId="0" applyNumberFormat="1" applyFont="1"/>
    <xf numFmtId="164" fontId="11" fillId="0" borderId="0" xfId="1" applyNumberFormat="1" applyFont="1" applyBorder="1"/>
    <xf numFmtId="43" fontId="11" fillId="0" borderId="0" xfId="1" applyFont="1" applyBorder="1"/>
    <xf numFmtId="0" fontId="1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0" applyNumberFormat="1" applyFont="1"/>
    <xf numFmtId="43" fontId="3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/>
    </xf>
    <xf numFmtId="0" fontId="17" fillId="0" borderId="23" xfId="0" applyFont="1" applyBorder="1" applyAlignment="1">
      <alignment horizontal="left" wrapText="1"/>
    </xf>
    <xf numFmtId="0" fontId="18" fillId="2" borderId="24" xfId="0" applyFont="1" applyFill="1" applyBorder="1" applyProtection="1">
      <protection locked="0"/>
    </xf>
    <xf numFmtId="0" fontId="17" fillId="0" borderId="13" xfId="0" applyFont="1" applyBorder="1"/>
    <xf numFmtId="0" fontId="18" fillId="2" borderId="14" xfId="0" applyFont="1" applyFill="1" applyBorder="1" applyProtection="1">
      <protection locked="0"/>
    </xf>
    <xf numFmtId="0" fontId="17" fillId="0" borderId="15" xfId="0" applyFont="1" applyBorder="1"/>
    <xf numFmtId="1" fontId="18" fillId="2" borderId="17" xfId="0" applyNumberFormat="1" applyFont="1" applyFill="1" applyBorder="1" applyProtection="1">
      <protection locked="0"/>
    </xf>
    <xf numFmtId="0" fontId="20" fillId="0" borderId="20" xfId="0" applyFont="1" applyBorder="1"/>
    <xf numFmtId="0" fontId="21" fillId="0" borderId="21" xfId="0" applyFont="1" applyBorder="1"/>
    <xf numFmtId="164" fontId="21" fillId="0" borderId="21" xfId="0" applyNumberFormat="1" applyFont="1" applyBorder="1"/>
    <xf numFmtId="0" fontId="20" fillId="0" borderId="1" xfId="0" applyFont="1" applyBorder="1"/>
    <xf numFmtId="0" fontId="21" fillId="0" borderId="0" xfId="0" applyFont="1"/>
    <xf numFmtId="164" fontId="21" fillId="0" borderId="0" xfId="0" applyNumberFormat="1" applyFont="1"/>
    <xf numFmtId="43" fontId="21" fillId="0" borderId="0" xfId="1" applyFont="1" applyFill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21" fillId="0" borderId="3" xfId="0" applyFont="1" applyBorder="1"/>
    <xf numFmtId="0" fontId="21" fillId="0" borderId="4" xfId="0" applyFont="1" applyBorder="1"/>
    <xf numFmtId="164" fontId="21" fillId="0" borderId="4" xfId="0" applyNumberFormat="1" applyFont="1" applyBorder="1"/>
    <xf numFmtId="43" fontId="21" fillId="0" borderId="4" xfId="1" applyFont="1" applyFill="1" applyBorder="1"/>
    <xf numFmtId="43" fontId="21" fillId="0" borderId="5" xfId="1" applyFont="1" applyFill="1" applyBorder="1"/>
    <xf numFmtId="0" fontId="22" fillId="0" borderId="0" xfId="0" applyFont="1"/>
    <xf numFmtId="0" fontId="23" fillId="0" borderId="0" xfId="0" applyFont="1"/>
    <xf numFmtId="164" fontId="23" fillId="0" borderId="0" xfId="0" applyNumberFormat="1" applyFont="1"/>
    <xf numFmtId="43" fontId="23" fillId="0" borderId="0" xfId="1" applyFont="1" applyFill="1" applyBorder="1"/>
    <xf numFmtId="0" fontId="24" fillId="0" borderId="0" xfId="0" applyFont="1" applyAlignment="1">
      <alignment horizontal="left"/>
    </xf>
    <xf numFmtId="0" fontId="24" fillId="0" borderId="0" xfId="0" applyFont="1"/>
    <xf numFmtId="0" fontId="25" fillId="0" borderId="13" xfId="0" applyFont="1" applyBorder="1" applyAlignment="1">
      <alignment horizontal="center" wrapText="1"/>
    </xf>
    <xf numFmtId="0" fontId="25" fillId="0" borderId="9" xfId="0" applyFont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  <xf numFmtId="0" fontId="26" fillId="0" borderId="13" xfId="0" applyFont="1" applyBorder="1" applyAlignment="1">
      <alignment horizontal="left" wrapText="1"/>
    </xf>
    <xf numFmtId="0" fontId="24" fillId="3" borderId="9" xfId="0" applyFont="1" applyFill="1" applyBorder="1"/>
    <xf numFmtId="2" fontId="27" fillId="3" borderId="9" xfId="0" applyNumberFormat="1" applyFont="1" applyFill="1" applyBorder="1"/>
    <xf numFmtId="164" fontId="27" fillId="3" borderId="9" xfId="1" applyNumberFormat="1" applyFont="1" applyFill="1" applyBorder="1"/>
    <xf numFmtId="43" fontId="27" fillId="3" borderId="9" xfId="1" applyFont="1" applyFill="1" applyBorder="1"/>
    <xf numFmtId="1" fontId="27" fillId="3" borderId="14" xfId="0" applyNumberFormat="1" applyFont="1" applyFill="1" applyBorder="1" applyAlignment="1">
      <alignment horizontal="right"/>
    </xf>
    <xf numFmtId="0" fontId="26" fillId="0" borderId="13" xfId="0" applyFont="1" applyBorder="1"/>
    <xf numFmtId="0" fontId="26" fillId="3" borderId="9" xfId="0" applyFont="1" applyFill="1" applyBorder="1"/>
    <xf numFmtId="2" fontId="26" fillId="3" borderId="9" xfId="0" applyNumberFormat="1" applyFont="1" applyFill="1" applyBorder="1"/>
    <xf numFmtId="164" fontId="26" fillId="3" borderId="9" xfId="0" applyNumberFormat="1" applyFont="1" applyFill="1" applyBorder="1"/>
    <xf numFmtId="43" fontId="26" fillId="3" borderId="9" xfId="0" applyNumberFormat="1" applyFont="1" applyFill="1" applyBorder="1"/>
    <xf numFmtId="0" fontId="26" fillId="0" borderId="1" xfId="0" applyFont="1" applyBorder="1"/>
    <xf numFmtId="1" fontId="24" fillId="3" borderId="0" xfId="0" applyNumberFormat="1" applyFont="1" applyFill="1"/>
    <xf numFmtId="0" fontId="25" fillId="4" borderId="0" xfId="0" applyFont="1" applyFill="1"/>
    <xf numFmtId="0" fontId="25" fillId="4" borderId="2" xfId="0" applyFont="1" applyFill="1" applyBorder="1"/>
    <xf numFmtId="0" fontId="24" fillId="0" borderId="1" xfId="0" applyFont="1" applyBorder="1"/>
    <xf numFmtId="0" fontId="29" fillId="4" borderId="0" xfId="0" applyFont="1" applyFill="1"/>
    <xf numFmtId="0" fontId="29" fillId="4" borderId="2" xfId="0" applyFont="1" applyFill="1" applyBorder="1"/>
    <xf numFmtId="0" fontId="24" fillId="0" borderId="3" xfId="0" applyFont="1" applyBorder="1"/>
    <xf numFmtId="0" fontId="24" fillId="3" borderId="4" xfId="0" applyFont="1" applyFill="1" applyBorder="1"/>
    <xf numFmtId="0" fontId="25" fillId="3" borderId="4" xfId="0" applyFont="1" applyFill="1" applyBorder="1"/>
    <xf numFmtId="164" fontId="25" fillId="3" borderId="4" xfId="0" applyNumberFormat="1" applyFont="1" applyFill="1" applyBorder="1"/>
    <xf numFmtId="43" fontId="30" fillId="3" borderId="16" xfId="1" applyFont="1" applyFill="1" applyBorder="1"/>
    <xf numFmtId="0" fontId="25" fillId="3" borderId="5" xfId="0" applyFont="1" applyFill="1" applyBorder="1"/>
    <xf numFmtId="0" fontId="25" fillId="0" borderId="0" xfId="0" applyFont="1"/>
    <xf numFmtId="164" fontId="25" fillId="0" borderId="0" xfId="0" applyNumberFormat="1" applyFont="1"/>
    <xf numFmtId="43" fontId="30" fillId="0" borderId="0" xfId="1" applyFont="1" applyFill="1" applyBorder="1"/>
    <xf numFmtId="0" fontId="24" fillId="0" borderId="6" xfId="0" applyFont="1" applyBorder="1"/>
    <xf numFmtId="0" fontId="24" fillId="0" borderId="11" xfId="0" applyFont="1" applyBorder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0" fontId="25" fillId="0" borderId="12" xfId="0" applyFont="1" applyBorder="1" applyAlignment="1">
      <alignment horizontal="center" wrapText="1"/>
    </xf>
    <xf numFmtId="0" fontId="31" fillId="5" borderId="11" xfId="0" applyFont="1" applyFill="1" applyBorder="1" applyAlignment="1">
      <alignment horizontal="center" wrapText="1"/>
    </xf>
    <xf numFmtId="0" fontId="31" fillId="5" borderId="12" xfId="0" applyFont="1" applyFill="1" applyBorder="1" applyAlignment="1">
      <alignment horizontal="center" wrapText="1"/>
    </xf>
    <xf numFmtId="0" fontId="24" fillId="3" borderId="13" xfId="0" applyFont="1" applyFill="1" applyBorder="1"/>
    <xf numFmtId="165" fontId="24" fillId="3" borderId="13" xfId="0" applyNumberFormat="1" applyFont="1" applyFill="1" applyBorder="1"/>
    <xf numFmtId="43" fontId="27" fillId="3" borderId="14" xfId="1" applyFont="1" applyFill="1" applyBorder="1"/>
    <xf numFmtId="0" fontId="27" fillId="3" borderId="9" xfId="0" applyFont="1" applyFill="1" applyBorder="1" applyProtection="1">
      <protection locked="0"/>
    </xf>
    <xf numFmtId="164" fontId="32" fillId="5" borderId="13" xfId="0" applyNumberFormat="1" applyFont="1" applyFill="1" applyBorder="1"/>
    <xf numFmtId="43" fontId="32" fillId="5" borderId="14" xfId="1" applyFont="1" applyFill="1" applyBorder="1"/>
    <xf numFmtId="0" fontId="24" fillId="3" borderId="15" xfId="0" applyFont="1" applyFill="1" applyBorder="1"/>
    <xf numFmtId="2" fontId="27" fillId="3" borderId="16" xfId="0" applyNumberFormat="1" applyFont="1" applyFill="1" applyBorder="1"/>
    <xf numFmtId="164" fontId="27" fillId="3" borderId="16" xfId="1" applyNumberFormat="1" applyFont="1" applyFill="1" applyBorder="1"/>
    <xf numFmtId="43" fontId="27" fillId="3" borderId="17" xfId="1" applyFont="1" applyFill="1" applyBorder="1"/>
    <xf numFmtId="0" fontId="24" fillId="3" borderId="16" xfId="0" applyFont="1" applyFill="1" applyBorder="1"/>
    <xf numFmtId="164" fontId="32" fillId="5" borderId="15" xfId="0" applyNumberFormat="1" applyFont="1" applyFill="1" applyBorder="1"/>
    <xf numFmtId="43" fontId="32" fillId="5" borderId="17" xfId="1" applyFont="1" applyFill="1" applyBorder="1"/>
    <xf numFmtId="0" fontId="33" fillId="0" borderId="0" xfId="0" applyFont="1"/>
    <xf numFmtId="0" fontId="34" fillId="0" borderId="0" xfId="0" applyFont="1"/>
    <xf numFmtId="164" fontId="33" fillId="0" borderId="0" xfId="1" applyNumberFormat="1" applyFont="1"/>
    <xf numFmtId="0" fontId="33" fillId="0" borderId="0" xfId="0" applyFont="1" applyAlignment="1">
      <alignment horizontal="left"/>
    </xf>
    <xf numFmtId="0" fontId="34" fillId="0" borderId="0" xfId="0" applyFont="1" applyAlignment="1">
      <alignment horizontal="center" wrapText="1"/>
    </xf>
    <xf numFmtId="164" fontId="35" fillId="0" borderId="0" xfId="0" applyNumberFormat="1" applyFont="1"/>
    <xf numFmtId="164" fontId="15" fillId="0" borderId="0" xfId="1" applyNumberFormat="1" applyFont="1"/>
    <xf numFmtId="0" fontId="15" fillId="0" borderId="0" xfId="0" applyFont="1" applyAlignment="1">
      <alignment horizontal="left"/>
    </xf>
    <xf numFmtId="0" fontId="25" fillId="0" borderId="0" xfId="0" applyFont="1" applyAlignment="1">
      <alignment horizontal="center" wrapText="1"/>
    </xf>
    <xf numFmtId="43" fontId="15" fillId="0" borderId="0" xfId="0" applyNumberFormat="1" applyFont="1"/>
    <xf numFmtId="2" fontId="8" fillId="0" borderId="9" xfId="0" applyNumberFormat="1" applyFont="1" applyBorder="1"/>
    <xf numFmtId="164" fontId="8" fillId="0" borderId="9" xfId="1" applyNumberFormat="1" applyFont="1" applyFill="1" applyBorder="1"/>
    <xf numFmtId="43" fontId="8" fillId="0" borderId="9" xfId="1" applyFont="1" applyFill="1" applyBorder="1"/>
    <xf numFmtId="1" fontId="9" fillId="0" borderId="14" xfId="0" applyNumberFormat="1" applyFont="1" applyBorder="1" applyAlignment="1">
      <alignment horizontal="right"/>
    </xf>
    <xf numFmtId="0" fontId="2" fillId="5" borderId="11" xfId="0" applyFont="1" applyFill="1" applyBorder="1" applyAlignment="1">
      <alignment horizontal="center" wrapText="1"/>
    </xf>
    <xf numFmtId="0" fontId="4" fillId="5" borderId="10" xfId="0" applyFont="1" applyFill="1" applyBorder="1" applyAlignment="1">
      <alignment horizontal="center" wrapText="1"/>
    </xf>
    <xf numFmtId="0" fontId="4" fillId="5" borderId="18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center" wrapText="1"/>
    </xf>
    <xf numFmtId="0" fontId="3" fillId="5" borderId="13" xfId="0" applyFont="1" applyFill="1" applyBorder="1" applyAlignment="1">
      <alignment horizontal="left" vertical="center"/>
    </xf>
    <xf numFmtId="0" fontId="10" fillId="5" borderId="9" xfId="0" applyFont="1" applyFill="1" applyBorder="1"/>
    <xf numFmtId="2" fontId="10" fillId="5" borderId="9" xfId="0" applyNumberFormat="1" applyFont="1" applyFill="1" applyBorder="1"/>
    <xf numFmtId="164" fontId="10" fillId="5" borderId="9" xfId="1" applyNumberFormat="1" applyFont="1" applyFill="1" applyBorder="1"/>
    <xf numFmtId="43" fontId="10" fillId="5" borderId="9" xfId="1" applyFont="1" applyFill="1" applyBorder="1"/>
    <xf numFmtId="1" fontId="11" fillId="5" borderId="14" xfId="0" applyNumberFormat="1" applyFont="1" applyFill="1" applyBorder="1" applyAlignment="1">
      <alignment horizontal="right"/>
    </xf>
    <xf numFmtId="0" fontId="3" fillId="5" borderId="13" xfId="0" applyFont="1" applyFill="1" applyBorder="1" applyAlignment="1">
      <alignment horizontal="left" vertical="center" wrapText="1"/>
    </xf>
    <xf numFmtId="0" fontId="3" fillId="5" borderId="13" xfId="0" applyFont="1" applyFill="1" applyBorder="1"/>
    <xf numFmtId="0" fontId="3" fillId="5" borderId="15" xfId="0" applyFont="1" applyFill="1" applyBorder="1"/>
    <xf numFmtId="0" fontId="10" fillId="5" borderId="16" xfId="0" applyFont="1" applyFill="1" applyBorder="1"/>
    <xf numFmtId="2" fontId="10" fillId="5" borderId="16" xfId="0" applyNumberFormat="1" applyFont="1" applyFill="1" applyBorder="1"/>
    <xf numFmtId="164" fontId="10" fillId="5" borderId="16" xfId="1" applyNumberFormat="1" applyFont="1" applyFill="1" applyBorder="1"/>
    <xf numFmtId="43" fontId="10" fillId="5" borderId="16" xfId="1" applyFont="1" applyFill="1" applyBorder="1"/>
    <xf numFmtId="1" fontId="11" fillId="5" borderId="17" xfId="0" applyNumberFormat="1" applyFont="1" applyFill="1" applyBorder="1" applyAlignment="1">
      <alignment horizontal="right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31" fillId="5" borderId="6" xfId="0" applyFont="1" applyFill="1" applyBorder="1" applyAlignment="1">
      <alignment horizontal="center"/>
    </xf>
    <xf numFmtId="0" fontId="31" fillId="5" borderId="8" xfId="0" applyFont="1" applyFill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8" fillId="4" borderId="0" xfId="0" applyFont="1" applyFill="1" applyAlignment="1">
      <alignment horizontal="center" wrapText="1"/>
    </xf>
    <xf numFmtId="0" fontId="28" fillId="4" borderId="19" xfId="0" applyFont="1" applyFill="1" applyBorder="1" applyAlignment="1">
      <alignment horizontal="center" wrapText="1"/>
    </xf>
    <xf numFmtId="0" fontId="25" fillId="0" borderId="20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2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75A93-2049-8C42-B318-97FF6300C929}">
  <dimension ref="A1:J23"/>
  <sheetViews>
    <sheetView tabSelected="1" zoomScale="208" workbookViewId="0">
      <selection activeCell="C6" sqref="C6"/>
    </sheetView>
  </sheetViews>
  <sheetFormatPr baseColWidth="10" defaultColWidth="10.140625" defaultRowHeight="15" x14ac:dyDescent="0.2"/>
  <cols>
    <col min="1" max="1" width="3.42578125" style="1" customWidth="1"/>
    <col min="2" max="2" width="16.42578125" style="1" customWidth="1"/>
    <col min="3" max="3" width="8.7109375" style="1" customWidth="1"/>
    <col min="4" max="4" width="8.42578125" style="1" customWidth="1"/>
    <col min="5" max="5" width="10.42578125" style="1" customWidth="1"/>
    <col min="6" max="6" width="12.42578125" style="1" customWidth="1"/>
    <col min="7" max="7" width="13.85546875" style="1" customWidth="1"/>
    <col min="8" max="8" width="24.85546875" style="1" customWidth="1"/>
    <col min="9" max="9" width="9.140625" style="1" bestFit="1" customWidth="1"/>
    <col min="10" max="10" width="8.28515625" style="1" customWidth="1"/>
    <col min="11" max="1026" width="11.7109375" style="1" customWidth="1"/>
    <col min="1027" max="16384" width="10.140625" style="1"/>
  </cols>
  <sheetData>
    <row r="1" spans="1:10" ht="63" customHeight="1" x14ac:dyDescent="0.2">
      <c r="A1" s="126" t="s">
        <v>57</v>
      </c>
      <c r="B1" s="126"/>
      <c r="C1" s="126"/>
      <c r="D1" s="126"/>
      <c r="E1" s="126"/>
      <c r="F1" s="126"/>
      <c r="G1" s="126"/>
    </row>
    <row r="3" spans="1:10" ht="16" thickBot="1" x14ac:dyDescent="0.25">
      <c r="B3" s="125" t="s">
        <v>3</v>
      </c>
      <c r="C3" s="125"/>
      <c r="D3" s="125"/>
      <c r="E3" s="125"/>
      <c r="F3" s="125"/>
      <c r="G3" s="125"/>
    </row>
    <row r="4" spans="1:10" s="2" customFormat="1" ht="17" thickBot="1" x14ac:dyDescent="0.25">
      <c r="B4" s="122" t="s">
        <v>47</v>
      </c>
      <c r="C4" s="123"/>
      <c r="D4" s="123"/>
      <c r="E4" s="123"/>
      <c r="F4" s="123"/>
      <c r="G4" s="124"/>
    </row>
    <row r="5" spans="1:10" s="2" customFormat="1" ht="46" thickBot="1" x14ac:dyDescent="0.25">
      <c r="B5" s="104" t="s">
        <v>21</v>
      </c>
      <c r="C5" s="105" t="s">
        <v>0</v>
      </c>
      <c r="D5" s="105" t="s">
        <v>28</v>
      </c>
      <c r="E5" s="106" t="s">
        <v>44</v>
      </c>
      <c r="F5" s="106" t="s">
        <v>52</v>
      </c>
      <c r="G5" s="107" t="s">
        <v>5</v>
      </c>
    </row>
    <row r="6" spans="1:10" s="2" customFormat="1" ht="16" x14ac:dyDescent="0.2">
      <c r="B6" s="3" t="s">
        <v>46</v>
      </c>
      <c r="C6" s="4">
        <v>4.5</v>
      </c>
      <c r="D6" s="100">
        <f>IF($C6="","",ROUND(3.333*(Constants!$A$3-0.2*($C6/12))*($C6/12)^1.5,2))</f>
        <v>4.53</v>
      </c>
      <c r="E6" s="101">
        <f>IF($C6="","",D6*Constants!$A$4)</f>
        <v>391392</v>
      </c>
      <c r="F6" s="102">
        <f>IF($E6="","",E6/(Constants!$A$2*Constants!$A$5))</f>
        <v>0.20229172158218722</v>
      </c>
      <c r="G6" s="103" t="str">
        <f>IF($F6&lt;1,_xlfn.CONCAT(ROUND((Constants!$A$6/$E6),1)," Days"),CONCATENATE(ROUND(24/$F6,1)," Hours"))</f>
        <v>4.9 Days</v>
      </c>
    </row>
    <row r="7" spans="1:10" ht="16" x14ac:dyDescent="0.2">
      <c r="B7" s="108" t="s">
        <v>23</v>
      </c>
      <c r="C7" s="109">
        <v>1.83</v>
      </c>
      <c r="D7" s="110">
        <f>IF($C7="","",ROUND(3.333*(Constants!$A$3-0.2*($C7/12))*($C7/12)^1.5,2))</f>
        <v>1.18</v>
      </c>
      <c r="E7" s="111">
        <f>IF($C7="","",D7*Constants!$A$4)</f>
        <v>101952</v>
      </c>
      <c r="F7" s="112">
        <f>IF($E7="","",E7/(Constants!$A$2*Constants!$A$5))</f>
        <v>5.2694090831563116E-2</v>
      </c>
      <c r="G7" s="113" t="str">
        <f>IF($F7&lt;1,_xlfn.CONCAT(ROUND((Constants!$A$6/$E7),1)," Days"),CONCATENATE(ROUND(24/$F7,1)," Hours"))</f>
        <v>19 Days</v>
      </c>
    </row>
    <row r="8" spans="1:10" ht="16" x14ac:dyDescent="0.2">
      <c r="B8" s="108" t="s">
        <v>17</v>
      </c>
      <c r="C8" s="109">
        <v>3</v>
      </c>
      <c r="D8" s="110">
        <f>IF($C8="","",ROUND(3.333*(Constants!$A$3-0.2*($C8/12))*($C8/12)^1.5,2))</f>
        <v>2.48</v>
      </c>
      <c r="E8" s="111">
        <f>IF($C8="","",D8*Constants!$A$4)</f>
        <v>214272</v>
      </c>
      <c r="F8" s="112">
        <f>IF($E8="","",E8/(Constants!$A$2*Constants!$A$5))</f>
        <v>0.11074690276464112</v>
      </c>
      <c r="G8" s="113" t="str">
        <f>IF($F8&lt;1,_xlfn.CONCAT(ROUND((Constants!$A$6/$E8),1)," Days"),CONCATENATE(ROUND(24/$F8,1)," Hours"))</f>
        <v>9 Days</v>
      </c>
    </row>
    <row r="9" spans="1:10" ht="16" x14ac:dyDescent="0.2">
      <c r="B9" s="114" t="s">
        <v>18</v>
      </c>
      <c r="C9" s="109">
        <v>7</v>
      </c>
      <c r="D9" s="110">
        <f>IF($C9="","",ROUND(3.333*(Constants!$A$3-0.2*($C9/12))*($C9/12)^1.5,2))</f>
        <v>8.74</v>
      </c>
      <c r="E9" s="111">
        <f>IF($C9="","",D9*Constants!$A$4)</f>
        <v>755136</v>
      </c>
      <c r="F9" s="112">
        <f>IF($E9="","",E9/(Constants!$A$2*Constants!$A$5))</f>
        <v>0.39029352022700137</v>
      </c>
      <c r="G9" s="113" t="str">
        <f>IF($F9&lt;1,_xlfn.CONCAT(ROUND((Constants!$A$6/$E9),1)," Days"),CONCATENATE(ROUND(24/$F9,1)," Hours"))</f>
        <v>2.6 Days</v>
      </c>
    </row>
    <row r="10" spans="1:10" ht="16" x14ac:dyDescent="0.2">
      <c r="B10" s="114" t="s">
        <v>19</v>
      </c>
      <c r="C10" s="109">
        <v>12</v>
      </c>
      <c r="D10" s="110">
        <f>IF($C10="","",ROUND(3.333*(Constants!$A$3-0.2*($C10/12))*($C10/12)^1.5,2))</f>
        <v>19.329999999999998</v>
      </c>
      <c r="E10" s="111">
        <f>IF($C10="","",D10*Constants!$A$4)</f>
        <v>1670111.9999999998</v>
      </c>
      <c r="F10" s="112">
        <f>IF($E10="","",E10/(Constants!$A$2*Constants!$A$5))</f>
        <v>0.86320065743569052</v>
      </c>
      <c r="G10" s="113" t="str">
        <f>IF($F10&lt;1,_xlfn.CONCAT(ROUND((Constants!$A$6/$E10),1)," Days"),CONCATENATE(ROUND(24/$F10,1)," Hours"))</f>
        <v>1.2 Days</v>
      </c>
    </row>
    <row r="11" spans="1:10" ht="16" x14ac:dyDescent="0.2">
      <c r="B11" s="115" t="s">
        <v>20</v>
      </c>
      <c r="C11" s="109">
        <v>18</v>
      </c>
      <c r="D11" s="110">
        <f>IF($C11="","",ROUND(3.333*(Constants!$A$3-0.2*($C11/12))*($C11/12)^1.5,2))</f>
        <v>34.9</v>
      </c>
      <c r="E11" s="111">
        <f>IF($C11="","",D11*Constants!$A$4)</f>
        <v>3015360</v>
      </c>
      <c r="F11" s="112">
        <f>IF($E11="","",E11/(Constants!$A$2*Constants!$A$5))</f>
        <v>1.5584947203572481</v>
      </c>
      <c r="G11" s="113" t="str">
        <f>IF($F11&lt;1,_xlfn.CONCAT(ROUND((Constants!$A$6/$E11),1)," Days"),CONCATENATE(ROUND(24/$F11,1)," Hours"))</f>
        <v>15.4 Hours</v>
      </c>
    </row>
    <row r="12" spans="1:10" ht="17" thickBot="1" x14ac:dyDescent="0.25">
      <c r="B12" s="116" t="s">
        <v>22</v>
      </c>
      <c r="C12" s="117">
        <v>30</v>
      </c>
      <c r="D12" s="118">
        <f>IF($C12="","",ROUND(3.333*(Constants!$A$3-0.2*($C12/12))*($C12/12)^1.5,2))</f>
        <v>72.459999999999994</v>
      </c>
      <c r="E12" s="119">
        <f>IF($C12="","",D12*Constants!$A$4)</f>
        <v>6260543.9999999991</v>
      </c>
      <c r="F12" s="120">
        <f>IF($E12="","",E12/(Constants!$A$2*Constants!$A$5))</f>
        <v>3.2357744251314093</v>
      </c>
      <c r="G12" s="121" t="str">
        <f>IF($F12&lt;1,_xlfn.CONCAT(ROUND((Constants!$A$6/$E12),1)," Days"),CONCATENATE(ROUND(24/$F12,1)," Hours"))</f>
        <v>7.4 Hours</v>
      </c>
    </row>
    <row r="13" spans="1:10" x14ac:dyDescent="0.2">
      <c r="D13" s="5"/>
      <c r="E13" s="6"/>
      <c r="F13" s="7"/>
      <c r="G13" s="7"/>
      <c r="H13" s="7"/>
      <c r="I13" s="7"/>
    </row>
    <row r="14" spans="1:10" x14ac:dyDescent="0.2">
      <c r="B14" s="8" t="s">
        <v>50</v>
      </c>
    </row>
    <row r="16" spans="1:10" s="9" customFormat="1" x14ac:dyDescent="0.2">
      <c r="F16" s="2"/>
      <c r="H16" s="2"/>
      <c r="J16" s="10"/>
    </row>
    <row r="18" spans="2:8" ht="15" customHeight="1" x14ac:dyDescent="0.2"/>
    <row r="19" spans="2:8" ht="15" customHeight="1" x14ac:dyDescent="0.2"/>
    <row r="20" spans="2:8" x14ac:dyDescent="0.2">
      <c r="B20" s="11"/>
    </row>
    <row r="23" spans="2:8" x14ac:dyDescent="0.2">
      <c r="H23" s="12"/>
    </row>
  </sheetData>
  <sheetProtection sheet="1" selectLockedCells="1"/>
  <mergeCells count="3">
    <mergeCell ref="B4:G4"/>
    <mergeCell ref="B3:G3"/>
    <mergeCell ref="A1:G1"/>
  </mergeCells>
  <dataValidations count="1">
    <dataValidation type="decimal" allowBlank="1" showInputMessage="1" showErrorMessage="1" sqref="C6" xr:uid="{3977E265-8FCC-7F4C-89AE-257609F0C448}">
      <formula1>0</formula1>
      <formula2>48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32611-6E94-C640-8CAC-3D4A865E3F24}">
  <dimension ref="A1:L41"/>
  <sheetViews>
    <sheetView zoomScale="180" zoomScaleNormal="170" workbookViewId="0">
      <selection activeCell="C6" sqref="C6"/>
    </sheetView>
  </sheetViews>
  <sheetFormatPr baseColWidth="10" defaultRowHeight="15" x14ac:dyDescent="0.2"/>
  <cols>
    <col min="1" max="1" width="4" style="13" customWidth="1"/>
    <col min="2" max="2" width="22.140625" style="13" customWidth="1"/>
    <col min="3" max="3" width="8.140625" style="13" customWidth="1"/>
    <col min="4" max="4" width="9.140625" style="13" customWidth="1"/>
    <col min="5" max="5" width="11.85546875" style="13" customWidth="1"/>
    <col min="6" max="6" width="10.85546875" style="13" customWidth="1"/>
    <col min="7" max="7" width="10.42578125" style="13" customWidth="1"/>
    <col min="8" max="8" width="9.5703125" style="13" customWidth="1"/>
    <col min="9" max="9" width="9.85546875" style="13" customWidth="1"/>
    <col min="10" max="10" width="10.7109375" style="13"/>
    <col min="11" max="11" width="10.140625" style="13" customWidth="1"/>
    <col min="12" max="12" width="9.42578125" style="13" customWidth="1"/>
    <col min="13" max="16384" width="10.7109375" style="13"/>
  </cols>
  <sheetData>
    <row r="1" spans="1:8" ht="41" customHeight="1" x14ac:dyDescent="0.25">
      <c r="A1" s="127" t="s">
        <v>49</v>
      </c>
      <c r="B1" s="127"/>
      <c r="C1" s="127"/>
      <c r="D1" s="127"/>
      <c r="E1" s="127"/>
      <c r="F1" s="127"/>
      <c r="G1" s="127"/>
      <c r="H1" s="127"/>
    </row>
    <row r="3" spans="1:8" ht="16" thickBot="1" x14ac:dyDescent="0.25">
      <c r="A3" s="14" t="s">
        <v>27</v>
      </c>
    </row>
    <row r="4" spans="1:8" ht="20" x14ac:dyDescent="0.25">
      <c r="B4" s="15" t="s">
        <v>24</v>
      </c>
      <c r="C4" s="16">
        <v>7</v>
      </c>
    </row>
    <row r="5" spans="1:8" ht="19" x14ac:dyDescent="0.25">
      <c r="B5" s="17" t="s">
        <v>25</v>
      </c>
      <c r="C5" s="18">
        <v>9</v>
      </c>
    </row>
    <row r="6" spans="1:8" ht="20" thickBot="1" x14ac:dyDescent="0.3">
      <c r="B6" s="19" t="s">
        <v>38</v>
      </c>
      <c r="C6" s="20">
        <v>5</v>
      </c>
    </row>
    <row r="8" spans="1:8" ht="20" thickBot="1" x14ac:dyDescent="0.3">
      <c r="B8" s="135" t="s">
        <v>45</v>
      </c>
      <c r="C8" s="135"/>
      <c r="D8" s="135"/>
      <c r="E8" s="135"/>
      <c r="F8" s="135"/>
    </row>
    <row r="9" spans="1:8" ht="19" x14ac:dyDescent="0.25">
      <c r="B9" s="21"/>
      <c r="C9" s="22"/>
      <c r="D9" s="23"/>
      <c r="E9" s="133" t="s">
        <v>36</v>
      </c>
      <c r="F9" s="134"/>
    </row>
    <row r="10" spans="1:8" ht="40" x14ac:dyDescent="0.25">
      <c r="B10" s="24"/>
      <c r="C10" s="25"/>
      <c r="D10" s="26"/>
      <c r="E10" s="27" t="s">
        <v>35</v>
      </c>
      <c r="F10" s="28" t="s">
        <v>37</v>
      </c>
    </row>
    <row r="11" spans="1:8" ht="20" thickBot="1" x14ac:dyDescent="0.3">
      <c r="B11" s="29" t="s">
        <v>51</v>
      </c>
      <c r="C11" s="30"/>
      <c r="D11" s="31"/>
      <c r="E11" s="32">
        <f>F19*(C6)</f>
        <v>-0.87525777991409925</v>
      </c>
      <c r="F11" s="33">
        <f ca="1">SUM(OFFSET(L$27,$C$6,0,1,1):L$28)</f>
        <v>-0.6997596638394864</v>
      </c>
    </row>
    <row r="12" spans="1:8" ht="16" x14ac:dyDescent="0.2">
      <c r="B12" s="34" t="s">
        <v>56</v>
      </c>
      <c r="C12" s="35"/>
      <c r="D12" s="36"/>
      <c r="E12" s="37"/>
      <c r="F12" s="37"/>
    </row>
    <row r="14" spans="1:8" s="39" customFormat="1" thickBot="1" x14ac:dyDescent="0.25">
      <c r="A14" s="38"/>
    </row>
    <row r="15" spans="1:8" s="39" customFormat="1" ht="14" x14ac:dyDescent="0.2">
      <c r="B15" s="138" t="s">
        <v>54</v>
      </c>
      <c r="C15" s="139"/>
      <c r="D15" s="139"/>
      <c r="E15" s="139"/>
      <c r="F15" s="139"/>
      <c r="G15" s="140"/>
    </row>
    <row r="16" spans="1:8" s="39" customFormat="1" ht="60" x14ac:dyDescent="0.2">
      <c r="B16" s="40" t="s">
        <v>21</v>
      </c>
      <c r="C16" s="41" t="s">
        <v>0</v>
      </c>
      <c r="D16" s="41" t="s">
        <v>28</v>
      </c>
      <c r="E16" s="41" t="s">
        <v>34</v>
      </c>
      <c r="F16" s="41" t="s">
        <v>41</v>
      </c>
      <c r="G16" s="42" t="s">
        <v>5</v>
      </c>
    </row>
    <row r="17" spans="2:12" s="39" customFormat="1" x14ac:dyDescent="0.2">
      <c r="B17" s="43" t="s">
        <v>24</v>
      </c>
      <c r="C17" s="44">
        <f>$C$4</f>
        <v>7</v>
      </c>
      <c r="D17" s="45">
        <f>IF($C4="","",ROUND(3.333*(Constants!$A$3-0.2*($C4/12))*($C4/12)^1.5,2))</f>
        <v>8.74</v>
      </c>
      <c r="E17" s="46">
        <f>IF($C4="","",D17*Constants!$A$4)</f>
        <v>755136</v>
      </c>
      <c r="F17" s="47">
        <f>IF($E17="","",E17/(Constants!$A$2*Constants!$A$5))</f>
        <v>0.39029352022700137</v>
      </c>
      <c r="G17" s="48" t="str">
        <f>IF($F17&lt;1,_xlfn.CONCAT(ROUND((Constants!$A$6/$E17),1)," Days"),CONCATENATE(ROUND(24/$F17,1)," Hours"))</f>
        <v>2.6 Days</v>
      </c>
    </row>
    <row r="18" spans="2:12" s="39" customFormat="1" ht="14" x14ac:dyDescent="0.2">
      <c r="B18" s="49" t="s">
        <v>25</v>
      </c>
      <c r="C18" s="44">
        <f>$C$5</f>
        <v>9</v>
      </c>
      <c r="D18" s="45">
        <f>IF($C5="","",ROUND(3.333*(Constants!$A$3-0.2*($C5/12))*($C5/12)^1.5,2))</f>
        <v>12.66</v>
      </c>
      <c r="E18" s="46">
        <f>IF($C5="","",D18*Constants!$A$4)</f>
        <v>1093824</v>
      </c>
      <c r="F18" s="47">
        <f>IF($E18="","",E18/(Constants!$A$2*Constants!$A$5))</f>
        <v>0.56534507620982122</v>
      </c>
      <c r="G18" s="48" t="str">
        <f>IF($F18&lt;1,_xlfn.CONCAT(ROUND((Constants!$A$6/$E18),1)," Days"),CONCATENATE(ROUND(24/$F18,1)," Hours"))</f>
        <v>1.8 Days</v>
      </c>
    </row>
    <row r="19" spans="2:12" s="39" customFormat="1" ht="16" customHeight="1" x14ac:dyDescent="0.2">
      <c r="B19" s="49" t="s">
        <v>53</v>
      </c>
      <c r="C19" s="50">
        <f>C18-C17</f>
        <v>2</v>
      </c>
      <c r="D19" s="51">
        <f>D18-D17</f>
        <v>3.92</v>
      </c>
      <c r="E19" s="52">
        <f>E$18-E$17</f>
        <v>338688</v>
      </c>
      <c r="F19" s="53">
        <f>F$17-F$18</f>
        <v>-0.17505155598281985</v>
      </c>
      <c r="G19" s="48" t="str">
        <f>IF(F19&lt;=0,"",IF($F19&lt;1,_xlfn.CONCAT(ROUND((Constants!$A$6/$E19),1)," Days"),CONCATENATE(ROUND(24/$F19,1)," Hours")))</f>
        <v/>
      </c>
    </row>
    <row r="20" spans="2:12" s="39" customFormat="1" ht="14" x14ac:dyDescent="0.2">
      <c r="B20" s="54" t="s">
        <v>38</v>
      </c>
      <c r="C20" s="55">
        <f>$C$6</f>
        <v>5</v>
      </c>
      <c r="D20" s="56"/>
      <c r="E20" s="136" t="s">
        <v>42</v>
      </c>
      <c r="F20" s="136" t="s">
        <v>43</v>
      </c>
      <c r="G20" s="57"/>
    </row>
    <row r="21" spans="2:12" s="39" customFormat="1" ht="14" x14ac:dyDescent="0.2">
      <c r="B21" s="58"/>
      <c r="C21" s="59"/>
      <c r="D21" s="59"/>
      <c r="E21" s="136"/>
      <c r="F21" s="137"/>
      <c r="G21" s="60"/>
    </row>
    <row r="22" spans="2:12" s="39" customFormat="1" thickBot="1" x14ac:dyDescent="0.25">
      <c r="B22" s="61" t="s">
        <v>26</v>
      </c>
      <c r="C22" s="62"/>
      <c r="D22" s="63"/>
      <c r="E22" s="64">
        <f>$E$19*$C$6</f>
        <v>1693440</v>
      </c>
      <c r="F22" s="65">
        <f>IF($E22="","",-E22/(Constants!$A$2*Constants!$A$5))</f>
        <v>-0.87525777991409925</v>
      </c>
      <c r="G22" s="66"/>
    </row>
    <row r="23" spans="2:12" s="39" customFormat="1" ht="14" x14ac:dyDescent="0.2">
      <c r="D23" s="67"/>
      <c r="E23" s="68"/>
      <c r="F23" s="69"/>
      <c r="G23" s="67"/>
    </row>
    <row r="24" spans="2:12" s="39" customFormat="1" thickBot="1" x14ac:dyDescent="0.25">
      <c r="D24" s="67"/>
      <c r="E24" s="68"/>
      <c r="F24" s="69"/>
    </row>
    <row r="25" spans="2:12" s="39" customFormat="1" thickBot="1" x14ac:dyDescent="0.25">
      <c r="B25" s="130" t="s">
        <v>55</v>
      </c>
      <c r="C25" s="131"/>
      <c r="D25" s="131"/>
      <c r="E25" s="131"/>
      <c r="F25" s="131"/>
      <c r="G25" s="131"/>
      <c r="H25" s="131"/>
      <c r="I25" s="131"/>
      <c r="J25" s="131"/>
      <c r="K25" s="131"/>
      <c r="L25" s="132"/>
    </row>
    <row r="26" spans="2:12" s="39" customFormat="1" thickBot="1" x14ac:dyDescent="0.25">
      <c r="B26" s="70"/>
      <c r="C26" s="130" t="s">
        <v>32</v>
      </c>
      <c r="D26" s="131"/>
      <c r="E26" s="131"/>
      <c r="F26" s="132"/>
      <c r="G26" s="131" t="s">
        <v>31</v>
      </c>
      <c r="H26" s="131"/>
      <c r="I26" s="131"/>
      <c r="J26" s="132"/>
      <c r="K26" s="128" t="s">
        <v>33</v>
      </c>
      <c r="L26" s="129"/>
    </row>
    <row r="27" spans="2:12" s="39" customFormat="1" ht="60" x14ac:dyDescent="0.2">
      <c r="B27" s="71" t="s">
        <v>30</v>
      </c>
      <c r="C27" s="72" t="s">
        <v>0</v>
      </c>
      <c r="D27" s="73" t="s">
        <v>28</v>
      </c>
      <c r="E27" s="73" t="s">
        <v>34</v>
      </c>
      <c r="F27" s="74" t="s">
        <v>41</v>
      </c>
      <c r="G27" s="73" t="s">
        <v>39</v>
      </c>
      <c r="H27" s="73" t="s">
        <v>28</v>
      </c>
      <c r="I27" s="73" t="s">
        <v>34</v>
      </c>
      <c r="J27" s="74" t="s">
        <v>41</v>
      </c>
      <c r="K27" s="75" t="s">
        <v>34</v>
      </c>
      <c r="L27" s="76" t="s">
        <v>48</v>
      </c>
    </row>
    <row r="28" spans="2:12" s="39" customFormat="1" ht="14" x14ac:dyDescent="0.2">
      <c r="B28" s="77">
        <v>1</v>
      </c>
      <c r="C28" s="78">
        <f>$C$4</f>
        <v>7</v>
      </c>
      <c r="D28" s="45">
        <f>IF($G28="","",ROUND(3.333*(Constants!$A$3-0.2*($C28/12))*($C28/12)^1.5,2))</f>
        <v>8.74</v>
      </c>
      <c r="E28" s="46">
        <f>IF($D28="","",D28*Constants!$A$4)</f>
        <v>755136</v>
      </c>
      <c r="F28" s="79">
        <f>IF($I28="","",E28/(Constants!$A$2*Constants!$A$5))</f>
        <v>0.39029352022700137</v>
      </c>
      <c r="G28" s="80">
        <f>$C$5</f>
        <v>9</v>
      </c>
      <c r="H28" s="45">
        <f>IF($G28="","",ROUND(3.333*(Constants!$A$3-0.2*($G28/12))*($G28/12)^1.5,2))</f>
        <v>12.66</v>
      </c>
      <c r="I28" s="46">
        <f>IF($G28="","",H28*Constants!$A$4)</f>
        <v>1093824</v>
      </c>
      <c r="J28" s="79">
        <f>IF($I28="","",I28/(Constants!$A$2*Constants!$A$5))</f>
        <v>0.56534507620982122</v>
      </c>
      <c r="K28" s="81">
        <f>I28-E28</f>
        <v>338688</v>
      </c>
      <c r="L28" s="82">
        <f>IF($K28="","",-K28/(Constants!$A$2*Constants!$A$5))</f>
        <v>-0.17505155598281985</v>
      </c>
    </row>
    <row r="29" spans="2:12" s="39" customFormat="1" ht="14" x14ac:dyDescent="0.2">
      <c r="B29" s="77">
        <v>2</v>
      </c>
      <c r="C29" s="77">
        <f t="shared" ref="C29:C32" si="0">ROUND(C28-F28,1)</f>
        <v>6.6</v>
      </c>
      <c r="D29" s="45">
        <f>IF($G29="","",ROUND(3.333*(Constants!$A$3-0.2*($C29/12))*($C29/12)^1.5,2))</f>
        <v>8.01</v>
      </c>
      <c r="E29" s="46">
        <f>IF($D29="","",D29*Constants!$A$4)</f>
        <v>692064</v>
      </c>
      <c r="F29" s="79">
        <f>IF($I29="","",E29/(Constants!$A$2*Constants!$A$5))</f>
        <v>0.35769463352611913</v>
      </c>
      <c r="G29" s="44">
        <f>ROUND(G28-J28,1)</f>
        <v>8.4</v>
      </c>
      <c r="H29" s="45">
        <f>IF($G29="","",ROUND(3.333*(Constants!$A$3-0.2*($G29/12))*($G29/12)^1.5,2))</f>
        <v>11.44</v>
      </c>
      <c r="I29" s="46">
        <f>IF($G29="","",H29*Constants!$A$4)</f>
        <v>988416</v>
      </c>
      <c r="J29" s="79">
        <f>IF($I29="","",I29/(Constants!$A$2*Constants!$A$5))</f>
        <v>0.51086474501108647</v>
      </c>
      <c r="K29" s="81">
        <f t="shared" ref="K29:K32" si="1">I29-E29</f>
        <v>296352</v>
      </c>
      <c r="L29" s="82">
        <f>IF($K29="","",-K29/(Constants!$A$2*Constants!$A$5))</f>
        <v>-0.15317011148496737</v>
      </c>
    </row>
    <row r="30" spans="2:12" s="39" customFormat="1" ht="14" x14ac:dyDescent="0.2">
      <c r="B30" s="77">
        <v>3</v>
      </c>
      <c r="C30" s="77">
        <f t="shared" si="0"/>
        <v>6.2</v>
      </c>
      <c r="D30" s="45">
        <f>IF($G30="","",ROUND(3.333*(Constants!$A$3-0.2*($C30/12))*($C30/12)^1.5,2))</f>
        <v>7.3</v>
      </c>
      <c r="E30" s="46">
        <f>IF($D30="","",D30*Constants!$A$4)</f>
        <v>630720</v>
      </c>
      <c r="F30" s="79">
        <f>IF($I30="","",E30/(Constants!$A$2*Constants!$A$5))</f>
        <v>0.32598886700882268</v>
      </c>
      <c r="G30" s="44">
        <f t="shared" ref="G30:G32" si="2">ROUND(G29-J29,1)</f>
        <v>7.9</v>
      </c>
      <c r="H30" s="45">
        <f>IF($G30="","",ROUND(3.333*(Constants!$A$3-0.2*($G30/12))*($G30/12)^1.5,2))</f>
        <v>10.45</v>
      </c>
      <c r="I30" s="46">
        <f>IF($G30="","",H30*Constants!$A$4)</f>
        <v>902879.99999999988</v>
      </c>
      <c r="J30" s="79">
        <f>IF($I30="","",I30/(Constants!$A$2*Constants!$A$5))</f>
        <v>0.46665529592358856</v>
      </c>
      <c r="K30" s="81">
        <f t="shared" si="1"/>
        <v>272159.99999999988</v>
      </c>
      <c r="L30" s="82">
        <f>IF($K30="","",-K30/(Constants!$A$2*Constants!$A$5))</f>
        <v>-0.14066642891476588</v>
      </c>
    </row>
    <row r="31" spans="2:12" s="39" customFormat="1" ht="14" x14ac:dyDescent="0.2">
      <c r="B31" s="77">
        <v>4</v>
      </c>
      <c r="C31" s="77">
        <f t="shared" si="0"/>
        <v>5.9</v>
      </c>
      <c r="D31" s="45">
        <f>IF($G31="","",ROUND(3.333*(Constants!$A$3-0.2*($C31/12))*($C31/12)^1.5,2))</f>
        <v>6.78</v>
      </c>
      <c r="E31" s="46">
        <f>IF($D31="","",D31*Constants!$A$4)</f>
        <v>585792</v>
      </c>
      <c r="F31" s="79">
        <f>IF($I31="","",E31/(Constants!$A$2*Constants!$A$5))</f>
        <v>0.30276774223559144</v>
      </c>
      <c r="G31" s="44">
        <f t="shared" si="2"/>
        <v>7.4</v>
      </c>
      <c r="H31" s="45">
        <f>IF($G31="","",ROUND(3.333*(Constants!$A$3-0.2*($G31/12))*($G31/12)^1.5,2))</f>
        <v>9.49</v>
      </c>
      <c r="I31" s="46">
        <f>IF($G31="","",H31*Constants!$A$4)</f>
        <v>819936</v>
      </c>
      <c r="J31" s="79">
        <f>IF($I31="","",I31/(Constants!$A$2*Constants!$A$5))</f>
        <v>0.42378552711146944</v>
      </c>
      <c r="K31" s="81">
        <f t="shared" si="1"/>
        <v>234144</v>
      </c>
      <c r="L31" s="82">
        <f>IF($K31="","",-K31/(Constants!$A$2*Constants!$A$5))</f>
        <v>-0.121017784875878</v>
      </c>
    </row>
    <row r="32" spans="2:12" s="39" customFormat="1" ht="14" x14ac:dyDescent="0.2">
      <c r="B32" s="77">
        <v>5</v>
      </c>
      <c r="C32" s="77">
        <f t="shared" si="0"/>
        <v>5.6</v>
      </c>
      <c r="D32" s="45">
        <f>IF($G32="","",ROUND(3.333*(Constants!$A$3-0.2*($C32/12))*($C32/12)^1.5,2))</f>
        <v>6.28</v>
      </c>
      <c r="E32" s="46">
        <f>IF($D32="","",D32*Constants!$A$4)</f>
        <v>542592</v>
      </c>
      <c r="F32" s="79">
        <f>IF($I32="","",E32/(Constants!$A$2*Constants!$A$5))</f>
        <v>0.2804397376459461</v>
      </c>
      <c r="G32" s="44">
        <f t="shared" si="2"/>
        <v>7</v>
      </c>
      <c r="H32" s="45">
        <f>IF($G32="","",ROUND(3.333*(Constants!$A$3-0.2*($G32/12))*($G32/12)^1.5,2))</f>
        <v>8.74</v>
      </c>
      <c r="I32" s="46">
        <f>IF($G32="","",H32*Constants!$A$4)</f>
        <v>755136</v>
      </c>
      <c r="J32" s="79">
        <f>IF($I32="","",I32/(Constants!$A$2*Constants!$A$5))</f>
        <v>0.39029352022700137</v>
      </c>
      <c r="K32" s="81">
        <f t="shared" si="1"/>
        <v>212544</v>
      </c>
      <c r="L32" s="82">
        <f>IF($K32="","",-K32/(Constants!$A$2*Constants!$A$5))</f>
        <v>-0.10985378258105531</v>
      </c>
    </row>
    <row r="33" spans="2:12" s="39" customFormat="1" ht="14" x14ac:dyDescent="0.2">
      <c r="B33" s="77">
        <v>6</v>
      </c>
      <c r="C33" s="77">
        <f t="shared" ref="C33:C41" si="3">ROUND(C32-F32,1)</f>
        <v>5.3</v>
      </c>
      <c r="D33" s="45">
        <f>IF($G33="","",ROUND(3.333*(Constants!$A$3-0.2*($C33/12))*($C33/12)^1.5,2))</f>
        <v>5.78</v>
      </c>
      <c r="E33" s="46">
        <f>IF($D33="","",D33*Constants!$A$4)</f>
        <v>499392</v>
      </c>
      <c r="F33" s="79">
        <f>IF($I33="","",E33/(Constants!$A$2*Constants!$A$5))</f>
        <v>0.2581117330563007</v>
      </c>
      <c r="G33" s="44">
        <f t="shared" ref="G33:G41" si="4">ROUND(G32-J32,1)</f>
        <v>6.6</v>
      </c>
      <c r="H33" s="45">
        <f>IF($G33="","",ROUND(3.333*(Constants!$A$3-0.2*($G33/12))*($G33/12)^1.5,2))</f>
        <v>8.01</v>
      </c>
      <c r="I33" s="46">
        <f>IF($G33="","",H33*Constants!$A$4)</f>
        <v>692064</v>
      </c>
      <c r="J33" s="79">
        <f>IF($I33="","",I33/(Constants!$A$2*Constants!$A$5))</f>
        <v>0.35769463352611913</v>
      </c>
      <c r="K33" s="81">
        <f t="shared" ref="K33:K41" si="5">I33-E33</f>
        <v>192672</v>
      </c>
      <c r="L33" s="82">
        <f>IF($K33="","",-K33/(Constants!$A$2*Constants!$A$5))</f>
        <v>-9.9582900469818436E-2</v>
      </c>
    </row>
    <row r="34" spans="2:12" s="39" customFormat="1" ht="14" x14ac:dyDescent="0.2">
      <c r="B34" s="77">
        <v>7</v>
      </c>
      <c r="C34" s="77">
        <f t="shared" si="3"/>
        <v>5</v>
      </c>
      <c r="D34" s="45">
        <f>IF($G34="","",ROUND(3.333*(Constants!$A$3-0.2*($C34/12))*($C34/12)^1.5,2))</f>
        <v>5.3</v>
      </c>
      <c r="E34" s="46">
        <f>IF($D34="","",D34*Constants!$A$4)</f>
        <v>457920</v>
      </c>
      <c r="F34" s="79">
        <f>IF($I34="","",E34/(Constants!$A$2*Constants!$A$5))</f>
        <v>0.23667684865024111</v>
      </c>
      <c r="G34" s="44">
        <f t="shared" si="4"/>
        <v>6.2</v>
      </c>
      <c r="H34" s="45">
        <f>IF($G34="","",ROUND(3.333*(Constants!$A$3-0.2*($G34/12))*($G34/12)^1.5,2))</f>
        <v>7.3</v>
      </c>
      <c r="I34" s="46">
        <f>IF($G34="","",H34*Constants!$A$4)</f>
        <v>630720</v>
      </c>
      <c r="J34" s="79">
        <f>IF($I34="","",I34/(Constants!$A$2*Constants!$A$5))</f>
        <v>0.32598886700882268</v>
      </c>
      <c r="K34" s="81">
        <f t="shared" si="5"/>
        <v>172800</v>
      </c>
      <c r="L34" s="82">
        <f>IF($K34="","",-K34/(Constants!$A$2*Constants!$A$5))</f>
        <v>-8.9312018358581546E-2</v>
      </c>
    </row>
    <row r="35" spans="2:12" s="39" customFormat="1" ht="14" x14ac:dyDescent="0.2">
      <c r="B35" s="77">
        <v>8</v>
      </c>
      <c r="C35" s="77">
        <f t="shared" si="3"/>
        <v>4.8</v>
      </c>
      <c r="D35" s="45">
        <f>IF($G35="","",ROUND(3.333*(Constants!$A$3-0.2*($C35/12))*($C35/12)^1.5,2))</f>
        <v>4.99</v>
      </c>
      <c r="E35" s="46">
        <f>IF($D35="","",D35*Constants!$A$4)</f>
        <v>431136</v>
      </c>
      <c r="F35" s="79">
        <f>IF($I35="","",E35/(Constants!$A$2*Constants!$A$5))</f>
        <v>0.22283348580466097</v>
      </c>
      <c r="G35" s="44">
        <f t="shared" si="4"/>
        <v>5.9</v>
      </c>
      <c r="H35" s="45">
        <f>IF($G35="","",ROUND(3.333*(Constants!$A$3-0.2*($G35/12))*($G35/12)^1.5,2))</f>
        <v>6.78</v>
      </c>
      <c r="I35" s="46">
        <f>IF($G35="","",H35*Constants!$A$4)</f>
        <v>585792</v>
      </c>
      <c r="J35" s="79">
        <f>IF($I35="","",I35/(Constants!$A$2*Constants!$A$5))</f>
        <v>0.30276774223559144</v>
      </c>
      <c r="K35" s="81">
        <f t="shared" si="5"/>
        <v>154656</v>
      </c>
      <c r="L35" s="82">
        <f>IF($K35="","",-K35/(Constants!$A$2*Constants!$A$5))</f>
        <v>-7.9934256430930495E-2</v>
      </c>
    </row>
    <row r="36" spans="2:12" s="39" customFormat="1" ht="14" x14ac:dyDescent="0.2">
      <c r="B36" s="77">
        <v>9</v>
      </c>
      <c r="C36" s="77">
        <f t="shared" si="3"/>
        <v>4.5999999999999996</v>
      </c>
      <c r="D36" s="45">
        <f>IF($G36="","",ROUND(3.333*(Constants!$A$3-0.2*($C36/12))*($C36/12)^1.5,2))</f>
        <v>4.6900000000000004</v>
      </c>
      <c r="E36" s="46">
        <f>IF($D36="","",D36*Constants!$A$4)</f>
        <v>405216.00000000006</v>
      </c>
      <c r="F36" s="79">
        <f>IF($I36="","",E36/(Constants!$A$2*Constants!$A$5))</f>
        <v>0.20943668305087376</v>
      </c>
      <c r="G36" s="44">
        <f t="shared" si="4"/>
        <v>5.6</v>
      </c>
      <c r="H36" s="45">
        <f>IF($G36="","",ROUND(3.333*(Constants!$A$3-0.2*($G36/12))*($G36/12)^1.5,2))</f>
        <v>6.28</v>
      </c>
      <c r="I36" s="46">
        <f>IF($G36="","",H36*Constants!$A$4)</f>
        <v>542592</v>
      </c>
      <c r="J36" s="79">
        <f>IF($I36="","",I36/(Constants!$A$2*Constants!$A$5))</f>
        <v>0.2804397376459461</v>
      </c>
      <c r="K36" s="81">
        <f t="shared" si="5"/>
        <v>137375.99999999994</v>
      </c>
      <c r="L36" s="82">
        <f>IF($K36="","",-K36/(Constants!$A$2*Constants!$A$5))</f>
        <v>-7.1003054595072307E-2</v>
      </c>
    </row>
    <row r="37" spans="2:12" x14ac:dyDescent="0.2">
      <c r="B37" s="77">
        <v>10</v>
      </c>
      <c r="C37" s="77">
        <f t="shared" si="3"/>
        <v>4.4000000000000004</v>
      </c>
      <c r="D37" s="45">
        <f>IF($G37="","",ROUND(3.333*(Constants!$A$3-0.2*($C37/12))*($C37/12)^1.5,2))</f>
        <v>4.3899999999999997</v>
      </c>
      <c r="E37" s="46">
        <f>IF($D37="","",D37*Constants!$A$4)</f>
        <v>379296</v>
      </c>
      <c r="F37" s="79">
        <f>IF($I37="","",E37/(Constants!$A$2*Constants!$A$5))</f>
        <v>0.19603988029708649</v>
      </c>
      <c r="G37" s="44">
        <f t="shared" si="4"/>
        <v>5.3</v>
      </c>
      <c r="H37" s="45">
        <f>IF($G37="","",ROUND(3.333*(Constants!$A$3-0.2*($G37/12))*($G37/12)^1.5,2))</f>
        <v>5.78</v>
      </c>
      <c r="I37" s="46">
        <f>IF($G37="","",H37*Constants!$A$4)</f>
        <v>499392</v>
      </c>
      <c r="J37" s="79">
        <f>IF($I37="","",I37/(Constants!$A$2*Constants!$A$5))</f>
        <v>0.2581117330563007</v>
      </c>
      <c r="K37" s="81">
        <f t="shared" si="5"/>
        <v>120096</v>
      </c>
      <c r="L37" s="82">
        <f>IF($K37="","",-K37/(Constants!$A$2*Constants!$A$5))</f>
        <v>-6.2071852759214181E-2</v>
      </c>
    </row>
    <row r="38" spans="2:12" x14ac:dyDescent="0.2">
      <c r="B38" s="77">
        <v>11</v>
      </c>
      <c r="C38" s="77">
        <f t="shared" si="3"/>
        <v>4.2</v>
      </c>
      <c r="D38" s="45">
        <f>IF($G38="","",ROUND(3.333*(Constants!$A$3-0.2*($C38/12))*($C38/12)^1.5,2))</f>
        <v>4.09</v>
      </c>
      <c r="E38" s="46">
        <f>IF($D38="","",D38*Constants!$A$4)</f>
        <v>353376</v>
      </c>
      <c r="F38" s="79">
        <f>IF($I38="","",E38/(Constants!$A$2*Constants!$A$5))</f>
        <v>0.18264307754329928</v>
      </c>
      <c r="G38" s="44">
        <f t="shared" si="4"/>
        <v>5</v>
      </c>
      <c r="H38" s="45">
        <f>IF($G38="","",ROUND(3.333*(Constants!$A$3-0.2*($G38/12))*($G38/12)^1.5,2))</f>
        <v>5.3</v>
      </c>
      <c r="I38" s="46">
        <f>IF($G38="","",H38*Constants!$A$4)</f>
        <v>457920</v>
      </c>
      <c r="J38" s="79">
        <f>IF($I38="","",I38/(Constants!$A$2*Constants!$A$5))</f>
        <v>0.23667684865024111</v>
      </c>
      <c r="K38" s="81">
        <f t="shared" si="5"/>
        <v>104544</v>
      </c>
      <c r="L38" s="82">
        <f>IF($K38="","",-K38/(Constants!$A$2*Constants!$A$5))</f>
        <v>-5.4033771106941839E-2</v>
      </c>
    </row>
    <row r="39" spans="2:12" x14ac:dyDescent="0.2">
      <c r="B39" s="77">
        <v>12</v>
      </c>
      <c r="C39" s="77">
        <f t="shared" si="3"/>
        <v>4</v>
      </c>
      <c r="D39" s="45">
        <f>IF($G39="","",ROUND(3.333*(Constants!$A$3-0.2*($C39/12))*($C39/12)^1.5,2))</f>
        <v>3.81</v>
      </c>
      <c r="E39" s="46">
        <f>IF($D39="","",D39*Constants!$A$4)</f>
        <v>329184</v>
      </c>
      <c r="F39" s="79">
        <f>IF($I39="","",E39/(Constants!$A$2*Constants!$A$5))</f>
        <v>0.17013939497309785</v>
      </c>
      <c r="G39" s="44">
        <f t="shared" si="4"/>
        <v>4.8</v>
      </c>
      <c r="H39" s="45">
        <f>IF($G39="","",ROUND(3.333*(Constants!$A$3-0.2*($G39/12))*($G39/12)^1.5,2))</f>
        <v>4.99</v>
      </c>
      <c r="I39" s="46">
        <f>IF($G39="","",H39*Constants!$A$4)</f>
        <v>431136</v>
      </c>
      <c r="J39" s="79">
        <f>IF($I39="","",I39/(Constants!$A$2*Constants!$A$5))</f>
        <v>0.22283348580466097</v>
      </c>
      <c r="K39" s="81">
        <f t="shared" si="5"/>
        <v>101952</v>
      </c>
      <c r="L39" s="82">
        <f>IF($K39="","",-K39/(Constants!$A$2*Constants!$A$5))</f>
        <v>-5.2694090831563116E-2</v>
      </c>
    </row>
    <row r="40" spans="2:12" x14ac:dyDescent="0.2">
      <c r="B40" s="77">
        <v>13</v>
      </c>
      <c r="C40" s="77">
        <f t="shared" si="3"/>
        <v>3.8</v>
      </c>
      <c r="D40" s="45">
        <f>IF($G40="","",ROUND(3.333*(Constants!$A$3-0.2*($C40/12))*($C40/12)^1.5,2))</f>
        <v>3.53</v>
      </c>
      <c r="E40" s="46">
        <f>IF($D40="","",D40*Constants!$A$4)</f>
        <v>304992</v>
      </c>
      <c r="F40" s="79">
        <f>IF($I40="","",E40/(Constants!$A$2*Constants!$A$5))</f>
        <v>0.15763571240289645</v>
      </c>
      <c r="G40" s="44">
        <f t="shared" si="4"/>
        <v>4.5999999999999996</v>
      </c>
      <c r="H40" s="45">
        <f>IF($G40="","",ROUND(3.333*(Constants!$A$3-0.2*($G40/12))*($G40/12)^1.5,2))</f>
        <v>4.6900000000000004</v>
      </c>
      <c r="I40" s="46">
        <f>IF($G40="","",H40*Constants!$A$4)</f>
        <v>405216.00000000006</v>
      </c>
      <c r="J40" s="79">
        <f>IF($I40="","",I40/(Constants!$A$2*Constants!$A$5))</f>
        <v>0.20943668305087376</v>
      </c>
      <c r="K40" s="81">
        <f t="shared" si="5"/>
        <v>100224.00000000006</v>
      </c>
      <c r="L40" s="82">
        <f>IF($K40="","",-K40/(Constants!$A$2*Constants!$A$5))</f>
        <v>-5.1800970647977333E-2</v>
      </c>
    </row>
    <row r="41" spans="2:12" ht="16" thickBot="1" x14ac:dyDescent="0.25">
      <c r="B41" s="83">
        <v>14</v>
      </c>
      <c r="C41" s="83">
        <f t="shared" si="3"/>
        <v>3.6</v>
      </c>
      <c r="D41" s="84">
        <f>IF($G41="","",ROUND(3.333*(Constants!$A$3-0.2*($C41/12))*($C41/12)^1.5,2))</f>
        <v>3.25</v>
      </c>
      <c r="E41" s="85">
        <f>IF($D41="","",D41*Constants!$A$4)</f>
        <v>280800</v>
      </c>
      <c r="F41" s="86">
        <f>IF($I41="","",E41/(Constants!$A$2*Constants!$A$5))</f>
        <v>0.14513202983269502</v>
      </c>
      <c r="G41" s="87">
        <f t="shared" si="4"/>
        <v>4.4000000000000004</v>
      </c>
      <c r="H41" s="84">
        <f>IF($G41="","",ROUND(3.333*(Constants!$A$3-0.2*($G41/12))*($G41/12)^1.5,2))</f>
        <v>4.3899999999999997</v>
      </c>
      <c r="I41" s="85">
        <f>IF($G41="","",H41*Constants!$A$4)</f>
        <v>379296</v>
      </c>
      <c r="J41" s="86">
        <f>IF($I41="","",I41/(Constants!$A$2*Constants!$A$5))</f>
        <v>0.19603988029708649</v>
      </c>
      <c r="K41" s="88">
        <f t="shared" si="5"/>
        <v>98496</v>
      </c>
      <c r="L41" s="89">
        <f>IF($K41="","",-K41/(Constants!$A$2*Constants!$A$5))</f>
        <v>-5.0907850464391481E-2</v>
      </c>
    </row>
  </sheetData>
  <sheetProtection sheet="1" objects="1" scenarios="1" selectLockedCells="1"/>
  <mergeCells count="10">
    <mergeCell ref="A1:H1"/>
    <mergeCell ref="K26:L26"/>
    <mergeCell ref="B25:L25"/>
    <mergeCell ref="E9:F9"/>
    <mergeCell ref="B8:F8"/>
    <mergeCell ref="E20:E21"/>
    <mergeCell ref="F20:F21"/>
    <mergeCell ref="B15:G15"/>
    <mergeCell ref="G26:J26"/>
    <mergeCell ref="C26:F26"/>
  </mergeCells>
  <dataValidations count="3">
    <dataValidation type="whole" allowBlank="1" showInputMessage="1" showErrorMessage="1" sqref="C6" xr:uid="{9111D960-5237-4E49-A8EA-1CDC295CFFDA}">
      <formula1>1</formula1>
      <formula2>14</formula2>
    </dataValidation>
    <dataValidation type="decimal" allowBlank="1" showInputMessage="1" showErrorMessage="1" sqref="G28" xr:uid="{5354E0CE-630E-DA45-ABF3-FE409F9DDE38}">
      <formula1>0</formula1>
      <formula2>36</formula2>
    </dataValidation>
    <dataValidation type="decimal" allowBlank="1" showInputMessage="1" showErrorMessage="1" sqref="C4:C5" xr:uid="{B9558478-EA91-2043-B72B-0916D5B1C9F3}">
      <formula1>0</formula1>
      <formula2>30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87488-2E46-5740-8FA0-11D5E4EC773F}">
  <dimension ref="A1:E22"/>
  <sheetViews>
    <sheetView zoomScale="162" workbookViewId="0">
      <selection activeCell="D22" sqref="D22"/>
    </sheetView>
  </sheetViews>
  <sheetFormatPr baseColWidth="10" defaultRowHeight="15" x14ac:dyDescent="0.2"/>
  <cols>
    <col min="1" max="1" width="14.7109375" style="13" bestFit="1" customWidth="1"/>
    <col min="2" max="16384" width="10.7109375" style="13"/>
  </cols>
  <sheetData>
    <row r="1" spans="1:4" ht="16" x14ac:dyDescent="0.2">
      <c r="A1" s="91" t="s">
        <v>29</v>
      </c>
      <c r="B1" s="90"/>
      <c r="C1" s="90"/>
      <c r="D1" s="90"/>
    </row>
    <row r="2" spans="1:4" ht="16" x14ac:dyDescent="0.2">
      <c r="A2" s="90">
        <v>533</v>
      </c>
      <c r="B2" s="90" t="s">
        <v>6</v>
      </c>
      <c r="C2" s="90" t="s">
        <v>7</v>
      </c>
      <c r="D2" s="90"/>
    </row>
    <row r="3" spans="1:4" ht="16" x14ac:dyDescent="0.2">
      <c r="A3" s="92">
        <v>6</v>
      </c>
      <c r="B3" s="93" t="s">
        <v>4</v>
      </c>
      <c r="C3" s="94"/>
      <c r="D3" s="94"/>
    </row>
    <row r="4" spans="1:4" ht="16" x14ac:dyDescent="0.2">
      <c r="A4" s="92">
        <f>60*60*24</f>
        <v>86400</v>
      </c>
      <c r="B4" s="90" t="s">
        <v>1</v>
      </c>
      <c r="C4" s="90"/>
      <c r="D4" s="90"/>
    </row>
    <row r="5" spans="1:4" ht="16" x14ac:dyDescent="0.2">
      <c r="A5" s="92">
        <v>3630</v>
      </c>
      <c r="B5" s="90" t="s">
        <v>2</v>
      </c>
      <c r="C5" s="90"/>
      <c r="D5" s="90"/>
    </row>
    <row r="6" spans="1:4" ht="16" x14ac:dyDescent="0.2">
      <c r="A6" s="92">
        <f>A5*$A$2</f>
        <v>1934790</v>
      </c>
      <c r="B6" s="90" t="str">
        <f>_xlfn.CONCAT("Cubic Feet of 1 inch of Water in Full Pond of size ",$A$2," Acres")</f>
        <v>Cubic Feet of 1 inch of Water in Full Pond of size 533 Acres</v>
      </c>
      <c r="C6" s="90"/>
      <c r="D6" s="90"/>
    </row>
    <row r="7" spans="1:4" ht="16" x14ac:dyDescent="0.2">
      <c r="A7" s="13">
        <v>7.4805200000000003</v>
      </c>
      <c r="B7" s="90" t="s">
        <v>40</v>
      </c>
    </row>
    <row r="8" spans="1:4" ht="16" x14ac:dyDescent="0.2">
      <c r="A8" s="95">
        <f>A7*A6</f>
        <v>14473235.290800001</v>
      </c>
      <c r="B8" s="90" t="str">
        <f>_xlfn.CONCAT("Gallons of 1 inch of Water in Full Pond of size ",$A$2," Acres")</f>
        <v>Gallons of 1 inch of Water in Full Pond of size 533 Acres</v>
      </c>
    </row>
    <row r="10" spans="1:4" x14ac:dyDescent="0.2">
      <c r="A10" s="96"/>
      <c r="B10" s="97"/>
      <c r="C10" s="98"/>
      <c r="D10" s="98"/>
    </row>
    <row r="11" spans="1:4" x14ac:dyDescent="0.2">
      <c r="A11" s="96"/>
    </row>
    <row r="12" spans="1:4" x14ac:dyDescent="0.2">
      <c r="A12" s="96"/>
    </row>
    <row r="13" spans="1:4" x14ac:dyDescent="0.2">
      <c r="A13" s="96"/>
    </row>
    <row r="16" spans="1:4" x14ac:dyDescent="0.2">
      <c r="A16" s="13" t="s">
        <v>9</v>
      </c>
    </row>
    <row r="17" spans="1:5" x14ac:dyDescent="0.2">
      <c r="A17" s="13" t="s">
        <v>8</v>
      </c>
      <c r="E17" s="13" t="s">
        <v>10</v>
      </c>
    </row>
    <row r="18" spans="1:5" x14ac:dyDescent="0.2">
      <c r="A18" s="13" t="s">
        <v>11</v>
      </c>
      <c r="C18" s="99"/>
      <c r="D18" s="99"/>
      <c r="E18" s="99"/>
    </row>
    <row r="19" spans="1:5" x14ac:dyDescent="0.2">
      <c r="A19" s="13" t="s">
        <v>13</v>
      </c>
    </row>
    <row r="20" spans="1:5" x14ac:dyDescent="0.2">
      <c r="A20" s="13" t="s">
        <v>16</v>
      </c>
    </row>
    <row r="21" spans="1:5" x14ac:dyDescent="0.2">
      <c r="A21" s="13" t="s">
        <v>12</v>
      </c>
    </row>
    <row r="22" spans="1:5" x14ac:dyDescent="0.2">
      <c r="A22" s="13" t="s">
        <v>15</v>
      </c>
      <c r="D22" s="13" t="s">
        <v>14</v>
      </c>
    </row>
  </sheetData>
  <sheetProtection sheet="1" objects="1" scenarios="1"/>
  <dataValidations count="1">
    <dataValidation type="list" allowBlank="1" showInputMessage="1" showErrorMessage="1" sqref="A2 A9 B16:B17" xr:uid="{B52F5431-206A-8F46-B42B-1BE32CDF5DCD}">
      <formula1>"442,452,496,500,533"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Outflows</vt:lpstr>
      <vt:lpstr>Impact</vt:lpstr>
      <vt:lpstr>Constants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</dc:creator>
  <cp:lastModifiedBy>FJ</cp:lastModifiedBy>
  <dcterms:created xsi:type="dcterms:W3CDTF">2023-11-10T13:59:27Z</dcterms:created>
  <dcterms:modified xsi:type="dcterms:W3CDTF">2024-10-18T13:14:01Z</dcterms:modified>
</cp:coreProperties>
</file>