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aa51b16d70e86012/Documents/FINANCE COMMITTEE/2025 WAGE AND SALARY REVIEW/"/>
    </mc:Choice>
  </mc:AlternateContent>
  <xr:revisionPtr revIDLastSave="238" documentId="8_{D5B32D2A-8E49-46D2-BA47-B8BB567A61E5}" xr6:coauthVersionLast="47" xr6:coauthVersionMax="47" xr10:uidLastSave="{B041BDBC-C712-4FC7-9BA4-72D3419A6E42}"/>
  <bookViews>
    <workbookView xWindow="-108" yWindow="-108" windowWidth="23256" windowHeight="13896" xr2:uid="{895D1EAC-AFFD-4F87-A89E-D976AF903ABF}"/>
  </bookViews>
  <sheets>
    <sheet name="sorted" sheetId="2" r:id="rId1"/>
    <sheet name="original" sheetId="1" r:id="rId2"/>
  </sheets>
  <definedNames>
    <definedName name="_xlnm.Print_Area" localSheetId="1">original!$A:$U</definedName>
    <definedName name="_xlnm.Print_Area" localSheetId="0">sorted!$A:$AD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9" i="2" l="1"/>
  <c r="U83" i="2"/>
  <c r="V34" i="2"/>
  <c r="W37" i="2"/>
  <c r="W38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8" i="2"/>
  <c r="W17" i="2"/>
  <c r="W16" i="2"/>
  <c r="W15" i="2"/>
  <c r="W14" i="2"/>
  <c r="W13" i="2"/>
  <c r="W12" i="2"/>
  <c r="W11" i="2"/>
  <c r="W9" i="2"/>
  <c r="W8" i="2"/>
  <c r="W7" i="2"/>
  <c r="W6" i="2"/>
  <c r="W5" i="2"/>
  <c r="V32" i="2"/>
  <c r="C34" i="2"/>
  <c r="C30" i="2"/>
  <c r="C23" i="2"/>
  <c r="V83" i="2" l="1"/>
  <c r="W83" i="2" s="1"/>
  <c r="R46" i="2"/>
  <c r="P46" i="2"/>
  <c r="R68" i="2"/>
  <c r="P68" i="2"/>
  <c r="N68" i="2"/>
  <c r="L68" i="2"/>
  <c r="I68" i="2"/>
  <c r="J68" i="2" s="1"/>
  <c r="H68" i="2"/>
  <c r="D68" i="2"/>
  <c r="R10" i="2"/>
  <c r="P10" i="2"/>
  <c r="N10" i="2"/>
  <c r="L10" i="2"/>
  <c r="I10" i="2"/>
  <c r="J10" i="2" s="1"/>
  <c r="H10" i="2"/>
  <c r="D10" i="2"/>
  <c r="D11" i="2"/>
  <c r="H11" i="2"/>
  <c r="I11" i="2"/>
  <c r="J11" i="2" s="1"/>
  <c r="L11" i="2"/>
  <c r="N11" i="2"/>
  <c r="P11" i="2"/>
  <c r="R11" i="2"/>
  <c r="R62" i="2"/>
  <c r="P62" i="2"/>
  <c r="N62" i="2"/>
  <c r="L62" i="2"/>
  <c r="I62" i="2"/>
  <c r="J62" i="2" s="1"/>
  <c r="H62" i="2"/>
  <c r="D62" i="2"/>
  <c r="R61" i="2"/>
  <c r="P61" i="2"/>
  <c r="N61" i="2"/>
  <c r="L61" i="2"/>
  <c r="I61" i="2"/>
  <c r="J61" i="2" s="1"/>
  <c r="H61" i="2"/>
  <c r="D61" i="2"/>
  <c r="R72" i="2"/>
  <c r="R69" i="2"/>
  <c r="P69" i="2"/>
  <c r="N69" i="2"/>
  <c r="L69" i="2"/>
  <c r="I69" i="2"/>
  <c r="J69" i="2" s="1"/>
  <c r="H69" i="2"/>
  <c r="D69" i="2"/>
  <c r="R67" i="2"/>
  <c r="P67" i="2"/>
  <c r="N67" i="2"/>
  <c r="L67" i="2"/>
  <c r="I67" i="2"/>
  <c r="J67" i="2" s="1"/>
  <c r="H67" i="2"/>
  <c r="D67" i="2"/>
  <c r="R8" i="2"/>
  <c r="P8" i="2"/>
  <c r="C22" i="2"/>
  <c r="R64" i="2"/>
  <c r="P64" i="2"/>
  <c r="N64" i="2"/>
  <c r="L64" i="2"/>
  <c r="I64" i="2"/>
  <c r="J64" i="2" s="1"/>
  <c r="H64" i="2"/>
  <c r="D64" i="2"/>
  <c r="R65" i="2"/>
  <c r="P65" i="2"/>
  <c r="N65" i="2"/>
  <c r="L65" i="2"/>
  <c r="I65" i="2"/>
  <c r="J65" i="2" s="1"/>
  <c r="H65" i="2"/>
  <c r="D65" i="2"/>
  <c r="R74" i="2"/>
  <c r="R57" i="2"/>
  <c r="P57" i="2"/>
  <c r="N57" i="2"/>
  <c r="L57" i="2"/>
  <c r="R81" i="2"/>
  <c r="P81" i="2"/>
  <c r="N81" i="2"/>
  <c r="I81" i="2"/>
  <c r="J81" i="2" s="1"/>
  <c r="K81" i="2" s="1"/>
  <c r="L81" i="2" s="1"/>
  <c r="H81" i="2"/>
  <c r="R80" i="2"/>
  <c r="P80" i="2"/>
  <c r="R58" i="2"/>
  <c r="P58" i="2"/>
  <c r="N58" i="2"/>
  <c r="L58" i="2"/>
  <c r="I58" i="2"/>
  <c r="J58" i="2" s="1"/>
  <c r="D58" i="2"/>
  <c r="R60" i="2"/>
  <c r="P60" i="2"/>
  <c r="N60" i="2"/>
  <c r="L60" i="2"/>
  <c r="I60" i="2"/>
  <c r="J60" i="2" s="1"/>
  <c r="H60" i="2"/>
  <c r="D60" i="2"/>
  <c r="R79" i="2"/>
  <c r="P79" i="2"/>
  <c r="N79" i="2"/>
  <c r="L79" i="2"/>
  <c r="J79" i="2"/>
  <c r="D79" i="2"/>
  <c r="C31" i="2"/>
  <c r="R75" i="2"/>
  <c r="P75" i="2"/>
  <c r="N75" i="2"/>
  <c r="L75" i="2"/>
  <c r="R54" i="2"/>
  <c r="P54" i="2"/>
  <c r="N54" i="2"/>
  <c r="L54" i="2"/>
  <c r="I54" i="2"/>
  <c r="J54" i="2" s="1"/>
  <c r="H54" i="2"/>
  <c r="D54" i="2"/>
  <c r="R53" i="2"/>
  <c r="P53" i="2"/>
  <c r="N53" i="2"/>
  <c r="L53" i="2"/>
  <c r="I53" i="2"/>
  <c r="J53" i="2" s="1"/>
  <c r="H53" i="2"/>
  <c r="D53" i="2"/>
  <c r="R52" i="2"/>
  <c r="P52" i="2"/>
  <c r="R49" i="2"/>
  <c r="P49" i="2"/>
  <c r="N49" i="2"/>
  <c r="L49" i="2"/>
  <c r="I49" i="2"/>
  <c r="J49" i="2" s="1"/>
  <c r="H49" i="2"/>
  <c r="D49" i="2"/>
  <c r="R71" i="2"/>
  <c r="P71" i="2"/>
  <c r="N71" i="2"/>
  <c r="L71" i="2"/>
  <c r="I71" i="2"/>
  <c r="J71" i="2" s="1"/>
  <c r="H71" i="2"/>
  <c r="C41" i="2"/>
  <c r="R78" i="2"/>
  <c r="P78" i="2"/>
  <c r="N78" i="2"/>
  <c r="L78" i="2"/>
  <c r="R45" i="2"/>
  <c r="R47" i="2"/>
  <c r="P47" i="2"/>
  <c r="C43" i="2"/>
  <c r="R12" i="2"/>
  <c r="P12" i="2"/>
  <c r="N12" i="2"/>
  <c r="L12" i="2"/>
  <c r="I12" i="2"/>
  <c r="J12" i="2" s="1"/>
  <c r="H12" i="2"/>
  <c r="D12" i="2"/>
  <c r="R9" i="2"/>
  <c r="P9" i="2"/>
  <c r="N9" i="2"/>
  <c r="L9" i="2"/>
  <c r="I9" i="2"/>
  <c r="J9" i="2" s="1"/>
  <c r="H9" i="2"/>
  <c r="D9" i="2"/>
  <c r="R39" i="1" l="1"/>
  <c r="P39" i="1"/>
  <c r="N39" i="1"/>
  <c r="L39" i="1"/>
  <c r="R17" i="1"/>
  <c r="P17" i="1"/>
  <c r="N17" i="1"/>
  <c r="L17" i="1"/>
  <c r="I17" i="1"/>
  <c r="J17" i="1" s="1"/>
  <c r="H17" i="1"/>
  <c r="D17" i="1"/>
  <c r="R54" i="1"/>
  <c r="R9" i="1"/>
  <c r="P9" i="1"/>
  <c r="N9" i="1"/>
  <c r="L9" i="1"/>
  <c r="I9" i="1"/>
  <c r="J9" i="1" s="1"/>
  <c r="H9" i="1"/>
  <c r="D9" i="1"/>
  <c r="R22" i="1"/>
  <c r="P22" i="1"/>
  <c r="N22" i="1"/>
  <c r="L22" i="1"/>
  <c r="I22" i="1"/>
  <c r="J22" i="1" s="1"/>
  <c r="H22" i="1"/>
  <c r="D22" i="1"/>
  <c r="R26" i="1"/>
  <c r="R25" i="1"/>
  <c r="P25" i="1"/>
  <c r="R27" i="1"/>
  <c r="P27" i="1"/>
  <c r="N27" i="1"/>
  <c r="L27" i="1"/>
  <c r="R63" i="1"/>
  <c r="P63" i="1"/>
  <c r="N63" i="1"/>
  <c r="L63" i="1"/>
  <c r="I63" i="1"/>
  <c r="J63" i="1" s="1"/>
  <c r="H63" i="1"/>
  <c r="D63" i="1"/>
  <c r="R62" i="1"/>
  <c r="P62" i="1"/>
  <c r="N62" i="1"/>
  <c r="L62" i="1"/>
  <c r="I62" i="1"/>
  <c r="J62" i="1" s="1"/>
  <c r="H62" i="1"/>
  <c r="D62" i="1"/>
  <c r="R66" i="1"/>
  <c r="R56" i="1"/>
  <c r="P56" i="1"/>
  <c r="N56" i="1"/>
  <c r="L56" i="1"/>
  <c r="I56" i="1"/>
  <c r="J56" i="1" s="1"/>
  <c r="H56" i="1"/>
  <c r="D56" i="1"/>
  <c r="R55" i="1"/>
  <c r="P55" i="1"/>
  <c r="N55" i="1"/>
  <c r="L55" i="1"/>
  <c r="I55" i="1"/>
  <c r="J55" i="1" s="1"/>
  <c r="H55" i="1"/>
  <c r="D55" i="1"/>
  <c r="R52" i="1"/>
  <c r="P52" i="1"/>
  <c r="N52" i="1"/>
  <c r="I52" i="1"/>
  <c r="J52" i="1" s="1"/>
  <c r="K52" i="1" s="1"/>
  <c r="L52" i="1" s="1"/>
  <c r="H52" i="1"/>
  <c r="R51" i="1"/>
  <c r="P51" i="1"/>
  <c r="R50" i="1"/>
  <c r="P50" i="1"/>
  <c r="R49" i="1"/>
  <c r="P49" i="1"/>
  <c r="N49" i="1"/>
  <c r="L49" i="1"/>
  <c r="I49" i="1"/>
  <c r="J49" i="1" s="1"/>
  <c r="D49" i="1"/>
  <c r="R48" i="1"/>
  <c r="P48" i="1"/>
  <c r="N48" i="1"/>
  <c r="L48" i="1"/>
  <c r="I48" i="1"/>
  <c r="J48" i="1" s="1"/>
  <c r="H48" i="1"/>
  <c r="D48" i="1"/>
  <c r="R47" i="1"/>
  <c r="P47" i="1"/>
  <c r="N47" i="1"/>
  <c r="L47" i="1"/>
  <c r="I47" i="1"/>
  <c r="J47" i="1" s="1"/>
  <c r="H47" i="1"/>
  <c r="D47" i="1"/>
  <c r="R46" i="1"/>
  <c r="R45" i="1"/>
  <c r="R44" i="1"/>
  <c r="P44" i="1"/>
  <c r="N44" i="1"/>
  <c r="L44" i="1"/>
  <c r="J44" i="1"/>
  <c r="H44" i="1"/>
  <c r="D44" i="1"/>
  <c r="R43" i="1"/>
  <c r="P43" i="1"/>
  <c r="N43" i="1"/>
  <c r="L43" i="1"/>
  <c r="J43" i="1"/>
  <c r="D43" i="1"/>
  <c r="R53" i="1"/>
  <c r="P53" i="1"/>
  <c r="N53" i="1"/>
  <c r="L53" i="1"/>
  <c r="R33" i="1"/>
  <c r="P33" i="1"/>
  <c r="N33" i="1"/>
  <c r="L33" i="1"/>
  <c r="I33" i="1"/>
  <c r="J33" i="1" s="1"/>
  <c r="H33" i="1"/>
  <c r="D33" i="1"/>
  <c r="R32" i="1"/>
  <c r="P32" i="1"/>
  <c r="N32" i="1"/>
  <c r="L32" i="1"/>
  <c r="I32" i="1"/>
  <c r="J32" i="1" s="1"/>
  <c r="H32" i="1"/>
  <c r="D32" i="1"/>
  <c r="R31" i="1"/>
  <c r="P31" i="1"/>
  <c r="R30" i="1"/>
  <c r="P30" i="1"/>
  <c r="N30" i="1"/>
  <c r="L30" i="1"/>
  <c r="I30" i="1"/>
  <c r="J30" i="1" s="1"/>
  <c r="H30" i="1"/>
  <c r="D30" i="1"/>
  <c r="R29" i="1"/>
  <c r="P29" i="1"/>
  <c r="N29" i="1"/>
  <c r="L29" i="1"/>
  <c r="I29" i="1"/>
  <c r="J29" i="1" s="1"/>
  <c r="H29" i="1"/>
  <c r="R58" i="1"/>
  <c r="P58" i="1"/>
  <c r="N58" i="1"/>
  <c r="L58" i="1"/>
  <c r="I58" i="1"/>
  <c r="J58" i="1" s="1"/>
  <c r="H58" i="1"/>
  <c r="D58" i="1"/>
  <c r="R57" i="1"/>
  <c r="P57" i="1"/>
  <c r="N57" i="1"/>
  <c r="L57" i="1"/>
  <c r="I57" i="1"/>
  <c r="J57" i="1" s="1"/>
  <c r="H57" i="1"/>
  <c r="D57" i="1"/>
  <c r="R61" i="1"/>
  <c r="P61" i="1"/>
  <c r="C28" i="1" l="1"/>
  <c r="C40" i="1"/>
  <c r="C41" i="1"/>
  <c r="C23" i="1"/>
  <c r="C60" i="1"/>
  <c r="C15" i="1"/>
  <c r="C59" i="1"/>
</calcChain>
</file>

<file path=xl/sharedStrings.xml><?xml version="1.0" encoding="utf-8"?>
<sst xmlns="http://schemas.openxmlformats.org/spreadsheetml/2006/main" count="537" uniqueCount="216">
  <si>
    <t>Chart of Accounts</t>
  </si>
  <si>
    <t>Position</t>
  </si>
  <si>
    <t>001-510-5110</t>
  </si>
  <si>
    <t>Animal Inspector</t>
  </si>
  <si>
    <t>001 141 5110</t>
  </si>
  <si>
    <t>Assessor</t>
  </si>
  <si>
    <t>001 241 5120</t>
  </si>
  <si>
    <t>Assistant Building Insp.</t>
  </si>
  <si>
    <t>001 512 5100</t>
  </si>
  <si>
    <t>Bd. Of Health</t>
  </si>
  <si>
    <t>001 162 5100</t>
  </si>
  <si>
    <t>Bd. Of Registrars</t>
  </si>
  <si>
    <t>001 162 5120</t>
  </si>
  <si>
    <t>Bd. Of Registrars Clerk</t>
  </si>
  <si>
    <t>001 241 5100</t>
  </si>
  <si>
    <t>Building Insp.</t>
  </si>
  <si>
    <t>001 160 5145</t>
  </si>
  <si>
    <t>Constable</t>
  </si>
  <si>
    <t>001 233 5110</t>
  </si>
  <si>
    <t>Emergency Mgt Dir</t>
  </si>
  <si>
    <t>001-190-5140</t>
  </si>
  <si>
    <t>Facilities Engineer</t>
  </si>
  <si>
    <t>001 134 5100</t>
  </si>
  <si>
    <t>Financial Director</t>
  </si>
  <si>
    <t>001 114 5120</t>
  </si>
  <si>
    <t>Moderator</t>
  </si>
  <si>
    <t>Moderator - Deputy</t>
  </si>
  <si>
    <t>Project Manager</t>
  </si>
  <si>
    <t>001 421 5100</t>
  </si>
  <si>
    <t>Rd. Commissioner</t>
  </si>
  <si>
    <t>001 122 5100</t>
  </si>
  <si>
    <t>Selectperson</t>
  </si>
  <si>
    <t>001 122 5120</t>
  </si>
  <si>
    <t>SB Recording Secretary</t>
  </si>
  <si>
    <t>001 122 5125</t>
  </si>
  <si>
    <t>001 300 5100</t>
  </si>
  <si>
    <t>SR Sch. Comm.</t>
  </si>
  <si>
    <t>001 146 5100</t>
  </si>
  <si>
    <t>Tax Collector</t>
  </si>
  <si>
    <t>001 146 5120</t>
  </si>
  <si>
    <t>Tax Collector, Asst</t>
  </si>
  <si>
    <t>001 161 5100</t>
  </si>
  <si>
    <t>Town Clerk</t>
  </si>
  <si>
    <t>001 145 5100</t>
  </si>
  <si>
    <t>Treasurer</t>
  </si>
  <si>
    <t>001 294 5100</t>
  </si>
  <si>
    <t>Tree Warden</t>
  </si>
  <si>
    <t>001 176 5100</t>
  </si>
  <si>
    <t>ZBA Salary</t>
  </si>
  <si>
    <t>001-220-5101</t>
  </si>
  <si>
    <t>Fire Chief</t>
  </si>
  <si>
    <t>001 123 5110</t>
  </si>
  <si>
    <t>Town Coordinator</t>
  </si>
  <si>
    <t>001 135 5110</t>
  </si>
  <si>
    <t>Accountant</t>
  </si>
  <si>
    <t>001 135 5120</t>
  </si>
  <si>
    <t>Assistant Accountant</t>
  </si>
  <si>
    <t>001 422 5400</t>
  </si>
  <si>
    <t>Road Supervisor</t>
  </si>
  <si>
    <t>Shared Clerk energy, open space, pb</t>
  </si>
  <si>
    <t>Annual Amt.</t>
  </si>
  <si>
    <t>TOWN OF WENDELL</t>
  </si>
  <si>
    <t>LIST OF POSITIONS</t>
  </si>
  <si>
    <t>FY25 RATE</t>
  </si>
  <si>
    <t>Board of Health Clerk</t>
  </si>
  <si>
    <t>001 512 5120</t>
  </si>
  <si>
    <t>Groundskeeping Supervisor</t>
  </si>
  <si>
    <t>001 491 5400 000 000 1</t>
  </si>
  <si>
    <t>Cemetery</t>
  </si>
  <si>
    <t>Custodian Hourly</t>
  </si>
  <si>
    <t>001 192 5115</t>
  </si>
  <si>
    <t>Deputy Chief</t>
  </si>
  <si>
    <t>001 220 5400 000 400 1</t>
  </si>
  <si>
    <t>Fire Department Officer</t>
  </si>
  <si>
    <t>Firefighter Hourly</t>
  </si>
  <si>
    <t>Firefighter Probationary</t>
  </si>
  <si>
    <t>Highway Clerk Hourly</t>
  </si>
  <si>
    <t>001 422 5400 000 130</t>
  </si>
  <si>
    <t>Highway Road Super</t>
  </si>
  <si>
    <t>Highway OT Road Super</t>
  </si>
  <si>
    <t>Highway Assistant Road Super</t>
  </si>
  <si>
    <t>Highway  OT Assistant Road Super</t>
  </si>
  <si>
    <t>Truck Driver</t>
  </si>
  <si>
    <t>Highway OT Truck Driver</t>
  </si>
  <si>
    <t>Part -time Truck Driver</t>
  </si>
  <si>
    <t>Laborer/Truck Dr/Rate</t>
  </si>
  <si>
    <t>Laborer/Truck Dr/Rate O/T</t>
  </si>
  <si>
    <t>Summer Help Highway</t>
  </si>
  <si>
    <t>WRATS Hourly</t>
  </si>
  <si>
    <t>001 433 5400 000 000 1</t>
  </si>
  <si>
    <t>WRATS Superintendent</t>
  </si>
  <si>
    <t>KITCHEN COORDINATOR</t>
  </si>
  <si>
    <t>Library Assistant</t>
  </si>
  <si>
    <t>001 610 5400</t>
  </si>
  <si>
    <t>Library Director</t>
  </si>
  <si>
    <t>Planning Board Clerk</t>
  </si>
  <si>
    <t>001 175 5120</t>
  </si>
  <si>
    <t>Pollworkers</t>
  </si>
  <si>
    <t>001 162 5400</t>
  </si>
  <si>
    <t>Town Clerk Assistant</t>
  </si>
  <si>
    <t>001 161 5120</t>
  </si>
  <si>
    <t>Selectboard Clerk Hourly</t>
  </si>
  <si>
    <r>
      <t>SNOW BLOWING -</t>
    </r>
    <r>
      <rPr>
        <sz val="8"/>
        <rFont val="Arial"/>
        <family val="2"/>
      </rPr>
      <t xml:space="preserve"> MINIMUM 5 HR/STORM</t>
    </r>
  </si>
  <si>
    <t>001 423 5400</t>
  </si>
  <si>
    <t>001 145 5120</t>
  </si>
  <si>
    <t xml:space="preserve">Tree Warden Hourly </t>
  </si>
  <si>
    <t>001 294 5400 000 000 1</t>
  </si>
  <si>
    <t>239-122-5400</t>
  </si>
  <si>
    <t>POSITIONS</t>
  </si>
  <si>
    <t xml:space="preserve"># OF </t>
  </si>
  <si>
    <t>5+</t>
  </si>
  <si>
    <t>N/A</t>
  </si>
  <si>
    <t>10+</t>
  </si>
  <si>
    <t>Treasurer Clerk</t>
  </si>
  <si>
    <t>HOURS</t>
  </si>
  <si>
    <t>ANY SPECIAL REQUIREMENTS TO PREFORM DUTIES OF POSITION</t>
  </si>
  <si>
    <t>E/A</t>
  </si>
  <si>
    <t>M</t>
  </si>
  <si>
    <t>WEEK/</t>
  </si>
  <si>
    <t>MONTH</t>
  </si>
  <si>
    <t>A</t>
  </si>
  <si>
    <t>4-6</t>
  </si>
  <si>
    <t>W</t>
  </si>
  <si>
    <t>E</t>
  </si>
  <si>
    <t>Library Assistant Director</t>
  </si>
  <si>
    <t xml:space="preserve"> </t>
  </si>
  <si>
    <t>Election Warden</t>
  </si>
  <si>
    <t>Election Workers</t>
  </si>
  <si>
    <t>AN</t>
  </si>
  <si>
    <t>19-</t>
  </si>
  <si>
    <t>19 -</t>
  </si>
  <si>
    <t>2-10</t>
  </si>
  <si>
    <t>AN=AS NEEDED</t>
  </si>
  <si>
    <t>A= APPOINTED</t>
  </si>
  <si>
    <t>W=WEEK</t>
  </si>
  <si>
    <t>M=MONTH</t>
  </si>
  <si>
    <t>12-15</t>
  </si>
  <si>
    <t>10-13</t>
  </si>
  <si>
    <t>14-18</t>
  </si>
  <si>
    <t>Based on hours/salary = 14/$12.22 per hr - 18/$9.50 per hr</t>
  </si>
  <si>
    <t>Based on hours/salary = 10/$28.37 per hr - 13/$21.82 per hr</t>
  </si>
  <si>
    <t xml:space="preserve">Firefighter EMT </t>
  </si>
  <si>
    <t xml:space="preserve">Joe recommends $.50 - $1.00 increase for EMT </t>
  </si>
  <si>
    <t>Based on hours/salary = 12/$36.59 per hr - 15/$29.27 per hr</t>
  </si>
  <si>
    <t>Based on hours/salary = 20/$20.90 per hr</t>
  </si>
  <si>
    <t>Based on hours/salary = 10/$27.13 per hr</t>
  </si>
  <si>
    <t>Based on hours/salary = 20/$30.14 per hr</t>
  </si>
  <si>
    <t>Based on hours/salary = 40/$36.27 per hr(This includes approx 250 hrs of OT/year)(44.81/$32.38)</t>
  </si>
  <si>
    <t>Paid from a revolving fund</t>
  </si>
  <si>
    <t>15-18</t>
  </si>
  <si>
    <t>Based on hours/salary = 15/$23.22 per hr - 18/$19.35 per hr</t>
  </si>
  <si>
    <t>4-20</t>
  </si>
  <si>
    <t>Based on hours/salary = 4/$21.77 per hr - 20/$4.35 per hr</t>
  </si>
  <si>
    <t>30-50</t>
  </si>
  <si>
    <t>Based on hours/salary = 30/$22.81 per hr - 50/$13.69 per hr</t>
  </si>
  <si>
    <t>virtual clerk: clerical duties that can be accomplished remotely and digitally.</t>
  </si>
  <si>
    <t>processes vendor checks and prepares deposits, other random clerical tasks as needed</t>
  </si>
  <si>
    <t>4-8/ea</t>
  </si>
  <si>
    <t>Based on hours/salary = 4/$37.50 per hr - 8/$18.75 per hr</t>
  </si>
  <si>
    <t>15-20</t>
  </si>
  <si>
    <t>Average monthly hours from FY24</t>
  </si>
  <si>
    <t>FY23 (6) storms most were less than the 5 hour minimum</t>
  </si>
  <si>
    <t>Last used in FY19</t>
  </si>
  <si>
    <t>NOTES</t>
  </si>
  <si>
    <t>5</t>
  </si>
  <si>
    <t>Based on hours/salary = 5/10.45 per hr (SUBCOMMITTEES CAN ADD SIGNIFICANTLY MORE)</t>
  </si>
  <si>
    <t>Based on hours/salary = 20/13.06 per hr</t>
  </si>
  <si>
    <t>in person clerk: files things, does hard copy research, prepares utilities bill sch, postings, etc</t>
  </si>
  <si>
    <t>Based on hours/salary = 17/39.14 per hr</t>
  </si>
  <si>
    <t>Meeting prep, agenda postings, writing and filing min., prep warrants for up to 9 accounts, account tracking, research, emails, mail, filing and keeping up the highway contact list. [future chap 90 filings]</t>
  </si>
  <si>
    <t>RECOMMENDATION</t>
  </si>
  <si>
    <t>CHANGE TO HOURLY $18.73</t>
  </si>
  <si>
    <t>REC NO CHANGE</t>
  </si>
  <si>
    <t>Assessor - chair</t>
  </si>
  <si>
    <t>REC $20/HR</t>
  </si>
  <si>
    <t>REC $20/HR - CHAIR MORE TAKES NOTES</t>
  </si>
  <si>
    <t>REC NO CHANGE CHANGE TO POSITION BEING CONSIDERED BY SB</t>
  </si>
  <si>
    <t>Bd. Of Health - chair</t>
  </si>
  <si>
    <t xml:space="preserve">REC $20/HR - CHAIR   </t>
  </si>
  <si>
    <t>Rd. Commissioner - Chair</t>
  </si>
  <si>
    <t>Based on hours/salary = 28/$28.27 per hr</t>
  </si>
  <si>
    <t>REC NEW POSITION</t>
  </si>
  <si>
    <t>REC INCREASE DUE TO INCREASE IN DUTIES</t>
  </si>
  <si>
    <t>REC DELETE</t>
  </si>
  <si>
    <t>REC INCREASE DUE TO TYPE OF DUTIES</t>
  </si>
  <si>
    <t>Selectperson - Chair</t>
  </si>
  <si>
    <r>
      <t xml:space="preserve">$20 X 15 X 12 = </t>
    </r>
    <r>
      <rPr>
        <b/>
        <sz val="12"/>
        <color theme="1"/>
        <rFont val="Aptos Narrow"/>
        <family val="2"/>
        <scheme val="minor"/>
      </rPr>
      <t>$3600</t>
    </r>
  </si>
  <si>
    <r>
      <t>$20 X 18 X 12 =</t>
    </r>
    <r>
      <rPr>
        <b/>
        <sz val="12"/>
        <color theme="1"/>
        <rFont val="Aptos Narrow"/>
        <family val="2"/>
        <scheme val="minor"/>
      </rPr>
      <t xml:space="preserve"> $4320</t>
    </r>
  </si>
  <si>
    <r>
      <t xml:space="preserve">$18.73 X 14 X 12 = </t>
    </r>
    <r>
      <rPr>
        <b/>
        <sz val="12"/>
        <color theme="1"/>
        <rFont val="Aptos Narrow"/>
        <family val="2"/>
        <scheme val="minor"/>
      </rPr>
      <t>$3147</t>
    </r>
  </si>
  <si>
    <r>
      <t>$18.73 X 13 X 12 =</t>
    </r>
    <r>
      <rPr>
        <b/>
        <sz val="12"/>
        <color theme="1"/>
        <rFont val="Aptos Narrow"/>
        <family val="2"/>
        <scheme val="minor"/>
      </rPr>
      <t xml:space="preserve"> $2922</t>
    </r>
  </si>
  <si>
    <r>
      <t>$20 X 8 X 12 =</t>
    </r>
    <r>
      <rPr>
        <b/>
        <sz val="12"/>
        <color theme="1"/>
        <rFont val="Aptos Narrow"/>
        <family val="2"/>
        <scheme val="minor"/>
      </rPr>
      <t xml:space="preserve"> $1920</t>
    </r>
  </si>
  <si>
    <r>
      <t xml:space="preserve">$20 X 6 X 12 = </t>
    </r>
    <r>
      <rPr>
        <b/>
        <sz val="12"/>
        <color theme="1"/>
        <rFont val="Aptos Narrow"/>
        <family val="2"/>
        <scheme val="minor"/>
      </rPr>
      <t>$1440</t>
    </r>
  </si>
  <si>
    <r>
      <t xml:space="preserve">$20 X 8 X 12 = </t>
    </r>
    <r>
      <rPr>
        <b/>
        <sz val="12"/>
        <color theme="1"/>
        <rFont val="Aptos Narrow"/>
        <family val="2"/>
        <scheme val="minor"/>
      </rPr>
      <t>$1920</t>
    </r>
  </si>
  <si>
    <r>
      <t>$20 X 10 X 12 =</t>
    </r>
    <r>
      <rPr>
        <b/>
        <sz val="12"/>
        <color theme="1"/>
        <rFont val="Aptos Narrow"/>
        <family val="2"/>
        <scheme val="minor"/>
      </rPr>
      <t xml:space="preserve"> $2400</t>
    </r>
  </si>
  <si>
    <t>FY2025 BUDGET</t>
  </si>
  <si>
    <t>BUDGET</t>
  </si>
  <si>
    <t>WITH CHANGES</t>
  </si>
  <si>
    <t>INDIVIDUAL</t>
  </si>
  <si>
    <t>VARIANCE</t>
  </si>
  <si>
    <t>---------------------------------</t>
  </si>
  <si>
    <t>REQ INCREASE DUE TO WEBSITE POSTING REQUIREMENTS</t>
  </si>
  <si>
    <t>RED (+)</t>
  </si>
  <si>
    <t>BLACK (-)</t>
  </si>
  <si>
    <t>TOTALS</t>
  </si>
  <si>
    <t>Based on hours/salary = 10/$29.17 per hr[hrs slightly higher to compensate for no mileage reimb.]</t>
  </si>
  <si>
    <t>Miriam suggests an hourly rate of $19-$20/hr [Takes over duties of Director in their absence. Computer Experience, phones, building security &amp; daily maintenance, deal with public</t>
  </si>
  <si>
    <r>
      <t xml:space="preserve">$20 X 60 = </t>
    </r>
    <r>
      <rPr>
        <b/>
        <sz val="12"/>
        <color theme="1"/>
        <rFont val="Aptos Narrow"/>
        <family val="2"/>
        <scheme val="minor"/>
      </rPr>
      <t>$1200</t>
    </r>
  </si>
  <si>
    <t>FY 25 CURRENT</t>
  </si>
  <si>
    <r>
      <t xml:space="preserve">$20 X 18 = </t>
    </r>
    <r>
      <rPr>
        <b/>
        <sz val="12"/>
        <color theme="1"/>
        <rFont val="Aptos Narrow"/>
        <family val="2"/>
        <scheme val="minor"/>
      </rPr>
      <t>$360</t>
    </r>
  </si>
  <si>
    <t>REC CONSIDER POSITION AS TWO SEPARATE</t>
  </si>
  <si>
    <t>POSITIONS/SAME ACCOUNTING LINE</t>
  </si>
  <si>
    <t>Inspector of barns and livestock - Approximately 60 hrs. in beginning of calendar year for barn checks and regulatory requirements</t>
  </si>
  <si>
    <t>Deals with rabies cases and infectious deseases as needed</t>
  </si>
  <si>
    <t>Responsible for signing Town Meeting Warrants &amp; Election Warrants, gives to Town Clerk to post on website but also posts on Town Office bulletin board.</t>
  </si>
  <si>
    <t>Available at all ATM, STM, and all Elections. To keep the Peace.</t>
  </si>
  <si>
    <t>Responsible to overseeing all election worker's and activity of votes on the floor.  TC must stay neutral and not be on voting floor.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</si>
</sst>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;[Red]\(0.00\)"/>
  </numFmts>
  <fonts count="28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sz val="11"/>
      <name val="Aptos Narrow"/>
      <family val="2"/>
      <scheme val="minor"/>
    </font>
    <font>
      <sz val="11"/>
      <name val="Arial Black"/>
      <family val="2"/>
    </font>
    <font>
      <b/>
      <sz val="10"/>
      <name val="Arial"/>
      <family val="2"/>
    </font>
    <font>
      <sz val="8"/>
      <color theme="1"/>
      <name val="Aptos Narrow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ptos Narrow"/>
      <family val="2"/>
      <scheme val="minor"/>
    </font>
    <font>
      <sz val="8"/>
      <name val="Arial Black"/>
      <family val="2"/>
    </font>
    <font>
      <sz val="12"/>
      <color theme="1"/>
      <name val="Aptos Narrow"/>
      <family val="2"/>
      <scheme val="minor"/>
    </font>
    <font>
      <strike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rial Black"/>
      <family val="2"/>
    </font>
    <font>
      <b/>
      <sz val="12"/>
      <name val="Arial Black"/>
      <family val="2"/>
    </font>
    <font>
      <strike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2"/>
      <color rgb="FFFF0000"/>
      <name val="Aptos Narrow"/>
      <family val="2"/>
      <scheme val="minor"/>
    </font>
    <font>
      <i/>
      <sz val="12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EF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2" fillId="0" borderId="0" xfId="0" applyFont="1"/>
    <xf numFmtId="44" fontId="0" fillId="0" borderId="1" xfId="0" applyNumberFormat="1" applyBorder="1"/>
    <xf numFmtId="44" fontId="0" fillId="0" borderId="0" xfId="0" applyNumberFormat="1"/>
    <xf numFmtId="44" fontId="1" fillId="0" borderId="0" xfId="0" applyNumberFormat="1" applyFont="1"/>
    <xf numFmtId="44" fontId="2" fillId="0" borderId="0" xfId="0" applyNumberFormat="1" applyFont="1"/>
    <xf numFmtId="8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2" fontId="5" fillId="0" borderId="0" xfId="0" applyNumberFormat="1" applyFont="1"/>
    <xf numFmtId="164" fontId="1" fillId="2" borderId="0" xfId="0" applyNumberFormat="1" applyFont="1" applyFill="1"/>
    <xf numFmtId="43" fontId="6" fillId="0" borderId="0" xfId="0" applyNumberFormat="1" applyFont="1"/>
    <xf numFmtId="43" fontId="0" fillId="0" borderId="0" xfId="0" applyNumberFormat="1"/>
    <xf numFmtId="164" fontId="7" fillId="0" borderId="0" xfId="0" applyNumberFormat="1" applyFont="1"/>
    <xf numFmtId="40" fontId="8" fillId="0" borderId="0" xfId="0" applyNumberFormat="1" applyFont="1"/>
    <xf numFmtId="164" fontId="0" fillId="0" borderId="0" xfId="0" applyNumberFormat="1"/>
    <xf numFmtId="164" fontId="0" fillId="2" borderId="0" xfId="0" applyNumberFormat="1" applyFill="1"/>
    <xf numFmtId="2" fontId="1" fillId="3" borderId="0" xfId="0" applyNumberFormat="1" applyFont="1" applyFill="1"/>
    <xf numFmtId="2" fontId="5" fillId="3" borderId="0" xfId="0" applyNumberFormat="1" applyFont="1" applyFill="1"/>
    <xf numFmtId="164" fontId="1" fillId="3" borderId="0" xfId="0" applyNumberFormat="1" applyFont="1" applyFill="1"/>
    <xf numFmtId="164" fontId="0" fillId="3" borderId="0" xfId="0" applyNumberFormat="1" applyFill="1"/>
    <xf numFmtId="43" fontId="6" fillId="3" borderId="0" xfId="0" applyNumberFormat="1" applyFont="1" applyFill="1"/>
    <xf numFmtId="43" fontId="0" fillId="3" borderId="0" xfId="0" applyNumberFormat="1" applyFill="1"/>
    <xf numFmtId="0" fontId="5" fillId="0" borderId="0" xfId="0" applyFont="1"/>
    <xf numFmtId="0" fontId="6" fillId="0" borderId="0" xfId="0" applyFont="1"/>
    <xf numFmtId="2" fontId="9" fillId="0" borderId="0" xfId="0" applyNumberFormat="1" applyFont="1"/>
    <xf numFmtId="0" fontId="3" fillId="0" borderId="0" xfId="0" applyFont="1"/>
    <xf numFmtId="0" fontId="0" fillId="0" borderId="1" xfId="0" applyBorder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0" fillId="4" borderId="0" xfId="0" applyFill="1"/>
    <xf numFmtId="164" fontId="0" fillId="4" borderId="0" xfId="0" applyNumberFormat="1" applyFill="1"/>
    <xf numFmtId="164" fontId="1" fillId="4" borderId="0" xfId="0" applyNumberFormat="1" applyFont="1" applyFill="1"/>
    <xf numFmtId="2" fontId="1" fillId="4" borderId="0" xfId="0" applyNumberFormat="1" applyFont="1" applyFill="1"/>
    <xf numFmtId="2" fontId="5" fillId="4" borderId="0" xfId="0" applyNumberFormat="1" applyFont="1" applyFill="1"/>
    <xf numFmtId="43" fontId="6" fillId="4" borderId="0" xfId="0" applyNumberFormat="1" applyFont="1" applyFill="1"/>
    <xf numFmtId="43" fontId="0" fillId="4" borderId="0" xfId="0" applyNumberFormat="1" applyFill="1"/>
    <xf numFmtId="164" fontId="7" fillId="4" borderId="0" xfId="0" applyNumberFormat="1" applyFont="1" applyFill="1"/>
    <xf numFmtId="40" fontId="8" fillId="4" borderId="0" xfId="0" applyNumberFormat="1" applyFon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10" fillId="0" borderId="0" xfId="0" applyFont="1"/>
    <xf numFmtId="0" fontId="4" fillId="0" borderId="0" xfId="0" applyFont="1"/>
    <xf numFmtId="164" fontId="10" fillId="0" borderId="0" xfId="0" applyNumberFormat="1" applyFont="1"/>
    <xf numFmtId="164" fontId="4" fillId="0" borderId="0" xfId="0" applyNumberFormat="1" applyFont="1"/>
    <xf numFmtId="2" fontId="11" fillId="0" borderId="0" xfId="0" applyNumberFormat="1" applyFont="1"/>
    <xf numFmtId="2" fontId="4" fillId="0" borderId="0" xfId="0" applyNumberFormat="1" applyFont="1"/>
    <xf numFmtId="164" fontId="10" fillId="2" borderId="0" xfId="0" applyNumberFormat="1" applyFont="1" applyFill="1"/>
    <xf numFmtId="43" fontId="12" fillId="0" borderId="0" xfId="0" applyNumberFormat="1" applyFont="1"/>
    <xf numFmtId="43" fontId="10" fillId="0" borderId="0" xfId="0" applyNumberFormat="1" applyFont="1"/>
    <xf numFmtId="164" fontId="13" fillId="0" borderId="0" xfId="0" applyNumberFormat="1" applyFont="1"/>
    <xf numFmtId="40" fontId="14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1" xfId="0" applyFill="1" applyBorder="1"/>
    <xf numFmtId="0" fontId="0" fillId="5" borderId="0" xfId="0" applyFill="1" applyAlignment="1">
      <alignment wrapText="1"/>
    </xf>
    <xf numFmtId="0" fontId="15" fillId="0" borderId="0" xfId="0" applyFont="1"/>
    <xf numFmtId="44" fontId="15" fillId="0" borderId="0" xfId="0" applyNumberFormat="1" applyFont="1"/>
    <xf numFmtId="0" fontId="15" fillId="0" borderId="0" xfId="0" applyFont="1" applyAlignment="1">
      <alignment horizontal="center"/>
    </xf>
    <xf numFmtId="0" fontId="16" fillId="0" borderId="0" xfId="0" applyFont="1"/>
    <xf numFmtId="44" fontId="16" fillId="0" borderId="0" xfId="0" applyNumberFormat="1" applyFont="1"/>
    <xf numFmtId="0" fontId="16" fillId="0" borderId="0" xfId="0" applyFont="1" applyAlignment="1">
      <alignment horizontal="center"/>
    </xf>
    <xf numFmtId="0" fontId="0" fillId="6" borderId="0" xfId="0" applyFill="1"/>
    <xf numFmtId="44" fontId="0" fillId="6" borderId="0" xfId="0" applyNumberFormat="1" applyFill="1"/>
    <xf numFmtId="0" fontId="0" fillId="6" borderId="0" xfId="0" applyFill="1" applyAlignment="1">
      <alignment horizontal="center"/>
    </xf>
    <xf numFmtId="0" fontId="18" fillId="2" borderId="0" xfId="0" applyFont="1" applyFill="1"/>
    <xf numFmtId="8" fontId="19" fillId="4" borderId="0" xfId="0" applyNumberFormat="1" applyFont="1" applyFill="1"/>
    <xf numFmtId="0" fontId="18" fillId="0" borderId="0" xfId="0" applyFont="1"/>
    <xf numFmtId="0" fontId="18" fillId="0" borderId="1" xfId="0" applyFont="1" applyBorder="1"/>
    <xf numFmtId="0" fontId="18" fillId="7" borderId="0" xfId="0" applyFont="1" applyFill="1"/>
    <xf numFmtId="40" fontId="20" fillId="0" borderId="0" xfId="0" applyNumberFormat="1" applyFont="1"/>
    <xf numFmtId="6" fontId="18" fillId="2" borderId="0" xfId="0" applyNumberFormat="1" applyFont="1" applyFill="1"/>
    <xf numFmtId="0" fontId="18" fillId="6" borderId="0" xfId="0" applyFont="1" applyFill="1"/>
    <xf numFmtId="40" fontId="21" fillId="0" borderId="0" xfId="0" applyNumberFormat="1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8" fontId="19" fillId="0" borderId="0" xfId="0" applyNumberFormat="1" applyFont="1"/>
    <xf numFmtId="8" fontId="18" fillId="0" borderId="0" xfId="0" applyNumberFormat="1" applyFont="1"/>
    <xf numFmtId="8" fontId="20" fillId="0" borderId="0" xfId="0" applyNumberFormat="1" applyFont="1"/>
    <xf numFmtId="8" fontId="22" fillId="0" borderId="0" xfId="0" applyNumberFormat="1" applyFont="1"/>
    <xf numFmtId="40" fontId="24" fillId="0" borderId="0" xfId="0" applyNumberFormat="1" applyFont="1"/>
    <xf numFmtId="8" fontId="24" fillId="0" borderId="0" xfId="0" applyNumberFormat="1" applyFont="1"/>
    <xf numFmtId="40" fontId="24" fillId="0" borderId="0" xfId="0" quotePrefix="1" applyNumberFormat="1" applyFont="1"/>
    <xf numFmtId="0" fontId="25" fillId="5" borderId="0" xfId="0" applyFont="1" applyFill="1" applyAlignment="1">
      <alignment wrapText="1"/>
    </xf>
    <xf numFmtId="8" fontId="26" fillId="0" borderId="0" xfId="0" applyNumberFormat="1" applyFont="1" applyAlignment="1">
      <alignment horizontal="center"/>
    </xf>
    <xf numFmtId="8" fontId="27" fillId="0" borderId="0" xfId="0" applyNumberFormat="1" applyFont="1" applyAlignment="1">
      <alignment horizontal="center"/>
    </xf>
    <xf numFmtId="8" fontId="18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right"/>
    </xf>
    <xf numFmtId="8" fontId="18" fillId="6" borderId="0" xfId="0" applyNumberFormat="1" applyFont="1" applyFill="1"/>
    <xf numFmtId="8" fontId="26" fillId="6" borderId="0" xfId="0" applyNumberFormat="1" applyFont="1" applyFill="1" applyAlignment="1">
      <alignment horizontal="center"/>
    </xf>
    <xf numFmtId="8" fontId="27" fillId="6" borderId="0" xfId="0" applyNumberFormat="1" applyFont="1" applyFill="1" applyAlignment="1">
      <alignment horizontal="center"/>
    </xf>
    <xf numFmtId="8" fontId="18" fillId="6" borderId="1" xfId="0" applyNumberFormat="1" applyFont="1" applyFill="1" applyBorder="1" applyAlignment="1">
      <alignment horizontal="center"/>
    </xf>
    <xf numFmtId="8" fontId="20" fillId="6" borderId="0" xfId="0" applyNumberFormat="1" applyFont="1" applyFill="1"/>
    <xf numFmtId="0" fontId="15" fillId="2" borderId="0" xfId="0" applyFont="1" applyFill="1"/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21EFF-AF1E-43CF-881F-F734B6694AEC}">
  <sheetPr>
    <pageSetUpPr fitToPage="1"/>
  </sheetPr>
  <dimension ref="A1:AD319"/>
  <sheetViews>
    <sheetView tabSelected="1" zoomScaleNormal="100" workbookViewId="0">
      <pane xSplit="2" ySplit="4" topLeftCell="Z51" activePane="bottomRight" state="frozen"/>
      <selection pane="topRight" activeCell="C1" sqref="C1"/>
      <selection pane="bottomLeft" activeCell="A5" sqref="A5"/>
      <selection pane="bottomRight" activeCell="AD46" sqref="AD46"/>
    </sheetView>
  </sheetViews>
  <sheetFormatPr defaultRowHeight="15.6" x14ac:dyDescent="0.3"/>
  <cols>
    <col min="1" max="1" width="22.88671875" customWidth="1"/>
    <col min="2" max="2" width="30.33203125" customWidth="1"/>
    <col min="3" max="3" width="13.6640625" customWidth="1"/>
    <col min="4" max="18" width="0" hidden="1" customWidth="1"/>
    <col min="19" max="19" width="24.77734375" style="74" customWidth="1"/>
    <col min="20" max="20" width="0.88671875" style="74" customWidth="1"/>
    <col min="21" max="21" width="24.77734375" style="74" customWidth="1"/>
    <col min="22" max="22" width="16" style="74" customWidth="1"/>
    <col min="23" max="23" width="13.5546875" style="85" customWidth="1"/>
    <col min="24" max="24" width="1" style="85" customWidth="1"/>
    <col min="25" max="25" width="12.44140625" style="10" customWidth="1"/>
    <col min="27" max="27" width="8.88671875" style="10"/>
    <col min="29" max="29" width="38.88671875" style="59" customWidth="1"/>
    <col min="30" max="30" width="77.6640625" customWidth="1"/>
  </cols>
  <sheetData>
    <row r="1" spans="1:30" ht="18.600000000000001" customHeight="1" x14ac:dyDescent="0.3">
      <c r="B1" s="10" t="s">
        <v>61</v>
      </c>
      <c r="C1" s="10" t="s">
        <v>197</v>
      </c>
      <c r="W1" s="96"/>
    </row>
    <row r="2" spans="1:30" ht="18.600000000000001" customHeight="1" thickBot="1" x14ac:dyDescent="0.35">
      <c r="B2" s="10" t="s">
        <v>62</v>
      </c>
      <c r="C2" s="10" t="s">
        <v>63</v>
      </c>
      <c r="U2" s="83" t="s">
        <v>207</v>
      </c>
      <c r="V2" s="82" t="s">
        <v>194</v>
      </c>
      <c r="W2" s="97" t="s">
        <v>201</v>
      </c>
      <c r="X2" s="92"/>
      <c r="Y2" s="10" t="s">
        <v>109</v>
      </c>
      <c r="AA2" s="10" t="s">
        <v>118</v>
      </c>
    </row>
    <row r="3" spans="1:30" ht="18.600000000000001" customHeight="1" thickTop="1" x14ac:dyDescent="0.3">
      <c r="U3" s="82" t="s">
        <v>195</v>
      </c>
      <c r="V3" s="82" t="s">
        <v>195</v>
      </c>
      <c r="W3" s="98" t="s">
        <v>202</v>
      </c>
      <c r="X3" s="93"/>
      <c r="Y3" s="10" t="s">
        <v>108</v>
      </c>
      <c r="Z3" s="10" t="s">
        <v>114</v>
      </c>
      <c r="AA3" s="10" t="s">
        <v>119</v>
      </c>
      <c r="AB3" s="10" t="s">
        <v>116</v>
      </c>
      <c r="AC3" s="60" t="s">
        <v>170</v>
      </c>
      <c r="AD3" s="10" t="s">
        <v>163</v>
      </c>
    </row>
    <row r="4" spans="1:30" ht="18.600000000000001" customHeight="1" thickBot="1" x14ac:dyDescent="0.35">
      <c r="A4" s="1" t="s">
        <v>0</v>
      </c>
      <c r="B4" s="2" t="s">
        <v>1</v>
      </c>
      <c r="C4" s="5" t="s">
        <v>60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75"/>
      <c r="T4" s="75"/>
      <c r="V4" s="83" t="s">
        <v>196</v>
      </c>
      <c r="W4" s="99" t="s">
        <v>198</v>
      </c>
      <c r="X4" s="94"/>
      <c r="Y4" s="31"/>
      <c r="Z4" s="2"/>
      <c r="AA4" s="31"/>
      <c r="AB4" s="2"/>
      <c r="AC4" s="61"/>
      <c r="AD4" s="2"/>
    </row>
    <row r="5" spans="1:30" ht="18.600000000000001" customHeight="1" thickTop="1" x14ac:dyDescent="0.3">
      <c r="A5" s="3" t="s">
        <v>32</v>
      </c>
      <c r="B5" s="30" t="s">
        <v>33</v>
      </c>
      <c r="C5" s="6">
        <v>2053</v>
      </c>
      <c r="S5" s="76" t="s">
        <v>188</v>
      </c>
      <c r="T5" s="76"/>
      <c r="U5" s="85">
        <v>2053</v>
      </c>
      <c r="V5" s="85">
        <v>3147</v>
      </c>
      <c r="W5" s="96">
        <f>SUM(U5-V5)</f>
        <v>-1094</v>
      </c>
      <c r="Y5" s="10">
        <v>1</v>
      </c>
      <c r="Z5" s="10" t="s">
        <v>138</v>
      </c>
      <c r="AA5" s="10" t="s">
        <v>117</v>
      </c>
      <c r="AB5" t="s">
        <v>120</v>
      </c>
      <c r="AC5" s="59" t="s">
        <v>171</v>
      </c>
      <c r="AD5" s="44" t="s">
        <v>139</v>
      </c>
    </row>
    <row r="6" spans="1:30" ht="18.600000000000001" customHeight="1" x14ac:dyDescent="0.3">
      <c r="A6" s="3" t="s">
        <v>34</v>
      </c>
      <c r="B6" t="s">
        <v>59</v>
      </c>
      <c r="C6" s="6">
        <v>3404</v>
      </c>
      <c r="S6" s="76" t="s">
        <v>189</v>
      </c>
      <c r="T6" s="76"/>
      <c r="U6" s="85">
        <v>3404</v>
      </c>
      <c r="V6" s="85">
        <v>2922</v>
      </c>
      <c r="W6" s="96">
        <f t="shared" ref="W6:W70" si="0">SUM(U6-V6)</f>
        <v>482</v>
      </c>
      <c r="Y6" s="10">
        <v>1</v>
      </c>
      <c r="Z6" s="33" t="s">
        <v>137</v>
      </c>
      <c r="AA6" s="10" t="s">
        <v>117</v>
      </c>
      <c r="AB6" t="s">
        <v>120</v>
      </c>
      <c r="AC6" s="59" t="s">
        <v>171</v>
      </c>
      <c r="AD6" t="s">
        <v>140</v>
      </c>
    </row>
    <row r="7" spans="1:30" ht="18.600000000000001" customHeight="1" x14ac:dyDescent="0.3">
      <c r="A7" s="3"/>
      <c r="C7" s="6"/>
      <c r="U7" s="85"/>
      <c r="V7" s="85"/>
      <c r="W7" s="96">
        <f t="shared" si="0"/>
        <v>0</v>
      </c>
      <c r="Z7" s="10"/>
      <c r="AC7"/>
    </row>
    <row r="8" spans="1:30" ht="18.600000000000001" customHeight="1" x14ac:dyDescent="0.45">
      <c r="A8" s="3" t="s">
        <v>65</v>
      </c>
      <c r="B8" s="3" t="s">
        <v>64</v>
      </c>
      <c r="C8" s="19">
        <v>17.73</v>
      </c>
      <c r="D8" s="3"/>
      <c r="E8" s="11"/>
      <c r="F8" s="11"/>
      <c r="H8" s="12"/>
      <c r="I8" s="12"/>
      <c r="J8" s="12"/>
      <c r="K8" s="12"/>
      <c r="L8" s="13"/>
      <c r="M8" s="11"/>
      <c r="N8" s="14"/>
      <c r="O8" s="15">
        <v>14.53</v>
      </c>
      <c r="P8" s="16">
        <f t="shared" ref="P8:P12" si="1">SUM(O8*1.6%)</f>
        <v>0.23247999999999999</v>
      </c>
      <c r="Q8" s="17">
        <v>16.97</v>
      </c>
      <c r="R8" s="18">
        <f t="shared" ref="R8:R12" si="2">SUM(Q8*0.045)</f>
        <v>0.76364999999999994</v>
      </c>
      <c r="S8" s="77"/>
      <c r="T8" s="77"/>
      <c r="U8" s="89">
        <v>5095</v>
      </c>
      <c r="V8" s="89">
        <v>5095</v>
      </c>
      <c r="W8" s="96">
        <f t="shared" si="0"/>
        <v>0</v>
      </c>
      <c r="Y8" s="10">
        <v>1</v>
      </c>
      <c r="Z8" s="10">
        <v>8</v>
      </c>
      <c r="AA8" s="10" t="s">
        <v>117</v>
      </c>
      <c r="AB8" t="s">
        <v>120</v>
      </c>
      <c r="AC8" s="59" t="s">
        <v>172</v>
      </c>
    </row>
    <row r="9" spans="1:30" ht="18.600000000000001" customHeight="1" x14ac:dyDescent="0.45">
      <c r="A9" t="s">
        <v>32</v>
      </c>
      <c r="B9" t="s">
        <v>101</v>
      </c>
      <c r="C9" s="19">
        <v>17.73</v>
      </c>
      <c r="D9" s="11">
        <f>SUM(9.02*0.03)+9.02</f>
        <v>9.2905999999999995</v>
      </c>
      <c r="E9" s="11">
        <v>10.5</v>
      </c>
      <c r="F9" s="11">
        <v>11.14</v>
      </c>
      <c r="H9" s="12">
        <f>SUM(F9*3%)+F9</f>
        <v>11.4742</v>
      </c>
      <c r="I9" s="12">
        <f>SUM(F9*3%)+F9</f>
        <v>11.4742</v>
      </c>
      <c r="J9" s="12">
        <f>SUM(I9*2%)+I9</f>
        <v>11.703683999999999</v>
      </c>
      <c r="K9" s="12">
        <v>12.35</v>
      </c>
      <c r="L9" s="13">
        <f>SUM(K9*2.1%)+K9</f>
        <v>12.609349999999999</v>
      </c>
      <c r="M9" s="11">
        <v>13.61</v>
      </c>
      <c r="N9" s="20">
        <f>SUM(M9*0.9%)</f>
        <v>0.12249000000000002</v>
      </c>
      <c r="O9" s="15">
        <v>14.53</v>
      </c>
      <c r="P9" s="16">
        <f t="shared" si="1"/>
        <v>0.23247999999999999</v>
      </c>
      <c r="Q9" s="17">
        <v>16.97</v>
      </c>
      <c r="R9" s="18">
        <f t="shared" si="2"/>
        <v>0.76364999999999994</v>
      </c>
      <c r="S9" s="77"/>
      <c r="T9" s="77"/>
      <c r="U9" s="88">
        <v>3971</v>
      </c>
      <c r="V9" s="88">
        <v>3971</v>
      </c>
      <c r="W9" s="96">
        <f t="shared" si="0"/>
        <v>0</v>
      </c>
      <c r="Y9" s="10">
        <v>1</v>
      </c>
      <c r="Z9" s="10">
        <v>14</v>
      </c>
      <c r="AA9" s="10" t="s">
        <v>117</v>
      </c>
      <c r="AB9" t="s">
        <v>120</v>
      </c>
      <c r="AC9" s="59" t="s">
        <v>172</v>
      </c>
      <c r="AD9" t="s">
        <v>167</v>
      </c>
    </row>
    <row r="10" spans="1:30" ht="18.600000000000001" customHeight="1" x14ac:dyDescent="0.45">
      <c r="A10" t="s">
        <v>32</v>
      </c>
      <c r="B10" t="s">
        <v>101</v>
      </c>
      <c r="C10" s="19">
        <v>17.73</v>
      </c>
      <c r="D10" s="11">
        <f>SUM(9.02*0.03)+9.02</f>
        <v>9.2905999999999995</v>
      </c>
      <c r="E10" s="11">
        <v>10.5</v>
      </c>
      <c r="F10" s="11">
        <v>11.14</v>
      </c>
      <c r="H10" s="12">
        <f>SUM(F10*3%)+F10</f>
        <v>11.4742</v>
      </c>
      <c r="I10" s="12">
        <f>SUM(F10*3%)+F10</f>
        <v>11.4742</v>
      </c>
      <c r="J10" s="12">
        <f>SUM(I10*2%)+I10</f>
        <v>11.703683999999999</v>
      </c>
      <c r="K10" s="12">
        <v>12.35</v>
      </c>
      <c r="L10" s="13">
        <f>SUM(K10*2.1%)+K10</f>
        <v>12.609349999999999</v>
      </c>
      <c r="M10" s="11">
        <v>13.61</v>
      </c>
      <c r="N10" s="20">
        <f>SUM(M10*0.9%)</f>
        <v>0.12249000000000002</v>
      </c>
      <c r="O10" s="15">
        <v>14.53</v>
      </c>
      <c r="P10" s="16">
        <f t="shared" si="1"/>
        <v>0.23247999999999999</v>
      </c>
      <c r="Q10" s="17">
        <v>16.97</v>
      </c>
      <c r="R10" s="18">
        <f t="shared" si="2"/>
        <v>0.76364999999999994</v>
      </c>
      <c r="S10" s="77"/>
      <c r="T10" s="77"/>
      <c r="U10" s="90" t="s">
        <v>199</v>
      </c>
      <c r="V10" s="90" t="s">
        <v>199</v>
      </c>
      <c r="W10" s="96" t="s">
        <v>125</v>
      </c>
      <c r="Y10" s="10">
        <v>1</v>
      </c>
      <c r="Z10" s="10">
        <v>8</v>
      </c>
      <c r="AA10" s="10" t="s">
        <v>117</v>
      </c>
      <c r="AB10" t="s">
        <v>120</v>
      </c>
      <c r="AC10" s="59" t="s">
        <v>172</v>
      </c>
      <c r="AD10" t="s">
        <v>155</v>
      </c>
    </row>
    <row r="11" spans="1:30" ht="18.600000000000001" customHeight="1" x14ac:dyDescent="0.45">
      <c r="A11" t="s">
        <v>100</v>
      </c>
      <c r="B11" s="3" t="s">
        <v>99</v>
      </c>
      <c r="C11" s="19">
        <v>17.73</v>
      </c>
      <c r="D11" s="11">
        <f>SUM(8.94*0.03)+8.94</f>
        <v>9.2081999999999997</v>
      </c>
      <c r="E11" s="11">
        <v>10.5</v>
      </c>
      <c r="F11" s="11">
        <v>11.14</v>
      </c>
      <c r="H11" s="12">
        <f>SUM(F11*3%)+F11</f>
        <v>11.4742</v>
      </c>
      <c r="I11" s="12">
        <f>SUM(F11*3%)+F11</f>
        <v>11.4742</v>
      </c>
      <c r="J11" s="12">
        <f>SUM(I11*2%)+I11</f>
        <v>11.703683999999999</v>
      </c>
      <c r="K11" s="12">
        <v>12.35</v>
      </c>
      <c r="L11" s="13">
        <f>SUM(K11*2.1%)+K11</f>
        <v>12.609349999999999</v>
      </c>
      <c r="M11" s="11">
        <v>13.61</v>
      </c>
      <c r="N11" s="20">
        <f>SUM(M11*0.9%)</f>
        <v>0.12249000000000002</v>
      </c>
      <c r="O11" s="15">
        <v>14.53</v>
      </c>
      <c r="P11" s="16">
        <f t="shared" si="1"/>
        <v>0.23247999999999999</v>
      </c>
      <c r="Q11" s="17">
        <v>16.97</v>
      </c>
      <c r="R11" s="18">
        <f t="shared" si="2"/>
        <v>0.76364999999999994</v>
      </c>
      <c r="S11" s="77"/>
      <c r="T11" s="77"/>
      <c r="U11" s="89">
        <v>3658</v>
      </c>
      <c r="V11" s="89">
        <v>3658</v>
      </c>
      <c r="W11" s="96">
        <f t="shared" si="0"/>
        <v>0</v>
      </c>
      <c r="Y11" s="10">
        <v>2</v>
      </c>
      <c r="Z11" s="32" t="s">
        <v>164</v>
      </c>
      <c r="AA11" s="10" t="s">
        <v>117</v>
      </c>
      <c r="AB11" t="s">
        <v>120</v>
      </c>
      <c r="AC11" s="59" t="s">
        <v>172</v>
      </c>
    </row>
    <row r="12" spans="1:30" ht="18.600000000000001" customHeight="1" x14ac:dyDescent="0.45">
      <c r="A12" t="s">
        <v>104</v>
      </c>
      <c r="B12" t="s">
        <v>113</v>
      </c>
      <c r="C12" s="19">
        <v>17.73</v>
      </c>
      <c r="D12" s="11">
        <f>SUM(8.94*0.03)+8.94</f>
        <v>9.2081999999999997</v>
      </c>
      <c r="E12" s="11">
        <v>10.5</v>
      </c>
      <c r="F12" s="11">
        <v>11.14</v>
      </c>
      <c r="H12" s="12">
        <f>SUM(F12*3%)+F12</f>
        <v>11.4742</v>
      </c>
      <c r="I12" s="12">
        <f>SUM(F12*3%)+F12</f>
        <v>11.4742</v>
      </c>
      <c r="J12" s="12">
        <f>SUM(I12*2%)+I12</f>
        <v>11.703683999999999</v>
      </c>
      <c r="K12" s="12">
        <v>12.35</v>
      </c>
      <c r="L12" s="13">
        <f>SUM(K12*2.1%)+K12</f>
        <v>12.609349999999999</v>
      </c>
      <c r="M12" s="11">
        <v>13.61</v>
      </c>
      <c r="N12" s="20">
        <f>SUM(M12*0.9%)</f>
        <v>0.12249000000000002</v>
      </c>
      <c r="O12" s="15">
        <v>14.53</v>
      </c>
      <c r="P12" s="16">
        <f t="shared" si="1"/>
        <v>0.23247999999999999</v>
      </c>
      <c r="Q12" s="17">
        <v>16.97</v>
      </c>
      <c r="R12" s="18">
        <f t="shared" si="2"/>
        <v>0.76364999999999994</v>
      </c>
      <c r="S12" s="77"/>
      <c r="T12" s="77"/>
      <c r="U12" s="89">
        <v>873</v>
      </c>
      <c r="V12" s="89">
        <v>873</v>
      </c>
      <c r="W12" s="96">
        <f t="shared" si="0"/>
        <v>0</v>
      </c>
      <c r="Y12" s="10">
        <v>1</v>
      </c>
      <c r="Z12" s="32" t="s">
        <v>121</v>
      </c>
      <c r="AA12" s="10" t="s">
        <v>117</v>
      </c>
      <c r="AB12" t="s">
        <v>120</v>
      </c>
      <c r="AC12" s="59" t="s">
        <v>172</v>
      </c>
      <c r="AD12" t="s">
        <v>156</v>
      </c>
    </row>
    <row r="13" spans="1:30" ht="18.600000000000001" customHeight="1" x14ac:dyDescent="0.3">
      <c r="A13" s="3"/>
      <c r="C13" s="6"/>
      <c r="U13" s="85"/>
      <c r="V13" s="85"/>
      <c r="W13" s="96">
        <f t="shared" si="0"/>
        <v>0</v>
      </c>
      <c r="Z13" s="10"/>
      <c r="AC13"/>
    </row>
    <row r="14" spans="1:30" ht="18.600000000000001" customHeight="1" x14ac:dyDescent="0.3">
      <c r="A14" s="3" t="s">
        <v>53</v>
      </c>
      <c r="B14" t="s">
        <v>54</v>
      </c>
      <c r="C14" s="6">
        <v>22832</v>
      </c>
      <c r="U14" s="85">
        <v>22832</v>
      </c>
      <c r="V14" s="85">
        <v>22832</v>
      </c>
      <c r="W14" s="96">
        <f t="shared" si="0"/>
        <v>0</v>
      </c>
      <c r="Y14" s="10">
        <v>1</v>
      </c>
      <c r="Z14" s="33" t="s">
        <v>136</v>
      </c>
      <c r="AA14" s="10" t="s">
        <v>122</v>
      </c>
      <c r="AB14" t="s">
        <v>120</v>
      </c>
      <c r="AC14" s="59" t="s">
        <v>172</v>
      </c>
      <c r="AD14" t="s">
        <v>143</v>
      </c>
    </row>
    <row r="15" spans="1:30" ht="18.600000000000001" customHeight="1" x14ac:dyDescent="0.3">
      <c r="A15" s="3" t="s">
        <v>55</v>
      </c>
      <c r="B15" t="s">
        <v>56</v>
      </c>
      <c r="C15" s="6">
        <v>3500</v>
      </c>
      <c r="U15" s="85">
        <v>3500</v>
      </c>
      <c r="V15" s="85">
        <v>3500</v>
      </c>
      <c r="W15" s="96">
        <f t="shared" si="0"/>
        <v>0</v>
      </c>
      <c r="Y15" s="10">
        <v>1</v>
      </c>
      <c r="Z15" s="33">
        <v>10</v>
      </c>
      <c r="AA15" s="10" t="s">
        <v>117</v>
      </c>
      <c r="AB15" t="s">
        <v>120</v>
      </c>
      <c r="AC15" s="59" t="s">
        <v>172</v>
      </c>
      <c r="AD15" t="s">
        <v>204</v>
      </c>
    </row>
    <row r="16" spans="1:30" ht="18.600000000000001" customHeight="1" x14ac:dyDescent="0.3">
      <c r="A16" t="s">
        <v>39</v>
      </c>
      <c r="B16" t="s">
        <v>40</v>
      </c>
      <c r="C16" s="6">
        <v>9819</v>
      </c>
      <c r="U16" s="85">
        <v>9819</v>
      </c>
      <c r="V16" s="85">
        <v>9819</v>
      </c>
      <c r="W16" s="96">
        <f t="shared" si="0"/>
        <v>0</v>
      </c>
      <c r="Y16" s="10">
        <v>1</v>
      </c>
      <c r="Z16" s="10">
        <v>40</v>
      </c>
      <c r="AA16" s="10" t="s">
        <v>117</v>
      </c>
      <c r="AB16" t="s">
        <v>120</v>
      </c>
      <c r="AC16" s="59" t="s">
        <v>172</v>
      </c>
    </row>
    <row r="17" spans="1:30" ht="18.600000000000001" customHeight="1" x14ac:dyDescent="0.3">
      <c r="C17" s="6"/>
      <c r="U17" s="85"/>
      <c r="V17" s="85"/>
      <c r="W17" s="96">
        <f t="shared" si="0"/>
        <v>0</v>
      </c>
      <c r="Z17" s="10"/>
      <c r="AC17"/>
    </row>
    <row r="18" spans="1:30" ht="30" customHeight="1" x14ac:dyDescent="0.3">
      <c r="A18" s="3" t="s">
        <v>2</v>
      </c>
      <c r="B18" t="s">
        <v>3</v>
      </c>
      <c r="C18" s="6">
        <v>1200</v>
      </c>
      <c r="S18" s="101" t="s">
        <v>206</v>
      </c>
      <c r="T18" s="72"/>
      <c r="U18" s="85">
        <v>1200</v>
      </c>
      <c r="V18" s="85">
        <v>1200</v>
      </c>
      <c r="W18" s="96">
        <f t="shared" si="0"/>
        <v>0</v>
      </c>
      <c r="Y18" s="10">
        <v>1</v>
      </c>
      <c r="Z18" s="10"/>
      <c r="AB18" t="s">
        <v>120</v>
      </c>
      <c r="AC18" s="59" t="s">
        <v>209</v>
      </c>
      <c r="AD18" s="45" t="s">
        <v>211</v>
      </c>
    </row>
    <row r="19" spans="1:30" ht="18.600000000000001" customHeight="1" x14ac:dyDescent="0.3">
      <c r="A19" s="3" t="s">
        <v>2</v>
      </c>
      <c r="B19" t="s">
        <v>3</v>
      </c>
      <c r="C19" s="6">
        <v>368</v>
      </c>
      <c r="S19" s="101" t="s">
        <v>208</v>
      </c>
      <c r="T19" s="72"/>
      <c r="U19" s="85">
        <v>368</v>
      </c>
      <c r="V19" s="85">
        <v>360</v>
      </c>
      <c r="W19" s="96">
        <f t="shared" ref="W19" si="3">SUM(U19-V19)</f>
        <v>8</v>
      </c>
      <c r="Y19" s="10">
        <v>1</v>
      </c>
      <c r="Z19" s="10"/>
      <c r="AB19" t="s">
        <v>120</v>
      </c>
      <c r="AC19" s="59" t="s">
        <v>210</v>
      </c>
      <c r="AD19" t="s">
        <v>212</v>
      </c>
    </row>
    <row r="20" spans="1:30" ht="18.600000000000001" customHeight="1" x14ac:dyDescent="0.3">
      <c r="B20" t="s">
        <v>173</v>
      </c>
      <c r="C20" s="6">
        <v>3831.67</v>
      </c>
      <c r="S20" s="72" t="s">
        <v>190</v>
      </c>
      <c r="T20" s="72"/>
      <c r="U20" s="85">
        <v>3831.67</v>
      </c>
      <c r="V20" s="85">
        <v>1920</v>
      </c>
      <c r="W20" s="96">
        <f t="shared" si="0"/>
        <v>1911.67</v>
      </c>
      <c r="Y20" s="10">
        <v>1</v>
      </c>
      <c r="Z20" s="32"/>
      <c r="AC20" s="59" t="s">
        <v>175</v>
      </c>
    </row>
    <row r="21" spans="1:30" ht="34.5" customHeight="1" x14ac:dyDescent="0.3">
      <c r="A21" t="s">
        <v>6</v>
      </c>
      <c r="B21" t="s">
        <v>7</v>
      </c>
      <c r="C21" s="6">
        <v>600</v>
      </c>
      <c r="U21" s="85">
        <v>600</v>
      </c>
      <c r="V21" s="85">
        <v>600</v>
      </c>
      <c r="W21" s="96">
        <f t="shared" si="0"/>
        <v>0</v>
      </c>
      <c r="Y21" s="10">
        <v>1</v>
      </c>
      <c r="Z21" s="10" t="s">
        <v>128</v>
      </c>
      <c r="AB21" t="s">
        <v>120</v>
      </c>
      <c r="AC21" s="62" t="s">
        <v>176</v>
      </c>
    </row>
    <row r="22" spans="1:30" ht="18.600000000000001" customHeight="1" x14ac:dyDescent="0.3">
      <c r="A22" t="s">
        <v>8</v>
      </c>
      <c r="B22" t="s">
        <v>9</v>
      </c>
      <c r="C22" s="6">
        <f>3700/3</f>
        <v>1233.3333333333333</v>
      </c>
      <c r="S22" s="72" t="s">
        <v>191</v>
      </c>
      <c r="T22" s="72"/>
      <c r="U22" s="85">
        <v>2466</v>
      </c>
      <c r="V22" s="85">
        <v>2880</v>
      </c>
      <c r="W22" s="96">
        <f t="shared" si="0"/>
        <v>-414</v>
      </c>
      <c r="Y22" s="10">
        <v>2</v>
      </c>
      <c r="Z22" s="10"/>
      <c r="AB22" t="s">
        <v>123</v>
      </c>
      <c r="AC22" s="59" t="s">
        <v>174</v>
      </c>
    </row>
    <row r="23" spans="1:30" ht="18.600000000000001" customHeight="1" x14ac:dyDescent="0.3">
      <c r="A23" t="s">
        <v>8</v>
      </c>
      <c r="B23" t="s">
        <v>177</v>
      </c>
      <c r="C23" s="6">
        <f>3700/3</f>
        <v>1233.3333333333333</v>
      </c>
      <c r="S23" s="72" t="s">
        <v>192</v>
      </c>
      <c r="T23" s="72"/>
      <c r="U23" s="85">
        <v>1234</v>
      </c>
      <c r="V23" s="85">
        <v>1920</v>
      </c>
      <c r="W23" s="96">
        <f t="shared" si="0"/>
        <v>-686</v>
      </c>
      <c r="Y23" s="10">
        <v>1</v>
      </c>
      <c r="Z23" s="10"/>
      <c r="AB23" t="s">
        <v>123</v>
      </c>
      <c r="AC23" s="59" t="s">
        <v>178</v>
      </c>
    </row>
    <row r="24" spans="1:30" ht="18.600000000000001" customHeight="1" x14ac:dyDescent="0.3">
      <c r="A24" t="s">
        <v>14</v>
      </c>
      <c r="B24" t="s">
        <v>15</v>
      </c>
      <c r="C24" s="7">
        <v>10933</v>
      </c>
      <c r="U24" s="85"/>
      <c r="V24" s="85"/>
      <c r="W24" s="96">
        <f t="shared" si="0"/>
        <v>0</v>
      </c>
      <c r="Y24" s="10">
        <v>1</v>
      </c>
      <c r="Z24" s="10"/>
      <c r="AB24" t="s">
        <v>120</v>
      </c>
      <c r="AC24" s="59" t="s">
        <v>172</v>
      </c>
    </row>
    <row r="25" spans="1:30" ht="32.4" customHeight="1" x14ac:dyDescent="0.3">
      <c r="A25" t="s">
        <v>16</v>
      </c>
      <c r="B25" t="s">
        <v>17</v>
      </c>
      <c r="C25" s="6">
        <v>513</v>
      </c>
      <c r="U25" s="85">
        <v>513</v>
      </c>
      <c r="V25" s="85">
        <v>513</v>
      </c>
      <c r="W25" s="96">
        <f t="shared" si="0"/>
        <v>0</v>
      </c>
      <c r="Y25" s="10">
        <v>1</v>
      </c>
      <c r="Z25" s="10" t="s">
        <v>128</v>
      </c>
      <c r="AB25" t="s">
        <v>123</v>
      </c>
      <c r="AC25" s="59" t="s">
        <v>172</v>
      </c>
      <c r="AD25" s="102" t="s">
        <v>213</v>
      </c>
    </row>
    <row r="26" spans="1:30" ht="18.600000000000001" customHeight="1" x14ac:dyDescent="0.3">
      <c r="A26" s="3" t="s">
        <v>20</v>
      </c>
      <c r="B26" t="s">
        <v>21</v>
      </c>
      <c r="C26" s="6">
        <v>7986</v>
      </c>
      <c r="U26" s="85">
        <v>7986</v>
      </c>
      <c r="V26" s="85">
        <v>7986</v>
      </c>
      <c r="W26" s="96">
        <f t="shared" si="0"/>
        <v>0</v>
      </c>
      <c r="Y26" s="10">
        <v>1</v>
      </c>
      <c r="Z26" s="10">
        <v>17</v>
      </c>
      <c r="AA26" s="10" t="s">
        <v>117</v>
      </c>
      <c r="AB26" t="s">
        <v>120</v>
      </c>
      <c r="AC26" s="59" t="s">
        <v>172</v>
      </c>
      <c r="AD26" t="s">
        <v>168</v>
      </c>
    </row>
    <row r="27" spans="1:30" ht="18.600000000000001" customHeight="1" x14ac:dyDescent="0.3">
      <c r="A27" s="3" t="s">
        <v>22</v>
      </c>
      <c r="B27" s="3" t="s">
        <v>23</v>
      </c>
      <c r="C27" s="7">
        <v>1800</v>
      </c>
      <c r="S27" s="78" t="s">
        <v>191</v>
      </c>
      <c r="T27" s="78"/>
      <c r="U27" s="85">
        <v>3600</v>
      </c>
      <c r="V27" s="85">
        <v>2880</v>
      </c>
      <c r="W27" s="96">
        <f t="shared" si="0"/>
        <v>720</v>
      </c>
      <c r="Y27" s="10">
        <v>2</v>
      </c>
      <c r="Z27" s="32" t="s">
        <v>157</v>
      </c>
      <c r="AA27" s="10" t="s">
        <v>117</v>
      </c>
      <c r="AB27" t="s">
        <v>120</v>
      </c>
      <c r="AC27" s="59" t="s">
        <v>174</v>
      </c>
      <c r="AD27" t="s">
        <v>158</v>
      </c>
    </row>
    <row r="28" spans="1:30" ht="18.600000000000001" customHeight="1" x14ac:dyDescent="0.3">
      <c r="A28" t="s">
        <v>24</v>
      </c>
      <c r="B28" t="s">
        <v>25</v>
      </c>
      <c r="C28" s="6">
        <v>157</v>
      </c>
      <c r="U28" s="85">
        <v>157</v>
      </c>
      <c r="V28" s="85">
        <v>157</v>
      </c>
      <c r="W28" s="96">
        <f t="shared" si="0"/>
        <v>0</v>
      </c>
      <c r="Y28" s="10">
        <v>1</v>
      </c>
      <c r="Z28" s="10" t="s">
        <v>128</v>
      </c>
      <c r="AB28" t="s">
        <v>123</v>
      </c>
      <c r="AC28" s="59" t="s">
        <v>172</v>
      </c>
    </row>
    <row r="29" spans="1:30" ht="18.600000000000001" customHeight="1" x14ac:dyDescent="0.3">
      <c r="A29" t="s">
        <v>14</v>
      </c>
      <c r="B29" t="s">
        <v>27</v>
      </c>
      <c r="C29" s="7">
        <v>8213</v>
      </c>
      <c r="U29" s="85">
        <v>8213</v>
      </c>
      <c r="V29" s="85">
        <v>8213</v>
      </c>
      <c r="W29" s="96">
        <f t="shared" si="0"/>
        <v>0</v>
      </c>
      <c r="Y29" s="10">
        <v>1</v>
      </c>
      <c r="Z29" s="10" t="s">
        <v>153</v>
      </c>
      <c r="AB29" t="s">
        <v>120</v>
      </c>
      <c r="AC29" s="59" t="s">
        <v>172</v>
      </c>
      <c r="AD29" t="s">
        <v>154</v>
      </c>
    </row>
    <row r="30" spans="1:30" ht="18.600000000000001" customHeight="1" x14ac:dyDescent="0.3">
      <c r="A30" t="s">
        <v>28</v>
      </c>
      <c r="B30" t="s">
        <v>29</v>
      </c>
      <c r="C30" s="6">
        <f>3135/3</f>
        <v>1045</v>
      </c>
      <c r="S30" s="72" t="s">
        <v>193</v>
      </c>
      <c r="T30" s="72"/>
      <c r="U30" s="85">
        <v>2090</v>
      </c>
      <c r="V30" s="85">
        <v>4800</v>
      </c>
      <c r="W30" s="96">
        <f t="shared" si="0"/>
        <v>-2710</v>
      </c>
      <c r="Y30" s="10">
        <v>2</v>
      </c>
      <c r="Z30" s="32" t="s">
        <v>151</v>
      </c>
      <c r="AA30" s="10" t="s">
        <v>117</v>
      </c>
      <c r="AB30" t="s">
        <v>123</v>
      </c>
      <c r="AC30" s="59" t="s">
        <v>174</v>
      </c>
      <c r="AD30" t="s">
        <v>152</v>
      </c>
    </row>
    <row r="31" spans="1:30" ht="18.600000000000001" customHeight="1" x14ac:dyDescent="0.3">
      <c r="A31" t="s">
        <v>28</v>
      </c>
      <c r="B31" t="s">
        <v>179</v>
      </c>
      <c r="C31" s="6">
        <f>3135/3</f>
        <v>1045</v>
      </c>
      <c r="S31" s="72" t="s">
        <v>186</v>
      </c>
      <c r="T31" s="72"/>
      <c r="U31" s="85">
        <v>1045</v>
      </c>
      <c r="V31" s="85">
        <v>3600</v>
      </c>
      <c r="W31" s="96">
        <f t="shared" si="0"/>
        <v>-2555</v>
      </c>
      <c r="Y31" s="10">
        <v>1</v>
      </c>
      <c r="Z31" s="32" t="s">
        <v>151</v>
      </c>
      <c r="AA31" s="10" t="s">
        <v>117</v>
      </c>
      <c r="AB31" t="s">
        <v>123</v>
      </c>
      <c r="AC31" s="59" t="s">
        <v>175</v>
      </c>
      <c r="AD31" t="s">
        <v>152</v>
      </c>
    </row>
    <row r="32" spans="1:30" s="63" customFormat="1" ht="18.600000000000001" customHeight="1" x14ac:dyDescent="0.3">
      <c r="A32" s="63" t="s">
        <v>30</v>
      </c>
      <c r="B32" s="63" t="s">
        <v>31</v>
      </c>
      <c r="C32" s="64">
        <v>4180</v>
      </c>
      <c r="S32" s="72" t="s">
        <v>186</v>
      </c>
      <c r="T32" s="72"/>
      <c r="U32" s="85">
        <v>8360</v>
      </c>
      <c r="V32" s="85">
        <f>SUM(3600*2)</f>
        <v>7200</v>
      </c>
      <c r="W32" s="96">
        <f t="shared" si="0"/>
        <v>1160</v>
      </c>
      <c r="X32" s="85"/>
      <c r="Y32" s="65">
        <v>3</v>
      </c>
      <c r="Z32" s="65" t="s">
        <v>149</v>
      </c>
      <c r="AA32" s="65"/>
      <c r="AB32" s="63" t="s">
        <v>123</v>
      </c>
      <c r="AC32" s="59" t="s">
        <v>174</v>
      </c>
      <c r="AD32" s="63" t="s">
        <v>150</v>
      </c>
    </row>
    <row r="33" spans="1:30" s="63" customFormat="1" ht="18.600000000000001" customHeight="1" x14ac:dyDescent="0.3">
      <c r="A33" s="63" t="s">
        <v>30</v>
      </c>
      <c r="B33" s="63" t="s">
        <v>185</v>
      </c>
      <c r="C33" s="64">
        <v>4180</v>
      </c>
      <c r="S33" s="72" t="s">
        <v>187</v>
      </c>
      <c r="T33" s="72"/>
      <c r="U33" s="85">
        <v>4180</v>
      </c>
      <c r="V33" s="85">
        <v>4320</v>
      </c>
      <c r="W33" s="96">
        <f t="shared" si="0"/>
        <v>-140</v>
      </c>
      <c r="X33" s="85"/>
      <c r="Y33" s="65">
        <v>3</v>
      </c>
      <c r="Z33" s="65" t="s">
        <v>149</v>
      </c>
      <c r="AA33" s="65"/>
      <c r="AB33" s="63" t="s">
        <v>123</v>
      </c>
      <c r="AC33" s="59" t="s">
        <v>175</v>
      </c>
      <c r="AD33" s="63" t="s">
        <v>150</v>
      </c>
    </row>
    <row r="34" spans="1:30" ht="18.600000000000001" customHeight="1" x14ac:dyDescent="0.3">
      <c r="A34" s="4" t="s">
        <v>35</v>
      </c>
      <c r="B34" s="63" t="s">
        <v>36</v>
      </c>
      <c r="C34" s="64">
        <f>3135/5</f>
        <v>627</v>
      </c>
      <c r="S34" s="72" t="s">
        <v>191</v>
      </c>
      <c r="T34" s="72"/>
      <c r="U34" s="85">
        <v>3135</v>
      </c>
      <c r="V34" s="85">
        <f>SUM(1440*5)</f>
        <v>7200</v>
      </c>
      <c r="W34" s="96">
        <f t="shared" si="0"/>
        <v>-4065</v>
      </c>
      <c r="Y34" s="10">
        <v>5</v>
      </c>
      <c r="Z34" s="33" t="s">
        <v>164</v>
      </c>
      <c r="AA34" s="10" t="s">
        <v>117</v>
      </c>
      <c r="AB34" t="s">
        <v>123</v>
      </c>
      <c r="AC34" s="59" t="s">
        <v>174</v>
      </c>
      <c r="AD34" t="s">
        <v>165</v>
      </c>
    </row>
    <row r="35" spans="1:30" ht="18.600000000000001" customHeight="1" x14ac:dyDescent="0.3">
      <c r="A35" t="s">
        <v>37</v>
      </c>
      <c r="B35" t="s">
        <v>38</v>
      </c>
      <c r="C35" s="6">
        <v>21736</v>
      </c>
      <c r="U35" s="85">
        <v>21736</v>
      </c>
      <c r="V35" s="85">
        <v>21736</v>
      </c>
      <c r="W35" s="96">
        <f t="shared" si="0"/>
        <v>0</v>
      </c>
      <c r="Y35" s="10">
        <v>1</v>
      </c>
      <c r="Z35" s="10">
        <v>20</v>
      </c>
      <c r="AA35" s="10" t="s">
        <v>122</v>
      </c>
      <c r="AB35" t="s">
        <v>123</v>
      </c>
      <c r="AC35" s="59" t="s">
        <v>172</v>
      </c>
      <c r="AD35" t="s">
        <v>144</v>
      </c>
    </row>
    <row r="36" spans="1:30" ht="18.600000000000001" customHeight="1" x14ac:dyDescent="0.3">
      <c r="A36" t="s">
        <v>41</v>
      </c>
      <c r="B36" t="s">
        <v>42</v>
      </c>
      <c r="C36" s="6">
        <v>14108</v>
      </c>
      <c r="U36" s="85">
        <v>14108</v>
      </c>
      <c r="V36" s="85">
        <v>14108</v>
      </c>
      <c r="W36" s="96">
        <f t="shared" si="0"/>
        <v>0</v>
      </c>
      <c r="Y36" s="10">
        <v>1</v>
      </c>
      <c r="Z36" s="10">
        <v>10</v>
      </c>
      <c r="AA36" s="10" t="s">
        <v>122</v>
      </c>
      <c r="AB36" t="s">
        <v>123</v>
      </c>
      <c r="AC36" s="59" t="s">
        <v>172</v>
      </c>
      <c r="AD36" t="s">
        <v>145</v>
      </c>
    </row>
    <row r="37" spans="1:30" ht="28.2" customHeight="1" x14ac:dyDescent="0.3">
      <c r="A37" t="s">
        <v>41</v>
      </c>
      <c r="B37" t="s">
        <v>42</v>
      </c>
      <c r="C37" s="6">
        <v>0</v>
      </c>
      <c r="S37" s="85">
        <v>2500</v>
      </c>
      <c r="U37" s="85">
        <v>0</v>
      </c>
      <c r="V37" s="85">
        <v>2500</v>
      </c>
      <c r="W37" s="96">
        <f t="shared" ref="W37" si="4">SUM(U37-V37)</f>
        <v>-2500</v>
      </c>
      <c r="Y37" s="10" t="s">
        <v>125</v>
      </c>
      <c r="Z37" s="10" t="s">
        <v>125</v>
      </c>
      <c r="AA37" s="10" t="s">
        <v>125</v>
      </c>
      <c r="AB37" t="s">
        <v>125</v>
      </c>
      <c r="AC37" s="91" t="s">
        <v>200</v>
      </c>
      <c r="AD37" t="s">
        <v>125</v>
      </c>
    </row>
    <row r="38" spans="1:30" ht="18.600000000000001" customHeight="1" x14ac:dyDescent="0.3">
      <c r="A38" s="3" t="s">
        <v>51</v>
      </c>
      <c r="B38" s="69" t="s">
        <v>52</v>
      </c>
      <c r="C38" s="70">
        <v>41164</v>
      </c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79"/>
      <c r="T38" s="79"/>
      <c r="U38" s="85"/>
      <c r="V38" s="85"/>
      <c r="W38" s="96">
        <f t="shared" si="0"/>
        <v>0</v>
      </c>
      <c r="Y38" s="71">
        <v>1</v>
      </c>
      <c r="Z38" s="71">
        <v>28</v>
      </c>
      <c r="AA38" s="71" t="s">
        <v>122</v>
      </c>
      <c r="AB38" s="69" t="s">
        <v>120</v>
      </c>
      <c r="AC38" s="69"/>
      <c r="AD38" t="s">
        <v>180</v>
      </c>
    </row>
    <row r="39" spans="1:30" ht="18.600000000000001" customHeight="1" x14ac:dyDescent="0.3">
      <c r="A39" t="s">
        <v>43</v>
      </c>
      <c r="B39" t="s">
        <v>44</v>
      </c>
      <c r="C39" s="6">
        <v>21736</v>
      </c>
      <c r="U39" s="85">
        <v>21736</v>
      </c>
      <c r="V39" s="85">
        <v>21736</v>
      </c>
      <c r="W39" s="96">
        <f t="shared" si="0"/>
        <v>0</v>
      </c>
      <c r="Y39" s="10">
        <v>1</v>
      </c>
      <c r="Z39" s="10">
        <v>20</v>
      </c>
      <c r="AA39" s="10" t="s">
        <v>122</v>
      </c>
      <c r="AB39" t="s">
        <v>123</v>
      </c>
      <c r="AC39" s="59" t="s">
        <v>172</v>
      </c>
      <c r="AD39" t="s">
        <v>144</v>
      </c>
    </row>
    <row r="40" spans="1:30" ht="18.600000000000001" customHeight="1" x14ac:dyDescent="0.3">
      <c r="A40" t="s">
        <v>45</v>
      </c>
      <c r="B40" t="s">
        <v>46</v>
      </c>
      <c r="C40" s="6">
        <v>1254</v>
      </c>
      <c r="U40" s="85">
        <v>1254</v>
      </c>
      <c r="V40" s="85">
        <v>1254</v>
      </c>
      <c r="W40" s="96">
        <f t="shared" si="0"/>
        <v>0</v>
      </c>
      <c r="Y40" s="10">
        <v>1</v>
      </c>
      <c r="Z40" s="10" t="s">
        <v>128</v>
      </c>
      <c r="AB40" t="s">
        <v>123</v>
      </c>
      <c r="AC40" s="59" t="s">
        <v>172</v>
      </c>
    </row>
    <row r="41" spans="1:30" ht="18.600000000000001" customHeight="1" x14ac:dyDescent="0.3">
      <c r="A41" t="s">
        <v>47</v>
      </c>
      <c r="B41" t="s">
        <v>48</v>
      </c>
      <c r="C41" s="6">
        <f>627/3</f>
        <v>209</v>
      </c>
      <c r="U41" s="85">
        <v>627</v>
      </c>
      <c r="V41" s="85">
        <v>627</v>
      </c>
      <c r="W41" s="96">
        <f t="shared" si="0"/>
        <v>0</v>
      </c>
      <c r="Y41" s="10">
        <v>3</v>
      </c>
      <c r="Z41" s="10" t="s">
        <v>128</v>
      </c>
      <c r="AB41" t="s">
        <v>123</v>
      </c>
      <c r="AC41" s="59" t="s">
        <v>172</v>
      </c>
    </row>
    <row r="42" spans="1:30" ht="18.600000000000001" customHeight="1" x14ac:dyDescent="0.3">
      <c r="A42" s="3"/>
      <c r="C42" s="6"/>
      <c r="U42" s="85"/>
      <c r="V42" s="85"/>
      <c r="W42" s="96">
        <f t="shared" si="0"/>
        <v>0</v>
      </c>
      <c r="Z42" s="10"/>
      <c r="AC42"/>
    </row>
    <row r="43" spans="1:30" ht="18.600000000000001" customHeight="1" x14ac:dyDescent="0.3">
      <c r="A43" t="s">
        <v>10</v>
      </c>
      <c r="B43" t="s">
        <v>11</v>
      </c>
      <c r="C43" s="6">
        <f>251/3</f>
        <v>83.666666666666671</v>
      </c>
      <c r="U43" s="85">
        <v>251</v>
      </c>
      <c r="V43" s="85">
        <v>251</v>
      </c>
      <c r="W43" s="96">
        <f t="shared" si="0"/>
        <v>0</v>
      </c>
      <c r="Y43" s="10">
        <v>3</v>
      </c>
      <c r="Z43" s="10" t="s">
        <v>128</v>
      </c>
      <c r="AB43" t="s">
        <v>123</v>
      </c>
    </row>
    <row r="44" spans="1:30" ht="18.600000000000001" customHeight="1" x14ac:dyDescent="0.3">
      <c r="A44" t="s">
        <v>12</v>
      </c>
      <c r="B44" t="s">
        <v>13</v>
      </c>
      <c r="C44" s="6">
        <v>53</v>
      </c>
      <c r="U44" s="85">
        <v>53</v>
      </c>
      <c r="V44" s="85">
        <v>53</v>
      </c>
      <c r="W44" s="96">
        <f t="shared" si="0"/>
        <v>0</v>
      </c>
      <c r="Y44" s="10">
        <v>1</v>
      </c>
      <c r="Z44" s="10" t="s">
        <v>128</v>
      </c>
      <c r="AB44" t="s">
        <v>120</v>
      </c>
    </row>
    <row r="45" spans="1:30" ht="18.600000000000001" customHeight="1" x14ac:dyDescent="0.45">
      <c r="A45" t="s">
        <v>98</v>
      </c>
      <c r="B45" t="s">
        <v>17</v>
      </c>
      <c r="C45" s="19">
        <v>21.04</v>
      </c>
      <c r="D45" s="11"/>
      <c r="E45" s="11"/>
      <c r="F45" s="11"/>
      <c r="H45" s="12"/>
      <c r="I45" s="12"/>
      <c r="J45" s="12"/>
      <c r="K45" s="12"/>
      <c r="L45" s="13"/>
      <c r="M45" s="11"/>
      <c r="N45" s="20"/>
      <c r="O45" s="15"/>
      <c r="P45" s="16"/>
      <c r="Q45" s="17">
        <v>20.13</v>
      </c>
      <c r="R45" s="18">
        <f>SUM(Q45*0.045)</f>
        <v>0.90584999999999993</v>
      </c>
      <c r="S45" s="77"/>
      <c r="T45" s="77"/>
      <c r="U45" s="89"/>
      <c r="V45" s="89"/>
      <c r="W45" s="96">
        <f t="shared" si="0"/>
        <v>0</v>
      </c>
      <c r="Y45" s="10">
        <v>3</v>
      </c>
      <c r="Z45" s="10" t="s">
        <v>128</v>
      </c>
      <c r="AB45" t="s">
        <v>120</v>
      </c>
      <c r="AD45" t="s">
        <v>214</v>
      </c>
    </row>
    <row r="46" spans="1:30" ht="34.799999999999997" customHeight="1" x14ac:dyDescent="0.45">
      <c r="A46" s="34" t="s">
        <v>98</v>
      </c>
      <c r="B46" s="34" t="s">
        <v>126</v>
      </c>
      <c r="C46" s="35"/>
      <c r="D46" s="36"/>
      <c r="E46" s="36"/>
      <c r="F46" s="36"/>
      <c r="G46" s="34"/>
      <c r="H46" s="37"/>
      <c r="I46" s="37"/>
      <c r="J46" s="37"/>
      <c r="K46" s="37"/>
      <c r="L46" s="38"/>
      <c r="M46" s="36"/>
      <c r="N46" s="35"/>
      <c r="O46" s="39">
        <v>14.53</v>
      </c>
      <c r="P46" s="40">
        <f>SUM(O46*1.6%)</f>
        <v>0.23247999999999999</v>
      </c>
      <c r="Q46" s="41">
        <v>16.97</v>
      </c>
      <c r="R46" s="42">
        <f>SUM(Q46*0.045)</f>
        <v>0.76364999999999994</v>
      </c>
      <c r="S46" s="73">
        <v>18.73</v>
      </c>
      <c r="T46" s="73"/>
      <c r="U46" s="84"/>
      <c r="V46" s="84"/>
      <c r="W46" s="96">
        <f t="shared" si="0"/>
        <v>0</v>
      </c>
      <c r="Y46" s="43">
        <v>1</v>
      </c>
      <c r="Z46" s="43" t="s">
        <v>128</v>
      </c>
      <c r="AA46" s="43"/>
      <c r="AB46" s="34" t="s">
        <v>120</v>
      </c>
      <c r="AC46" s="59" t="s">
        <v>181</v>
      </c>
      <c r="AD46" s="103" t="s">
        <v>215</v>
      </c>
    </row>
    <row r="47" spans="1:30" ht="18.600000000000001" customHeight="1" x14ac:dyDescent="0.45">
      <c r="A47" t="s">
        <v>98</v>
      </c>
      <c r="B47" t="s">
        <v>127</v>
      </c>
      <c r="C47" s="19">
        <v>17.73</v>
      </c>
      <c r="D47" s="11"/>
      <c r="E47" s="11"/>
      <c r="F47" s="11"/>
      <c r="H47" s="12"/>
      <c r="I47" s="12"/>
      <c r="J47" s="12"/>
      <c r="K47" s="12"/>
      <c r="L47" s="13"/>
      <c r="M47" s="11"/>
      <c r="N47" s="20"/>
      <c r="O47" s="15">
        <v>14.53</v>
      </c>
      <c r="P47" s="16">
        <f>SUM(O47*1.6%)</f>
        <v>0.23247999999999999</v>
      </c>
      <c r="Q47" s="17">
        <v>16.97</v>
      </c>
      <c r="R47" s="18">
        <f>SUM(Q47*0.045)</f>
        <v>0.76364999999999994</v>
      </c>
      <c r="S47" s="77"/>
      <c r="T47" s="77"/>
      <c r="U47" s="89"/>
      <c r="V47" s="89"/>
      <c r="W47" s="96">
        <f t="shared" si="0"/>
        <v>0</v>
      </c>
      <c r="Y47" s="10" t="s">
        <v>112</v>
      </c>
      <c r="Z47" s="10" t="s">
        <v>128</v>
      </c>
      <c r="AB47" t="s">
        <v>120</v>
      </c>
    </row>
    <row r="48" spans="1:30" ht="18.600000000000001" customHeight="1" x14ac:dyDescent="0.3">
      <c r="A48" s="3"/>
      <c r="C48" s="6"/>
      <c r="U48" s="85"/>
      <c r="V48" s="85"/>
      <c r="W48" s="96">
        <f t="shared" si="0"/>
        <v>0</v>
      </c>
      <c r="Z48" s="10"/>
    </row>
    <row r="49" spans="1:30" ht="18.600000000000001" customHeight="1" x14ac:dyDescent="0.45">
      <c r="A49" t="s">
        <v>72</v>
      </c>
      <c r="B49" t="s">
        <v>71</v>
      </c>
      <c r="C49" s="19">
        <v>24.12</v>
      </c>
      <c r="D49" s="11">
        <f>SUM(12.24*0.03)+12.24</f>
        <v>12.607200000000001</v>
      </c>
      <c r="E49" s="11">
        <v>14.75</v>
      </c>
      <c r="F49" s="11">
        <v>15.65</v>
      </c>
      <c r="H49" s="21">
        <f>SUM(F49*3%)+F49</f>
        <v>16.119499999999999</v>
      </c>
      <c r="I49" s="21">
        <f>SUM(F49*3%)+F49</f>
        <v>16.119499999999999</v>
      </c>
      <c r="J49" s="21">
        <f>SUM(I49*2%)+I49</f>
        <v>16.441889999999997</v>
      </c>
      <c r="K49" s="21">
        <v>17.36</v>
      </c>
      <c r="L49" s="22">
        <f>SUM(K49*2.1%)+K49</f>
        <v>17.72456</v>
      </c>
      <c r="M49" s="23">
        <v>17.95</v>
      </c>
      <c r="N49" s="24">
        <f>SUM(M49*0.9%)</f>
        <v>0.16155</v>
      </c>
      <c r="O49" s="25">
        <v>19.170000000000002</v>
      </c>
      <c r="P49" s="26">
        <f>SUM(O49*1.6%)</f>
        <v>0.30672000000000005</v>
      </c>
      <c r="Q49" s="17">
        <v>23.08</v>
      </c>
      <c r="R49" s="18">
        <f>SUM(Q49*0.045)</f>
        <v>1.0386</v>
      </c>
      <c r="S49" s="77"/>
      <c r="T49" s="77"/>
      <c r="U49" s="89"/>
      <c r="V49" s="89"/>
      <c r="W49" s="96">
        <f t="shared" si="0"/>
        <v>0</v>
      </c>
      <c r="Y49" s="10">
        <v>1</v>
      </c>
      <c r="Z49" s="10">
        <v>60</v>
      </c>
      <c r="AA49" s="10" t="s">
        <v>117</v>
      </c>
      <c r="AB49" t="s">
        <v>120</v>
      </c>
      <c r="AD49" t="s">
        <v>160</v>
      </c>
    </row>
    <row r="50" spans="1:30" ht="18.600000000000001" customHeight="1" x14ac:dyDescent="0.3">
      <c r="A50" t="s">
        <v>18</v>
      </c>
      <c r="B50" s="3" t="s">
        <v>19</v>
      </c>
      <c r="C50" s="6">
        <v>3135</v>
      </c>
      <c r="U50" s="85">
        <v>3135</v>
      </c>
      <c r="V50" s="85">
        <v>3135</v>
      </c>
      <c r="W50" s="96">
        <f t="shared" si="0"/>
        <v>0</v>
      </c>
      <c r="Y50" s="10">
        <v>1</v>
      </c>
      <c r="Z50" s="10">
        <v>20</v>
      </c>
      <c r="AA50" s="10" t="s">
        <v>117</v>
      </c>
      <c r="AB50" t="s">
        <v>120</v>
      </c>
      <c r="AD50" t="s">
        <v>166</v>
      </c>
    </row>
    <row r="51" spans="1:30" ht="18.600000000000001" customHeight="1" x14ac:dyDescent="0.3">
      <c r="A51" t="s">
        <v>49</v>
      </c>
      <c r="B51" t="s">
        <v>50</v>
      </c>
      <c r="C51" s="6">
        <v>31350</v>
      </c>
      <c r="U51" s="85">
        <v>31350</v>
      </c>
      <c r="V51" s="85">
        <v>31350</v>
      </c>
      <c r="W51" s="96">
        <f t="shared" si="0"/>
        <v>0</v>
      </c>
      <c r="Y51" s="10">
        <v>1</v>
      </c>
      <c r="Z51" s="10">
        <v>20</v>
      </c>
      <c r="AA51" s="10" t="s">
        <v>122</v>
      </c>
      <c r="AB51" t="s">
        <v>120</v>
      </c>
      <c r="AD51" t="s">
        <v>146</v>
      </c>
    </row>
    <row r="52" spans="1:30" ht="18.600000000000001" customHeight="1" x14ac:dyDescent="0.45">
      <c r="A52" t="s">
        <v>72</v>
      </c>
      <c r="B52" t="s">
        <v>73</v>
      </c>
      <c r="C52" s="19">
        <v>23.03</v>
      </c>
      <c r="D52" s="11"/>
      <c r="E52" s="11"/>
      <c r="F52" s="11"/>
      <c r="H52" s="21"/>
      <c r="I52" s="21"/>
      <c r="J52" s="21"/>
      <c r="K52" s="21"/>
      <c r="L52" s="22"/>
      <c r="M52" s="23"/>
      <c r="N52" s="24"/>
      <c r="O52" s="25">
        <v>16.899999999999999</v>
      </c>
      <c r="P52" s="26">
        <f>SUM(O52*1.6%)</f>
        <v>0.27039999999999997</v>
      </c>
      <c r="Q52" s="17">
        <v>22.04</v>
      </c>
      <c r="R52" s="18">
        <f>SUM(Q52*0.045)</f>
        <v>0.9917999999999999</v>
      </c>
      <c r="S52" s="77"/>
      <c r="T52" s="77"/>
      <c r="U52" s="89"/>
      <c r="V52" s="89"/>
      <c r="W52" s="96">
        <f t="shared" si="0"/>
        <v>0</v>
      </c>
      <c r="Y52" s="10">
        <v>1</v>
      </c>
      <c r="Z52" s="10">
        <v>26</v>
      </c>
      <c r="AA52" s="10" t="s">
        <v>117</v>
      </c>
      <c r="AB52" t="s">
        <v>120</v>
      </c>
      <c r="AD52" t="s">
        <v>160</v>
      </c>
    </row>
    <row r="53" spans="1:30" ht="18.600000000000001" customHeight="1" x14ac:dyDescent="0.45">
      <c r="A53" t="s">
        <v>72</v>
      </c>
      <c r="B53" t="s">
        <v>74</v>
      </c>
      <c r="C53" s="19">
        <v>20.43</v>
      </c>
      <c r="D53" s="11">
        <f>SUM(10.61*0.03)+10.61</f>
        <v>10.9283</v>
      </c>
      <c r="E53" s="11">
        <v>13</v>
      </c>
      <c r="F53" s="11">
        <v>13.79</v>
      </c>
      <c r="H53" s="21">
        <f>SUM(F53*3%)+F53</f>
        <v>14.2037</v>
      </c>
      <c r="I53" s="21">
        <f>SUM(F53*3%)+F53</f>
        <v>14.2037</v>
      </c>
      <c r="J53" s="21">
        <f>SUM(I53*2%)+I53</f>
        <v>14.487774</v>
      </c>
      <c r="K53" s="21">
        <v>15.3</v>
      </c>
      <c r="L53" s="22">
        <f>SUM(K53*2.1%)+K53</f>
        <v>15.621300000000002</v>
      </c>
      <c r="M53" s="23">
        <v>15.82</v>
      </c>
      <c r="N53" s="24">
        <f>SUM(M53*0.9%)</f>
        <v>0.14238000000000001</v>
      </c>
      <c r="O53" s="25">
        <v>16.899999999999999</v>
      </c>
      <c r="P53" s="26">
        <f>SUM(O53*1.6%)</f>
        <v>0.27039999999999997</v>
      </c>
      <c r="Q53" s="17">
        <v>19.55</v>
      </c>
      <c r="R53" s="18">
        <f>SUM(Q53*0.045)</f>
        <v>0.87975000000000003</v>
      </c>
      <c r="S53" s="77"/>
      <c r="T53" s="77"/>
      <c r="U53" s="89"/>
      <c r="V53" s="89"/>
      <c r="W53" s="96">
        <f t="shared" si="0"/>
        <v>0</v>
      </c>
      <c r="Y53" s="10" t="s">
        <v>110</v>
      </c>
      <c r="Z53" s="33" t="s">
        <v>159</v>
      </c>
      <c r="AA53" s="10" t="s">
        <v>117</v>
      </c>
      <c r="AB53" t="s">
        <v>120</v>
      </c>
      <c r="AD53" t="s">
        <v>160</v>
      </c>
    </row>
    <row r="54" spans="1:30" ht="18.600000000000001" customHeight="1" x14ac:dyDescent="0.45">
      <c r="A54" t="s">
        <v>72</v>
      </c>
      <c r="B54" t="s">
        <v>75</v>
      </c>
      <c r="C54" s="19">
        <v>18.010000000000002</v>
      </c>
      <c r="D54" s="11">
        <f>SUM(10.2*0.03)+10.2</f>
        <v>10.505999999999998</v>
      </c>
      <c r="E54" s="11">
        <v>13</v>
      </c>
      <c r="F54" s="11">
        <v>13.79</v>
      </c>
      <c r="H54" s="21">
        <f>SUM(F54*3%)+F54</f>
        <v>14.2037</v>
      </c>
      <c r="I54" s="21">
        <f>SUM(F54*3%)+F54</f>
        <v>14.2037</v>
      </c>
      <c r="J54" s="21">
        <f>SUM(I54*2%)+I54</f>
        <v>14.487774</v>
      </c>
      <c r="K54" s="21">
        <v>15.3</v>
      </c>
      <c r="L54" s="22">
        <f>SUM(K54*2.1%)+K54</f>
        <v>15.621300000000002</v>
      </c>
      <c r="M54" s="23">
        <v>15.82</v>
      </c>
      <c r="N54" s="24">
        <f>SUM(M54*0.9%)</f>
        <v>0.14238000000000001</v>
      </c>
      <c r="O54" s="25">
        <v>16.899999999999999</v>
      </c>
      <c r="P54" s="26">
        <f>SUM(O54*1.6%)</f>
        <v>0.27039999999999997</v>
      </c>
      <c r="Q54" s="17">
        <v>17.23</v>
      </c>
      <c r="R54" s="18">
        <f>SUM(Q54*0.045)</f>
        <v>0.77534999999999998</v>
      </c>
      <c r="S54" s="77"/>
      <c r="T54" s="77"/>
      <c r="U54" s="89"/>
      <c r="V54" s="89"/>
      <c r="W54" s="96">
        <f t="shared" si="0"/>
        <v>0</v>
      </c>
      <c r="Z54" s="10"/>
      <c r="AB54" t="s">
        <v>120</v>
      </c>
    </row>
    <row r="55" spans="1:30" ht="18.600000000000001" customHeight="1" x14ac:dyDescent="0.45">
      <c r="A55" s="34" t="s">
        <v>72</v>
      </c>
      <c r="B55" s="34" t="s">
        <v>141</v>
      </c>
      <c r="C55" s="35"/>
      <c r="D55" s="36"/>
      <c r="E55" s="36"/>
      <c r="F55" s="36"/>
      <c r="G55" s="34"/>
      <c r="H55" s="37"/>
      <c r="I55" s="37"/>
      <c r="J55" s="37"/>
      <c r="K55" s="37"/>
      <c r="L55" s="38"/>
      <c r="M55" s="36"/>
      <c r="N55" s="35"/>
      <c r="O55" s="39"/>
      <c r="P55" s="40"/>
      <c r="Q55" s="41"/>
      <c r="R55" s="42"/>
      <c r="S55" s="73">
        <v>21.2</v>
      </c>
      <c r="T55" s="73"/>
      <c r="U55" s="84"/>
      <c r="V55" s="84"/>
      <c r="W55" s="96">
        <f t="shared" si="0"/>
        <v>0</v>
      </c>
      <c r="Y55" s="43"/>
      <c r="Z55" s="43"/>
      <c r="AA55" s="43"/>
      <c r="AB55" s="34" t="s">
        <v>120</v>
      </c>
      <c r="AC55" s="59" t="s">
        <v>181</v>
      </c>
      <c r="AD55" t="s">
        <v>142</v>
      </c>
    </row>
    <row r="56" spans="1:30" ht="18.600000000000001" customHeight="1" x14ac:dyDescent="0.3">
      <c r="B56" s="3"/>
      <c r="C56" s="6"/>
      <c r="U56" s="85"/>
      <c r="V56" s="85"/>
      <c r="W56" s="96">
        <f t="shared" si="0"/>
        <v>0</v>
      </c>
      <c r="Z56" s="10"/>
      <c r="AC56"/>
    </row>
    <row r="57" spans="1:30" ht="45.6" customHeight="1" x14ac:dyDescent="0.45">
      <c r="A57" t="s">
        <v>77</v>
      </c>
      <c r="B57" s="3" t="s">
        <v>76</v>
      </c>
      <c r="C57" s="19">
        <v>18.82</v>
      </c>
      <c r="D57" s="3"/>
      <c r="E57" s="11"/>
      <c r="J57" s="12">
        <v>11.7</v>
      </c>
      <c r="K57" s="3">
        <v>12.35</v>
      </c>
      <c r="L57" s="13">
        <f>SUM(K57*2.1%)+K57</f>
        <v>12.609349999999999</v>
      </c>
      <c r="M57" s="11">
        <v>13.61</v>
      </c>
      <c r="N57" s="20">
        <f>SUM(M57*0.9%)</f>
        <v>0.12249000000000002</v>
      </c>
      <c r="O57" s="15">
        <v>14.53</v>
      </c>
      <c r="P57" s="16">
        <f>SUM(O57*1.6%)</f>
        <v>0.23247999999999999</v>
      </c>
      <c r="Q57" s="17">
        <v>18.010000000000002</v>
      </c>
      <c r="R57" s="18">
        <f>SUM(Q57*0.045)</f>
        <v>0.81045</v>
      </c>
      <c r="S57" s="73">
        <v>19.82</v>
      </c>
      <c r="T57" s="73"/>
      <c r="U57" s="84"/>
      <c r="V57" s="84"/>
      <c r="W57" s="96">
        <f t="shared" si="0"/>
        <v>0</v>
      </c>
      <c r="Y57" s="10">
        <v>1</v>
      </c>
      <c r="Z57" s="10">
        <v>56</v>
      </c>
      <c r="AA57" s="10" t="s">
        <v>117</v>
      </c>
      <c r="AB57" t="s">
        <v>120</v>
      </c>
      <c r="AC57" s="62" t="s">
        <v>182</v>
      </c>
      <c r="AD57" s="45" t="s">
        <v>169</v>
      </c>
    </row>
    <row r="58" spans="1:30" ht="18.600000000000001" customHeight="1" x14ac:dyDescent="0.45">
      <c r="A58" t="s">
        <v>57</v>
      </c>
      <c r="B58" t="s">
        <v>84</v>
      </c>
      <c r="C58" s="19">
        <v>19.690000000000001</v>
      </c>
      <c r="D58" s="11">
        <f>SUM(10.61*0.03)+10.61</f>
        <v>10.9283</v>
      </c>
      <c r="E58" s="11">
        <v>12.5</v>
      </c>
      <c r="F58" s="11">
        <v>13.26</v>
      </c>
      <c r="H58" s="12">
        <v>13.66</v>
      </c>
      <c r="I58" s="12">
        <f>SUM(F58*3%)+F58</f>
        <v>13.6578</v>
      </c>
      <c r="J58" s="12">
        <f>SUM(I58*2%)+I58</f>
        <v>13.930956</v>
      </c>
      <c r="K58" s="12">
        <v>14.71</v>
      </c>
      <c r="L58" s="13">
        <f>SUM(K58*2.1%)+K58</f>
        <v>15.018910000000002</v>
      </c>
      <c r="M58" s="11">
        <v>15.21</v>
      </c>
      <c r="N58" s="20">
        <f>SUM(M58*0.9%)</f>
        <v>0.13689000000000001</v>
      </c>
      <c r="O58" s="15">
        <v>16.25</v>
      </c>
      <c r="P58" s="16">
        <f>SUM(O58*1.6%)</f>
        <v>0.26</v>
      </c>
      <c r="Q58" s="17">
        <v>18.84</v>
      </c>
      <c r="R58" s="18">
        <f>SUM(Q58*0.045)</f>
        <v>0.8478</v>
      </c>
      <c r="S58" s="77"/>
      <c r="T58" s="77"/>
      <c r="U58" s="89"/>
      <c r="V58" s="89"/>
      <c r="W58" s="96">
        <f t="shared" si="0"/>
        <v>0</v>
      </c>
      <c r="Y58" s="10">
        <v>1</v>
      </c>
      <c r="Z58" s="10" t="s">
        <v>129</v>
      </c>
      <c r="AA58" s="10" t="s">
        <v>122</v>
      </c>
      <c r="AB58" t="s">
        <v>120</v>
      </c>
    </row>
    <row r="59" spans="1:30" ht="18.600000000000001" customHeight="1" x14ac:dyDescent="0.3">
      <c r="A59" s="3" t="s">
        <v>57</v>
      </c>
      <c r="B59" s="3" t="s">
        <v>58</v>
      </c>
      <c r="C59" s="9">
        <v>75443.399999999994</v>
      </c>
      <c r="U59" s="85"/>
      <c r="V59" s="85"/>
      <c r="W59" s="96">
        <f t="shared" si="0"/>
        <v>0</v>
      </c>
      <c r="Y59" s="10">
        <v>1</v>
      </c>
      <c r="Z59" s="10">
        <v>40</v>
      </c>
      <c r="AA59" s="10" t="s">
        <v>122</v>
      </c>
      <c r="AB59" t="s">
        <v>120</v>
      </c>
      <c r="AD59" t="s">
        <v>147</v>
      </c>
    </row>
    <row r="60" spans="1:30" ht="18.600000000000001" customHeight="1" x14ac:dyDescent="0.45">
      <c r="A60" t="s">
        <v>57</v>
      </c>
      <c r="B60" t="s">
        <v>82</v>
      </c>
      <c r="C60" s="19">
        <v>27.27</v>
      </c>
      <c r="D60" s="11">
        <f>SUM(12.88*0.03)+12.88</f>
        <v>13.266400000000001</v>
      </c>
      <c r="E60" s="11">
        <v>14.5</v>
      </c>
      <c r="F60" s="11">
        <v>15.38</v>
      </c>
      <c r="H60" s="21">
        <f>SUM(F60*3%)+F60</f>
        <v>15.8414</v>
      </c>
      <c r="I60" s="21">
        <f>SUM(F60*3%)+F60</f>
        <v>15.8414</v>
      </c>
      <c r="J60" s="21">
        <f>SUM(I60*2%)+I60</f>
        <v>16.158228000000001</v>
      </c>
      <c r="K60" s="21">
        <v>17.07</v>
      </c>
      <c r="L60" s="22">
        <f>SUM(K60*2.1%)+K60</f>
        <v>17.428470000000001</v>
      </c>
      <c r="M60" s="23">
        <v>18.16</v>
      </c>
      <c r="N60" s="24">
        <f>SUM(M60*0.9%)</f>
        <v>0.16344000000000003</v>
      </c>
      <c r="O60" s="25">
        <v>19.39</v>
      </c>
      <c r="P60" s="26">
        <f>SUM(O60*1.6%)</f>
        <v>0.31024000000000002</v>
      </c>
      <c r="Q60" s="17">
        <v>26.1</v>
      </c>
      <c r="R60" s="18">
        <f>SUM(Q60*0.045)</f>
        <v>1.1745000000000001</v>
      </c>
      <c r="S60" s="77"/>
      <c r="T60" s="77"/>
      <c r="U60" s="89"/>
      <c r="V60" s="89"/>
      <c r="W60" s="96">
        <f t="shared" si="0"/>
        <v>0</v>
      </c>
      <c r="Y60" s="10">
        <v>2</v>
      </c>
      <c r="Z60" s="10">
        <v>40</v>
      </c>
      <c r="AA60" s="10" t="s">
        <v>122</v>
      </c>
      <c r="AB60" t="s">
        <v>120</v>
      </c>
    </row>
    <row r="61" spans="1:30" ht="18.600000000000001" customHeight="1" x14ac:dyDescent="0.45">
      <c r="A61" t="s">
        <v>89</v>
      </c>
      <c r="B61" t="s">
        <v>88</v>
      </c>
      <c r="C61" s="19">
        <v>18.82</v>
      </c>
      <c r="D61" s="11">
        <f>SUM(9.02*0.03)+9.02</f>
        <v>9.2905999999999995</v>
      </c>
      <c r="E61" s="11">
        <v>10.5</v>
      </c>
      <c r="F61" s="11">
        <v>11.14</v>
      </c>
      <c r="H61" s="12">
        <f>SUM(F61*3%)+F61</f>
        <v>11.4742</v>
      </c>
      <c r="I61" s="12">
        <f>SUM(F61*3%)+F61</f>
        <v>11.4742</v>
      </c>
      <c r="J61" s="12">
        <f>SUM(I61*2%)+I61</f>
        <v>11.703683999999999</v>
      </c>
      <c r="K61" s="12">
        <v>12.35</v>
      </c>
      <c r="L61" s="13">
        <f>SUM(K61*2.1%)+K61</f>
        <v>12.609349999999999</v>
      </c>
      <c r="M61" s="11">
        <v>13.61</v>
      </c>
      <c r="N61" s="20">
        <f>SUM(M61*0.9%)</f>
        <v>0.12249000000000002</v>
      </c>
      <c r="O61" s="15">
        <v>14.53</v>
      </c>
      <c r="P61" s="16">
        <f>SUM(O61*1.6%)</f>
        <v>0.23247999999999999</v>
      </c>
      <c r="Q61" s="17">
        <v>18.010000000000002</v>
      </c>
      <c r="R61" s="18">
        <f>SUM(Q61*0.045)</f>
        <v>0.81045</v>
      </c>
      <c r="S61" s="77"/>
      <c r="T61" s="77"/>
      <c r="U61" s="89"/>
      <c r="V61" s="89"/>
      <c r="W61" s="96">
        <f t="shared" si="0"/>
        <v>0</v>
      </c>
      <c r="Y61" s="10">
        <v>1</v>
      </c>
      <c r="Z61" s="10" t="s">
        <v>130</v>
      </c>
      <c r="AA61" s="10" t="s">
        <v>122</v>
      </c>
      <c r="AB61" t="s">
        <v>120</v>
      </c>
    </row>
    <row r="62" spans="1:30" ht="18.600000000000001" customHeight="1" x14ac:dyDescent="0.45">
      <c r="A62" t="s">
        <v>89</v>
      </c>
      <c r="B62" t="s">
        <v>90</v>
      </c>
      <c r="C62" s="19">
        <v>21.82</v>
      </c>
      <c r="D62" s="11">
        <f>SUM(9.6*0.03)+9.6</f>
        <v>9.8879999999999999</v>
      </c>
      <c r="E62" s="11">
        <v>11</v>
      </c>
      <c r="F62" s="11">
        <v>11.67</v>
      </c>
      <c r="H62" s="12">
        <f>SUM(F62*3%)+F62</f>
        <v>12.020099999999999</v>
      </c>
      <c r="I62" s="12">
        <f>SUM(F62*3%)+F62</f>
        <v>12.020099999999999</v>
      </c>
      <c r="J62" s="12">
        <f>SUM(I62*2%)+I62</f>
        <v>12.260501999999999</v>
      </c>
      <c r="K62" s="12">
        <v>12.95</v>
      </c>
      <c r="L62" s="13">
        <f>SUM(K62*2.1%)+K62</f>
        <v>13.22195</v>
      </c>
      <c r="M62" s="11">
        <v>14.22</v>
      </c>
      <c r="N62" s="20">
        <f>SUM(M62*0.9%)</f>
        <v>0.12798000000000001</v>
      </c>
      <c r="O62" s="15">
        <v>15.18</v>
      </c>
      <c r="P62" s="16">
        <f>SUM(O62*1.6%)</f>
        <v>0.24288000000000001</v>
      </c>
      <c r="Q62" s="17">
        <v>20.88</v>
      </c>
      <c r="R62" s="18">
        <f>SUM(Q62*0.045)</f>
        <v>0.93959999999999988</v>
      </c>
      <c r="S62" s="77"/>
      <c r="T62" s="77"/>
      <c r="U62" s="89"/>
      <c r="V62" s="89"/>
      <c r="W62" s="96">
        <f t="shared" si="0"/>
        <v>0</v>
      </c>
      <c r="Y62" s="10">
        <v>1</v>
      </c>
      <c r="Z62" s="10" t="s">
        <v>129</v>
      </c>
      <c r="AA62" s="10" t="s">
        <v>122</v>
      </c>
      <c r="AB62" t="s">
        <v>120</v>
      </c>
    </row>
    <row r="63" spans="1:30" ht="21" customHeight="1" x14ac:dyDescent="0.3">
      <c r="B63" s="3"/>
      <c r="C63" s="6"/>
      <c r="U63" s="85"/>
      <c r="V63" s="85"/>
      <c r="W63" s="96">
        <f t="shared" si="0"/>
        <v>0</v>
      </c>
      <c r="Z63" s="10"/>
    </row>
    <row r="64" spans="1:30" ht="18.600000000000001" customHeight="1" x14ac:dyDescent="0.45">
      <c r="A64" t="s">
        <v>67</v>
      </c>
      <c r="B64" t="s">
        <v>68</v>
      </c>
      <c r="C64" s="19">
        <v>17.73</v>
      </c>
      <c r="D64" s="11">
        <f>SUM(8.94*0.03)+8.94</f>
        <v>9.2081999999999997</v>
      </c>
      <c r="E64" s="11">
        <v>10.5</v>
      </c>
      <c r="F64" s="11">
        <v>11.14</v>
      </c>
      <c r="H64" s="12">
        <f>SUM(F64*3%)+F64</f>
        <v>11.4742</v>
      </c>
      <c r="I64" s="12">
        <f>SUM(F64*3%)+F64</f>
        <v>11.4742</v>
      </c>
      <c r="J64" s="12">
        <f>SUM(I64*2%)+I64</f>
        <v>11.703683999999999</v>
      </c>
      <c r="K64" s="12">
        <v>12.35</v>
      </c>
      <c r="L64" s="13">
        <f>SUM(K64*2.1%)+K64</f>
        <v>12.609349999999999</v>
      </c>
      <c r="M64" s="11">
        <v>13.61</v>
      </c>
      <c r="N64" s="20">
        <f>SUM(M64*0.9%)</f>
        <v>0.12249000000000002</v>
      </c>
      <c r="O64" s="15">
        <v>14.53</v>
      </c>
      <c r="P64" s="16">
        <f>SUM(O64*1.6%)</f>
        <v>0.23247999999999999</v>
      </c>
      <c r="Q64" s="17">
        <v>16.97</v>
      </c>
      <c r="R64" s="18">
        <f>SUM(Q64*0.045)</f>
        <v>0.76364999999999994</v>
      </c>
      <c r="S64" s="77"/>
      <c r="T64" s="77"/>
      <c r="U64" s="89"/>
      <c r="V64" s="89"/>
      <c r="W64" s="96">
        <f t="shared" si="0"/>
        <v>0</v>
      </c>
      <c r="Y64" s="10">
        <v>2</v>
      </c>
      <c r="Z64" s="10" t="s">
        <v>128</v>
      </c>
      <c r="AB64" t="s">
        <v>120</v>
      </c>
    </row>
    <row r="65" spans="1:30" ht="18.600000000000001" customHeight="1" x14ac:dyDescent="0.45">
      <c r="A65" t="s">
        <v>67</v>
      </c>
      <c r="B65" s="3" t="s">
        <v>66</v>
      </c>
      <c r="C65" s="19">
        <v>18.47</v>
      </c>
      <c r="D65" s="11">
        <f>SUM(8.94*0.03)+8.94</f>
        <v>9.2081999999999997</v>
      </c>
      <c r="E65" s="11">
        <v>10.5</v>
      </c>
      <c r="F65" s="11">
        <v>11.14</v>
      </c>
      <c r="H65" s="12">
        <f>SUM(F65*3%)+F65</f>
        <v>11.4742</v>
      </c>
      <c r="I65" s="12">
        <f>SUM(F65*3%)+F65</f>
        <v>11.4742</v>
      </c>
      <c r="J65" s="12">
        <f>SUM(I65*2%)+I65</f>
        <v>11.703683999999999</v>
      </c>
      <c r="K65" s="12">
        <v>12.35</v>
      </c>
      <c r="L65" s="13">
        <f>SUM(K65*2.1%)+K65</f>
        <v>12.609349999999999</v>
      </c>
      <c r="M65" s="11">
        <v>13.61</v>
      </c>
      <c r="N65" s="20">
        <f>SUM(M65*0.9%)</f>
        <v>0.12249000000000002</v>
      </c>
      <c r="O65" s="15">
        <v>15.18</v>
      </c>
      <c r="P65" s="16">
        <f>SUM(O65*1.6%)</f>
        <v>0.24288000000000001</v>
      </c>
      <c r="Q65" s="17">
        <v>17.670000000000002</v>
      </c>
      <c r="R65" s="18">
        <f>SUM(Q65*0.045)</f>
        <v>0.79515000000000002</v>
      </c>
      <c r="S65" s="77"/>
      <c r="T65" s="77"/>
      <c r="U65" s="89"/>
      <c r="V65" s="89"/>
      <c r="W65" s="96">
        <f t="shared" si="0"/>
        <v>0</v>
      </c>
      <c r="Y65" s="10">
        <v>1</v>
      </c>
      <c r="Z65" s="10" t="s">
        <v>128</v>
      </c>
      <c r="AB65" t="s">
        <v>120</v>
      </c>
    </row>
    <row r="66" spans="1:30" ht="18.600000000000001" customHeight="1" x14ac:dyDescent="0.3">
      <c r="B66" s="3"/>
      <c r="C66" s="6"/>
      <c r="U66" s="85"/>
      <c r="V66" s="85"/>
      <c r="W66" s="96">
        <f t="shared" si="0"/>
        <v>0</v>
      </c>
      <c r="Z66" s="10"/>
    </row>
    <row r="67" spans="1:30" ht="18.600000000000001" customHeight="1" x14ac:dyDescent="0.45">
      <c r="A67" t="s">
        <v>93</v>
      </c>
      <c r="B67" t="s">
        <v>92</v>
      </c>
      <c r="C67" s="19">
        <v>17.73</v>
      </c>
      <c r="D67" s="11">
        <f>SUM(9.28*0.03)+9.28</f>
        <v>9.5583999999999989</v>
      </c>
      <c r="E67" s="11">
        <v>10.5</v>
      </c>
      <c r="F67" s="11">
        <v>11.14</v>
      </c>
      <c r="H67" s="12">
        <f>SUM(F67*3%)+F67</f>
        <v>11.4742</v>
      </c>
      <c r="I67" s="12">
        <f>SUM(F67*3%)+F67</f>
        <v>11.4742</v>
      </c>
      <c r="J67" s="12">
        <f>SUM(I67*2%)+I67</f>
        <v>11.703683999999999</v>
      </c>
      <c r="K67" s="12">
        <v>12.35</v>
      </c>
      <c r="L67" s="13">
        <f>SUM(K67*2.1%)+K67</f>
        <v>12.609349999999999</v>
      </c>
      <c r="M67" s="11">
        <v>13.61</v>
      </c>
      <c r="N67" s="20">
        <f>SUM(M67*0.9%)</f>
        <v>0.12249000000000002</v>
      </c>
      <c r="O67" s="15">
        <v>14.53</v>
      </c>
      <c r="P67" s="16">
        <f>SUM(O67*1.6%)</f>
        <v>0.23247999999999999</v>
      </c>
      <c r="Q67" s="17">
        <v>16.97</v>
      </c>
      <c r="R67" s="18">
        <f>SUM(Q67*0.045)</f>
        <v>0.76364999999999994</v>
      </c>
      <c r="S67" s="73">
        <v>18.73</v>
      </c>
      <c r="T67" s="73"/>
      <c r="U67" s="89">
        <v>1843.92</v>
      </c>
      <c r="V67" s="89">
        <v>1947.92</v>
      </c>
      <c r="W67" s="96">
        <f t="shared" si="0"/>
        <v>-104</v>
      </c>
      <c r="Y67" s="10">
        <v>2</v>
      </c>
      <c r="Z67" s="32" t="s">
        <v>131</v>
      </c>
      <c r="AA67" s="10" t="s">
        <v>122</v>
      </c>
      <c r="AB67" t="s">
        <v>120</v>
      </c>
      <c r="AC67" s="59" t="s">
        <v>184</v>
      </c>
    </row>
    <row r="68" spans="1:30" ht="18.600000000000001" customHeight="1" x14ac:dyDescent="0.45">
      <c r="A68" t="s">
        <v>93</v>
      </c>
      <c r="B68" t="s">
        <v>94</v>
      </c>
      <c r="C68" s="19">
        <v>25.63</v>
      </c>
      <c r="D68" s="11">
        <f>SUM(10.34*0.03)+10.34</f>
        <v>10.6502</v>
      </c>
      <c r="E68" s="11">
        <v>14</v>
      </c>
      <c r="F68" s="11">
        <v>14.85</v>
      </c>
      <c r="H68" s="12">
        <f>SUM(F68*3%)+F68</f>
        <v>15.295499999999999</v>
      </c>
      <c r="I68" s="12">
        <f>SUM(F68*3%)+F68</f>
        <v>15.295499999999999</v>
      </c>
      <c r="J68" s="12">
        <f>SUM(I68*2%)+I68</f>
        <v>15.60141</v>
      </c>
      <c r="K68" s="12">
        <v>16.47</v>
      </c>
      <c r="L68" s="13">
        <f>SUM(K68*2.1%)+K68</f>
        <v>16.81587</v>
      </c>
      <c r="M68" s="11">
        <v>19.25</v>
      </c>
      <c r="N68" s="20">
        <f>SUM(M68*0.9%)</f>
        <v>0.17325000000000002</v>
      </c>
      <c r="O68" s="15">
        <v>20.55</v>
      </c>
      <c r="P68" s="16">
        <f>SUM(O68*1.6%)</f>
        <v>0.32880000000000004</v>
      </c>
      <c r="Q68" s="17">
        <v>24.53</v>
      </c>
      <c r="R68" s="18">
        <f>SUM(Q68*0.045)</f>
        <v>1.10385</v>
      </c>
      <c r="S68" s="80"/>
      <c r="T68" s="80"/>
      <c r="U68" s="89">
        <v>42648.22</v>
      </c>
      <c r="V68" s="89">
        <v>42648.22</v>
      </c>
      <c r="W68" s="96">
        <f t="shared" si="0"/>
        <v>0</v>
      </c>
      <c r="Y68" s="10">
        <v>1</v>
      </c>
      <c r="Z68" s="10">
        <v>32</v>
      </c>
      <c r="AA68" s="10" t="s">
        <v>122</v>
      </c>
      <c r="AB68" t="s">
        <v>120</v>
      </c>
    </row>
    <row r="69" spans="1:30" ht="32.4" customHeight="1" x14ac:dyDescent="0.45">
      <c r="A69" s="34" t="s">
        <v>93</v>
      </c>
      <c r="B69" s="34" t="s">
        <v>124</v>
      </c>
      <c r="C69" s="35" t="s">
        <v>125</v>
      </c>
      <c r="D69" s="36">
        <f>SUM(10.34*0.03)+10.34</f>
        <v>10.6502</v>
      </c>
      <c r="E69" s="36">
        <v>14</v>
      </c>
      <c r="F69" s="36">
        <v>14.85</v>
      </c>
      <c r="G69" s="34"/>
      <c r="H69" s="37">
        <f>SUM(F69*3%)+F69</f>
        <v>15.295499999999999</v>
      </c>
      <c r="I69" s="37">
        <f>SUM(F69*3%)+F69</f>
        <v>15.295499999999999</v>
      </c>
      <c r="J69" s="37">
        <f>SUM(I69*2%)+I69</f>
        <v>15.60141</v>
      </c>
      <c r="K69" s="37">
        <v>16.47</v>
      </c>
      <c r="L69" s="38">
        <f>SUM(K69*2.1%)+K69</f>
        <v>16.81587</v>
      </c>
      <c r="M69" s="36">
        <v>19.25</v>
      </c>
      <c r="N69" s="35">
        <f>SUM(M69*0.9%)</f>
        <v>0.17325000000000002</v>
      </c>
      <c r="O69" s="39">
        <v>20.55</v>
      </c>
      <c r="P69" s="40">
        <f>SUM(O69*1.6%)</f>
        <v>0.32880000000000004</v>
      </c>
      <c r="Q69" s="41">
        <v>24.53</v>
      </c>
      <c r="R69" s="42">
        <f>SUM(Q69*0.045)</f>
        <v>1.10385</v>
      </c>
      <c r="S69" s="73">
        <v>20</v>
      </c>
      <c r="T69" s="73"/>
      <c r="U69" s="89">
        <v>9219.6</v>
      </c>
      <c r="V69" s="89">
        <v>10400</v>
      </c>
      <c r="W69" s="96">
        <f t="shared" si="0"/>
        <v>-1180.3999999999996</v>
      </c>
      <c r="Y69" s="43">
        <v>1</v>
      </c>
      <c r="Z69" s="43">
        <v>10</v>
      </c>
      <c r="AA69" s="43" t="s">
        <v>122</v>
      </c>
      <c r="AB69" s="34" t="s">
        <v>120</v>
      </c>
      <c r="AC69" s="59" t="s">
        <v>181</v>
      </c>
      <c r="AD69" s="45" t="s">
        <v>205</v>
      </c>
    </row>
    <row r="70" spans="1:30" ht="18.600000000000001" customHeight="1" x14ac:dyDescent="0.3">
      <c r="B70" s="3"/>
      <c r="C70" s="6"/>
      <c r="U70" s="85"/>
      <c r="V70" s="85"/>
      <c r="W70" s="96">
        <f t="shared" si="0"/>
        <v>0</v>
      </c>
      <c r="Z70" s="10"/>
      <c r="AC70"/>
    </row>
    <row r="71" spans="1:30" ht="18.600000000000001" customHeight="1" x14ac:dyDescent="0.45">
      <c r="A71" t="s">
        <v>70</v>
      </c>
      <c r="B71" t="s">
        <v>69</v>
      </c>
      <c r="C71" s="19">
        <v>18.47</v>
      </c>
      <c r="D71" s="11"/>
      <c r="E71" s="11"/>
      <c r="F71" s="11">
        <v>11.67</v>
      </c>
      <c r="H71" s="12">
        <f>SUM(F71*3%)+F71</f>
        <v>12.020099999999999</v>
      </c>
      <c r="I71" s="12">
        <f>SUM(F71*3%)+F71</f>
        <v>12.020099999999999</v>
      </c>
      <c r="J71" s="12">
        <f>SUM(I71*2%)+I71</f>
        <v>12.260501999999999</v>
      </c>
      <c r="K71" s="12">
        <v>12.95</v>
      </c>
      <c r="L71" s="13">
        <f>SUM(K71*2.1%)+K71</f>
        <v>13.22195</v>
      </c>
      <c r="M71" s="11">
        <v>14.22</v>
      </c>
      <c r="N71" s="20">
        <f>SUM(M71*0.9%)</f>
        <v>0.12798000000000001</v>
      </c>
      <c r="O71" s="15">
        <v>15.18</v>
      </c>
      <c r="P71" s="16">
        <f>SUM(O71*1.6%)</f>
        <v>0.24288000000000001</v>
      </c>
      <c r="Q71" s="17">
        <v>17.670000000000002</v>
      </c>
      <c r="R71" s="18">
        <f>SUM(Q71*0.045)</f>
        <v>0.79515000000000002</v>
      </c>
      <c r="S71" s="77"/>
      <c r="T71" s="77"/>
      <c r="U71" s="89">
        <v>10000</v>
      </c>
      <c r="V71" s="89">
        <v>10000</v>
      </c>
      <c r="W71" s="96">
        <f t="shared" ref="W71:W75" si="5">SUM(U71-V71)</f>
        <v>0</v>
      </c>
      <c r="Y71" s="10">
        <v>1</v>
      </c>
      <c r="Z71" s="10">
        <v>10</v>
      </c>
      <c r="AA71" s="10" t="s">
        <v>122</v>
      </c>
      <c r="AB71" t="s">
        <v>120</v>
      </c>
    </row>
    <row r="72" spans="1:30" ht="18.600000000000001" customHeight="1" x14ac:dyDescent="0.45">
      <c r="A72" t="s">
        <v>107</v>
      </c>
      <c r="B72" s="3" t="s">
        <v>91</v>
      </c>
      <c r="C72" s="19">
        <v>21.82</v>
      </c>
      <c r="D72" s="11"/>
      <c r="E72" s="11"/>
      <c r="F72" s="11"/>
      <c r="H72" s="12"/>
      <c r="I72" s="12"/>
      <c r="J72" s="12"/>
      <c r="K72" s="12"/>
      <c r="L72" s="13"/>
      <c r="M72" s="11"/>
      <c r="N72" s="20"/>
      <c r="O72" s="15">
        <v>20</v>
      </c>
      <c r="P72" s="16"/>
      <c r="Q72" s="17">
        <v>20.88</v>
      </c>
      <c r="R72" s="18">
        <f>SUM(Q72*0.045)</f>
        <v>0.93959999999999988</v>
      </c>
      <c r="S72" s="77"/>
      <c r="T72" s="77"/>
      <c r="U72" s="89"/>
      <c r="V72" s="89"/>
      <c r="W72" s="96">
        <f t="shared" si="5"/>
        <v>0</v>
      </c>
      <c r="Y72" s="10">
        <v>1</v>
      </c>
      <c r="Z72" s="10" t="s">
        <v>128</v>
      </c>
      <c r="AB72" t="s">
        <v>120</v>
      </c>
      <c r="AD72" t="s">
        <v>148</v>
      </c>
    </row>
    <row r="73" spans="1:30" ht="18.600000000000001" customHeight="1" x14ac:dyDescent="0.3">
      <c r="A73" t="s">
        <v>24</v>
      </c>
      <c r="B73" s="66" t="s">
        <v>26</v>
      </c>
      <c r="C73" s="67">
        <v>53</v>
      </c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81"/>
      <c r="T73" s="81"/>
      <c r="U73" s="87"/>
      <c r="V73" s="87"/>
      <c r="W73" s="96">
        <f t="shared" si="5"/>
        <v>0</v>
      </c>
      <c r="Y73" s="68">
        <v>1</v>
      </c>
      <c r="Z73" s="68" t="s">
        <v>128</v>
      </c>
      <c r="AA73" s="68"/>
      <c r="AB73" s="66" t="s">
        <v>120</v>
      </c>
      <c r="AC73" s="59" t="s">
        <v>183</v>
      </c>
    </row>
    <row r="74" spans="1:30" ht="18.600000000000001" customHeight="1" x14ac:dyDescent="0.45">
      <c r="A74" s="3" t="s">
        <v>103</v>
      </c>
      <c r="B74" s="3" t="s">
        <v>102</v>
      </c>
      <c r="C74" s="19">
        <v>17.73</v>
      </c>
      <c r="D74" s="11"/>
      <c r="E74" s="11"/>
      <c r="F74" s="11"/>
      <c r="H74" s="12"/>
      <c r="I74" s="12"/>
      <c r="J74" s="12"/>
      <c r="K74" s="12"/>
      <c r="L74" s="13"/>
      <c r="M74" s="11"/>
      <c r="N74" s="20"/>
      <c r="O74" s="15">
        <v>15</v>
      </c>
      <c r="P74" s="16"/>
      <c r="Q74" s="17">
        <v>16.97</v>
      </c>
      <c r="R74" s="18">
        <f>SUM(Q74*0.045)</f>
        <v>0.76364999999999994</v>
      </c>
      <c r="S74" s="77"/>
      <c r="T74" s="77"/>
      <c r="U74" s="89"/>
      <c r="V74" s="89"/>
      <c r="W74" s="96">
        <f t="shared" si="5"/>
        <v>0</v>
      </c>
      <c r="Y74" s="10">
        <v>1</v>
      </c>
      <c r="Z74" s="10" t="s">
        <v>128</v>
      </c>
      <c r="AB74" t="s">
        <v>120</v>
      </c>
      <c r="AD74" t="s">
        <v>161</v>
      </c>
    </row>
    <row r="75" spans="1:30" ht="18.600000000000001" customHeight="1" x14ac:dyDescent="0.45">
      <c r="A75" t="s">
        <v>106</v>
      </c>
      <c r="B75" s="3" t="s">
        <v>105</v>
      </c>
      <c r="C75" s="19">
        <v>19.690000000000001</v>
      </c>
      <c r="D75" s="11"/>
      <c r="E75" s="11"/>
      <c r="F75" s="11"/>
      <c r="H75" s="29"/>
      <c r="I75" s="29"/>
      <c r="J75" s="12">
        <v>13.93</v>
      </c>
      <c r="K75" s="12">
        <v>14.71</v>
      </c>
      <c r="L75" s="13">
        <f>SUM(K75*2.1%)+K75</f>
        <v>15.018910000000002</v>
      </c>
      <c r="M75" s="11">
        <v>15.21</v>
      </c>
      <c r="N75" s="20">
        <f>SUM(M75*0.9%)</f>
        <v>0.13689000000000001</v>
      </c>
      <c r="O75" s="15">
        <v>16.25</v>
      </c>
      <c r="P75" s="16">
        <f>SUM(O75*1.6%)</f>
        <v>0.26</v>
      </c>
      <c r="Q75" s="17">
        <v>18.84</v>
      </c>
      <c r="R75" s="18">
        <f>SUM(Q75*0.045)</f>
        <v>0.8478</v>
      </c>
      <c r="S75" s="77"/>
      <c r="T75" s="77"/>
      <c r="U75" s="89"/>
      <c r="V75" s="89"/>
      <c r="W75" s="96">
        <f t="shared" si="5"/>
        <v>0</v>
      </c>
      <c r="Y75" s="10">
        <v>1</v>
      </c>
      <c r="Z75" s="10" t="s">
        <v>128</v>
      </c>
      <c r="AB75" t="s">
        <v>120</v>
      </c>
      <c r="AD75" t="s">
        <v>162</v>
      </c>
    </row>
    <row r="76" spans="1:30" x14ac:dyDescent="0.3">
      <c r="U76" s="85"/>
      <c r="V76" s="85"/>
      <c r="W76" s="96"/>
      <c r="Z76" s="10"/>
      <c r="AC76"/>
    </row>
    <row r="77" spans="1:30" ht="3.6" customHeight="1" x14ac:dyDescent="0.3">
      <c r="U77" s="85"/>
      <c r="V77" s="85"/>
      <c r="W77" s="96"/>
      <c r="AC77"/>
    </row>
    <row r="78" spans="1:30" s="46" customFormat="1" ht="18.600000000000001" customHeight="1" x14ac:dyDescent="0.45">
      <c r="A78" s="46" t="s">
        <v>96</v>
      </c>
      <c r="B78" s="47" t="s">
        <v>95</v>
      </c>
      <c r="C78" s="48">
        <v>17.73</v>
      </c>
      <c r="D78" s="49"/>
      <c r="E78" s="49"/>
      <c r="F78" s="49"/>
      <c r="H78" s="50"/>
      <c r="I78" s="50"/>
      <c r="J78" s="51">
        <v>11.7</v>
      </c>
      <c r="K78" s="51">
        <v>12.35</v>
      </c>
      <c r="L78" s="50">
        <f>SUM(K78*2.1%)+K78</f>
        <v>12.609349999999999</v>
      </c>
      <c r="M78" s="49">
        <v>13.61</v>
      </c>
      <c r="N78" s="52">
        <f>SUM(M78*0.9%)</f>
        <v>0.12249000000000002</v>
      </c>
      <c r="O78" s="53">
        <v>14.53</v>
      </c>
      <c r="P78" s="54">
        <f>SUM(O78*1.6%)</f>
        <v>0.23247999999999999</v>
      </c>
      <c r="Q78" s="55">
        <v>16.97</v>
      </c>
      <c r="R78" s="56">
        <f>SUM(Q78*0.045)</f>
        <v>0.76364999999999994</v>
      </c>
      <c r="S78" s="77"/>
      <c r="T78" s="77"/>
      <c r="U78" s="89"/>
      <c r="V78" s="89"/>
      <c r="W78" s="100"/>
      <c r="X78" s="86"/>
      <c r="Y78" s="57">
        <v>1</v>
      </c>
      <c r="Z78" s="57" t="s">
        <v>111</v>
      </c>
      <c r="AA78" s="57" t="s">
        <v>117</v>
      </c>
      <c r="AB78" s="46" t="s">
        <v>120</v>
      </c>
    </row>
    <row r="79" spans="1:30" s="46" customFormat="1" ht="18.600000000000001" x14ac:dyDescent="0.45">
      <c r="A79" s="58" t="s">
        <v>132</v>
      </c>
      <c r="B79" s="47" t="s">
        <v>78</v>
      </c>
      <c r="C79" s="49">
        <v>30.73</v>
      </c>
      <c r="D79" s="49">
        <f>SUM(15.6*0.03)+15.6</f>
        <v>16.067999999999998</v>
      </c>
      <c r="E79" s="49">
        <v>17.25</v>
      </c>
      <c r="F79" s="49">
        <v>18.3</v>
      </c>
      <c r="H79" s="51">
        <v>20.85</v>
      </c>
      <c r="I79" s="51">
        <v>20.85</v>
      </c>
      <c r="J79" s="51">
        <f>SUM(I79*2%)+I79</f>
        <v>21.267000000000003</v>
      </c>
      <c r="K79" s="51">
        <v>22.47</v>
      </c>
      <c r="L79" s="50">
        <f>SUM(K79*2.1%)+K79</f>
        <v>22.941869999999998</v>
      </c>
      <c r="M79" s="49">
        <v>24.26</v>
      </c>
      <c r="N79" s="52">
        <f>SUM(M79*0.9%)</f>
        <v>0.21834000000000003</v>
      </c>
      <c r="O79" s="53">
        <v>25.91</v>
      </c>
      <c r="P79" s="54">
        <f>SUM(O79*1.6%)</f>
        <v>0.41455999999999998</v>
      </c>
      <c r="Q79" s="55">
        <v>29.41</v>
      </c>
      <c r="R79" s="56">
        <f>SUM(Q79*0.045)</f>
        <v>1.32345</v>
      </c>
      <c r="S79" s="77"/>
      <c r="T79" s="77"/>
      <c r="U79" s="89"/>
      <c r="V79" s="89"/>
      <c r="W79" s="100"/>
      <c r="X79" s="86"/>
      <c r="Y79" s="57" t="s">
        <v>111</v>
      </c>
      <c r="Z79" s="57">
        <v>40</v>
      </c>
      <c r="AA79" s="57" t="s">
        <v>122</v>
      </c>
      <c r="AB79" s="46" t="s">
        <v>120</v>
      </c>
    </row>
    <row r="80" spans="1:30" s="46" customFormat="1" ht="18.600000000000001" x14ac:dyDescent="0.45">
      <c r="A80" s="46" t="s">
        <v>133</v>
      </c>
      <c r="B80" s="46" t="s">
        <v>85</v>
      </c>
      <c r="C80" s="48">
        <v>21.65</v>
      </c>
      <c r="D80" s="49"/>
      <c r="E80" s="49"/>
      <c r="F80" s="49"/>
      <c r="H80" s="51"/>
      <c r="I80" s="51"/>
      <c r="J80" s="51"/>
      <c r="K80" s="51"/>
      <c r="L80" s="50"/>
      <c r="M80" s="49"/>
      <c r="N80" s="52"/>
      <c r="O80" s="53">
        <v>17.96</v>
      </c>
      <c r="P80" s="54">
        <f>SUM(O80*1.6%)</f>
        <v>0.28736</v>
      </c>
      <c r="Q80" s="55">
        <v>20.72</v>
      </c>
      <c r="R80" s="56">
        <f>SUM(Q80*0.045)</f>
        <v>0.9323999999999999</v>
      </c>
      <c r="S80" s="77"/>
      <c r="T80" s="77"/>
      <c r="U80" s="89"/>
      <c r="V80" s="89"/>
      <c r="W80" s="100"/>
      <c r="X80" s="86"/>
      <c r="Y80" s="57" t="s">
        <v>111</v>
      </c>
      <c r="Z80" s="57">
        <v>40</v>
      </c>
      <c r="AA80" s="57" t="s">
        <v>122</v>
      </c>
      <c r="AB80" s="46" t="s">
        <v>120</v>
      </c>
    </row>
    <row r="81" spans="1:29" s="46" customFormat="1" ht="18.600000000000001" customHeight="1" x14ac:dyDescent="0.45">
      <c r="A81" s="46" t="s">
        <v>57</v>
      </c>
      <c r="B81" s="46" t="s">
        <v>87</v>
      </c>
      <c r="C81" s="48">
        <v>17.73</v>
      </c>
      <c r="D81" s="49"/>
      <c r="E81" s="49"/>
      <c r="F81" s="49">
        <v>0</v>
      </c>
      <c r="H81" s="51">
        <f>SUM(F81*3%)+F81</f>
        <v>0</v>
      </c>
      <c r="I81" s="51">
        <f>SUM(F81*3%)+F81</f>
        <v>0</v>
      </c>
      <c r="J81" s="51">
        <f>SUM(I81*2%)+I81</f>
        <v>0</v>
      </c>
      <c r="K81" s="51">
        <f>SUM(J81*1.4%)+J81</f>
        <v>0</v>
      </c>
      <c r="L81" s="50">
        <f>SUM(K81*2.1%)+K81</f>
        <v>0</v>
      </c>
      <c r="M81" s="49">
        <v>13.61</v>
      </c>
      <c r="N81" s="52">
        <f>SUM(M81*0.9%)</f>
        <v>0.12249000000000002</v>
      </c>
      <c r="O81" s="53">
        <v>14.53</v>
      </c>
      <c r="P81" s="54">
        <f>SUM(O81*1.6%)</f>
        <v>0.23247999999999999</v>
      </c>
      <c r="Q81" s="55">
        <v>16.97</v>
      </c>
      <c r="R81" s="56">
        <f>SUM(Q81*0.045)</f>
        <v>0.76364999999999994</v>
      </c>
      <c r="S81" s="77"/>
      <c r="T81" s="77"/>
      <c r="U81" s="89"/>
      <c r="V81" s="89"/>
      <c r="W81" s="100"/>
      <c r="X81" s="86"/>
      <c r="Y81" s="57" t="s">
        <v>111</v>
      </c>
      <c r="Z81" s="57"/>
      <c r="AA81" s="57"/>
      <c r="AB81" s="46" t="s">
        <v>120</v>
      </c>
    </row>
    <row r="82" spans="1:29" x14ac:dyDescent="0.3">
      <c r="A82" t="s">
        <v>134</v>
      </c>
      <c r="U82" s="85"/>
      <c r="V82" s="85"/>
      <c r="W82" s="96"/>
      <c r="AC82"/>
    </row>
    <row r="83" spans="1:29" x14ac:dyDescent="0.3">
      <c r="A83" t="s">
        <v>135</v>
      </c>
      <c r="S83" s="95" t="s">
        <v>203</v>
      </c>
      <c r="U83" s="85">
        <f>SUM(U5:U76)</f>
        <v>262145.41000000003</v>
      </c>
      <c r="V83" s="85">
        <f>SUM(V5:V76)</f>
        <v>273312.14</v>
      </c>
      <c r="W83" s="96">
        <f t="shared" ref="W83" si="6">SUM(U83-V83)</f>
        <v>-11166.729999999981</v>
      </c>
      <c r="AC83"/>
    </row>
    <row r="84" spans="1:29" x14ac:dyDescent="0.3">
      <c r="U84" s="85"/>
      <c r="V84" s="85"/>
      <c r="AC84"/>
    </row>
    <row r="85" spans="1:29" x14ac:dyDescent="0.3">
      <c r="U85" s="85"/>
      <c r="V85" s="85"/>
      <c r="AC85"/>
    </row>
    <row r="86" spans="1:29" x14ac:dyDescent="0.3">
      <c r="U86" s="85"/>
      <c r="V86" s="85"/>
      <c r="AC86"/>
    </row>
    <row r="87" spans="1:29" x14ac:dyDescent="0.3">
      <c r="U87" s="85"/>
      <c r="V87" s="85"/>
      <c r="AC87"/>
    </row>
    <row r="88" spans="1:29" x14ac:dyDescent="0.3">
      <c r="U88" s="85"/>
      <c r="V88" s="85"/>
      <c r="AC88"/>
    </row>
    <row r="89" spans="1:29" x14ac:dyDescent="0.3">
      <c r="U89" s="85"/>
      <c r="V89" s="85"/>
      <c r="AC89"/>
    </row>
    <row r="90" spans="1:29" x14ac:dyDescent="0.3">
      <c r="U90" s="85"/>
      <c r="V90" s="85"/>
      <c r="AC90"/>
    </row>
    <row r="91" spans="1:29" x14ac:dyDescent="0.3">
      <c r="U91" s="85"/>
      <c r="V91" s="85"/>
      <c r="AC91"/>
    </row>
    <row r="92" spans="1:29" x14ac:dyDescent="0.3">
      <c r="U92" s="85"/>
      <c r="V92" s="85"/>
      <c r="AC92"/>
    </row>
    <row r="93" spans="1:29" x14ac:dyDescent="0.3">
      <c r="U93" s="85"/>
      <c r="V93" s="85"/>
      <c r="AC93"/>
    </row>
    <row r="94" spans="1:29" x14ac:dyDescent="0.3">
      <c r="U94" s="85"/>
      <c r="V94" s="85"/>
      <c r="AC94"/>
    </row>
    <row r="95" spans="1:29" x14ac:dyDescent="0.3">
      <c r="U95" s="85"/>
      <c r="V95" s="85"/>
      <c r="AC95"/>
    </row>
    <row r="96" spans="1:29" x14ac:dyDescent="0.3">
      <c r="U96" s="85"/>
      <c r="V96" s="85"/>
      <c r="AC96"/>
    </row>
    <row r="97" spans="21:29" x14ac:dyDescent="0.3">
      <c r="U97" s="85"/>
      <c r="V97" s="85"/>
      <c r="AC97"/>
    </row>
    <row r="98" spans="21:29" x14ac:dyDescent="0.3">
      <c r="U98" s="85"/>
      <c r="V98" s="85"/>
      <c r="AC98"/>
    </row>
    <row r="99" spans="21:29" x14ac:dyDescent="0.3">
      <c r="U99" s="85"/>
      <c r="V99" s="85"/>
      <c r="AC99"/>
    </row>
    <row r="100" spans="21:29" x14ac:dyDescent="0.3">
      <c r="U100" s="85"/>
      <c r="V100" s="85"/>
      <c r="AC100"/>
    </row>
    <row r="101" spans="21:29" x14ac:dyDescent="0.3">
      <c r="U101" s="85"/>
      <c r="V101" s="85"/>
      <c r="AC101"/>
    </row>
    <row r="102" spans="21:29" x14ac:dyDescent="0.3">
      <c r="U102" s="85"/>
      <c r="V102" s="85"/>
      <c r="AC102"/>
    </row>
    <row r="103" spans="21:29" x14ac:dyDescent="0.3">
      <c r="U103" s="85"/>
      <c r="V103" s="85"/>
      <c r="AC103"/>
    </row>
    <row r="104" spans="21:29" x14ac:dyDescent="0.3">
      <c r="U104" s="85"/>
      <c r="V104" s="85"/>
      <c r="AC104"/>
    </row>
    <row r="105" spans="21:29" x14ac:dyDescent="0.3">
      <c r="U105" s="85"/>
      <c r="V105" s="85"/>
      <c r="AC105"/>
    </row>
    <row r="106" spans="21:29" x14ac:dyDescent="0.3">
      <c r="U106" s="85"/>
      <c r="V106" s="85"/>
      <c r="AC106"/>
    </row>
    <row r="107" spans="21:29" x14ac:dyDescent="0.3">
      <c r="U107" s="85"/>
      <c r="V107" s="85"/>
      <c r="AC107"/>
    </row>
    <row r="108" spans="21:29" x14ac:dyDescent="0.3">
      <c r="U108" s="85"/>
      <c r="V108" s="85"/>
      <c r="AC108"/>
    </row>
    <row r="109" spans="21:29" x14ac:dyDescent="0.3">
      <c r="U109" s="85"/>
      <c r="V109" s="85"/>
      <c r="AC109"/>
    </row>
    <row r="110" spans="21:29" x14ac:dyDescent="0.3">
      <c r="U110" s="85"/>
      <c r="V110" s="85"/>
      <c r="AC110"/>
    </row>
    <row r="111" spans="21:29" x14ac:dyDescent="0.3">
      <c r="U111" s="85"/>
      <c r="V111" s="85"/>
      <c r="AC111"/>
    </row>
    <row r="112" spans="21:29" x14ac:dyDescent="0.3">
      <c r="U112" s="85"/>
      <c r="V112" s="85"/>
      <c r="AC112"/>
    </row>
    <row r="113" spans="21:29" x14ac:dyDescent="0.3">
      <c r="U113" s="85"/>
      <c r="V113" s="85"/>
      <c r="AC113"/>
    </row>
    <row r="114" spans="21:29" x14ac:dyDescent="0.3">
      <c r="U114" s="85"/>
      <c r="V114" s="85"/>
      <c r="AC114"/>
    </row>
    <row r="115" spans="21:29" x14ac:dyDescent="0.3">
      <c r="U115" s="85"/>
      <c r="V115" s="85"/>
      <c r="AC115"/>
    </row>
    <row r="116" spans="21:29" x14ac:dyDescent="0.3">
      <c r="U116" s="85"/>
      <c r="V116" s="85"/>
      <c r="AC116"/>
    </row>
    <row r="117" spans="21:29" x14ac:dyDescent="0.3">
      <c r="U117" s="85"/>
      <c r="V117" s="85"/>
      <c r="AC117"/>
    </row>
    <row r="118" spans="21:29" x14ac:dyDescent="0.3">
      <c r="U118" s="85"/>
      <c r="V118" s="85"/>
      <c r="AC118"/>
    </row>
    <row r="119" spans="21:29" x14ac:dyDescent="0.3">
      <c r="U119" s="85"/>
      <c r="V119" s="85"/>
      <c r="AC119"/>
    </row>
    <row r="120" spans="21:29" x14ac:dyDescent="0.3">
      <c r="U120" s="85"/>
      <c r="V120" s="85"/>
      <c r="AC120"/>
    </row>
    <row r="121" spans="21:29" x14ac:dyDescent="0.3">
      <c r="U121" s="85"/>
      <c r="V121" s="85"/>
      <c r="AC121"/>
    </row>
    <row r="122" spans="21:29" x14ac:dyDescent="0.3">
      <c r="U122" s="85"/>
      <c r="V122" s="85"/>
      <c r="AC122"/>
    </row>
    <row r="123" spans="21:29" x14ac:dyDescent="0.3">
      <c r="U123" s="85"/>
      <c r="V123" s="85"/>
      <c r="AC123"/>
    </row>
    <row r="124" spans="21:29" x14ac:dyDescent="0.3">
      <c r="U124" s="85"/>
      <c r="V124" s="85"/>
      <c r="AC124"/>
    </row>
    <row r="125" spans="21:29" x14ac:dyDescent="0.3">
      <c r="U125" s="85"/>
      <c r="V125" s="85"/>
      <c r="AC125"/>
    </row>
    <row r="126" spans="21:29" x14ac:dyDescent="0.3">
      <c r="U126" s="85"/>
      <c r="V126" s="85"/>
      <c r="AC126"/>
    </row>
    <row r="127" spans="21:29" x14ac:dyDescent="0.3">
      <c r="U127" s="85"/>
      <c r="V127" s="85"/>
      <c r="AC127"/>
    </row>
    <row r="128" spans="21:29" x14ac:dyDescent="0.3">
      <c r="U128" s="85"/>
      <c r="V128" s="85"/>
      <c r="AC128"/>
    </row>
    <row r="129" spans="21:29" x14ac:dyDescent="0.3">
      <c r="U129" s="85"/>
      <c r="V129" s="85"/>
      <c r="AC129"/>
    </row>
    <row r="130" spans="21:29" x14ac:dyDescent="0.3">
      <c r="U130" s="85"/>
      <c r="V130" s="85"/>
      <c r="AC130"/>
    </row>
    <row r="131" spans="21:29" x14ac:dyDescent="0.3">
      <c r="U131" s="85"/>
      <c r="V131" s="85"/>
      <c r="AC131"/>
    </row>
    <row r="132" spans="21:29" x14ac:dyDescent="0.3">
      <c r="U132" s="85"/>
      <c r="V132" s="85"/>
      <c r="AC132"/>
    </row>
    <row r="133" spans="21:29" x14ac:dyDescent="0.3">
      <c r="U133" s="85"/>
      <c r="V133" s="85"/>
      <c r="AC133"/>
    </row>
    <row r="134" spans="21:29" x14ac:dyDescent="0.3">
      <c r="U134" s="85"/>
      <c r="V134" s="85"/>
      <c r="AC134"/>
    </row>
    <row r="135" spans="21:29" x14ac:dyDescent="0.3">
      <c r="U135" s="85"/>
      <c r="V135" s="85"/>
      <c r="AC135"/>
    </row>
    <row r="136" spans="21:29" x14ac:dyDescent="0.3">
      <c r="U136" s="85"/>
      <c r="V136" s="85"/>
      <c r="AC136"/>
    </row>
    <row r="137" spans="21:29" x14ac:dyDescent="0.3">
      <c r="U137" s="85"/>
      <c r="V137" s="85"/>
      <c r="AC137"/>
    </row>
    <row r="138" spans="21:29" x14ac:dyDescent="0.3">
      <c r="U138" s="85"/>
      <c r="V138" s="85"/>
      <c r="AC138"/>
    </row>
    <row r="139" spans="21:29" x14ac:dyDescent="0.3">
      <c r="AC139"/>
    </row>
    <row r="140" spans="21:29" x14ac:dyDescent="0.3">
      <c r="AC140"/>
    </row>
    <row r="141" spans="21:29" x14ac:dyDescent="0.3">
      <c r="AC141"/>
    </row>
    <row r="142" spans="21:29" x14ac:dyDescent="0.3">
      <c r="AC142"/>
    </row>
    <row r="143" spans="21:29" x14ac:dyDescent="0.3">
      <c r="AC143"/>
    </row>
    <row r="144" spans="21:29" x14ac:dyDescent="0.3">
      <c r="AC144"/>
    </row>
    <row r="145" spans="29:29" x14ac:dyDescent="0.3">
      <c r="AC145"/>
    </row>
    <row r="146" spans="29:29" x14ac:dyDescent="0.3">
      <c r="AC146"/>
    </row>
    <row r="147" spans="29:29" x14ac:dyDescent="0.3">
      <c r="AC147"/>
    </row>
    <row r="148" spans="29:29" x14ac:dyDescent="0.3">
      <c r="AC148"/>
    </row>
    <row r="149" spans="29:29" x14ac:dyDescent="0.3">
      <c r="AC149"/>
    </row>
    <row r="150" spans="29:29" x14ac:dyDescent="0.3">
      <c r="AC150"/>
    </row>
    <row r="151" spans="29:29" x14ac:dyDescent="0.3">
      <c r="AC151"/>
    </row>
    <row r="152" spans="29:29" x14ac:dyDescent="0.3">
      <c r="AC152"/>
    </row>
    <row r="153" spans="29:29" x14ac:dyDescent="0.3">
      <c r="AC153"/>
    </row>
    <row r="154" spans="29:29" x14ac:dyDescent="0.3">
      <c r="AC154"/>
    </row>
    <row r="155" spans="29:29" x14ac:dyDescent="0.3">
      <c r="AC155"/>
    </row>
    <row r="156" spans="29:29" x14ac:dyDescent="0.3">
      <c r="AC156"/>
    </row>
    <row r="157" spans="29:29" x14ac:dyDescent="0.3">
      <c r="AC157"/>
    </row>
    <row r="158" spans="29:29" x14ac:dyDescent="0.3">
      <c r="AC158"/>
    </row>
    <row r="159" spans="29:29" x14ac:dyDescent="0.3">
      <c r="AC159"/>
    </row>
    <row r="160" spans="29:29" x14ac:dyDescent="0.3">
      <c r="AC160"/>
    </row>
    <row r="161" spans="29:29" x14ac:dyDescent="0.3">
      <c r="AC161"/>
    </row>
    <row r="162" spans="29:29" x14ac:dyDescent="0.3">
      <c r="AC162"/>
    </row>
    <row r="163" spans="29:29" x14ac:dyDescent="0.3">
      <c r="AC163"/>
    </row>
    <row r="164" spans="29:29" x14ac:dyDescent="0.3">
      <c r="AC164"/>
    </row>
    <row r="165" spans="29:29" x14ac:dyDescent="0.3">
      <c r="AC165"/>
    </row>
    <row r="166" spans="29:29" x14ac:dyDescent="0.3">
      <c r="AC166"/>
    </row>
    <row r="167" spans="29:29" x14ac:dyDescent="0.3">
      <c r="AC167"/>
    </row>
    <row r="168" spans="29:29" x14ac:dyDescent="0.3">
      <c r="AC168"/>
    </row>
    <row r="169" spans="29:29" x14ac:dyDescent="0.3">
      <c r="AC169"/>
    </row>
    <row r="170" spans="29:29" x14ac:dyDescent="0.3">
      <c r="AC170"/>
    </row>
    <row r="171" spans="29:29" x14ac:dyDescent="0.3">
      <c r="AC171"/>
    </row>
    <row r="172" spans="29:29" x14ac:dyDescent="0.3">
      <c r="AC172"/>
    </row>
    <row r="173" spans="29:29" x14ac:dyDescent="0.3">
      <c r="AC173"/>
    </row>
    <row r="174" spans="29:29" x14ac:dyDescent="0.3">
      <c r="AC174"/>
    </row>
    <row r="175" spans="29:29" x14ac:dyDescent="0.3">
      <c r="AC175"/>
    </row>
    <row r="176" spans="29:29" x14ac:dyDescent="0.3">
      <c r="AC176"/>
    </row>
    <row r="177" spans="29:29" x14ac:dyDescent="0.3">
      <c r="AC177"/>
    </row>
    <row r="178" spans="29:29" x14ac:dyDescent="0.3">
      <c r="AC178"/>
    </row>
    <row r="179" spans="29:29" x14ac:dyDescent="0.3">
      <c r="AC179"/>
    </row>
    <row r="180" spans="29:29" x14ac:dyDescent="0.3">
      <c r="AC180"/>
    </row>
    <row r="181" spans="29:29" x14ac:dyDescent="0.3">
      <c r="AC181"/>
    </row>
    <row r="182" spans="29:29" x14ac:dyDescent="0.3">
      <c r="AC182"/>
    </row>
    <row r="183" spans="29:29" x14ac:dyDescent="0.3">
      <c r="AC183"/>
    </row>
    <row r="184" spans="29:29" x14ac:dyDescent="0.3">
      <c r="AC184"/>
    </row>
    <row r="185" spans="29:29" x14ac:dyDescent="0.3">
      <c r="AC185"/>
    </row>
    <row r="186" spans="29:29" x14ac:dyDescent="0.3">
      <c r="AC186"/>
    </row>
    <row r="187" spans="29:29" x14ac:dyDescent="0.3">
      <c r="AC187"/>
    </row>
    <row r="188" spans="29:29" x14ac:dyDescent="0.3">
      <c r="AC188"/>
    </row>
    <row r="189" spans="29:29" x14ac:dyDescent="0.3">
      <c r="AC189"/>
    </row>
    <row r="190" spans="29:29" x14ac:dyDescent="0.3">
      <c r="AC190"/>
    </row>
    <row r="191" spans="29:29" x14ac:dyDescent="0.3">
      <c r="AC191"/>
    </row>
    <row r="192" spans="29:29" x14ac:dyDescent="0.3">
      <c r="AC192"/>
    </row>
    <row r="193" spans="29:29" x14ac:dyDescent="0.3">
      <c r="AC193"/>
    </row>
    <row r="194" spans="29:29" x14ac:dyDescent="0.3">
      <c r="AC194"/>
    </row>
    <row r="195" spans="29:29" x14ac:dyDescent="0.3">
      <c r="AC195"/>
    </row>
    <row r="196" spans="29:29" x14ac:dyDescent="0.3">
      <c r="AC196"/>
    </row>
    <row r="197" spans="29:29" x14ac:dyDescent="0.3">
      <c r="AC197"/>
    </row>
    <row r="198" spans="29:29" x14ac:dyDescent="0.3">
      <c r="AC198"/>
    </row>
    <row r="199" spans="29:29" x14ac:dyDescent="0.3">
      <c r="AC199"/>
    </row>
    <row r="200" spans="29:29" x14ac:dyDescent="0.3">
      <c r="AC200"/>
    </row>
    <row r="201" spans="29:29" x14ac:dyDescent="0.3">
      <c r="AC201"/>
    </row>
    <row r="202" spans="29:29" x14ac:dyDescent="0.3">
      <c r="AC202"/>
    </row>
    <row r="203" spans="29:29" x14ac:dyDescent="0.3">
      <c r="AC203"/>
    </row>
    <row r="204" spans="29:29" x14ac:dyDescent="0.3">
      <c r="AC204"/>
    </row>
    <row r="205" spans="29:29" x14ac:dyDescent="0.3">
      <c r="AC205"/>
    </row>
    <row r="206" spans="29:29" x14ac:dyDescent="0.3">
      <c r="AC206"/>
    </row>
    <row r="207" spans="29:29" x14ac:dyDescent="0.3">
      <c r="AC207"/>
    </row>
    <row r="208" spans="29:29" x14ac:dyDescent="0.3">
      <c r="AC208"/>
    </row>
    <row r="209" spans="29:29" x14ac:dyDescent="0.3">
      <c r="AC209"/>
    </row>
    <row r="210" spans="29:29" x14ac:dyDescent="0.3">
      <c r="AC210"/>
    </row>
    <row r="211" spans="29:29" x14ac:dyDescent="0.3">
      <c r="AC211"/>
    </row>
    <row r="212" spans="29:29" x14ac:dyDescent="0.3">
      <c r="AC212"/>
    </row>
    <row r="213" spans="29:29" x14ac:dyDescent="0.3">
      <c r="AC213"/>
    </row>
    <row r="214" spans="29:29" x14ac:dyDescent="0.3">
      <c r="AC214"/>
    </row>
    <row r="215" spans="29:29" x14ac:dyDescent="0.3">
      <c r="AC215"/>
    </row>
    <row r="216" spans="29:29" x14ac:dyDescent="0.3">
      <c r="AC216"/>
    </row>
    <row r="217" spans="29:29" x14ac:dyDescent="0.3">
      <c r="AC217"/>
    </row>
    <row r="218" spans="29:29" x14ac:dyDescent="0.3">
      <c r="AC218"/>
    </row>
    <row r="219" spans="29:29" x14ac:dyDescent="0.3">
      <c r="AC219"/>
    </row>
    <row r="220" spans="29:29" x14ac:dyDescent="0.3">
      <c r="AC220"/>
    </row>
    <row r="221" spans="29:29" x14ac:dyDescent="0.3">
      <c r="AC221"/>
    </row>
    <row r="222" spans="29:29" x14ac:dyDescent="0.3">
      <c r="AC222"/>
    </row>
    <row r="223" spans="29:29" x14ac:dyDescent="0.3">
      <c r="AC223"/>
    </row>
    <row r="224" spans="29:29" x14ac:dyDescent="0.3">
      <c r="AC224"/>
    </row>
    <row r="225" spans="29:29" x14ac:dyDescent="0.3">
      <c r="AC225"/>
    </row>
    <row r="226" spans="29:29" x14ac:dyDescent="0.3">
      <c r="AC226"/>
    </row>
    <row r="227" spans="29:29" x14ac:dyDescent="0.3">
      <c r="AC227"/>
    </row>
    <row r="228" spans="29:29" x14ac:dyDescent="0.3">
      <c r="AC228"/>
    </row>
    <row r="229" spans="29:29" x14ac:dyDescent="0.3">
      <c r="AC229"/>
    </row>
    <row r="230" spans="29:29" x14ac:dyDescent="0.3">
      <c r="AC230"/>
    </row>
    <row r="231" spans="29:29" x14ac:dyDescent="0.3">
      <c r="AC231"/>
    </row>
    <row r="232" spans="29:29" x14ac:dyDescent="0.3">
      <c r="AC232"/>
    </row>
    <row r="233" spans="29:29" x14ac:dyDescent="0.3">
      <c r="AC233"/>
    </row>
    <row r="234" spans="29:29" x14ac:dyDescent="0.3">
      <c r="AC234"/>
    </row>
    <row r="235" spans="29:29" x14ac:dyDescent="0.3">
      <c r="AC235"/>
    </row>
    <row r="236" spans="29:29" x14ac:dyDescent="0.3">
      <c r="AC236"/>
    </row>
    <row r="237" spans="29:29" x14ac:dyDescent="0.3">
      <c r="AC237"/>
    </row>
    <row r="238" spans="29:29" x14ac:dyDescent="0.3">
      <c r="AC238"/>
    </row>
    <row r="239" spans="29:29" x14ac:dyDescent="0.3">
      <c r="AC239"/>
    </row>
    <row r="240" spans="29:29" x14ac:dyDescent="0.3">
      <c r="AC240"/>
    </row>
    <row r="241" spans="29:29" x14ac:dyDescent="0.3">
      <c r="AC241"/>
    </row>
    <row r="242" spans="29:29" x14ac:dyDescent="0.3">
      <c r="AC242"/>
    </row>
    <row r="243" spans="29:29" x14ac:dyDescent="0.3">
      <c r="AC243"/>
    </row>
    <row r="244" spans="29:29" x14ac:dyDescent="0.3">
      <c r="AC244"/>
    </row>
    <row r="245" spans="29:29" x14ac:dyDescent="0.3">
      <c r="AC245"/>
    </row>
    <row r="246" spans="29:29" x14ac:dyDescent="0.3">
      <c r="AC246"/>
    </row>
    <row r="247" spans="29:29" x14ac:dyDescent="0.3">
      <c r="AC247"/>
    </row>
    <row r="248" spans="29:29" x14ac:dyDescent="0.3">
      <c r="AC248"/>
    </row>
    <row r="249" spans="29:29" x14ac:dyDescent="0.3">
      <c r="AC249"/>
    </row>
    <row r="250" spans="29:29" x14ac:dyDescent="0.3">
      <c r="AC250"/>
    </row>
    <row r="251" spans="29:29" x14ac:dyDescent="0.3">
      <c r="AC251"/>
    </row>
    <row r="252" spans="29:29" x14ac:dyDescent="0.3">
      <c r="AC252"/>
    </row>
    <row r="253" spans="29:29" x14ac:dyDescent="0.3">
      <c r="AC253"/>
    </row>
    <row r="254" spans="29:29" x14ac:dyDescent="0.3">
      <c r="AC254"/>
    </row>
    <row r="255" spans="29:29" x14ac:dyDescent="0.3">
      <c r="AC255"/>
    </row>
    <row r="256" spans="29:29" x14ac:dyDescent="0.3">
      <c r="AC256"/>
    </row>
    <row r="257" spans="29:29" x14ac:dyDescent="0.3">
      <c r="AC257"/>
    </row>
    <row r="258" spans="29:29" x14ac:dyDescent="0.3">
      <c r="AC258"/>
    </row>
    <row r="259" spans="29:29" x14ac:dyDescent="0.3">
      <c r="AC259"/>
    </row>
    <row r="260" spans="29:29" x14ac:dyDescent="0.3">
      <c r="AC260"/>
    </row>
    <row r="261" spans="29:29" x14ac:dyDescent="0.3">
      <c r="AC261"/>
    </row>
    <row r="262" spans="29:29" x14ac:dyDescent="0.3">
      <c r="AC262"/>
    </row>
    <row r="263" spans="29:29" x14ac:dyDescent="0.3">
      <c r="AC263"/>
    </row>
    <row r="264" spans="29:29" x14ac:dyDescent="0.3">
      <c r="AC264"/>
    </row>
    <row r="265" spans="29:29" x14ac:dyDescent="0.3">
      <c r="AC265"/>
    </row>
    <row r="266" spans="29:29" x14ac:dyDescent="0.3">
      <c r="AC266"/>
    </row>
    <row r="267" spans="29:29" x14ac:dyDescent="0.3">
      <c r="AC267"/>
    </row>
    <row r="268" spans="29:29" x14ac:dyDescent="0.3">
      <c r="AC268"/>
    </row>
    <row r="269" spans="29:29" x14ac:dyDescent="0.3">
      <c r="AC269"/>
    </row>
    <row r="270" spans="29:29" x14ac:dyDescent="0.3">
      <c r="AC270"/>
    </row>
    <row r="271" spans="29:29" x14ac:dyDescent="0.3">
      <c r="AC271"/>
    </row>
    <row r="272" spans="29:29" x14ac:dyDescent="0.3">
      <c r="AC272"/>
    </row>
    <row r="273" spans="29:29" x14ac:dyDescent="0.3">
      <c r="AC273"/>
    </row>
    <row r="274" spans="29:29" x14ac:dyDescent="0.3">
      <c r="AC274"/>
    </row>
    <row r="275" spans="29:29" x14ac:dyDescent="0.3">
      <c r="AC275"/>
    </row>
    <row r="276" spans="29:29" x14ac:dyDescent="0.3">
      <c r="AC276"/>
    </row>
    <row r="277" spans="29:29" x14ac:dyDescent="0.3">
      <c r="AC277"/>
    </row>
    <row r="278" spans="29:29" x14ac:dyDescent="0.3">
      <c r="AC278"/>
    </row>
    <row r="279" spans="29:29" x14ac:dyDescent="0.3">
      <c r="AC279"/>
    </row>
    <row r="280" spans="29:29" x14ac:dyDescent="0.3">
      <c r="AC280"/>
    </row>
    <row r="281" spans="29:29" x14ac:dyDescent="0.3">
      <c r="AC281"/>
    </row>
    <row r="282" spans="29:29" x14ac:dyDescent="0.3">
      <c r="AC282"/>
    </row>
    <row r="283" spans="29:29" x14ac:dyDescent="0.3">
      <c r="AC283"/>
    </row>
    <row r="284" spans="29:29" x14ac:dyDescent="0.3">
      <c r="AC284"/>
    </row>
    <row r="285" spans="29:29" x14ac:dyDescent="0.3">
      <c r="AC285"/>
    </row>
    <row r="286" spans="29:29" x14ac:dyDescent="0.3">
      <c r="AC286"/>
    </row>
    <row r="287" spans="29:29" x14ac:dyDescent="0.3">
      <c r="AC287"/>
    </row>
    <row r="288" spans="29:29" x14ac:dyDescent="0.3">
      <c r="AC288"/>
    </row>
    <row r="289" spans="29:29" x14ac:dyDescent="0.3">
      <c r="AC289"/>
    </row>
    <row r="290" spans="29:29" x14ac:dyDescent="0.3">
      <c r="AC290"/>
    </row>
    <row r="291" spans="29:29" x14ac:dyDescent="0.3">
      <c r="AC291"/>
    </row>
    <row r="292" spans="29:29" x14ac:dyDescent="0.3">
      <c r="AC292"/>
    </row>
    <row r="293" spans="29:29" x14ac:dyDescent="0.3">
      <c r="AC293"/>
    </row>
    <row r="294" spans="29:29" x14ac:dyDescent="0.3">
      <c r="AC294"/>
    </row>
    <row r="295" spans="29:29" x14ac:dyDescent="0.3">
      <c r="AC295"/>
    </row>
    <row r="296" spans="29:29" x14ac:dyDescent="0.3">
      <c r="AC296"/>
    </row>
    <row r="297" spans="29:29" x14ac:dyDescent="0.3">
      <c r="AC297"/>
    </row>
    <row r="298" spans="29:29" x14ac:dyDescent="0.3">
      <c r="AC298"/>
    </row>
    <row r="299" spans="29:29" x14ac:dyDescent="0.3">
      <c r="AC299"/>
    </row>
    <row r="300" spans="29:29" x14ac:dyDescent="0.3">
      <c r="AC300"/>
    </row>
    <row r="301" spans="29:29" x14ac:dyDescent="0.3">
      <c r="AC301"/>
    </row>
    <row r="302" spans="29:29" x14ac:dyDescent="0.3">
      <c r="AC302"/>
    </row>
    <row r="303" spans="29:29" x14ac:dyDescent="0.3">
      <c r="AC303"/>
    </row>
    <row r="304" spans="29:29" x14ac:dyDescent="0.3">
      <c r="AC304"/>
    </row>
    <row r="305" spans="29:29" x14ac:dyDescent="0.3">
      <c r="AC305"/>
    </row>
    <row r="306" spans="29:29" x14ac:dyDescent="0.3">
      <c r="AC306"/>
    </row>
    <row r="307" spans="29:29" x14ac:dyDescent="0.3">
      <c r="AC307"/>
    </row>
    <row r="308" spans="29:29" x14ac:dyDescent="0.3">
      <c r="AC308"/>
    </row>
    <row r="309" spans="29:29" x14ac:dyDescent="0.3">
      <c r="AC309"/>
    </row>
    <row r="310" spans="29:29" x14ac:dyDescent="0.3">
      <c r="AC310"/>
    </row>
    <row r="311" spans="29:29" x14ac:dyDescent="0.3">
      <c r="AC311"/>
    </row>
    <row r="312" spans="29:29" x14ac:dyDescent="0.3">
      <c r="AC312"/>
    </row>
    <row r="313" spans="29:29" x14ac:dyDescent="0.3">
      <c r="AC313"/>
    </row>
    <row r="314" spans="29:29" x14ac:dyDescent="0.3">
      <c r="AC314"/>
    </row>
    <row r="315" spans="29:29" x14ac:dyDescent="0.3">
      <c r="AC315"/>
    </row>
    <row r="316" spans="29:29" x14ac:dyDescent="0.3">
      <c r="AC316"/>
    </row>
    <row r="317" spans="29:29" x14ac:dyDescent="0.3">
      <c r="AC317"/>
    </row>
    <row r="318" spans="29:29" x14ac:dyDescent="0.3">
      <c r="AC318"/>
    </row>
    <row r="319" spans="29:29" x14ac:dyDescent="0.3">
      <c r="AC319"/>
    </row>
  </sheetData>
  <sortState xmlns:xlrd2="http://schemas.microsoft.com/office/spreadsheetml/2017/richdata2" ref="A71:Y75">
    <sortCondition ref="B71:B75"/>
  </sortState>
  <printOptions gridLines="1"/>
  <pageMargins left="0.7" right="0.7" top="0.75" bottom="0.75" header="0.3" footer="0.3"/>
  <pageSetup paperSize="3" scale="65" fitToHeight="0" orientation="landscape" r:id="rId1"/>
  <headerFooter>
    <oddHeader>&amp;R&amp;D &amp;T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624E7-AAF7-49CB-AE20-FF81E53C3F89}">
  <sheetPr>
    <pageSetUpPr fitToPage="1"/>
  </sheetPr>
  <dimension ref="A1:U66"/>
  <sheetViews>
    <sheetView topLeftCell="A47" workbookViewId="0">
      <selection activeCell="U64" sqref="U64"/>
    </sheetView>
  </sheetViews>
  <sheetFormatPr defaultRowHeight="14.4" x14ac:dyDescent="0.3"/>
  <cols>
    <col min="1" max="1" width="22.88671875" customWidth="1"/>
    <col min="2" max="2" width="30.33203125" customWidth="1"/>
    <col min="3" max="3" width="13.6640625" customWidth="1"/>
    <col min="4" max="18" width="0" hidden="1" customWidth="1"/>
    <col min="19" max="19" width="12.44140625" style="10" customWidth="1"/>
    <col min="21" max="21" width="121.6640625" customWidth="1"/>
  </cols>
  <sheetData>
    <row r="1" spans="1:21" ht="18.600000000000001" customHeight="1" x14ac:dyDescent="0.3">
      <c r="B1" s="10" t="s">
        <v>61</v>
      </c>
    </row>
    <row r="2" spans="1:21" ht="18.600000000000001" customHeight="1" x14ac:dyDescent="0.3">
      <c r="B2" s="10" t="s">
        <v>62</v>
      </c>
      <c r="C2" s="10" t="s">
        <v>63</v>
      </c>
      <c r="S2" s="10" t="s">
        <v>109</v>
      </c>
    </row>
    <row r="3" spans="1:21" ht="18.600000000000001" customHeight="1" x14ac:dyDescent="0.3">
      <c r="S3" s="10" t="s">
        <v>108</v>
      </c>
      <c r="T3" s="10" t="s">
        <v>114</v>
      </c>
      <c r="U3" s="10" t="s">
        <v>115</v>
      </c>
    </row>
    <row r="4" spans="1:21" ht="18.600000000000001" customHeight="1" thickBot="1" x14ac:dyDescent="0.35">
      <c r="A4" s="1" t="s">
        <v>0</v>
      </c>
      <c r="B4" s="2" t="s">
        <v>1</v>
      </c>
      <c r="C4" s="5" t="s">
        <v>60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1"/>
      <c r="T4" s="2"/>
      <c r="U4" s="2"/>
    </row>
    <row r="5" spans="1:21" ht="18.600000000000001" customHeight="1" thickTop="1" x14ac:dyDescent="0.3">
      <c r="A5" t="s">
        <v>24</v>
      </c>
      <c r="B5" t="s">
        <v>25</v>
      </c>
      <c r="C5" s="6">
        <v>157</v>
      </c>
      <c r="S5" s="10">
        <v>1</v>
      </c>
    </row>
    <row r="6" spans="1:21" ht="18.600000000000001" customHeight="1" x14ac:dyDescent="0.3">
      <c r="A6" t="s">
        <v>24</v>
      </c>
      <c r="B6" t="s">
        <v>26</v>
      </c>
      <c r="C6" s="6">
        <v>53</v>
      </c>
      <c r="S6" s="10">
        <v>1</v>
      </c>
    </row>
    <row r="7" spans="1:21" ht="18.600000000000001" customHeight="1" x14ac:dyDescent="0.3">
      <c r="A7" s="4" t="s">
        <v>30</v>
      </c>
      <c r="B7" s="4" t="s">
        <v>31</v>
      </c>
      <c r="C7" s="8">
        <v>4180</v>
      </c>
      <c r="S7" s="10">
        <v>3</v>
      </c>
    </row>
    <row r="8" spans="1:21" ht="18.600000000000001" customHeight="1" x14ac:dyDescent="0.3">
      <c r="A8" s="3" t="s">
        <v>32</v>
      </c>
      <c r="B8" s="30" t="s">
        <v>33</v>
      </c>
      <c r="C8" s="6">
        <v>2053</v>
      </c>
      <c r="S8" s="10">
        <v>1</v>
      </c>
    </row>
    <row r="9" spans="1:21" ht="18.600000000000001" customHeight="1" x14ac:dyDescent="0.45">
      <c r="A9" t="s">
        <v>32</v>
      </c>
      <c r="B9" t="s">
        <v>101</v>
      </c>
      <c r="C9" s="19">
        <v>17.73</v>
      </c>
      <c r="D9" s="11">
        <f>SUM(9.02*0.03)+9.02</f>
        <v>9.2905999999999995</v>
      </c>
      <c r="E9" s="11">
        <v>10.5</v>
      </c>
      <c r="F9" s="11">
        <v>11.14</v>
      </c>
      <c r="H9" s="12">
        <f>SUM(F9*3%)+F9</f>
        <v>11.4742</v>
      </c>
      <c r="I9" s="12">
        <f>SUM(F9*3%)+F9</f>
        <v>11.4742</v>
      </c>
      <c r="J9" s="12">
        <f>SUM(I9*2%)+I9</f>
        <v>11.703683999999999</v>
      </c>
      <c r="K9" s="12">
        <v>12.35</v>
      </c>
      <c r="L9" s="13">
        <f>SUM(K9*2.1%)+K9</f>
        <v>12.609349999999999</v>
      </c>
      <c r="M9" s="11">
        <v>13.61</v>
      </c>
      <c r="N9" s="20">
        <f>SUM(M9*0.9%)</f>
        <v>0.12249000000000002</v>
      </c>
      <c r="O9" s="15">
        <v>14.53</v>
      </c>
      <c r="P9" s="16">
        <f>SUM(O9*1.6%)</f>
        <v>0.23247999999999999</v>
      </c>
      <c r="Q9" s="17">
        <v>16.97</v>
      </c>
      <c r="R9" s="18">
        <f>SUM(Q9*0.045)</f>
        <v>0.76364999999999994</v>
      </c>
      <c r="S9" s="10">
        <v>2</v>
      </c>
    </row>
    <row r="10" spans="1:21" ht="18.600000000000001" customHeight="1" x14ac:dyDescent="0.3">
      <c r="A10" s="3" t="s">
        <v>34</v>
      </c>
      <c r="B10" t="s">
        <v>59</v>
      </c>
      <c r="C10" s="6">
        <v>3404</v>
      </c>
      <c r="S10" s="10">
        <v>1</v>
      </c>
    </row>
    <row r="11" spans="1:21" ht="18.600000000000001" customHeight="1" x14ac:dyDescent="0.3">
      <c r="A11" s="3" t="s">
        <v>51</v>
      </c>
      <c r="B11" t="s">
        <v>52</v>
      </c>
      <c r="C11" s="6">
        <v>41164</v>
      </c>
      <c r="S11" s="10">
        <v>1</v>
      </c>
    </row>
    <row r="12" spans="1:21" ht="18.600000000000001" customHeight="1" x14ac:dyDescent="0.3">
      <c r="A12" s="3" t="s">
        <v>22</v>
      </c>
      <c r="B12" s="3" t="s">
        <v>23</v>
      </c>
      <c r="C12" s="7">
        <v>1800</v>
      </c>
      <c r="S12" s="10">
        <v>2</v>
      </c>
    </row>
    <row r="13" spans="1:21" ht="18.600000000000001" customHeight="1" x14ac:dyDescent="0.3">
      <c r="A13" s="3" t="s">
        <v>53</v>
      </c>
      <c r="B13" t="s">
        <v>54</v>
      </c>
      <c r="C13" s="6">
        <v>22832</v>
      </c>
      <c r="S13" s="10">
        <v>1</v>
      </c>
    </row>
    <row r="14" spans="1:21" ht="18.600000000000001" customHeight="1" x14ac:dyDescent="0.3">
      <c r="A14" s="3" t="s">
        <v>55</v>
      </c>
      <c r="B14" t="s">
        <v>56</v>
      </c>
      <c r="C14" s="6">
        <v>3500</v>
      </c>
      <c r="S14" s="10">
        <v>1</v>
      </c>
    </row>
    <row r="15" spans="1:21" ht="18.600000000000001" customHeight="1" x14ac:dyDescent="0.3">
      <c r="A15" t="s">
        <v>4</v>
      </c>
      <c r="B15" t="s">
        <v>5</v>
      </c>
      <c r="C15" s="6">
        <f>11495/3</f>
        <v>3831.6666666666665</v>
      </c>
      <c r="S15" s="10">
        <v>3</v>
      </c>
    </row>
    <row r="16" spans="1:21" ht="18.600000000000001" customHeight="1" x14ac:dyDescent="0.3">
      <c r="A16" t="s">
        <v>43</v>
      </c>
      <c r="B16" t="s">
        <v>44</v>
      </c>
      <c r="C16" s="6">
        <v>21736</v>
      </c>
      <c r="S16" s="10">
        <v>1</v>
      </c>
    </row>
    <row r="17" spans="1:19" ht="18.600000000000001" customHeight="1" x14ac:dyDescent="0.45">
      <c r="A17" t="s">
        <v>104</v>
      </c>
      <c r="B17" t="s">
        <v>113</v>
      </c>
      <c r="C17" s="19">
        <v>17.73</v>
      </c>
      <c r="D17" s="11">
        <f>SUM(8.94*0.03)+8.94</f>
        <v>9.2081999999999997</v>
      </c>
      <c r="E17" s="11">
        <v>10.5</v>
      </c>
      <c r="F17" s="11">
        <v>11.14</v>
      </c>
      <c r="H17" s="12">
        <f>SUM(F17*3%)+F17</f>
        <v>11.4742</v>
      </c>
      <c r="I17" s="12">
        <f>SUM(F17*3%)+F17</f>
        <v>11.4742</v>
      </c>
      <c r="J17" s="12">
        <f>SUM(I17*2%)+I17</f>
        <v>11.703683999999999</v>
      </c>
      <c r="K17" s="12">
        <v>12.35</v>
      </c>
      <c r="L17" s="13">
        <f>SUM(K17*2.1%)+K17</f>
        <v>12.609349999999999</v>
      </c>
      <c r="M17" s="11">
        <v>13.61</v>
      </c>
      <c r="N17" s="20">
        <f>SUM(M17*0.9%)</f>
        <v>0.12249000000000002</v>
      </c>
      <c r="O17" s="15">
        <v>14.53</v>
      </c>
      <c r="P17" s="16">
        <f>SUM(O17*1.6%)</f>
        <v>0.23247999999999999</v>
      </c>
      <c r="Q17" s="17">
        <v>16.97</v>
      </c>
      <c r="R17" s="18">
        <f>SUM(Q17*0.045)</f>
        <v>0.76364999999999994</v>
      </c>
      <c r="S17" s="10">
        <v>1</v>
      </c>
    </row>
    <row r="18" spans="1:19" ht="18.600000000000001" customHeight="1" x14ac:dyDescent="0.3">
      <c r="A18" t="s">
        <v>37</v>
      </c>
      <c r="B18" t="s">
        <v>38</v>
      </c>
      <c r="C18" s="6">
        <v>21736</v>
      </c>
      <c r="S18" s="10">
        <v>1</v>
      </c>
    </row>
    <row r="19" spans="1:19" ht="18.600000000000001" customHeight="1" x14ac:dyDescent="0.3">
      <c r="A19" t="s">
        <v>39</v>
      </c>
      <c r="B19" t="s">
        <v>40</v>
      </c>
      <c r="C19" s="6">
        <v>9819</v>
      </c>
      <c r="S19" s="10">
        <v>1</v>
      </c>
    </row>
    <row r="20" spans="1:19" ht="18.600000000000001" customHeight="1" x14ac:dyDescent="0.3">
      <c r="A20" t="s">
        <v>16</v>
      </c>
      <c r="B20" t="s">
        <v>17</v>
      </c>
      <c r="C20" s="6">
        <v>513</v>
      </c>
      <c r="S20" s="10">
        <v>1</v>
      </c>
    </row>
    <row r="21" spans="1:19" ht="18.600000000000001" customHeight="1" x14ac:dyDescent="0.3">
      <c r="A21" t="s">
        <v>41</v>
      </c>
      <c r="B21" t="s">
        <v>42</v>
      </c>
      <c r="C21" s="6">
        <v>14108</v>
      </c>
      <c r="S21" s="10">
        <v>1</v>
      </c>
    </row>
    <row r="22" spans="1:19" ht="18.600000000000001" customHeight="1" x14ac:dyDescent="0.45">
      <c r="A22" t="s">
        <v>100</v>
      </c>
      <c r="B22" s="3" t="s">
        <v>99</v>
      </c>
      <c r="C22" s="19">
        <v>17.73</v>
      </c>
      <c r="D22" s="11">
        <f>SUM(8.94*0.03)+8.94</f>
        <v>9.2081999999999997</v>
      </c>
      <c r="E22" s="11">
        <v>10.5</v>
      </c>
      <c r="F22" s="11">
        <v>11.14</v>
      </c>
      <c r="H22" s="12">
        <f>SUM(F22*3%)+F22</f>
        <v>11.4742</v>
      </c>
      <c r="I22" s="12">
        <f>SUM(F22*3%)+F22</f>
        <v>11.4742</v>
      </c>
      <c r="J22" s="12">
        <f>SUM(I22*2%)+I22</f>
        <v>11.703683999999999</v>
      </c>
      <c r="K22" s="12">
        <v>12.35</v>
      </c>
      <c r="L22" s="13">
        <f>SUM(K22*2.1%)+K22</f>
        <v>12.609349999999999</v>
      </c>
      <c r="M22" s="11">
        <v>13.61</v>
      </c>
      <c r="N22" s="20">
        <f>SUM(M22*0.9%)</f>
        <v>0.12249000000000002</v>
      </c>
      <c r="O22" s="15">
        <v>14.53</v>
      </c>
      <c r="P22" s="16">
        <f>SUM(O22*1.6%)</f>
        <v>0.23247999999999999</v>
      </c>
      <c r="Q22" s="17">
        <v>16.97</v>
      </c>
      <c r="R22" s="18">
        <f>SUM(Q22*0.045)</f>
        <v>0.76364999999999994</v>
      </c>
      <c r="S22" s="10">
        <v>2</v>
      </c>
    </row>
    <row r="23" spans="1:19" ht="18.600000000000001" customHeight="1" x14ac:dyDescent="0.3">
      <c r="A23" t="s">
        <v>10</v>
      </c>
      <c r="B23" t="s">
        <v>11</v>
      </c>
      <c r="C23" s="6">
        <f>251/3</f>
        <v>83.666666666666671</v>
      </c>
      <c r="S23" s="10">
        <v>3</v>
      </c>
    </row>
    <row r="24" spans="1:19" ht="18.600000000000001" customHeight="1" x14ac:dyDescent="0.3">
      <c r="A24" t="s">
        <v>12</v>
      </c>
      <c r="B24" t="s">
        <v>13</v>
      </c>
      <c r="C24" s="6">
        <v>53</v>
      </c>
      <c r="S24" s="10">
        <v>1</v>
      </c>
    </row>
    <row r="25" spans="1:19" ht="18.600000000000001" customHeight="1" x14ac:dyDescent="0.45">
      <c r="A25" t="s">
        <v>98</v>
      </c>
      <c r="B25" t="s">
        <v>97</v>
      </c>
      <c r="C25" s="19">
        <v>17.73</v>
      </c>
      <c r="D25" s="11"/>
      <c r="E25" s="11"/>
      <c r="F25" s="11"/>
      <c r="H25" s="12"/>
      <c r="I25" s="12"/>
      <c r="J25" s="12"/>
      <c r="K25" s="12"/>
      <c r="L25" s="13"/>
      <c r="M25" s="11"/>
      <c r="N25" s="20"/>
      <c r="O25" s="15">
        <v>14.53</v>
      </c>
      <c r="P25" s="16">
        <f>SUM(O25*1.6%)</f>
        <v>0.23247999999999999</v>
      </c>
      <c r="Q25" s="17">
        <v>16.97</v>
      </c>
      <c r="R25" s="18">
        <f>SUM(Q25*0.045)</f>
        <v>0.76364999999999994</v>
      </c>
      <c r="S25" s="10" t="s">
        <v>112</v>
      </c>
    </row>
    <row r="26" spans="1:19" ht="18.600000000000001" customHeight="1" x14ac:dyDescent="0.45">
      <c r="A26" t="s">
        <v>98</v>
      </c>
      <c r="B26" t="s">
        <v>17</v>
      </c>
      <c r="C26" s="19">
        <v>21.04</v>
      </c>
      <c r="D26" s="11"/>
      <c r="E26" s="11"/>
      <c r="F26" s="11"/>
      <c r="H26" s="12"/>
      <c r="I26" s="12"/>
      <c r="J26" s="12"/>
      <c r="K26" s="12"/>
      <c r="L26" s="13"/>
      <c r="M26" s="11"/>
      <c r="N26" s="20"/>
      <c r="O26" s="15"/>
      <c r="P26" s="16"/>
      <c r="Q26" s="17">
        <v>20.13</v>
      </c>
      <c r="R26" s="18">
        <f>SUM(Q26*0.045)</f>
        <v>0.90584999999999993</v>
      </c>
      <c r="S26" s="10">
        <v>3</v>
      </c>
    </row>
    <row r="27" spans="1:19" ht="18.600000000000001" customHeight="1" x14ac:dyDescent="0.45">
      <c r="A27" t="s">
        <v>96</v>
      </c>
      <c r="B27" s="3" t="s">
        <v>95</v>
      </c>
      <c r="C27" s="19">
        <v>17.73</v>
      </c>
      <c r="D27" s="11"/>
      <c r="E27" s="11"/>
      <c r="F27" s="11"/>
      <c r="H27" s="29"/>
      <c r="I27" s="29"/>
      <c r="J27" s="12">
        <v>11.7</v>
      </c>
      <c r="K27" s="12">
        <v>12.35</v>
      </c>
      <c r="L27" s="13">
        <f>SUM(K27*2.1%)+K27</f>
        <v>12.609349999999999</v>
      </c>
      <c r="M27" s="11">
        <v>13.61</v>
      </c>
      <c r="N27" s="20">
        <f>SUM(M27*0.9%)</f>
        <v>0.12249000000000002</v>
      </c>
      <c r="O27" s="15">
        <v>14.53</v>
      </c>
      <c r="P27" s="16">
        <f>SUM(O27*1.6%)</f>
        <v>0.23247999999999999</v>
      </c>
      <c r="Q27" s="17">
        <v>16.97</v>
      </c>
      <c r="R27" s="18">
        <f>SUM(Q27*0.045)</f>
        <v>0.76364999999999994</v>
      </c>
      <c r="S27" s="10">
        <v>1</v>
      </c>
    </row>
    <row r="28" spans="1:19" ht="18.600000000000001" customHeight="1" x14ac:dyDescent="0.3">
      <c r="A28" t="s">
        <v>47</v>
      </c>
      <c r="B28" t="s">
        <v>48</v>
      </c>
      <c r="C28" s="6">
        <f>627/3</f>
        <v>209</v>
      </c>
      <c r="S28" s="10">
        <v>3</v>
      </c>
    </row>
    <row r="29" spans="1:19" ht="18.600000000000001" customHeight="1" x14ac:dyDescent="0.45">
      <c r="A29" t="s">
        <v>70</v>
      </c>
      <c r="B29" t="s">
        <v>69</v>
      </c>
      <c r="C29" s="19">
        <v>18.47</v>
      </c>
      <c r="D29" s="11"/>
      <c r="E29" s="11"/>
      <c r="F29" s="11">
        <v>11.67</v>
      </c>
      <c r="H29" s="12">
        <f>SUM(F29*3%)+F29</f>
        <v>12.020099999999999</v>
      </c>
      <c r="I29" s="12">
        <f>SUM(F29*3%)+F29</f>
        <v>12.020099999999999</v>
      </c>
      <c r="J29" s="12">
        <f>SUM(I29*2%)+I29</f>
        <v>12.260501999999999</v>
      </c>
      <c r="K29" s="12">
        <v>12.95</v>
      </c>
      <c r="L29" s="13">
        <f>SUM(K29*2.1%)+K29</f>
        <v>13.22195</v>
      </c>
      <c r="M29" s="11">
        <v>14.22</v>
      </c>
      <c r="N29" s="20">
        <f>SUM(M29*0.9%)</f>
        <v>0.12798000000000001</v>
      </c>
      <c r="O29" s="15">
        <v>15.18</v>
      </c>
      <c r="P29" s="16">
        <f>SUM(O29*1.6%)</f>
        <v>0.24288000000000001</v>
      </c>
      <c r="Q29" s="17">
        <v>17.670000000000002</v>
      </c>
      <c r="R29" s="18">
        <f>SUM(Q29*0.045)</f>
        <v>0.79515000000000002</v>
      </c>
      <c r="S29" s="10">
        <v>1</v>
      </c>
    </row>
    <row r="30" spans="1:19" ht="18.600000000000001" customHeight="1" x14ac:dyDescent="0.45">
      <c r="A30" t="s">
        <v>72</v>
      </c>
      <c r="B30" t="s">
        <v>71</v>
      </c>
      <c r="C30" s="19">
        <v>24.12</v>
      </c>
      <c r="D30" s="11">
        <f>SUM(12.24*0.03)+12.24</f>
        <v>12.607200000000001</v>
      </c>
      <c r="E30" s="11">
        <v>14.75</v>
      </c>
      <c r="F30" s="11">
        <v>15.65</v>
      </c>
      <c r="H30" s="21">
        <f>SUM(F30*3%)+F30</f>
        <v>16.119499999999999</v>
      </c>
      <c r="I30" s="21">
        <f>SUM(F30*3%)+F30</f>
        <v>16.119499999999999</v>
      </c>
      <c r="J30" s="21">
        <f>SUM(I30*2%)+I30</f>
        <v>16.441889999999997</v>
      </c>
      <c r="K30" s="21">
        <v>17.36</v>
      </c>
      <c r="L30" s="22">
        <f>SUM(K30*2.1%)+K30</f>
        <v>17.72456</v>
      </c>
      <c r="M30" s="23">
        <v>17.95</v>
      </c>
      <c r="N30" s="24">
        <f>SUM(M30*0.9%)</f>
        <v>0.16155</v>
      </c>
      <c r="O30" s="25">
        <v>19.170000000000002</v>
      </c>
      <c r="P30" s="26">
        <f>SUM(O30*1.6%)</f>
        <v>0.30672000000000005</v>
      </c>
      <c r="Q30" s="17">
        <v>23.08</v>
      </c>
      <c r="R30" s="18">
        <f>SUM(Q30*0.045)</f>
        <v>1.0386</v>
      </c>
      <c r="S30" s="10">
        <v>1</v>
      </c>
    </row>
    <row r="31" spans="1:19" ht="18.600000000000001" customHeight="1" x14ac:dyDescent="0.45">
      <c r="A31" t="s">
        <v>72</v>
      </c>
      <c r="B31" t="s">
        <v>73</v>
      </c>
      <c r="C31" s="19">
        <v>23.03</v>
      </c>
      <c r="D31" s="11"/>
      <c r="E31" s="11"/>
      <c r="F31" s="11"/>
      <c r="H31" s="21"/>
      <c r="I31" s="21"/>
      <c r="J31" s="21"/>
      <c r="K31" s="21"/>
      <c r="L31" s="22"/>
      <c r="M31" s="23"/>
      <c r="N31" s="24"/>
      <c r="O31" s="25">
        <v>16.899999999999999</v>
      </c>
      <c r="P31" s="26">
        <f>SUM(O31*1.6%)</f>
        <v>0.27039999999999997</v>
      </c>
      <c r="Q31" s="17">
        <v>22.04</v>
      </c>
      <c r="R31" s="18">
        <f>SUM(Q31*0.045)</f>
        <v>0.9917999999999999</v>
      </c>
      <c r="S31" s="10">
        <v>1</v>
      </c>
    </row>
    <row r="32" spans="1:19" ht="18.600000000000001" customHeight="1" x14ac:dyDescent="0.45">
      <c r="A32" t="s">
        <v>72</v>
      </c>
      <c r="B32" t="s">
        <v>74</v>
      </c>
      <c r="C32" s="19">
        <v>20.43</v>
      </c>
      <c r="D32" s="11">
        <f>SUM(10.61*0.03)+10.61</f>
        <v>10.9283</v>
      </c>
      <c r="E32" s="11">
        <v>13</v>
      </c>
      <c r="F32" s="11">
        <v>13.79</v>
      </c>
      <c r="H32" s="21">
        <f>SUM(F32*3%)+F32</f>
        <v>14.2037</v>
      </c>
      <c r="I32" s="21">
        <f>SUM(F32*3%)+F32</f>
        <v>14.2037</v>
      </c>
      <c r="J32" s="21">
        <f>SUM(I32*2%)+I32</f>
        <v>14.487774</v>
      </c>
      <c r="K32" s="21">
        <v>15.3</v>
      </c>
      <c r="L32" s="22">
        <f>SUM(K32*2.1%)+K32</f>
        <v>15.621300000000002</v>
      </c>
      <c r="M32" s="23">
        <v>15.82</v>
      </c>
      <c r="N32" s="24">
        <f>SUM(M32*0.9%)</f>
        <v>0.14238000000000001</v>
      </c>
      <c r="O32" s="25">
        <v>16.899999999999999</v>
      </c>
      <c r="P32" s="26">
        <f>SUM(O32*1.6%)</f>
        <v>0.27039999999999997</v>
      </c>
      <c r="Q32" s="17">
        <v>19.55</v>
      </c>
      <c r="R32" s="18">
        <f>SUM(Q32*0.045)</f>
        <v>0.87975000000000003</v>
      </c>
      <c r="S32" s="10" t="s">
        <v>110</v>
      </c>
    </row>
    <row r="33" spans="1:19" ht="18.600000000000001" customHeight="1" x14ac:dyDescent="0.45">
      <c r="A33" t="s">
        <v>72</v>
      </c>
      <c r="B33" t="s">
        <v>75</v>
      </c>
      <c r="C33" s="19">
        <v>18.010000000000002</v>
      </c>
      <c r="D33" s="11">
        <f>SUM(10.2*0.03)+10.2</f>
        <v>10.505999999999998</v>
      </c>
      <c r="E33" s="11">
        <v>13</v>
      </c>
      <c r="F33" s="11">
        <v>13.79</v>
      </c>
      <c r="H33" s="21">
        <f>SUM(F33*3%)+F33</f>
        <v>14.2037</v>
      </c>
      <c r="I33" s="21">
        <f>SUM(F33*3%)+F33</f>
        <v>14.2037</v>
      </c>
      <c r="J33" s="21">
        <f>SUM(I33*2%)+I33</f>
        <v>14.487774</v>
      </c>
      <c r="K33" s="21">
        <v>15.3</v>
      </c>
      <c r="L33" s="22">
        <f>SUM(K33*2.1%)+K33</f>
        <v>15.621300000000002</v>
      </c>
      <c r="M33" s="23">
        <v>15.82</v>
      </c>
      <c r="N33" s="24">
        <f>SUM(M33*0.9%)</f>
        <v>0.14238000000000001</v>
      </c>
      <c r="O33" s="25">
        <v>16.899999999999999</v>
      </c>
      <c r="P33" s="26">
        <f>SUM(O33*1.6%)</f>
        <v>0.27039999999999997</v>
      </c>
      <c r="Q33" s="17">
        <v>17.23</v>
      </c>
      <c r="R33" s="18">
        <f>SUM(Q33*0.045)</f>
        <v>0.77534999999999998</v>
      </c>
    </row>
    <row r="34" spans="1:19" ht="18.600000000000001" customHeight="1" x14ac:dyDescent="0.3">
      <c r="A34" t="s">
        <v>18</v>
      </c>
      <c r="B34" s="3" t="s">
        <v>19</v>
      </c>
      <c r="C34" s="6">
        <v>3135</v>
      </c>
      <c r="S34" s="10">
        <v>1</v>
      </c>
    </row>
    <row r="35" spans="1:19" ht="18.600000000000001" customHeight="1" x14ac:dyDescent="0.3">
      <c r="A35" t="s">
        <v>14</v>
      </c>
      <c r="B35" t="s">
        <v>15</v>
      </c>
      <c r="C35" s="7">
        <v>10933</v>
      </c>
      <c r="S35" s="10">
        <v>1</v>
      </c>
    </row>
    <row r="36" spans="1:19" ht="18.600000000000001" customHeight="1" x14ac:dyDescent="0.3">
      <c r="A36" t="s">
        <v>14</v>
      </c>
      <c r="B36" t="s">
        <v>27</v>
      </c>
      <c r="C36" s="7">
        <v>8213</v>
      </c>
      <c r="S36" s="10">
        <v>1</v>
      </c>
    </row>
    <row r="37" spans="1:19" ht="18.600000000000001" customHeight="1" x14ac:dyDescent="0.3">
      <c r="A37" t="s">
        <v>6</v>
      </c>
      <c r="B37" t="s">
        <v>7</v>
      </c>
      <c r="C37" s="6">
        <v>600</v>
      </c>
      <c r="S37" s="10">
        <v>1</v>
      </c>
    </row>
    <row r="38" spans="1:19" ht="18.600000000000001" customHeight="1" x14ac:dyDescent="0.3">
      <c r="A38" t="s">
        <v>45</v>
      </c>
      <c r="B38" t="s">
        <v>46</v>
      </c>
      <c r="C38" s="6">
        <v>1254</v>
      </c>
      <c r="S38" s="10">
        <v>1</v>
      </c>
    </row>
    <row r="39" spans="1:19" ht="18.600000000000001" customHeight="1" x14ac:dyDescent="0.45">
      <c r="A39" t="s">
        <v>106</v>
      </c>
      <c r="B39" s="3" t="s">
        <v>105</v>
      </c>
      <c r="C39" s="19">
        <v>19.690000000000001</v>
      </c>
      <c r="D39" s="11"/>
      <c r="E39" s="11"/>
      <c r="F39" s="11"/>
      <c r="H39" s="29"/>
      <c r="I39" s="29"/>
      <c r="J39" s="12">
        <v>13.93</v>
      </c>
      <c r="K39" s="12">
        <v>14.71</v>
      </c>
      <c r="L39" s="13">
        <f>SUM(K39*2.1%)+K39</f>
        <v>15.018910000000002</v>
      </c>
      <c r="M39" s="11">
        <v>15.21</v>
      </c>
      <c r="N39" s="20">
        <f>SUM(M39*0.9%)</f>
        <v>0.13689000000000001</v>
      </c>
      <c r="O39" s="15">
        <v>16.25</v>
      </c>
      <c r="P39" s="16">
        <f>SUM(O39*1.6%)</f>
        <v>0.26</v>
      </c>
      <c r="Q39" s="17">
        <v>18.84</v>
      </c>
      <c r="R39" s="18">
        <f>SUM(Q39*0.045)</f>
        <v>0.8478</v>
      </c>
      <c r="S39" s="10">
        <v>1</v>
      </c>
    </row>
    <row r="40" spans="1:19" ht="18.600000000000001" customHeight="1" x14ac:dyDescent="0.3">
      <c r="A40" s="4" t="s">
        <v>35</v>
      </c>
      <c r="B40" s="4" t="s">
        <v>36</v>
      </c>
      <c r="C40" s="8">
        <f>3135/5</f>
        <v>627</v>
      </c>
      <c r="S40" s="10">
        <v>5</v>
      </c>
    </row>
    <row r="41" spans="1:19" ht="18.600000000000001" customHeight="1" x14ac:dyDescent="0.3">
      <c r="A41" t="s">
        <v>28</v>
      </c>
      <c r="B41" t="s">
        <v>29</v>
      </c>
      <c r="C41" s="6">
        <f>3135/3</f>
        <v>1045</v>
      </c>
      <c r="S41" s="10">
        <v>3</v>
      </c>
    </row>
    <row r="42" spans="1:19" ht="18.600000000000001" customHeight="1" x14ac:dyDescent="0.3">
      <c r="A42" s="3" t="s">
        <v>57</v>
      </c>
      <c r="B42" s="3" t="s">
        <v>58</v>
      </c>
      <c r="C42" s="9">
        <v>75443.399999999994</v>
      </c>
      <c r="S42" s="10">
        <v>1</v>
      </c>
    </row>
    <row r="43" spans="1:19" ht="18.600000000000001" customHeight="1" x14ac:dyDescent="0.45">
      <c r="A43" s="3" t="s">
        <v>57</v>
      </c>
      <c r="B43" s="3" t="s">
        <v>78</v>
      </c>
      <c r="C43" s="11">
        <v>30.73</v>
      </c>
      <c r="D43" s="11">
        <f>SUM(15.6*0.03)+15.6</f>
        <v>16.067999999999998</v>
      </c>
      <c r="E43" s="11">
        <v>17.25</v>
      </c>
      <c r="F43" s="11">
        <v>18.3</v>
      </c>
      <c r="H43" s="12">
        <v>20.85</v>
      </c>
      <c r="I43" s="12">
        <v>20.85</v>
      </c>
      <c r="J43" s="12">
        <f>SUM(I43*2%)+I43</f>
        <v>21.267000000000003</v>
      </c>
      <c r="K43" s="12">
        <v>22.47</v>
      </c>
      <c r="L43" s="13">
        <f>SUM(K43*2.1%)+K43</f>
        <v>22.941869999999998</v>
      </c>
      <c r="M43" s="11">
        <v>24.26</v>
      </c>
      <c r="N43" s="20">
        <f>SUM(M43*0.9%)</f>
        <v>0.21834000000000003</v>
      </c>
      <c r="O43" s="15">
        <v>25.91</v>
      </c>
      <c r="P43" s="16">
        <f>SUM(O43*1.6%)</f>
        <v>0.41455999999999998</v>
      </c>
      <c r="Q43" s="17">
        <v>29.41</v>
      </c>
      <c r="R43" s="18">
        <f t="shared" ref="R43:R58" si="0">SUM(Q43*0.045)</f>
        <v>1.32345</v>
      </c>
      <c r="S43" s="10" t="s">
        <v>111</v>
      </c>
    </row>
    <row r="44" spans="1:19" ht="18.600000000000001" customHeight="1" x14ac:dyDescent="0.45">
      <c r="A44" s="3" t="s">
        <v>57</v>
      </c>
      <c r="B44" s="3" t="s">
        <v>79</v>
      </c>
      <c r="C44" s="11">
        <v>46.09</v>
      </c>
      <c r="D44" s="11">
        <f>SUM(16.07*1.5)</f>
        <v>24.105</v>
      </c>
      <c r="E44" s="11">
        <v>25.88</v>
      </c>
      <c r="F44" s="11">
        <v>27.46</v>
      </c>
      <c r="H44" s="12">
        <f>SUM(20.85*1.5)</f>
        <v>31.275000000000002</v>
      </c>
      <c r="I44" s="12">
        <v>31.28</v>
      </c>
      <c r="J44" s="12">
        <f>SUM(I44*2%)+I44</f>
        <v>31.9056</v>
      </c>
      <c r="K44" s="12">
        <v>33.700000000000003</v>
      </c>
      <c r="L44" s="13">
        <f>SUM(K44*2.1%)+K44</f>
        <v>34.407700000000006</v>
      </c>
      <c r="M44" s="11">
        <v>36.4</v>
      </c>
      <c r="N44" s="20">
        <f>SUM(M44*0.9%)</f>
        <v>0.3276</v>
      </c>
      <c r="O44" s="15">
        <v>38.869999999999997</v>
      </c>
      <c r="P44" s="16">
        <f>SUM(O44*1.6%)</f>
        <v>0.62191999999999992</v>
      </c>
      <c r="Q44" s="17">
        <v>44.11</v>
      </c>
      <c r="R44" s="18">
        <f t="shared" si="0"/>
        <v>1.98495</v>
      </c>
      <c r="S44" s="10" t="s">
        <v>111</v>
      </c>
    </row>
    <row r="45" spans="1:19" ht="18.600000000000001" customHeight="1" x14ac:dyDescent="0.45">
      <c r="A45" s="3" t="s">
        <v>57</v>
      </c>
      <c r="B45" s="3" t="s">
        <v>80</v>
      </c>
      <c r="C45">
        <v>25.47</v>
      </c>
      <c r="J45" s="3"/>
      <c r="K45" s="3"/>
      <c r="L45" s="27"/>
      <c r="M45" s="11"/>
      <c r="N45" s="19"/>
      <c r="O45" s="28"/>
      <c r="Q45" s="17">
        <v>24.37</v>
      </c>
      <c r="R45" s="18">
        <f t="shared" si="0"/>
        <v>1.0966499999999999</v>
      </c>
      <c r="S45" s="10" t="s">
        <v>111</v>
      </c>
    </row>
    <row r="46" spans="1:19" ht="18.600000000000001" customHeight="1" x14ac:dyDescent="0.45">
      <c r="A46" s="3" t="s">
        <v>57</v>
      </c>
      <c r="B46" s="3" t="s">
        <v>81</v>
      </c>
      <c r="C46">
        <v>38.19</v>
      </c>
      <c r="J46" s="3"/>
      <c r="K46" s="3"/>
      <c r="L46" s="27"/>
      <c r="M46" s="11"/>
      <c r="N46" s="19"/>
      <c r="O46" s="28"/>
      <c r="Q46" s="17">
        <v>36.549999999999997</v>
      </c>
      <c r="R46" s="18">
        <f t="shared" si="0"/>
        <v>1.6447499999999997</v>
      </c>
      <c r="S46" s="10" t="s">
        <v>111</v>
      </c>
    </row>
    <row r="47" spans="1:19" ht="18.600000000000001" customHeight="1" x14ac:dyDescent="0.45">
      <c r="A47" t="s">
        <v>57</v>
      </c>
      <c r="B47" t="s">
        <v>82</v>
      </c>
      <c r="C47" s="19">
        <v>27.27</v>
      </c>
      <c r="D47" s="11">
        <f>SUM(12.88*0.03)+12.88</f>
        <v>13.266400000000001</v>
      </c>
      <c r="E47" s="11">
        <v>14.5</v>
      </c>
      <c r="F47" s="11">
        <v>15.38</v>
      </c>
      <c r="H47" s="21">
        <f>SUM(F47*3%)+F47</f>
        <v>15.8414</v>
      </c>
      <c r="I47" s="21">
        <f>SUM(F47*3%)+F47</f>
        <v>15.8414</v>
      </c>
      <c r="J47" s="21">
        <f>SUM(I47*2%)+I47</f>
        <v>16.158228000000001</v>
      </c>
      <c r="K47" s="21">
        <v>17.07</v>
      </c>
      <c r="L47" s="22">
        <f>SUM(K47*2.1%)+K47</f>
        <v>17.428470000000001</v>
      </c>
      <c r="M47" s="23">
        <v>18.16</v>
      </c>
      <c r="N47" s="24">
        <f>SUM(M47*0.9%)</f>
        <v>0.16344000000000003</v>
      </c>
      <c r="O47" s="25">
        <v>19.39</v>
      </c>
      <c r="P47" s="26">
        <f t="shared" ref="P47:P53" si="1">SUM(O47*1.6%)</f>
        <v>0.31024000000000002</v>
      </c>
      <c r="Q47" s="17">
        <v>26.1</v>
      </c>
      <c r="R47" s="18">
        <f t="shared" si="0"/>
        <v>1.1745000000000001</v>
      </c>
      <c r="S47" s="10">
        <v>2</v>
      </c>
    </row>
    <row r="48" spans="1:19" ht="18.600000000000001" customHeight="1" x14ac:dyDescent="0.45">
      <c r="A48" t="s">
        <v>57</v>
      </c>
      <c r="B48" t="s">
        <v>83</v>
      </c>
      <c r="C48" s="19">
        <v>40.909999999999997</v>
      </c>
      <c r="D48" s="11">
        <f>SUM(13.27*1.5)</f>
        <v>19.905000000000001</v>
      </c>
      <c r="E48" s="11">
        <v>21.75</v>
      </c>
      <c r="F48" s="11">
        <v>23.07</v>
      </c>
      <c r="H48" s="21">
        <f>SUM(F48*3%)+F48</f>
        <v>23.7621</v>
      </c>
      <c r="I48" s="21">
        <f>SUM(F48*3%)+F48</f>
        <v>23.7621</v>
      </c>
      <c r="J48" s="21">
        <f>SUM(I48*2%)+I48</f>
        <v>24.237342000000002</v>
      </c>
      <c r="K48" s="21">
        <v>25.6</v>
      </c>
      <c r="L48" s="22">
        <f>SUM(K48*2.1%)+K48</f>
        <v>26.137600000000003</v>
      </c>
      <c r="M48" s="23">
        <v>27.25</v>
      </c>
      <c r="N48" s="24">
        <f>SUM(M48*0.9%)</f>
        <v>0.24525000000000002</v>
      </c>
      <c r="O48" s="25">
        <v>29.09</v>
      </c>
      <c r="P48" s="26">
        <f t="shared" si="1"/>
        <v>0.46544000000000002</v>
      </c>
      <c r="Q48" s="17">
        <v>39.15</v>
      </c>
      <c r="R48" s="18">
        <f t="shared" si="0"/>
        <v>1.7617499999999999</v>
      </c>
      <c r="S48" s="10">
        <v>2</v>
      </c>
    </row>
    <row r="49" spans="1:19" ht="18.600000000000001" customHeight="1" x14ac:dyDescent="0.45">
      <c r="A49" t="s">
        <v>57</v>
      </c>
      <c r="B49" t="s">
        <v>84</v>
      </c>
      <c r="C49" s="19">
        <v>19.690000000000001</v>
      </c>
      <c r="D49" s="11">
        <f>SUM(10.61*0.03)+10.61</f>
        <v>10.9283</v>
      </c>
      <c r="E49" s="11">
        <v>12.5</v>
      </c>
      <c r="F49" s="11">
        <v>13.26</v>
      </c>
      <c r="H49" s="12">
        <v>13.66</v>
      </c>
      <c r="I49" s="12">
        <f>SUM(F49*3%)+F49</f>
        <v>13.6578</v>
      </c>
      <c r="J49" s="12">
        <f>SUM(I49*2%)+I49</f>
        <v>13.930956</v>
      </c>
      <c r="K49" s="12">
        <v>14.71</v>
      </c>
      <c r="L49" s="13">
        <f>SUM(K49*2.1%)+K49</f>
        <v>15.018910000000002</v>
      </c>
      <c r="M49" s="11">
        <v>15.21</v>
      </c>
      <c r="N49" s="20">
        <f>SUM(M49*0.9%)</f>
        <v>0.13689000000000001</v>
      </c>
      <c r="O49" s="15">
        <v>16.25</v>
      </c>
      <c r="P49" s="16">
        <f t="shared" si="1"/>
        <v>0.26</v>
      </c>
      <c r="Q49" s="17">
        <v>18.84</v>
      </c>
      <c r="R49" s="18">
        <f t="shared" si="0"/>
        <v>0.8478</v>
      </c>
      <c r="S49" s="10">
        <v>1</v>
      </c>
    </row>
    <row r="50" spans="1:19" ht="18.600000000000001" customHeight="1" x14ac:dyDescent="0.45">
      <c r="A50" t="s">
        <v>57</v>
      </c>
      <c r="B50" t="s">
        <v>85</v>
      </c>
      <c r="C50" s="19">
        <v>21.65</v>
      </c>
      <c r="D50" s="11"/>
      <c r="E50" s="11"/>
      <c r="F50" s="11"/>
      <c r="H50" s="12"/>
      <c r="I50" s="12"/>
      <c r="J50" s="12"/>
      <c r="K50" s="12"/>
      <c r="L50" s="13"/>
      <c r="M50" s="11"/>
      <c r="N50" s="20"/>
      <c r="O50" s="15">
        <v>17.96</v>
      </c>
      <c r="P50" s="16">
        <f t="shared" si="1"/>
        <v>0.28736</v>
      </c>
      <c r="Q50" s="17">
        <v>20.72</v>
      </c>
      <c r="R50" s="18">
        <f t="shared" si="0"/>
        <v>0.9323999999999999</v>
      </c>
      <c r="S50" s="10" t="s">
        <v>111</v>
      </c>
    </row>
    <row r="51" spans="1:19" ht="18.600000000000001" customHeight="1" x14ac:dyDescent="0.45">
      <c r="A51" t="s">
        <v>57</v>
      </c>
      <c r="B51" t="s">
        <v>86</v>
      </c>
      <c r="C51" s="19">
        <v>32.479999999999997</v>
      </c>
      <c r="D51" s="11"/>
      <c r="E51" s="11"/>
      <c r="F51" s="11"/>
      <c r="H51" s="12"/>
      <c r="I51" s="12"/>
      <c r="J51" s="12"/>
      <c r="K51" s="12"/>
      <c r="L51" s="13"/>
      <c r="M51" s="11"/>
      <c r="N51" s="20"/>
      <c r="O51" s="15">
        <v>26.94</v>
      </c>
      <c r="P51" s="16">
        <f t="shared" si="1"/>
        <v>0.43104000000000003</v>
      </c>
      <c r="Q51" s="17">
        <v>31.08</v>
      </c>
      <c r="R51" s="18">
        <f t="shared" si="0"/>
        <v>1.3985999999999998</v>
      </c>
      <c r="S51" s="10" t="s">
        <v>111</v>
      </c>
    </row>
    <row r="52" spans="1:19" ht="18.600000000000001" customHeight="1" x14ac:dyDescent="0.45">
      <c r="A52" t="s">
        <v>57</v>
      </c>
      <c r="B52" t="s">
        <v>87</v>
      </c>
      <c r="C52" s="19">
        <v>17.73</v>
      </c>
      <c r="D52" s="11"/>
      <c r="E52" s="11"/>
      <c r="F52" s="11">
        <v>0</v>
      </c>
      <c r="H52" s="12">
        <f>SUM(F52*3%)+F52</f>
        <v>0</v>
      </c>
      <c r="I52" s="12">
        <f>SUM(F52*3%)+F52</f>
        <v>0</v>
      </c>
      <c r="J52" s="12">
        <f>SUM(I52*2%)+I52</f>
        <v>0</v>
      </c>
      <c r="K52" s="12">
        <f>SUM(J52*1.4%)+J52</f>
        <v>0</v>
      </c>
      <c r="L52" s="13">
        <f>SUM(K52*2.1%)+K52</f>
        <v>0</v>
      </c>
      <c r="M52" s="11">
        <v>13.61</v>
      </c>
      <c r="N52" s="20">
        <f>SUM(M52*0.9%)</f>
        <v>0.12249000000000002</v>
      </c>
      <c r="O52" s="15">
        <v>14.53</v>
      </c>
      <c r="P52" s="16">
        <f t="shared" si="1"/>
        <v>0.23247999999999999</v>
      </c>
      <c r="Q52" s="17">
        <v>16.97</v>
      </c>
      <c r="R52" s="18">
        <f t="shared" si="0"/>
        <v>0.76364999999999994</v>
      </c>
      <c r="S52" s="10" t="s">
        <v>111</v>
      </c>
    </row>
    <row r="53" spans="1:19" ht="18.600000000000001" customHeight="1" x14ac:dyDescent="0.45">
      <c r="A53" t="s">
        <v>77</v>
      </c>
      <c r="B53" s="3" t="s">
        <v>76</v>
      </c>
      <c r="C53" s="19">
        <v>18.82</v>
      </c>
      <c r="D53" s="3"/>
      <c r="E53" s="11"/>
      <c r="J53" s="12">
        <v>11.7</v>
      </c>
      <c r="K53" s="3">
        <v>12.35</v>
      </c>
      <c r="L53" s="13">
        <f>SUM(K53*2.1%)+K53</f>
        <v>12.609349999999999</v>
      </c>
      <c r="M53" s="11">
        <v>13.61</v>
      </c>
      <c r="N53" s="20">
        <f>SUM(M53*0.9%)</f>
        <v>0.12249000000000002</v>
      </c>
      <c r="O53" s="15">
        <v>14.53</v>
      </c>
      <c r="P53" s="16">
        <f t="shared" si="1"/>
        <v>0.23247999999999999</v>
      </c>
      <c r="Q53" s="17">
        <v>18.010000000000002</v>
      </c>
      <c r="R53" s="18">
        <f t="shared" si="0"/>
        <v>0.81045</v>
      </c>
      <c r="S53" s="10">
        <v>1</v>
      </c>
    </row>
    <row r="54" spans="1:19" ht="18.600000000000001" customHeight="1" x14ac:dyDescent="0.45">
      <c r="A54" s="3" t="s">
        <v>103</v>
      </c>
      <c r="B54" s="3" t="s">
        <v>102</v>
      </c>
      <c r="C54" s="19">
        <v>17.73</v>
      </c>
      <c r="D54" s="11"/>
      <c r="E54" s="11"/>
      <c r="F54" s="11"/>
      <c r="H54" s="12"/>
      <c r="I54" s="12"/>
      <c r="J54" s="12"/>
      <c r="K54" s="12"/>
      <c r="L54" s="13"/>
      <c r="M54" s="11"/>
      <c r="N54" s="20"/>
      <c r="O54" s="15">
        <v>15</v>
      </c>
      <c r="P54" s="16"/>
      <c r="Q54" s="17">
        <v>16.97</v>
      </c>
      <c r="R54" s="18">
        <f t="shared" si="0"/>
        <v>0.76364999999999994</v>
      </c>
      <c r="S54" s="10">
        <v>1</v>
      </c>
    </row>
    <row r="55" spans="1:19" ht="18.600000000000001" customHeight="1" x14ac:dyDescent="0.45">
      <c r="A55" t="s">
        <v>89</v>
      </c>
      <c r="B55" t="s">
        <v>88</v>
      </c>
      <c r="C55" s="19">
        <v>18.82</v>
      </c>
      <c r="D55" s="11">
        <f>SUM(9.02*0.03)+9.02</f>
        <v>9.2905999999999995</v>
      </c>
      <c r="E55" s="11">
        <v>10.5</v>
      </c>
      <c r="F55" s="11">
        <v>11.14</v>
      </c>
      <c r="H55" s="12">
        <f>SUM(F55*3%)+F55</f>
        <v>11.4742</v>
      </c>
      <c r="I55" s="12">
        <f>SUM(F55*3%)+F55</f>
        <v>11.4742</v>
      </c>
      <c r="J55" s="12">
        <f>SUM(I55*2%)+I55</f>
        <v>11.703683999999999</v>
      </c>
      <c r="K55" s="12">
        <v>12.35</v>
      </c>
      <c r="L55" s="13">
        <f>SUM(K55*2.1%)+K55</f>
        <v>12.609349999999999</v>
      </c>
      <c r="M55" s="11">
        <v>13.61</v>
      </c>
      <c r="N55" s="20">
        <f>SUM(M55*0.9%)</f>
        <v>0.12249000000000002</v>
      </c>
      <c r="O55" s="15">
        <v>14.53</v>
      </c>
      <c r="P55" s="16">
        <f>SUM(O55*1.6%)</f>
        <v>0.23247999999999999</v>
      </c>
      <c r="Q55" s="17">
        <v>18.010000000000002</v>
      </c>
      <c r="R55" s="18">
        <f t="shared" si="0"/>
        <v>0.81045</v>
      </c>
      <c r="S55" s="10">
        <v>1</v>
      </c>
    </row>
    <row r="56" spans="1:19" ht="18.600000000000001" customHeight="1" x14ac:dyDescent="0.45">
      <c r="A56" t="s">
        <v>89</v>
      </c>
      <c r="B56" t="s">
        <v>90</v>
      </c>
      <c r="C56" s="19">
        <v>21.82</v>
      </c>
      <c r="D56" s="11">
        <f>SUM(9.6*0.03)+9.6</f>
        <v>9.8879999999999999</v>
      </c>
      <c r="E56" s="11">
        <v>11</v>
      </c>
      <c r="F56" s="11">
        <v>11.67</v>
      </c>
      <c r="H56" s="12">
        <f>SUM(F56*3%)+F56</f>
        <v>12.020099999999999</v>
      </c>
      <c r="I56" s="12">
        <f>SUM(F56*3%)+F56</f>
        <v>12.020099999999999</v>
      </c>
      <c r="J56" s="12">
        <f>SUM(I56*2%)+I56</f>
        <v>12.260501999999999</v>
      </c>
      <c r="K56" s="12">
        <v>12.95</v>
      </c>
      <c r="L56" s="13">
        <f>SUM(K56*2.1%)+K56</f>
        <v>13.22195</v>
      </c>
      <c r="M56" s="11">
        <v>14.22</v>
      </c>
      <c r="N56" s="20">
        <f>SUM(M56*0.9%)</f>
        <v>0.12798000000000001</v>
      </c>
      <c r="O56" s="15">
        <v>15.18</v>
      </c>
      <c r="P56" s="16">
        <f>SUM(O56*1.6%)</f>
        <v>0.24288000000000001</v>
      </c>
      <c r="Q56" s="17">
        <v>20.88</v>
      </c>
      <c r="R56" s="18">
        <f t="shared" si="0"/>
        <v>0.93959999999999988</v>
      </c>
      <c r="S56" s="10">
        <v>1</v>
      </c>
    </row>
    <row r="57" spans="1:19" ht="18.600000000000001" customHeight="1" x14ac:dyDescent="0.45">
      <c r="A57" t="s">
        <v>67</v>
      </c>
      <c r="B57" s="3" t="s">
        <v>66</v>
      </c>
      <c r="C57" s="19">
        <v>18.47</v>
      </c>
      <c r="D57" s="11">
        <f>SUM(8.94*0.03)+8.94</f>
        <v>9.2081999999999997</v>
      </c>
      <c r="E57" s="11">
        <v>10.5</v>
      </c>
      <c r="F57" s="11">
        <v>11.14</v>
      </c>
      <c r="H57" s="12">
        <f>SUM(F57*3%)+F57</f>
        <v>11.4742</v>
      </c>
      <c r="I57" s="12">
        <f>SUM(F57*3%)+F57</f>
        <v>11.4742</v>
      </c>
      <c r="J57" s="12">
        <f>SUM(I57*2%)+I57</f>
        <v>11.703683999999999</v>
      </c>
      <c r="K57" s="12">
        <v>12.35</v>
      </c>
      <c r="L57" s="13">
        <f>SUM(K57*2.1%)+K57</f>
        <v>12.609349999999999</v>
      </c>
      <c r="M57" s="11">
        <v>13.61</v>
      </c>
      <c r="N57" s="20">
        <f>SUM(M57*0.9%)</f>
        <v>0.12249000000000002</v>
      </c>
      <c r="O57" s="15">
        <v>15.18</v>
      </c>
      <c r="P57" s="16">
        <f>SUM(O57*1.6%)</f>
        <v>0.24288000000000001</v>
      </c>
      <c r="Q57" s="17">
        <v>17.670000000000002</v>
      </c>
      <c r="R57" s="18">
        <f t="shared" si="0"/>
        <v>0.79515000000000002</v>
      </c>
      <c r="S57" s="10">
        <v>1</v>
      </c>
    </row>
    <row r="58" spans="1:19" ht="18.600000000000001" customHeight="1" x14ac:dyDescent="0.45">
      <c r="A58" t="s">
        <v>67</v>
      </c>
      <c r="B58" t="s">
        <v>68</v>
      </c>
      <c r="C58" s="19">
        <v>17.73</v>
      </c>
      <c r="D58" s="11">
        <f>SUM(8.94*0.03)+8.94</f>
        <v>9.2081999999999997</v>
      </c>
      <c r="E58" s="11">
        <v>10.5</v>
      </c>
      <c r="F58" s="11">
        <v>11.14</v>
      </c>
      <c r="H58" s="12">
        <f>SUM(F58*3%)+F58</f>
        <v>11.4742</v>
      </c>
      <c r="I58" s="12">
        <f>SUM(F58*3%)+F58</f>
        <v>11.4742</v>
      </c>
      <c r="J58" s="12">
        <f>SUM(I58*2%)+I58</f>
        <v>11.703683999999999</v>
      </c>
      <c r="K58" s="12">
        <v>12.35</v>
      </c>
      <c r="L58" s="13">
        <f>SUM(K58*2.1%)+K58</f>
        <v>12.609349999999999</v>
      </c>
      <c r="M58" s="11">
        <v>13.61</v>
      </c>
      <c r="N58" s="20">
        <f>SUM(M58*0.9%)</f>
        <v>0.12249000000000002</v>
      </c>
      <c r="O58" s="15">
        <v>14.53</v>
      </c>
      <c r="P58" s="16">
        <f>SUM(O58*1.6%)</f>
        <v>0.23247999999999999</v>
      </c>
      <c r="Q58" s="17">
        <v>16.97</v>
      </c>
      <c r="R58" s="18">
        <f t="shared" si="0"/>
        <v>0.76364999999999994</v>
      </c>
      <c r="S58" s="10">
        <v>2</v>
      </c>
    </row>
    <row r="59" spans="1:19" ht="18.600000000000001" customHeight="1" x14ac:dyDescent="0.3">
      <c r="A59" s="3" t="s">
        <v>2</v>
      </c>
      <c r="B59" t="s">
        <v>3</v>
      </c>
      <c r="C59" s="6">
        <f>SUM(784+784)</f>
        <v>1568</v>
      </c>
      <c r="S59" s="10">
        <v>1</v>
      </c>
    </row>
    <row r="60" spans="1:19" ht="18.600000000000001" customHeight="1" x14ac:dyDescent="0.3">
      <c r="A60" t="s">
        <v>8</v>
      </c>
      <c r="B60" t="s">
        <v>9</v>
      </c>
      <c r="C60" s="6">
        <f>3700/3</f>
        <v>1233.3333333333333</v>
      </c>
      <c r="S60" s="10">
        <v>3</v>
      </c>
    </row>
    <row r="61" spans="1:19" ht="18.600000000000001" customHeight="1" x14ac:dyDescent="0.45">
      <c r="A61" s="3" t="s">
        <v>65</v>
      </c>
      <c r="B61" s="3" t="s">
        <v>64</v>
      </c>
      <c r="C61">
        <v>17.73</v>
      </c>
      <c r="D61" s="3"/>
      <c r="E61" s="11"/>
      <c r="F61" s="11"/>
      <c r="H61" s="12"/>
      <c r="I61" s="12"/>
      <c r="J61" s="12"/>
      <c r="K61" s="12"/>
      <c r="L61" s="13"/>
      <c r="M61" s="11"/>
      <c r="N61" s="14"/>
      <c r="O61" s="15">
        <v>14.53</v>
      </c>
      <c r="P61" s="16">
        <f>SUM(O61*1.6%)</f>
        <v>0.23247999999999999</v>
      </c>
      <c r="Q61" s="17">
        <v>16.97</v>
      </c>
      <c r="R61" s="18">
        <f>SUM(Q61*0.045)</f>
        <v>0.76364999999999994</v>
      </c>
      <c r="S61" s="10">
        <v>1</v>
      </c>
    </row>
    <row r="62" spans="1:19" ht="18.600000000000001" customHeight="1" x14ac:dyDescent="0.45">
      <c r="A62" t="s">
        <v>93</v>
      </c>
      <c r="B62" t="s">
        <v>92</v>
      </c>
      <c r="C62" s="19">
        <v>17.73</v>
      </c>
      <c r="D62" s="11">
        <f>SUM(9.28*0.03)+9.28</f>
        <v>9.5583999999999989</v>
      </c>
      <c r="E62" s="11">
        <v>10.5</v>
      </c>
      <c r="F62" s="11">
        <v>11.14</v>
      </c>
      <c r="H62" s="12">
        <f>SUM(F62*3%)+F62</f>
        <v>11.4742</v>
      </c>
      <c r="I62" s="12">
        <f>SUM(F62*3%)+F62</f>
        <v>11.4742</v>
      </c>
      <c r="J62" s="12">
        <f>SUM(I62*2%)+I62</f>
        <v>11.703683999999999</v>
      </c>
      <c r="K62" s="12">
        <v>12.35</v>
      </c>
      <c r="L62" s="13">
        <f>SUM(K62*2.1%)+K62</f>
        <v>12.609349999999999</v>
      </c>
      <c r="M62" s="11">
        <v>13.61</v>
      </c>
      <c r="N62" s="20">
        <f>SUM(M62*0.9%)</f>
        <v>0.12249000000000002</v>
      </c>
      <c r="O62" s="15">
        <v>14.53</v>
      </c>
      <c r="P62" s="16">
        <f>SUM(O62*1.6%)</f>
        <v>0.23247999999999999</v>
      </c>
      <c r="Q62" s="17">
        <v>16.97</v>
      </c>
      <c r="R62" s="18">
        <f>SUM(Q62*0.045)</f>
        <v>0.76364999999999994</v>
      </c>
      <c r="S62" s="10">
        <v>2</v>
      </c>
    </row>
    <row r="63" spans="1:19" ht="18.600000000000001" customHeight="1" x14ac:dyDescent="0.45">
      <c r="A63" t="s">
        <v>93</v>
      </c>
      <c r="B63" t="s">
        <v>94</v>
      </c>
      <c r="C63" s="19">
        <v>25.63</v>
      </c>
      <c r="D63" s="11">
        <f>SUM(10.34*0.03)+10.34</f>
        <v>10.6502</v>
      </c>
      <c r="E63" s="11">
        <v>14</v>
      </c>
      <c r="F63" s="11">
        <v>14.85</v>
      </c>
      <c r="H63" s="12">
        <f>SUM(F63*3%)+F63</f>
        <v>15.295499999999999</v>
      </c>
      <c r="I63" s="12">
        <f>SUM(F63*3%)+F63</f>
        <v>15.295499999999999</v>
      </c>
      <c r="J63" s="12">
        <f>SUM(I63*2%)+I63</f>
        <v>15.60141</v>
      </c>
      <c r="K63" s="12">
        <v>16.47</v>
      </c>
      <c r="L63" s="13">
        <f>SUM(K63*2.1%)+K63</f>
        <v>16.81587</v>
      </c>
      <c r="M63" s="11">
        <v>19.25</v>
      </c>
      <c r="N63" s="20">
        <f>SUM(M63*0.9%)</f>
        <v>0.17325000000000002</v>
      </c>
      <c r="O63" s="15">
        <v>20.55</v>
      </c>
      <c r="P63" s="16">
        <f>SUM(O63*1.6%)</f>
        <v>0.32880000000000004</v>
      </c>
      <c r="Q63" s="17">
        <v>24.53</v>
      </c>
      <c r="R63" s="18">
        <f>SUM(Q63*0.045)</f>
        <v>1.10385</v>
      </c>
      <c r="S63" s="10">
        <v>1</v>
      </c>
    </row>
    <row r="64" spans="1:19" ht="18.600000000000001" customHeight="1" x14ac:dyDescent="0.3">
      <c r="A64" s="3" t="s">
        <v>20</v>
      </c>
      <c r="B64" t="s">
        <v>21</v>
      </c>
      <c r="C64" s="6">
        <v>7986</v>
      </c>
      <c r="S64" s="10">
        <v>1</v>
      </c>
    </row>
    <row r="65" spans="1:19" ht="18.600000000000001" customHeight="1" x14ac:dyDescent="0.3">
      <c r="A65" t="s">
        <v>49</v>
      </c>
      <c r="B65" t="s">
        <v>50</v>
      </c>
      <c r="C65" s="6">
        <v>62250</v>
      </c>
      <c r="S65" s="10">
        <v>1</v>
      </c>
    </row>
    <row r="66" spans="1:19" ht="18.600000000000001" customHeight="1" x14ac:dyDescent="0.45">
      <c r="A66" t="s">
        <v>107</v>
      </c>
      <c r="B66" s="3" t="s">
        <v>91</v>
      </c>
      <c r="C66" s="19">
        <v>21.82</v>
      </c>
      <c r="D66" s="11"/>
      <c r="E66" s="11"/>
      <c r="F66" s="11"/>
      <c r="H66" s="12"/>
      <c r="I66" s="12"/>
      <c r="J66" s="12"/>
      <c r="K66" s="12"/>
      <c r="L66" s="13"/>
      <c r="M66" s="11"/>
      <c r="N66" s="20"/>
      <c r="O66" s="15">
        <v>20</v>
      </c>
      <c r="P66" s="16"/>
      <c r="Q66" s="17">
        <v>20.88</v>
      </c>
      <c r="R66" s="18">
        <f>SUM(Q66*0.045)</f>
        <v>0.93959999999999988</v>
      </c>
      <c r="S66" s="10">
        <v>1</v>
      </c>
    </row>
  </sheetData>
  <sortState xmlns:xlrd2="http://schemas.microsoft.com/office/spreadsheetml/2017/richdata2" ref="A6:S66">
    <sortCondition ref="A5:A66"/>
  </sortState>
  <printOptions gridLines="1"/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sorted</vt:lpstr>
      <vt:lpstr>original</vt:lpstr>
      <vt:lpstr>original!Print_Area</vt:lpstr>
      <vt:lpstr>sorted!Print_Area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Manley</dc:creator>
  <cp:lastModifiedBy>Carolyn Manley</cp:lastModifiedBy>
  <cp:lastPrinted>2024-10-18T16:27:23Z</cp:lastPrinted>
  <dcterms:created xsi:type="dcterms:W3CDTF">2024-09-16T16:33:04Z</dcterms:created>
  <dcterms:modified xsi:type="dcterms:W3CDTF">2024-10-29T17:02:36Z</dcterms:modified>
</cp:coreProperties>
</file>