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03"/>
  <workbookPr/>
  <mc:AlternateContent xmlns:mc="http://schemas.openxmlformats.org/markup-compatibility/2006">
    <mc:Choice Requires="x15">
      <x15ac:absPath xmlns:x15ac="http://schemas.microsoft.com/office/spreadsheetml/2010/11/ac" url="https://sjifires.sharepoint.com/sites/BoardofFireCommissioners/Shared Documents/Strategic Planning Resources/"/>
    </mc:Choice>
  </mc:AlternateContent>
  <xr:revisionPtr revIDLastSave="0" documentId="8_{E5F79811-8A06-41CF-8ACD-B935D4544F9C}" xr6:coauthVersionLast="47" xr6:coauthVersionMax="47" xr10:uidLastSave="{00000000-0000-0000-0000-000000000000}"/>
  <bookViews>
    <workbookView xWindow="-28920" yWindow="2070" windowWidth="29040" windowHeight="15840" xr2:uid="{00000000-000D-0000-FFFF-FFFF00000000}"/>
  </bookViews>
  <sheets>
    <sheet name="OPS NEED" sheetId="2" r:id="rId1"/>
    <sheet name="RSRV for Cap" sheetId="3" r:id="rId2"/>
    <sheet name="20yr PLAN" sheetId="5" r:id="rId3"/>
    <sheet name="MILL HIST" sheetId="6" r:id="rId4"/>
    <sheet name="LOWFUND" sheetId="7" r:id="rId5"/>
    <sheet name="RevExp" sheetId="9"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3" l="1"/>
  <c r="H10" i="3"/>
  <c r="J10" i="3"/>
  <c r="J8" i="3"/>
  <c r="F6" i="3"/>
  <c r="F5" i="3"/>
  <c r="F4" i="3"/>
  <c r="C8" i="3"/>
  <c r="C10" i="3" s="1"/>
  <c r="H10" i="2"/>
  <c r="F7" i="2"/>
  <c r="H10" i="9"/>
  <c r="U18" i="9"/>
  <c r="T18" i="9"/>
  <c r="S18" i="9"/>
  <c r="R18" i="9"/>
  <c r="Q18" i="9"/>
  <c r="P18" i="9"/>
  <c r="O18" i="9"/>
  <c r="N18" i="9"/>
  <c r="M18" i="9"/>
  <c r="L18" i="9"/>
  <c r="K18" i="9"/>
  <c r="J18" i="9"/>
  <c r="I18" i="9"/>
  <c r="H18" i="9"/>
  <c r="G18" i="9"/>
  <c r="F18" i="9"/>
  <c r="E18" i="9"/>
  <c r="D18" i="9"/>
  <c r="C18" i="9"/>
  <c r="U14" i="9"/>
  <c r="T14" i="9"/>
  <c r="S14" i="9"/>
  <c r="R14" i="9"/>
  <c r="Q14" i="9"/>
  <c r="P14" i="9"/>
  <c r="O14" i="9"/>
  <c r="N14" i="9"/>
  <c r="M14" i="9"/>
  <c r="L14" i="9"/>
  <c r="K14" i="9"/>
  <c r="J14" i="9"/>
  <c r="I14" i="9"/>
  <c r="H14" i="9"/>
  <c r="G14" i="9"/>
  <c r="F14" i="9"/>
  <c r="E14" i="9"/>
  <c r="D14" i="9"/>
  <c r="U10" i="9"/>
  <c r="T10" i="9"/>
  <c r="S10" i="9"/>
  <c r="R10" i="9"/>
  <c r="Q10" i="9"/>
  <c r="P10" i="9"/>
  <c r="O10" i="9"/>
  <c r="N10" i="9"/>
  <c r="M10" i="9"/>
  <c r="L10" i="9"/>
  <c r="K10" i="9"/>
  <c r="J10" i="9"/>
  <c r="I10" i="9"/>
  <c r="G10" i="9"/>
  <c r="F10" i="9"/>
  <c r="E10" i="9"/>
  <c r="D10" i="9"/>
  <c r="C10" i="9"/>
  <c r="U6" i="9"/>
  <c r="T6" i="9"/>
  <c r="S6" i="9"/>
  <c r="R6" i="9"/>
  <c r="Q6" i="9"/>
  <c r="P6" i="9"/>
  <c r="O6" i="9"/>
  <c r="N6" i="9"/>
  <c r="M6" i="9"/>
  <c r="L6" i="9"/>
  <c r="K6" i="9"/>
  <c r="J6" i="9"/>
  <c r="I6" i="9"/>
  <c r="H6" i="9"/>
  <c r="G6" i="9"/>
  <c r="F6" i="9"/>
  <c r="E6" i="9"/>
  <c r="D6" i="9"/>
  <c r="C6" i="9"/>
  <c r="G10" i="6"/>
  <c r="C22" i="6"/>
  <c r="E7" i="3" l="1"/>
  <c r="G6" i="3"/>
  <c r="E6" i="3"/>
  <c r="E5" i="3"/>
  <c r="G4" i="3"/>
  <c r="E4" i="3"/>
  <c r="D8" i="3"/>
  <c r="G7" i="2"/>
  <c r="D17" i="2"/>
  <c r="I17" i="2" s="1"/>
  <c r="D15" i="2"/>
  <c r="H13" i="2"/>
  <c r="G13" i="2"/>
  <c r="F13" i="2"/>
  <c r="F10" i="2"/>
  <c r="G10" i="2"/>
  <c r="E10" i="2"/>
  <c r="H7" i="2"/>
  <c r="E7" i="2"/>
  <c r="G8" i="3" l="1"/>
  <c r="H6" i="3"/>
  <c r="I6" i="3" s="1"/>
  <c r="H5" i="3"/>
  <c r="I5" i="3" s="1"/>
  <c r="H7" i="3"/>
  <c r="I7" i="3" s="1"/>
  <c r="J7" i="3" s="1"/>
  <c r="E8" i="3"/>
  <c r="F8" i="3"/>
  <c r="H4" i="3"/>
  <c r="D19" i="2"/>
  <c r="I13" i="2"/>
  <c r="J13" i="2" s="1"/>
  <c r="I10" i="2"/>
  <c r="J10" i="2" s="1"/>
  <c r="I7" i="2"/>
  <c r="J7" i="2" s="1"/>
  <c r="H8" i="3" l="1"/>
  <c r="K11" i="3" s="1"/>
  <c r="J6" i="3"/>
  <c r="J5" i="3"/>
  <c r="I4" i="3"/>
  <c r="J15" i="2"/>
  <c r="J19" i="2" s="1"/>
  <c r="J4" i="3" l="1"/>
  <c r="I21" i="2"/>
  <c r="J21" i="2"/>
</calcChain>
</file>

<file path=xl/sharedStrings.xml><?xml version="1.0" encoding="utf-8"?>
<sst xmlns="http://schemas.openxmlformats.org/spreadsheetml/2006/main" count="162" uniqueCount="103">
  <si>
    <t>Estimated Annual Operations Funding Shortfall Matching 2023 Service Levels</t>
  </si>
  <si>
    <t>2024 Current Budget reflects reduction of 1 FTE Assistant Chief Operations, reduction of 24/7 engine crew OT staffing, reduction of career staff health benefit, and reduction of career staff COLA by 1.4%. Additional austerity measures include reducing certain Materials and Services funds and omitting current capital expenses. Fire Boat 31 has been and continues to be funded through reserve funds which will not cover the total expense.</t>
  </si>
  <si>
    <t>Current Budget (2024)</t>
  </si>
  <si>
    <t>1.4% COLA + Repair Health Care Benefit</t>
  </si>
  <si>
    <t>Return Minimum 2 Staffing</t>
  </si>
  <si>
    <t>Improve Volunteer Recruitment Retention</t>
  </si>
  <si>
    <t>Maintain Minimum 50% Accrual Liability</t>
  </si>
  <si>
    <t>Current Budget Shortage</t>
  </si>
  <si>
    <t>Current Budget Needs for 2023 Sustained Services</t>
  </si>
  <si>
    <t>Personnel Services</t>
  </si>
  <si>
    <t>Supplies, Fuel, Equip, Comms</t>
  </si>
  <si>
    <t>Prof. Services, Insurance Premiums</t>
  </si>
  <si>
    <t>Travel, Training</t>
  </si>
  <si>
    <t>Repairs &amp; Maint, and Misc.</t>
  </si>
  <si>
    <t>Shortage</t>
  </si>
  <si>
    <t>Materials Services</t>
  </si>
  <si>
    <t>Radios, Pagers</t>
  </si>
  <si>
    <t>PPE</t>
  </si>
  <si>
    <t>Fire Boat Payment</t>
  </si>
  <si>
    <t>Training Props</t>
  </si>
  <si>
    <t>Current Capital Expense</t>
  </si>
  <si>
    <t>Sub Total</t>
  </si>
  <si>
    <t>Ending Fund Balance</t>
  </si>
  <si>
    <t>Total Required 2024 Budget</t>
  </si>
  <si>
    <t xml:space="preserve">Total Shortfall </t>
  </si>
  <si>
    <r>
      <t xml:space="preserve">General Fund without additional funds will continue to strain the Fire District's operations.  Reserves have been dwindled and are allocated to Fire Boat payments until exhausted, whereupon final payments will further strain General Fund.  Austerity measures will be required each year forward. Repairing General Fund to a sustainable service model that matches 2023 levels will require an additional </t>
    </r>
    <r>
      <rPr>
        <b/>
        <sz val="11"/>
        <color theme="1"/>
        <rFont val="Aptos Narrow"/>
        <family val="2"/>
        <scheme val="minor"/>
      </rPr>
      <t>13 Mills ($0.13/$1,000)</t>
    </r>
    <r>
      <rPr>
        <sz val="11"/>
        <color theme="1"/>
        <rFont val="Aptos Narrow"/>
        <family val="2"/>
        <scheme val="minor"/>
      </rPr>
      <t xml:space="preserve">, projected at $910,210 additional annual revenues.  This Does not provide Capital Funds.                                                                                                                                                                                                                                                                                    Consideration of 24/7 shift model should be part of this discussion.  Minimum 2 staffing is not ideal for an engine company.  Minimum 3 staffing is more effective in all instances, and particularly prepares the District for the next 10-20 years of good service.  Increased minimum staffing to 3 requires hiring additional 4 FTE's.  This will cost an </t>
    </r>
    <r>
      <rPr>
        <u/>
        <sz val="11"/>
        <color theme="1"/>
        <rFont val="Aptos Narrow"/>
        <family val="2"/>
        <scheme val="minor"/>
      </rPr>
      <t>additional</t>
    </r>
    <r>
      <rPr>
        <sz val="11"/>
        <color theme="1"/>
        <rFont val="Aptos Narrow"/>
        <family val="2"/>
        <scheme val="minor"/>
      </rPr>
      <t xml:space="preserve"> </t>
    </r>
    <r>
      <rPr>
        <b/>
        <sz val="11"/>
        <color theme="1"/>
        <rFont val="Aptos Narrow"/>
        <family val="2"/>
        <scheme val="minor"/>
      </rPr>
      <t>8 Mills ($0.08/$1000)</t>
    </r>
    <r>
      <rPr>
        <sz val="11"/>
        <color theme="1"/>
        <rFont val="Aptos Narrow"/>
        <family val="2"/>
        <scheme val="minor"/>
      </rPr>
      <t xml:space="preserve"> at $526,837.</t>
    </r>
  </si>
  <si>
    <t>Reserve Funds Capital Planning</t>
  </si>
  <si>
    <t xml:space="preserve">Capital Improvement Plan - 20 year </t>
  </si>
  <si>
    <t>Rainy Day Revolving</t>
  </si>
  <si>
    <t>Loans/Bonds</t>
  </si>
  <si>
    <t>Facilities</t>
  </si>
  <si>
    <t>Fleet</t>
  </si>
  <si>
    <t>Total Resources</t>
  </si>
  <si>
    <t>Additional Annual Resources Needed to Meet Capital Plan</t>
  </si>
  <si>
    <t xml:space="preserve">Total Annual Resources Needed </t>
  </si>
  <si>
    <t>LEVY</t>
  </si>
  <si>
    <t>2025-2030</t>
  </si>
  <si>
    <t>5yrs</t>
  </si>
  <si>
    <t>2025-2035</t>
  </si>
  <si>
    <t>10yrs</t>
  </si>
  <si>
    <t>2025-2040</t>
  </si>
  <si>
    <t>15yrs</t>
  </si>
  <si>
    <t>2025-2045</t>
  </si>
  <si>
    <t>20yrs</t>
  </si>
  <si>
    <t>&lt;0.005</t>
  </si>
  <si>
    <t>Total Resources Over 20 years</t>
  </si>
  <si>
    <t>Add $0.03 Inflat.</t>
  </si>
  <si>
    <t>20 Year Capital Plan</t>
  </si>
  <si>
    <t>Priority Level</t>
  </si>
  <si>
    <t>Cost Est.</t>
  </si>
  <si>
    <t>(1) &lt; 5 Yrs</t>
  </si>
  <si>
    <t>(2) &lt; 10 Yrs</t>
  </si>
  <si>
    <t>(3) &lt; 15 Yrs</t>
  </si>
  <si>
    <t>(4) &lt; 20 Yrs</t>
  </si>
  <si>
    <t>Fire Stations &amp; Caches</t>
  </si>
  <si>
    <t>HQ Station 31 Remodel</t>
  </si>
  <si>
    <t>Station 35 Relocate (NEW)</t>
  </si>
  <si>
    <t>Station 32 Relocate (NEW)</t>
  </si>
  <si>
    <t>Station 34 Remodel</t>
  </si>
  <si>
    <t>Station 36 Remodel</t>
  </si>
  <si>
    <t>Station 33 Remodel</t>
  </si>
  <si>
    <t>Outer Island Brigade Caches</t>
  </si>
  <si>
    <t>Ladder</t>
  </si>
  <si>
    <t>Tengine</t>
  </si>
  <si>
    <t>Brigade Fleet (USED Pickups/new UTV's)</t>
  </si>
  <si>
    <t>Brush Unit</t>
  </si>
  <si>
    <t>Engines</t>
  </si>
  <si>
    <t>Tender</t>
  </si>
  <si>
    <t xml:space="preserve">Fire Boat twin Outboards-Platform Refurbish </t>
  </si>
  <si>
    <t>Support/Command</t>
  </si>
  <si>
    <t>SCBA</t>
  </si>
  <si>
    <t>Turnouts</t>
  </si>
  <si>
    <t>Wildland</t>
  </si>
  <si>
    <t>Training Facility</t>
  </si>
  <si>
    <t>Multi-Story Burn To Learn Compound</t>
  </si>
  <si>
    <t>FIRE DISTRICT 3 LEVY HISTORY</t>
  </si>
  <si>
    <t>Year</t>
  </si>
  <si>
    <t>Assessed Value</t>
  </si>
  <si>
    <t>Mills</t>
  </si>
  <si>
    <t>Revenue</t>
  </si>
  <si>
    <t>Trial Balance Total Funds: &lt;$400k</t>
  </si>
  <si>
    <t>Month</t>
  </si>
  <si>
    <t>Balance</t>
  </si>
  <si>
    <t>January</t>
  </si>
  <si>
    <t>February</t>
  </si>
  <si>
    <t>March</t>
  </si>
  <si>
    <t>April</t>
  </si>
  <si>
    <t>May</t>
  </si>
  <si>
    <t>June</t>
  </si>
  <si>
    <t>July</t>
  </si>
  <si>
    <t>August</t>
  </si>
  <si>
    <t>September</t>
  </si>
  <si>
    <t>October</t>
  </si>
  <si>
    <t>November</t>
  </si>
  <si>
    <t>December</t>
  </si>
  <si>
    <t>Qtr 1 2024</t>
  </si>
  <si>
    <t>GENERAL</t>
  </si>
  <si>
    <t>Revenues</t>
  </si>
  <si>
    <t>Expenses</t>
  </si>
  <si>
    <t>excess revenues/exp</t>
  </si>
  <si>
    <t>RESERVE</t>
  </si>
  <si>
    <t>CAPITAL</t>
  </si>
  <si>
    <t xml:space="preserve">BOND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</si>
</sst>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2">
    <font>
      <sz val="11"/>
      <color theme="1"/>
      <name val="Aptos Narrow"/>
      <family val="2"/>
      <scheme val="minor"/>
    </font>
    <font>
      <sz val="11"/>
      <color theme="1"/>
      <name val="Aptos Narrow"/>
      <family val="2"/>
      <scheme val="minor"/>
    </font>
    <font>
      <b/>
      <sz val="11"/>
      <color theme="1"/>
      <name val="Aptos Narrow"/>
      <family val="2"/>
      <scheme val="minor"/>
    </font>
    <font>
      <b/>
      <sz val="18"/>
      <color theme="1"/>
      <name val="Aptos Narrow"/>
      <family val="2"/>
      <scheme val="minor"/>
    </font>
    <font>
      <sz val="11"/>
      <name val="Calibri"/>
      <family val="2"/>
    </font>
    <font>
      <u/>
      <sz val="11"/>
      <color theme="1"/>
      <name val="Aptos Narrow"/>
      <family val="2"/>
      <scheme val="minor"/>
    </font>
    <font>
      <u val="singleAccounting"/>
      <sz val="11"/>
      <color theme="1"/>
      <name val="Aptos Narrow"/>
      <family val="2"/>
      <scheme val="minor"/>
    </font>
    <font>
      <b/>
      <u val="singleAccounting"/>
      <sz val="11"/>
      <color theme="1"/>
      <name val="Aptos Narrow"/>
      <family val="2"/>
      <scheme val="minor"/>
    </font>
    <font>
      <b/>
      <sz val="12"/>
      <color theme="1"/>
      <name val="Aptos Narrow"/>
      <family val="2"/>
      <scheme val="minor"/>
    </font>
    <font>
      <sz val="12"/>
      <color theme="1"/>
      <name val="Aptos Narrow"/>
      <family val="2"/>
      <scheme val="minor"/>
    </font>
    <font>
      <b/>
      <sz val="11"/>
      <color rgb="FF000000"/>
      <name val="Aptos Narrow"/>
      <family val="2"/>
      <scheme val="minor"/>
    </font>
    <font>
      <sz val="11"/>
      <color rgb="FF000000"/>
      <name val="Aptos Narrow"/>
    </font>
  </fonts>
  <fills count="5">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rgb="FFFFFF9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95">
    <xf numFmtId="0" fontId="0" fillId="0" borderId="0" xfId="0"/>
    <xf numFmtId="0" fontId="0" fillId="0" borderId="0" xfId="0" applyAlignment="1">
      <alignment wrapText="1"/>
    </xf>
    <xf numFmtId="44" fontId="0" fillId="0" borderId="0" xfId="1" applyFont="1"/>
    <xf numFmtId="0" fontId="0" fillId="0" borderId="0" xfId="1" applyNumberFormat="1" applyFont="1"/>
    <xf numFmtId="0" fontId="2" fillId="0" borderId="0" xfId="0" applyFont="1"/>
    <xf numFmtId="44" fontId="0" fillId="0" borderId="0" xfId="0" applyNumberFormat="1"/>
    <xf numFmtId="0" fontId="0" fillId="0" borderId="0" xfId="0" applyAlignment="1">
      <alignment horizontal="center"/>
    </xf>
    <xf numFmtId="44" fontId="0" fillId="0" borderId="0" xfId="1" applyFont="1" applyBorder="1"/>
    <xf numFmtId="44" fontId="0" fillId="0" borderId="0" xfId="1" applyFont="1" applyBorder="1" applyAlignment="1">
      <alignment wrapText="1"/>
    </xf>
    <xf numFmtId="9" fontId="0" fillId="0" borderId="0" xfId="2" applyFont="1"/>
    <xf numFmtId="44" fontId="0" fillId="2" borderId="0" xfId="1" applyFont="1" applyFill="1"/>
    <xf numFmtId="0" fontId="2" fillId="3" borderId="0" xfId="0" applyFont="1" applyFill="1" applyAlignment="1">
      <alignment wrapText="1"/>
    </xf>
    <xf numFmtId="0" fontId="0" fillId="3" borderId="0" xfId="0" applyFill="1"/>
    <xf numFmtId="0" fontId="0" fillId="3" borderId="0" xfId="0" applyFill="1" applyAlignment="1">
      <alignment wrapText="1"/>
    </xf>
    <xf numFmtId="0" fontId="2" fillId="4" borderId="0" xfId="0" applyFont="1" applyFill="1" applyAlignment="1">
      <alignment wrapText="1"/>
    </xf>
    <xf numFmtId="0" fontId="0" fillId="0" borderId="0" xfId="0" applyAlignment="1">
      <alignment horizontal="left"/>
    </xf>
    <xf numFmtId="0" fontId="2" fillId="0" borderId="0" xfId="0" applyFont="1" applyAlignment="1">
      <alignment horizontal="center"/>
    </xf>
    <xf numFmtId="0" fontId="2" fillId="0" borderId="0" xfId="0" applyFont="1" applyAlignment="1">
      <alignment horizontal="left"/>
    </xf>
    <xf numFmtId="44" fontId="2" fillId="0" borderId="0" xfId="0" applyNumberFormat="1" applyFont="1"/>
    <xf numFmtId="0" fontId="2" fillId="4" borderId="0" xfId="0" applyFont="1" applyFill="1"/>
    <xf numFmtId="44" fontId="2" fillId="4" borderId="0" xfId="1" applyFont="1" applyFill="1"/>
    <xf numFmtId="44" fontId="2" fillId="4" borderId="0" xfId="1" applyFont="1" applyFill="1" applyAlignment="1">
      <alignment wrapText="1"/>
    </xf>
    <xf numFmtId="0" fontId="0" fillId="0" borderId="1" xfId="0" applyBorder="1"/>
    <xf numFmtId="0" fontId="0" fillId="0" borderId="2" xfId="0" applyBorder="1"/>
    <xf numFmtId="44" fontId="0" fillId="0" borderId="3" xfId="1" applyFont="1" applyBorder="1"/>
    <xf numFmtId="44" fontId="0" fillId="0" borderId="4" xfId="1" applyFont="1" applyBorder="1"/>
    <xf numFmtId="0" fontId="0" fillId="0" borderId="5" xfId="0" applyBorder="1"/>
    <xf numFmtId="44" fontId="0" fillId="0" borderId="6" xfId="1" applyFont="1" applyBorder="1"/>
    <xf numFmtId="44" fontId="4" fillId="0" borderId="0" xfId="1" applyFont="1" applyBorder="1"/>
    <xf numFmtId="0" fontId="0" fillId="0" borderId="6" xfId="0" applyBorder="1"/>
    <xf numFmtId="0" fontId="0" fillId="0" borderId="7" xfId="0" applyBorder="1"/>
    <xf numFmtId="0" fontId="0" fillId="0" borderId="8" xfId="0" applyBorder="1"/>
    <xf numFmtId="44" fontId="4" fillId="0" borderId="8" xfId="1" applyFont="1" applyBorder="1"/>
    <xf numFmtId="0" fontId="0" fillId="0" borderId="9" xfId="0" applyBorder="1"/>
    <xf numFmtId="0" fontId="0" fillId="0" borderId="3" xfId="0" applyBorder="1"/>
    <xf numFmtId="44" fontId="4" fillId="0" borderId="3" xfId="1" applyFont="1" applyBorder="1" applyAlignment="1">
      <alignment horizontal="right"/>
    </xf>
    <xf numFmtId="0" fontId="0" fillId="0" borderId="4" xfId="0" applyBorder="1"/>
    <xf numFmtId="44" fontId="4" fillId="0" borderId="0" xfId="1" applyFont="1" applyBorder="1" applyAlignment="1">
      <alignment horizontal="right"/>
    </xf>
    <xf numFmtId="44" fontId="2" fillId="0" borderId="0" xfId="1" applyFont="1" applyAlignment="1">
      <alignment horizontal="center"/>
    </xf>
    <xf numFmtId="44" fontId="0" fillId="0" borderId="8" xfId="1" applyFont="1" applyBorder="1"/>
    <xf numFmtId="44" fontId="6" fillId="3" borderId="0" xfId="0" applyNumberFormat="1" applyFont="1" applyFill="1"/>
    <xf numFmtId="44" fontId="6" fillId="3" borderId="0" xfId="1" applyFont="1" applyFill="1"/>
    <xf numFmtId="44" fontId="0" fillId="3" borderId="10" xfId="0" applyNumberFormat="1" applyFill="1" applyBorder="1"/>
    <xf numFmtId="44" fontId="7" fillId="4" borderId="0" xfId="1" applyFont="1" applyFill="1"/>
    <xf numFmtId="44" fontId="7" fillId="4" borderId="0" xfId="0" applyNumberFormat="1" applyFont="1" applyFill="1"/>
    <xf numFmtId="0" fontId="0" fillId="0" borderId="11" xfId="0" applyBorder="1" applyAlignment="1">
      <alignment wrapText="1"/>
    </xf>
    <xf numFmtId="0" fontId="2" fillId="0" borderId="12" xfId="0" applyFont="1" applyBorder="1"/>
    <xf numFmtId="44" fontId="0" fillId="0" borderId="12" xfId="0" applyNumberFormat="1" applyBorder="1"/>
    <xf numFmtId="44" fontId="2" fillId="0" borderId="12" xfId="0" applyNumberFormat="1" applyFont="1" applyBorder="1"/>
    <xf numFmtId="44" fontId="0" fillId="0" borderId="13" xfId="1" applyFont="1" applyBorder="1"/>
    <xf numFmtId="0" fontId="0" fillId="0" borderId="12" xfId="0" applyBorder="1"/>
    <xf numFmtId="44" fontId="1" fillId="0" borderId="13" xfId="1" applyFont="1" applyBorder="1"/>
    <xf numFmtId="164" fontId="0" fillId="0" borderId="13" xfId="1" applyNumberFormat="1" applyFont="1" applyBorder="1"/>
    <xf numFmtId="0" fontId="0" fillId="0" borderId="13" xfId="0" applyBorder="1"/>
    <xf numFmtId="0" fontId="0" fillId="0" borderId="7" xfId="0" applyBorder="1" applyAlignment="1">
      <alignment horizontal="center" wrapText="1"/>
    </xf>
    <xf numFmtId="0" fontId="0" fillId="0" borderId="8" xfId="0" applyBorder="1" applyAlignment="1">
      <alignment horizontal="center" wrapText="1"/>
    </xf>
    <xf numFmtId="0" fontId="2" fillId="0" borderId="8" xfId="0" applyFont="1" applyBorder="1" applyAlignment="1">
      <alignment horizontal="center" wrapText="1"/>
    </xf>
    <xf numFmtId="0" fontId="0" fillId="0" borderId="9" xfId="0" applyBorder="1" applyAlignment="1">
      <alignment wrapText="1"/>
    </xf>
    <xf numFmtId="44" fontId="2" fillId="0" borderId="8" xfId="0" applyNumberFormat="1" applyFont="1" applyBorder="1"/>
    <xf numFmtId="0" fontId="2" fillId="0" borderId="8" xfId="0" applyFont="1" applyBorder="1"/>
    <xf numFmtId="0" fontId="2" fillId="0" borderId="0" xfId="0" applyFont="1" applyAlignment="1">
      <alignment horizontal="center" wrapText="1"/>
    </xf>
    <xf numFmtId="0" fontId="2" fillId="0" borderId="6" xfId="0" applyFont="1" applyBorder="1" applyAlignment="1">
      <alignment wrapText="1"/>
    </xf>
    <xf numFmtId="0" fontId="0" fillId="0" borderId="17" xfId="0" applyBorder="1"/>
    <xf numFmtId="44" fontId="2" fillId="0" borderId="18" xfId="0" applyNumberFormat="1" applyFont="1" applyBorder="1"/>
    <xf numFmtId="44" fontId="2" fillId="0" borderId="6" xfId="0" applyNumberFormat="1" applyFont="1" applyBorder="1"/>
    <xf numFmtId="44" fontId="0" fillId="0" borderId="3" xfId="0" applyNumberFormat="1" applyBorder="1"/>
    <xf numFmtId="0" fontId="8" fillId="0" borderId="0" xfId="0" applyFont="1" applyAlignment="1">
      <alignment horizontal="center" wrapText="1"/>
    </xf>
    <xf numFmtId="0" fontId="9" fillId="0" borderId="0" xfId="0" applyFont="1"/>
    <xf numFmtId="0" fontId="8" fillId="0" borderId="0" xfId="0" applyFont="1" applyAlignment="1">
      <alignment horizontal="left" wrapText="1"/>
    </xf>
    <xf numFmtId="0" fontId="10" fillId="0" borderId="0" xfId="0" applyFont="1" applyAlignment="1">
      <alignment horizontal="center"/>
    </xf>
    <xf numFmtId="0" fontId="11" fillId="0" borderId="8" xfId="0" applyFont="1" applyBorder="1" applyAlignment="1">
      <alignment horizontal="center" wrapText="1"/>
    </xf>
    <xf numFmtId="44" fontId="0" fillId="3" borderId="0" xfId="0" applyNumberFormat="1" applyFill="1"/>
    <xf numFmtId="0" fontId="0" fillId="0" borderId="0" xfId="0" applyAlignment="1">
      <alignment horizontal="left" vertical="top" wrapText="1"/>
    </xf>
    <xf numFmtId="0" fontId="2" fillId="0" borderId="0" xfId="0" applyFont="1" applyAlignment="1">
      <alignment horizontal="left" vertical="top" wrapTex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0" xfId="0"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2" fillId="0" borderId="0" xfId="0" applyFont="1" applyAlignment="1">
      <alignment horizontal="center"/>
    </xf>
    <xf numFmtId="0" fontId="0" fillId="0" borderId="11" xfId="0" applyBorder="1" applyAlignment="1">
      <alignment horizontal="left" wrapText="1"/>
    </xf>
    <xf numFmtId="0" fontId="0" fillId="0" borderId="12" xfId="0" applyBorder="1" applyAlignment="1">
      <alignment horizontal="left" wrapText="1"/>
    </xf>
    <xf numFmtId="0" fontId="2" fillId="0" borderId="11"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0" xfId="0" applyFont="1" applyAlignment="1">
      <alignment horizontal="center" wrapText="1"/>
    </xf>
    <xf numFmtId="0" fontId="3" fillId="0" borderId="0" xfId="0" applyFont="1" applyAlignment="1">
      <alignment horizontal="center" wrapText="1"/>
    </xf>
    <xf numFmtId="0" fontId="8" fillId="0" borderId="0" xfId="0" applyFont="1" applyAlignment="1">
      <alignment horizontal="center" wrapText="1"/>
    </xf>
    <xf numFmtId="0" fontId="0" fillId="0" borderId="0" xfId="0" applyAlignment="1">
      <alignment horizontal="center" vertical="top" wrapText="1"/>
    </xf>
  </cellXfs>
  <cellStyles count="3">
    <cellStyle name="Currency" xfId="1" builtinId="4"/>
    <cellStyle name="Normal" xfId="0" builtinId="0"/>
    <cellStyle name="Percent" xfId="2" builtinId="5"/>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19</xdr:row>
      <xdr:rowOff>0</xdr:rowOff>
    </xdr:from>
    <xdr:to>
      <xdr:col>15</xdr:col>
      <xdr:colOff>294969</xdr:colOff>
      <xdr:row>49</xdr:row>
      <xdr:rowOff>123353</xdr:rowOff>
    </xdr:to>
    <xdr:pic>
      <xdr:nvPicPr>
        <xdr:cNvPr id="6" name="Picture 5">
          <a:extLst>
            <a:ext uri="{FF2B5EF4-FFF2-40B4-BE49-F238E27FC236}">
              <a16:creationId xmlns:a16="http://schemas.microsoft.com/office/drawing/2014/main" id="{24F1B4F0-3BC1-E100-3BC0-7FEE03843A1D}"/>
            </a:ext>
          </a:extLst>
        </xdr:cNvPr>
        <xdr:cNvPicPr>
          <a:picLocks noChangeAspect="1"/>
        </xdr:cNvPicPr>
      </xdr:nvPicPr>
      <xdr:blipFill>
        <a:blip xmlns:r="http://schemas.openxmlformats.org/officeDocument/2006/relationships" r:embed="rId1"/>
        <a:stretch>
          <a:fillRect/>
        </a:stretch>
      </xdr:blipFill>
      <xdr:spPr>
        <a:xfrm>
          <a:off x="647700" y="3438525"/>
          <a:ext cx="14058594" cy="55478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4444A-8690-4E65-B990-0E2844F13C95}">
  <sheetPr>
    <pageSetUpPr fitToPage="1"/>
  </sheetPr>
  <dimension ref="A1:K34"/>
  <sheetViews>
    <sheetView tabSelected="1" topLeftCell="A5" workbookViewId="0">
      <selection activeCell="L19" sqref="L19"/>
    </sheetView>
  </sheetViews>
  <sheetFormatPr defaultRowHeight="14.25"/>
  <cols>
    <col min="2" max="2" width="6.42578125" customWidth="1"/>
    <col min="4" max="4" width="15.85546875" customWidth="1"/>
    <col min="5" max="5" width="14.5703125" customWidth="1"/>
    <col min="6" max="6" width="13.7109375" customWidth="1"/>
    <col min="7" max="7" width="13.5703125" customWidth="1"/>
    <col min="8" max="8" width="12.42578125" customWidth="1"/>
    <col min="9" max="9" width="14.140625" bestFit="1" customWidth="1"/>
    <col min="10" max="10" width="15.5703125" customWidth="1"/>
  </cols>
  <sheetData>
    <row r="1" spans="1:10">
      <c r="A1" s="83" t="s">
        <v>0</v>
      </c>
      <c r="B1" s="83"/>
      <c r="C1" s="83"/>
      <c r="D1" s="83"/>
      <c r="E1" s="83"/>
      <c r="F1" s="83"/>
      <c r="G1" s="83"/>
      <c r="H1" s="83"/>
      <c r="I1" s="83"/>
      <c r="J1" s="83"/>
    </row>
    <row r="2" spans="1:10">
      <c r="A2" s="74" t="s">
        <v>1</v>
      </c>
      <c r="B2" s="75"/>
      <c r="C2" s="75"/>
      <c r="D2" s="75"/>
      <c r="E2" s="75"/>
      <c r="F2" s="75"/>
      <c r="G2" s="75"/>
      <c r="H2" s="75"/>
      <c r="I2" s="75"/>
      <c r="J2" s="76"/>
    </row>
    <row r="3" spans="1:10">
      <c r="A3" s="77"/>
      <c r="B3" s="78"/>
      <c r="C3" s="78"/>
      <c r="D3" s="78"/>
      <c r="E3" s="78"/>
      <c r="F3" s="78"/>
      <c r="G3" s="78"/>
      <c r="H3" s="78"/>
      <c r="I3" s="78"/>
      <c r="J3" s="79"/>
    </row>
    <row r="4" spans="1:10">
      <c r="A4" s="80"/>
      <c r="B4" s="81"/>
      <c r="C4" s="81"/>
      <c r="D4" s="81"/>
      <c r="E4" s="81"/>
      <c r="F4" s="81"/>
      <c r="G4" s="81"/>
      <c r="H4" s="81"/>
      <c r="I4" s="81"/>
      <c r="J4" s="82"/>
    </row>
    <row r="5" spans="1:10" s="1" customFormat="1" ht="57">
      <c r="D5" s="14" t="s">
        <v>2</v>
      </c>
      <c r="E5" s="1" t="s">
        <v>3</v>
      </c>
      <c r="F5" s="1" t="s">
        <v>4</v>
      </c>
      <c r="G5" s="1" t="s">
        <v>5</v>
      </c>
      <c r="H5" s="1" t="s">
        <v>6</v>
      </c>
      <c r="I5" s="1" t="s">
        <v>7</v>
      </c>
      <c r="J5" s="11" t="s">
        <v>8</v>
      </c>
    </row>
    <row r="6" spans="1:10">
      <c r="A6" s="4" t="s">
        <v>9</v>
      </c>
      <c r="D6" s="19"/>
      <c r="J6" s="12"/>
    </row>
    <row r="7" spans="1:10" ht="15.4">
      <c r="D7" s="43">
        <v>1609071</v>
      </c>
      <c r="E7" s="7">
        <f>-35000-22526</f>
        <v>-57526</v>
      </c>
      <c r="F7" s="7">
        <f>-282884</f>
        <v>-282884</v>
      </c>
      <c r="G7" s="7">
        <f>-108000</f>
        <v>-108000</v>
      </c>
      <c r="H7" s="7">
        <f>-68404</f>
        <v>-68404</v>
      </c>
      <c r="I7" s="5">
        <f>H7+G7+F7+E7</f>
        <v>-516814</v>
      </c>
      <c r="J7" s="40">
        <f>D7-I7</f>
        <v>2125885</v>
      </c>
    </row>
    <row r="8" spans="1:10">
      <c r="D8" s="20"/>
      <c r="E8" s="7"/>
      <c r="F8" s="7"/>
      <c r="G8" s="7"/>
      <c r="J8" s="12"/>
    </row>
    <row r="9" spans="1:10" s="1" customFormat="1" ht="42.75">
      <c r="D9" s="21"/>
      <c r="E9" s="8" t="s">
        <v>10</v>
      </c>
      <c r="F9" s="8" t="s">
        <v>11</v>
      </c>
      <c r="G9" s="8" t="s">
        <v>12</v>
      </c>
      <c r="H9" s="1" t="s">
        <v>13</v>
      </c>
      <c r="I9" s="1" t="s">
        <v>14</v>
      </c>
      <c r="J9" s="13"/>
    </row>
    <row r="10" spans="1:10" ht="15.4">
      <c r="A10" s="4" t="s">
        <v>15</v>
      </c>
      <c r="D10" s="43">
        <v>426061</v>
      </c>
      <c r="E10" s="7">
        <f>36000-51000+4000-1000</f>
        <v>-12000</v>
      </c>
      <c r="F10" s="7">
        <f>100000-108000-1600</f>
        <v>-9600</v>
      </c>
      <c r="G10" s="7">
        <f>10200-21800</f>
        <v>-11600</v>
      </c>
      <c r="H10" s="7">
        <f>42100-57600-14600-20000</f>
        <v>-50100</v>
      </c>
      <c r="I10" s="5">
        <f>H10+G10+F10+E10</f>
        <v>-83300</v>
      </c>
      <c r="J10" s="40">
        <f>D10-I10</f>
        <v>509361</v>
      </c>
    </row>
    <row r="11" spans="1:10" ht="15" customHeight="1">
      <c r="D11" s="20"/>
      <c r="E11" s="7"/>
      <c r="F11" s="7"/>
      <c r="G11" s="7"/>
      <c r="J11" s="12"/>
    </row>
    <row r="12" spans="1:10" s="1" customFormat="1" ht="28.5">
      <c r="D12" s="21"/>
      <c r="E12" s="8" t="s">
        <v>16</v>
      </c>
      <c r="F12" s="8" t="s">
        <v>17</v>
      </c>
      <c r="G12" s="8" t="s">
        <v>18</v>
      </c>
      <c r="H12" s="8" t="s">
        <v>19</v>
      </c>
      <c r="I12" s="8" t="s">
        <v>14</v>
      </c>
      <c r="J12" s="13"/>
    </row>
    <row r="13" spans="1:10" ht="15.4">
      <c r="A13" s="4" t="s">
        <v>20</v>
      </c>
      <c r="D13" s="43">
        <v>27333</v>
      </c>
      <c r="E13" s="7">
        <v>-6500</v>
      </c>
      <c r="F13" s="7">
        <f>-20833</f>
        <v>-20833</v>
      </c>
      <c r="G13" s="7">
        <f>-41736</f>
        <v>-41736</v>
      </c>
      <c r="H13" s="7">
        <f>-25000</f>
        <v>-25000</v>
      </c>
      <c r="I13" s="7">
        <f>H13+G13+F13+E13</f>
        <v>-94069</v>
      </c>
      <c r="J13" s="41">
        <f>D13-I13</f>
        <v>121402</v>
      </c>
    </row>
    <row r="14" spans="1:10" ht="12.75" customHeight="1">
      <c r="D14" s="20"/>
      <c r="J14" s="12"/>
    </row>
    <row r="15" spans="1:10" ht="15.4">
      <c r="A15" s="4" t="s">
        <v>21</v>
      </c>
      <c r="D15" s="44">
        <f>D13+D10+D7</f>
        <v>2062465</v>
      </c>
      <c r="J15" s="40">
        <f>J13+J10+J7</f>
        <v>2756648</v>
      </c>
    </row>
    <row r="16" spans="1:10">
      <c r="D16" s="19"/>
      <c r="J16" s="12"/>
    </row>
    <row r="17" spans="1:11" ht="15.4">
      <c r="A17" s="4" t="s">
        <v>22</v>
      </c>
      <c r="D17" s="43">
        <f>270973</f>
        <v>270973</v>
      </c>
      <c r="I17" s="5">
        <f>D17-J17</f>
        <v>-216027</v>
      </c>
      <c r="J17" s="41">
        <v>487000</v>
      </c>
    </row>
    <row r="18" spans="1:11">
      <c r="D18" s="19"/>
      <c r="J18" s="12"/>
    </row>
    <row r="19" spans="1:11" ht="15.75" thickBot="1">
      <c r="A19" s="4" t="s">
        <v>23</v>
      </c>
      <c r="D19" s="44">
        <f>D17+D15</f>
        <v>2333438</v>
      </c>
      <c r="J19" s="42">
        <f>J17+J15</f>
        <v>3243648</v>
      </c>
      <c r="K19" s="9"/>
    </row>
    <row r="20" spans="1:11" ht="15.75" thickTop="1">
      <c r="A20" s="4"/>
      <c r="D20" s="44"/>
      <c r="J20" s="71"/>
      <c r="K20" s="9"/>
    </row>
    <row r="21" spans="1:11">
      <c r="A21" s="4" t="s">
        <v>24</v>
      </c>
      <c r="D21" s="5"/>
      <c r="I21" s="18">
        <f>D19-J19</f>
        <v>-910210</v>
      </c>
      <c r="J21" s="5">
        <f>D19-J19</f>
        <v>-910210</v>
      </c>
      <c r="K21" s="9"/>
    </row>
    <row r="22" spans="1:11">
      <c r="A22" s="4"/>
      <c r="D22" s="5"/>
      <c r="I22" s="5"/>
      <c r="J22" s="5"/>
      <c r="K22" s="9"/>
    </row>
    <row r="23" spans="1:11">
      <c r="A23" s="72" t="s">
        <v>25</v>
      </c>
      <c r="B23" s="73"/>
      <c r="C23" s="73"/>
      <c r="D23" s="73"/>
      <c r="E23" s="73"/>
      <c r="F23" s="73"/>
      <c r="G23" s="73"/>
      <c r="H23" s="73"/>
      <c r="I23" s="73"/>
      <c r="J23" s="73"/>
      <c r="K23" s="9"/>
    </row>
    <row r="24" spans="1:11">
      <c r="A24" s="73"/>
      <c r="B24" s="73"/>
      <c r="C24" s="73"/>
      <c r="D24" s="73"/>
      <c r="E24" s="73"/>
      <c r="F24" s="73"/>
      <c r="G24" s="73"/>
      <c r="H24" s="73"/>
      <c r="I24" s="73"/>
      <c r="J24" s="73"/>
      <c r="K24" s="9"/>
    </row>
    <row r="25" spans="1:11">
      <c r="A25" s="73"/>
      <c r="B25" s="73"/>
      <c r="C25" s="73"/>
      <c r="D25" s="73"/>
      <c r="E25" s="73"/>
      <c r="F25" s="73"/>
      <c r="G25" s="73"/>
      <c r="H25" s="73"/>
      <c r="I25" s="73"/>
      <c r="J25" s="73"/>
    </row>
    <row r="26" spans="1:11" s="1" customFormat="1">
      <c r="A26" s="73"/>
      <c r="B26" s="73"/>
      <c r="C26" s="73"/>
      <c r="D26" s="73"/>
      <c r="E26" s="73"/>
      <c r="F26" s="73"/>
      <c r="G26" s="73"/>
      <c r="H26" s="73"/>
      <c r="I26" s="73"/>
      <c r="J26" s="73"/>
    </row>
    <row r="27" spans="1:11">
      <c r="A27" s="73"/>
      <c r="B27" s="73"/>
      <c r="C27" s="73"/>
      <c r="D27" s="73"/>
      <c r="E27" s="73"/>
      <c r="F27" s="73"/>
      <c r="G27" s="73"/>
      <c r="H27" s="73"/>
      <c r="I27" s="73"/>
      <c r="J27" s="73"/>
    </row>
    <row r="28" spans="1:11">
      <c r="A28" s="73"/>
      <c r="B28" s="73"/>
      <c r="C28" s="73"/>
      <c r="D28" s="73"/>
      <c r="E28" s="73"/>
      <c r="F28" s="73"/>
      <c r="G28" s="73"/>
      <c r="H28" s="73"/>
      <c r="I28" s="73"/>
      <c r="J28" s="73"/>
    </row>
    <row r="29" spans="1:11" ht="17.25" customHeight="1">
      <c r="A29" s="73"/>
      <c r="B29" s="73"/>
      <c r="C29" s="73"/>
      <c r="D29" s="73"/>
      <c r="E29" s="73"/>
      <c r="F29" s="73"/>
      <c r="G29" s="73"/>
      <c r="H29" s="73"/>
      <c r="I29" s="73"/>
      <c r="J29" s="73"/>
    </row>
    <row r="34" ht="18" customHeight="1"/>
  </sheetData>
  <mergeCells count="3">
    <mergeCell ref="A23:J29"/>
    <mergeCell ref="A2:J4"/>
    <mergeCell ref="A1:J1"/>
  </mergeCells>
  <pageMargins left="0.25" right="0.25" top="0.75" bottom="0.7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3C1BE-46C4-458F-9AA9-65757B52773F}">
  <dimension ref="A1:K11"/>
  <sheetViews>
    <sheetView workbookViewId="0">
      <selection activeCell="I15" sqref="I15"/>
    </sheetView>
  </sheetViews>
  <sheetFormatPr defaultRowHeight="14.25"/>
  <cols>
    <col min="1" max="1" width="5.85546875" style="1" customWidth="1"/>
    <col min="2" max="2" width="6" customWidth="1"/>
    <col min="3" max="3" width="15" customWidth="1"/>
    <col min="4" max="4" width="11.42578125" customWidth="1"/>
    <col min="5" max="6" width="14.42578125" customWidth="1"/>
    <col min="7" max="7" width="12.7109375" customWidth="1"/>
    <col min="8" max="8" width="16.5703125" customWidth="1"/>
    <col min="9" max="9" width="16.7109375" customWidth="1"/>
    <col min="10" max="10" width="14" customWidth="1"/>
    <col min="11" max="11" width="6.5703125" customWidth="1"/>
  </cols>
  <sheetData>
    <row r="1" spans="1:11" ht="42.75" customHeight="1" thickBot="1">
      <c r="A1" s="91" t="s">
        <v>26</v>
      </c>
      <c r="B1" s="91"/>
    </row>
    <row r="2" spans="1:11" ht="14.65" thickBot="1">
      <c r="A2" s="88" t="s">
        <v>27</v>
      </c>
      <c r="B2" s="89"/>
      <c r="C2" s="89"/>
      <c r="D2" s="89"/>
      <c r="E2" s="89"/>
      <c r="F2" s="89"/>
      <c r="G2" s="89"/>
      <c r="H2" s="89"/>
      <c r="I2" s="89"/>
      <c r="J2" s="89"/>
      <c r="K2" s="90"/>
    </row>
    <row r="3" spans="1:11" s="1" customFormat="1" ht="42.75">
      <c r="A3" s="54"/>
      <c r="B3" s="55"/>
      <c r="C3" s="55" t="s">
        <v>28</v>
      </c>
      <c r="D3" s="55" t="s">
        <v>29</v>
      </c>
      <c r="E3" s="55" t="s">
        <v>30</v>
      </c>
      <c r="F3" s="55" t="s">
        <v>31</v>
      </c>
      <c r="G3" s="55" t="s">
        <v>17</v>
      </c>
      <c r="H3" s="55" t="s">
        <v>32</v>
      </c>
      <c r="I3" s="70" t="s">
        <v>33</v>
      </c>
      <c r="J3" s="56" t="s">
        <v>34</v>
      </c>
      <c r="K3" s="57" t="s">
        <v>35</v>
      </c>
    </row>
    <row r="4" spans="1:11" ht="28.5">
      <c r="A4" s="45" t="s">
        <v>36</v>
      </c>
      <c r="B4" s="46" t="s">
        <v>37</v>
      </c>
      <c r="C4" s="47">
        <v>300000</v>
      </c>
      <c r="D4" s="47">
        <v>41736</v>
      </c>
      <c r="E4" s="47">
        <f>'20yr PLAN'!F14</f>
        <v>80000</v>
      </c>
      <c r="F4" s="47">
        <f>'20yr PLAN'!F17+'20yr PLAN'!F19+'20yr PLAN'!F20+'20yr PLAN'!F21+'20yr PLAN'!F25</f>
        <v>2375000</v>
      </c>
      <c r="G4" s="47">
        <f>'20yr PLAN'!F31+'20yr PLAN'!F32</f>
        <v>240000</v>
      </c>
      <c r="H4" s="47">
        <f>SUM(C4:G4)</f>
        <v>3036736</v>
      </c>
      <c r="I4" s="47">
        <f>H4/5</f>
        <v>607347.19999999995</v>
      </c>
      <c r="J4" s="48">
        <f>SUM(I4:I7)</f>
        <v>2081747.2</v>
      </c>
      <c r="K4" s="49">
        <v>0.316</v>
      </c>
    </row>
    <row r="5" spans="1:11" ht="28.5">
      <c r="A5" s="45" t="s">
        <v>38</v>
      </c>
      <c r="B5" s="46" t="s">
        <v>39</v>
      </c>
      <c r="C5" s="47">
        <v>500000</v>
      </c>
      <c r="D5" s="47"/>
      <c r="E5" s="47">
        <f>'20yr PLAN'!F8+'20yr PLAN'!F9+'20yr PLAN'!F10+'20yr PLAN'!F35</f>
        <v>7450000</v>
      </c>
      <c r="F5" s="47">
        <f>'20yr PLAN'!F22+'20yr PLAN'!F26</f>
        <v>4075000</v>
      </c>
      <c r="G5" s="50"/>
      <c r="H5" s="47">
        <f>SUM(C5:G5)</f>
        <v>12025000</v>
      </c>
      <c r="I5" s="47">
        <f>H5/10</f>
        <v>1202500</v>
      </c>
      <c r="J5" s="48">
        <f>SUM(I5:I7)</f>
        <v>1474400</v>
      </c>
      <c r="K5" s="51">
        <v>0.224</v>
      </c>
    </row>
    <row r="6" spans="1:11" ht="28.5">
      <c r="A6" s="45" t="s">
        <v>40</v>
      </c>
      <c r="B6" s="46" t="s">
        <v>41</v>
      </c>
      <c r="C6" s="47">
        <v>750000</v>
      </c>
      <c r="D6" s="50"/>
      <c r="E6" s="47">
        <f>'20yr PLAN'!F11+'20yr PLAN'!F13</f>
        <v>700000</v>
      </c>
      <c r="F6" s="47">
        <f>'20yr PLAN'!F18+'20yr PLAN'!F23+'20yr PLAN'!F24+'20yr PLAN'!F27</f>
        <v>1716000</v>
      </c>
      <c r="G6" s="47">
        <f>'20yr PLAN'!F30</f>
        <v>500000</v>
      </c>
      <c r="H6" s="65">
        <f>SUM(C6:G6)</f>
        <v>3666000</v>
      </c>
      <c r="I6" s="47">
        <f>H6/15</f>
        <v>244400</v>
      </c>
      <c r="J6" s="48">
        <f>SUM(I6:I7)</f>
        <v>271900</v>
      </c>
      <c r="K6" s="49">
        <v>4.1000000000000002E-2</v>
      </c>
    </row>
    <row r="7" spans="1:11" ht="28.5">
      <c r="A7" s="45" t="s">
        <v>42</v>
      </c>
      <c r="B7" s="46" t="s">
        <v>43</v>
      </c>
      <c r="C7" s="47"/>
      <c r="D7" s="50"/>
      <c r="E7" s="47">
        <f>'20yr PLAN'!F12</f>
        <v>550000</v>
      </c>
      <c r="F7" s="47"/>
      <c r="G7" s="50"/>
      <c r="H7" s="47">
        <f>F7+E7</f>
        <v>550000</v>
      </c>
      <c r="I7" s="47">
        <f>H7/20</f>
        <v>27500</v>
      </c>
      <c r="J7" s="48">
        <f>SUM(I7)</f>
        <v>27500</v>
      </c>
      <c r="K7" s="52" t="s">
        <v>44</v>
      </c>
    </row>
    <row r="8" spans="1:11" ht="33" customHeight="1">
      <c r="A8" s="84" t="s">
        <v>32</v>
      </c>
      <c r="B8" s="85"/>
      <c r="C8" s="48">
        <f t="shared" ref="C8:H8" si="0">SUM(C4:C7)</f>
        <v>1550000</v>
      </c>
      <c r="D8" s="48">
        <f t="shared" si="0"/>
        <v>41736</v>
      </c>
      <c r="E8" s="48">
        <f t="shared" si="0"/>
        <v>8780000</v>
      </c>
      <c r="F8" s="48">
        <f t="shared" si="0"/>
        <v>8166000</v>
      </c>
      <c r="G8" s="48">
        <f t="shared" si="0"/>
        <v>740000</v>
      </c>
      <c r="H8" s="58">
        <f t="shared" si="0"/>
        <v>19277736</v>
      </c>
      <c r="I8" s="47"/>
      <c r="J8" s="47">
        <f>H8/20</f>
        <v>963886.8</v>
      </c>
      <c r="K8" s="53"/>
    </row>
    <row r="9" spans="1:11" s="1" customFormat="1">
      <c r="A9" s="86" t="s">
        <v>45</v>
      </c>
      <c r="B9" s="87"/>
      <c r="C9" s="60"/>
      <c r="D9" s="60"/>
      <c r="E9" s="60"/>
      <c r="F9" s="60"/>
      <c r="G9" s="60"/>
      <c r="H9" s="60"/>
      <c r="I9" s="60"/>
      <c r="J9" s="60"/>
      <c r="K9" s="61"/>
    </row>
    <row r="10" spans="1:11" ht="27.75" customHeight="1">
      <c r="A10" s="86"/>
      <c r="B10" s="87"/>
      <c r="C10" s="58">
        <f>C8</f>
        <v>1550000</v>
      </c>
      <c r="D10" s="59"/>
      <c r="E10" s="59"/>
      <c r="F10" s="59"/>
      <c r="G10" s="59"/>
      <c r="H10" s="58">
        <f>-H8/20</f>
        <v>-963886.8</v>
      </c>
      <c r="I10" s="59"/>
      <c r="J10" s="18">
        <f>J8</f>
        <v>963886.8</v>
      </c>
      <c r="K10" s="64">
        <f>H10/6585000000*-1000</f>
        <v>0.14637612756264237</v>
      </c>
    </row>
    <row r="11" spans="1:11">
      <c r="J11" s="62" t="s">
        <v>46</v>
      </c>
      <c r="K11" s="63">
        <f>K10+0.03</f>
        <v>0.17637612756264237</v>
      </c>
    </row>
  </sheetData>
  <mergeCells count="4">
    <mergeCell ref="A8:B8"/>
    <mergeCell ref="A9:B10"/>
    <mergeCell ref="A2:K2"/>
    <mergeCell ref="A1:B1"/>
  </mergeCells>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0DDCF-60EB-4CE9-B6DC-99EE0BAEBE8B}">
  <sheetPr>
    <pageSetUpPr fitToPage="1"/>
  </sheetPr>
  <dimension ref="A1:I37"/>
  <sheetViews>
    <sheetView topLeftCell="A6" workbookViewId="0">
      <selection activeCell="N24" sqref="N24"/>
    </sheetView>
  </sheetViews>
  <sheetFormatPr defaultRowHeight="15" customHeight="1"/>
  <cols>
    <col min="2" max="2" width="27.5703125" customWidth="1"/>
    <col min="3" max="3" width="16.140625" customWidth="1"/>
    <col min="5" max="5" width="12.85546875" customWidth="1"/>
    <col min="6" max="6" width="16.28515625" customWidth="1"/>
  </cols>
  <sheetData>
    <row r="1" spans="1:9" ht="23.25">
      <c r="A1" s="92" t="s">
        <v>47</v>
      </c>
      <c r="B1" s="92"/>
      <c r="C1" s="92"/>
      <c r="D1" s="92"/>
      <c r="E1" s="92"/>
      <c r="F1" s="92"/>
      <c r="G1" s="92"/>
      <c r="H1" s="92"/>
      <c r="I1" s="92"/>
    </row>
    <row r="2" spans="1:9" s="67" customFormat="1" ht="15.75">
      <c r="A2" s="66"/>
      <c r="B2" s="66"/>
      <c r="C2" s="66"/>
      <c r="D2" s="93" t="s">
        <v>48</v>
      </c>
      <c r="E2" s="93"/>
      <c r="F2" s="66" t="s">
        <v>49</v>
      </c>
      <c r="G2" s="66"/>
      <c r="H2" s="66"/>
      <c r="I2" s="66"/>
    </row>
    <row r="3" spans="1:9" s="67" customFormat="1" ht="15.75">
      <c r="A3" s="66"/>
      <c r="B3" s="66"/>
      <c r="C3" s="66"/>
      <c r="D3" s="66"/>
      <c r="E3" s="68" t="s">
        <v>50</v>
      </c>
      <c r="F3" s="66"/>
      <c r="G3" s="66"/>
      <c r="H3" s="66"/>
      <c r="I3" s="66"/>
    </row>
    <row r="4" spans="1:9" s="67" customFormat="1" ht="15.75">
      <c r="A4" s="66"/>
      <c r="B4" s="66"/>
      <c r="C4" s="66"/>
      <c r="D4" s="66"/>
      <c r="E4" s="68" t="s">
        <v>51</v>
      </c>
      <c r="F4" s="66"/>
      <c r="G4" s="66"/>
      <c r="H4" s="66"/>
      <c r="I4" s="66"/>
    </row>
    <row r="5" spans="1:9" s="67" customFormat="1" ht="15.75">
      <c r="A5" s="66"/>
      <c r="B5" s="66"/>
      <c r="C5" s="66"/>
      <c r="D5" s="66"/>
      <c r="E5" s="68" t="s">
        <v>52</v>
      </c>
      <c r="F5" s="66"/>
      <c r="G5" s="66"/>
      <c r="H5" s="66"/>
      <c r="I5" s="66"/>
    </row>
    <row r="6" spans="1:9" s="67" customFormat="1" ht="15.75">
      <c r="A6" s="66"/>
      <c r="B6" s="66"/>
      <c r="C6" s="66"/>
      <c r="D6" s="66"/>
      <c r="E6" s="68" t="s">
        <v>53</v>
      </c>
      <c r="F6" s="66"/>
      <c r="G6" s="66"/>
      <c r="H6" s="66"/>
      <c r="I6" s="66"/>
    </row>
    <row r="7" spans="1:9" ht="17.25" customHeight="1">
      <c r="A7" t="s">
        <v>54</v>
      </c>
      <c r="F7" s="3"/>
      <c r="G7" s="2"/>
    </row>
    <row r="8" spans="1:9" ht="16.5" customHeight="1">
      <c r="B8" t="s">
        <v>55</v>
      </c>
      <c r="E8" s="69">
        <v>2</v>
      </c>
      <c r="F8" s="2">
        <v>450000</v>
      </c>
      <c r="G8" s="2"/>
    </row>
    <row r="9" spans="1:9" ht="14.25">
      <c r="B9" t="s">
        <v>56</v>
      </c>
      <c r="E9" s="16">
        <v>2</v>
      </c>
      <c r="F9" s="2">
        <v>2500000</v>
      </c>
      <c r="G9" s="2"/>
    </row>
    <row r="10" spans="1:9" ht="14.25">
      <c r="B10" t="s">
        <v>57</v>
      </c>
      <c r="E10" s="16">
        <v>2</v>
      </c>
      <c r="F10" s="2">
        <v>1500000</v>
      </c>
      <c r="G10" s="3"/>
    </row>
    <row r="11" spans="1:9" ht="14.25">
      <c r="B11" t="s">
        <v>58</v>
      </c>
      <c r="E11" s="16">
        <v>3</v>
      </c>
      <c r="F11" s="2">
        <v>550000</v>
      </c>
      <c r="G11" s="3"/>
    </row>
    <row r="12" spans="1:9" ht="14.25">
      <c r="B12" t="s">
        <v>59</v>
      </c>
      <c r="E12" s="16">
        <v>4</v>
      </c>
      <c r="F12" s="2">
        <v>550000</v>
      </c>
      <c r="G12" s="3"/>
    </row>
    <row r="13" spans="1:9" ht="14.25">
      <c r="B13" t="s">
        <v>60</v>
      </c>
      <c r="E13" s="16">
        <v>3</v>
      </c>
      <c r="F13" s="2">
        <v>150000</v>
      </c>
      <c r="G13" s="3"/>
    </row>
    <row r="14" spans="1:9" ht="14.25">
      <c r="B14" s="78" t="s">
        <v>61</v>
      </c>
      <c r="C14" s="78"/>
      <c r="D14" s="78"/>
      <c r="E14" s="16">
        <v>1</v>
      </c>
      <c r="F14" s="2">
        <v>80000</v>
      </c>
      <c r="G14" s="3"/>
    </row>
    <row r="15" spans="1:9" ht="14.25">
      <c r="E15" s="16"/>
      <c r="F15" s="2"/>
      <c r="G15" s="3"/>
    </row>
    <row r="16" spans="1:9" ht="28.5" customHeight="1">
      <c r="A16" t="s">
        <v>31</v>
      </c>
      <c r="E16" s="16"/>
      <c r="F16" s="3"/>
      <c r="G16" s="3"/>
    </row>
    <row r="17" spans="1:7" ht="14.25">
      <c r="B17" t="s">
        <v>62</v>
      </c>
      <c r="E17" s="16">
        <v>1</v>
      </c>
      <c r="F17" s="2">
        <v>1850000</v>
      </c>
      <c r="G17" s="3"/>
    </row>
    <row r="18" spans="1:7" ht="14.25">
      <c r="B18" t="s">
        <v>63</v>
      </c>
      <c r="E18" s="16">
        <v>3</v>
      </c>
      <c r="F18" s="2">
        <v>1100000</v>
      </c>
      <c r="G18" s="3"/>
    </row>
    <row r="19" spans="1:7" ht="14.25">
      <c r="B19" s="78" t="s">
        <v>64</v>
      </c>
      <c r="C19" s="78"/>
      <c r="D19" s="78"/>
      <c r="E19" s="16">
        <v>1</v>
      </c>
      <c r="F19" s="2">
        <v>150000</v>
      </c>
      <c r="G19" s="3"/>
    </row>
    <row r="20" spans="1:7" ht="14.25">
      <c r="B20" t="s">
        <v>65</v>
      </c>
      <c r="E20" s="16">
        <v>1</v>
      </c>
      <c r="F20" s="2">
        <v>150000</v>
      </c>
      <c r="G20" s="3"/>
    </row>
    <row r="21" spans="1:7" ht="29.25" customHeight="1">
      <c r="B21" t="s">
        <v>65</v>
      </c>
      <c r="E21" s="16">
        <v>1</v>
      </c>
      <c r="F21" s="2">
        <v>150000</v>
      </c>
      <c r="G21" s="3"/>
    </row>
    <row r="22" spans="1:7" ht="14.25">
      <c r="B22" t="s">
        <v>66</v>
      </c>
      <c r="E22" s="16">
        <v>2</v>
      </c>
      <c r="F22" s="2">
        <v>4000000</v>
      </c>
      <c r="G22" s="3"/>
    </row>
    <row r="23" spans="1:7" ht="14.25">
      <c r="B23" t="s">
        <v>67</v>
      </c>
      <c r="E23" s="16">
        <v>3</v>
      </c>
      <c r="F23" s="2">
        <v>300000</v>
      </c>
      <c r="G23" s="3"/>
    </row>
    <row r="24" spans="1:7" ht="14.25">
      <c r="B24" s="78" t="s">
        <v>68</v>
      </c>
      <c r="C24" s="78"/>
      <c r="D24" s="78"/>
      <c r="E24" s="16">
        <v>3</v>
      </c>
      <c r="F24" s="2">
        <v>166000</v>
      </c>
      <c r="G24" s="3"/>
    </row>
    <row r="25" spans="1:7" ht="14.25">
      <c r="B25" t="s">
        <v>69</v>
      </c>
      <c r="E25" s="16">
        <v>1</v>
      </c>
      <c r="F25" s="2">
        <v>75000</v>
      </c>
      <c r="G25" s="3"/>
    </row>
    <row r="26" spans="1:7" ht="28.5" customHeight="1">
      <c r="B26" t="s">
        <v>69</v>
      </c>
      <c r="E26" s="16">
        <v>2</v>
      </c>
      <c r="F26" s="2">
        <v>75000</v>
      </c>
      <c r="G26" s="3"/>
    </row>
    <row r="27" spans="1:7" ht="14.25">
      <c r="B27" t="s">
        <v>65</v>
      </c>
      <c r="E27" s="16">
        <v>3</v>
      </c>
      <c r="F27" s="2">
        <v>150000</v>
      </c>
      <c r="G27" s="3"/>
    </row>
    <row r="28" spans="1:7" ht="14.25">
      <c r="E28" s="16"/>
      <c r="F28" s="2"/>
      <c r="G28" s="3"/>
    </row>
    <row r="29" spans="1:7" ht="14.25">
      <c r="A29" t="s">
        <v>17</v>
      </c>
      <c r="E29" s="16"/>
      <c r="F29" s="2"/>
      <c r="G29" s="3"/>
    </row>
    <row r="30" spans="1:7" ht="14.25">
      <c r="B30" t="s">
        <v>70</v>
      </c>
      <c r="E30" s="16">
        <v>3</v>
      </c>
      <c r="F30" s="2">
        <v>500000</v>
      </c>
      <c r="G30" s="3"/>
    </row>
    <row r="31" spans="1:7" ht="14.25">
      <c r="B31" t="s">
        <v>71</v>
      </c>
      <c r="E31" s="16">
        <v>1</v>
      </c>
      <c r="F31" s="2">
        <v>200000</v>
      </c>
      <c r="G31" s="3"/>
    </row>
    <row r="32" spans="1:7" ht="14.25">
      <c r="B32" t="s">
        <v>72</v>
      </c>
      <c r="E32" s="16">
        <v>1</v>
      </c>
      <c r="F32" s="2">
        <v>40000</v>
      </c>
      <c r="G32" s="3"/>
    </row>
    <row r="33" spans="1:7" ht="14.25">
      <c r="E33" s="16"/>
      <c r="F33" s="2"/>
      <c r="G33" s="3"/>
    </row>
    <row r="34" spans="1:7" ht="14.25">
      <c r="A34" t="s">
        <v>73</v>
      </c>
      <c r="E34" s="16"/>
      <c r="F34" s="2"/>
      <c r="G34" s="3"/>
    </row>
    <row r="35" spans="1:7" ht="18.75" customHeight="1">
      <c r="B35" s="72" t="s">
        <v>74</v>
      </c>
      <c r="C35" s="72"/>
      <c r="D35" s="72"/>
      <c r="E35" s="16">
        <v>2</v>
      </c>
      <c r="F35" s="2">
        <v>3000000</v>
      </c>
      <c r="G35" s="3"/>
    </row>
    <row r="36" spans="1:7" ht="14.25">
      <c r="F36" s="3"/>
      <c r="G36" s="3"/>
    </row>
    <row r="37" spans="1:7" ht="14.25"/>
  </sheetData>
  <mergeCells count="6">
    <mergeCell ref="A1:I1"/>
    <mergeCell ref="B14:D14"/>
    <mergeCell ref="B19:D19"/>
    <mergeCell ref="B24:D24"/>
    <mergeCell ref="B35:D35"/>
    <mergeCell ref="D2:E2"/>
  </mergeCells>
  <pageMargins left="0.25" right="0.25" top="0.75" bottom="0.75" header="0.3" footer="0.3"/>
  <pageSetup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52FB0-7743-42DD-94FC-83A77A68E7AB}">
  <dimension ref="A1:H46"/>
  <sheetViews>
    <sheetView workbookViewId="0">
      <selection activeCell="G24" sqref="G24"/>
    </sheetView>
  </sheetViews>
  <sheetFormatPr defaultRowHeight="14.25"/>
  <cols>
    <col min="1" max="1" width="4.85546875" customWidth="1"/>
    <col min="2" max="2" width="17.140625" bestFit="1" customWidth="1"/>
    <col min="3" max="3" width="7.42578125" customWidth="1"/>
    <col min="4" max="4" width="12.42578125" customWidth="1"/>
    <col min="5" max="5" width="5.140625" customWidth="1"/>
    <col min="6" max="6" width="17.7109375" customWidth="1"/>
    <col min="7" max="7" width="7.7109375" customWidth="1"/>
    <col min="8" max="8" width="14.85546875" customWidth="1"/>
  </cols>
  <sheetData>
    <row r="1" spans="1:8">
      <c r="A1" s="94" t="s">
        <v>75</v>
      </c>
      <c r="B1" s="94"/>
      <c r="C1" s="94"/>
      <c r="D1" s="94"/>
    </row>
    <row r="2" spans="1:8" ht="9" customHeight="1">
      <c r="A2" s="94"/>
      <c r="B2" s="94"/>
      <c r="C2" s="94"/>
      <c r="D2" s="94"/>
    </row>
    <row r="3" spans="1:8" hidden="1">
      <c r="A3" s="94"/>
      <c r="B3" s="94"/>
      <c r="C3" s="94"/>
      <c r="D3" s="94"/>
    </row>
    <row r="4" spans="1:8">
      <c r="A4" s="22" t="s">
        <v>76</v>
      </c>
      <c r="B4" s="22" t="s">
        <v>77</v>
      </c>
      <c r="C4" s="22" t="s">
        <v>78</v>
      </c>
      <c r="D4" s="22" t="s">
        <v>79</v>
      </c>
      <c r="E4" s="22" t="s">
        <v>76</v>
      </c>
      <c r="F4" s="22" t="s">
        <v>77</v>
      </c>
      <c r="G4" s="22" t="s">
        <v>78</v>
      </c>
      <c r="H4" s="22" t="s">
        <v>79</v>
      </c>
    </row>
    <row r="5" spans="1:8">
      <c r="A5" s="23">
        <v>1963</v>
      </c>
      <c r="B5" s="24">
        <v>1415933</v>
      </c>
      <c r="C5" s="24">
        <v>1.42</v>
      </c>
      <c r="D5" s="25">
        <v>2010</v>
      </c>
      <c r="E5" s="23">
        <v>2005</v>
      </c>
      <c r="F5" s="34"/>
      <c r="G5" s="35">
        <v>0.60036999999999996</v>
      </c>
      <c r="H5" s="36"/>
    </row>
    <row r="6" spans="1:8">
      <c r="A6" s="26">
        <v>1964</v>
      </c>
      <c r="C6" s="7">
        <v>1.89</v>
      </c>
      <c r="D6" s="27"/>
      <c r="E6" s="26">
        <v>2006</v>
      </c>
      <c r="G6" s="37">
        <v>0.45256999999999997</v>
      </c>
      <c r="H6" s="29"/>
    </row>
    <row r="7" spans="1:8">
      <c r="A7" s="26">
        <v>1965</v>
      </c>
      <c r="C7" s="7">
        <v>1.79</v>
      </c>
      <c r="D7" s="27"/>
      <c r="E7" s="26">
        <v>2007</v>
      </c>
      <c r="G7" s="37">
        <v>0.42455999999999999</v>
      </c>
      <c r="H7" s="29"/>
    </row>
    <row r="8" spans="1:8">
      <c r="A8" s="26">
        <v>1966</v>
      </c>
      <c r="C8" s="7">
        <v>1.24</v>
      </c>
      <c r="D8" s="27"/>
      <c r="E8" s="26">
        <v>2008</v>
      </c>
      <c r="G8" s="37">
        <v>0.42835000000000001</v>
      </c>
      <c r="H8" s="29"/>
    </row>
    <row r="9" spans="1:8">
      <c r="A9" s="26">
        <v>1967</v>
      </c>
      <c r="C9" s="7">
        <v>2</v>
      </c>
      <c r="D9" s="27"/>
      <c r="E9" s="26">
        <v>2009</v>
      </c>
      <c r="G9" s="37">
        <v>0.41624</v>
      </c>
      <c r="H9" s="29"/>
    </row>
    <row r="10" spans="1:8">
      <c r="A10" s="26">
        <v>1968</v>
      </c>
      <c r="C10" s="7">
        <v>0.86</v>
      </c>
      <c r="D10" s="27"/>
      <c r="E10" s="26">
        <v>2010</v>
      </c>
      <c r="G10" s="37">
        <f>0.3591411089+0.07371</f>
        <v>0.4328511089</v>
      </c>
      <c r="H10" s="29"/>
    </row>
    <row r="11" spans="1:8">
      <c r="A11" s="26">
        <v>1969</v>
      </c>
      <c r="C11" s="7">
        <v>0.83</v>
      </c>
      <c r="D11" s="27"/>
      <c r="E11" s="26">
        <v>2011</v>
      </c>
      <c r="G11" s="37">
        <v>0.37850099999999998</v>
      </c>
      <c r="H11" s="29"/>
    </row>
    <row r="12" spans="1:8">
      <c r="A12" s="26">
        <v>1970</v>
      </c>
      <c r="C12" s="7">
        <v>0.32</v>
      </c>
      <c r="D12" s="27"/>
      <c r="E12" s="26">
        <v>2012</v>
      </c>
      <c r="G12" s="37">
        <v>0.56572999999999996</v>
      </c>
      <c r="H12" s="29"/>
    </row>
    <row r="13" spans="1:8">
      <c r="A13" s="26">
        <v>1971</v>
      </c>
      <c r="C13" s="7">
        <v>0.35</v>
      </c>
      <c r="D13" s="27"/>
      <c r="E13" s="26">
        <v>2013</v>
      </c>
      <c r="F13" s="7">
        <v>2180835785</v>
      </c>
      <c r="G13" s="37">
        <v>0.56999999999999995</v>
      </c>
      <c r="H13" s="27">
        <v>1233759</v>
      </c>
    </row>
    <row r="14" spans="1:8">
      <c r="A14" s="26">
        <v>1972</v>
      </c>
      <c r="C14" s="7">
        <v>1</v>
      </c>
      <c r="D14" s="27"/>
      <c r="E14" s="26">
        <v>2014</v>
      </c>
      <c r="G14" s="37">
        <v>0.59189999999999998</v>
      </c>
      <c r="H14" s="29"/>
    </row>
    <row r="15" spans="1:8">
      <c r="A15" s="26">
        <v>1973</v>
      </c>
      <c r="B15" s="7">
        <v>31917717</v>
      </c>
      <c r="C15" s="7">
        <v>0.76</v>
      </c>
      <c r="D15" s="27">
        <v>24257</v>
      </c>
      <c r="E15" s="26">
        <v>2015</v>
      </c>
      <c r="G15" s="37">
        <v>0.58579999999999999</v>
      </c>
      <c r="H15" s="29"/>
    </row>
    <row r="16" spans="1:8">
      <c r="A16" s="26">
        <v>1974</v>
      </c>
      <c r="C16" s="28">
        <v>0.41019</v>
      </c>
      <c r="D16" s="27"/>
      <c r="E16" s="26">
        <v>2016</v>
      </c>
      <c r="G16" s="37">
        <v>0.59164000000000005</v>
      </c>
      <c r="H16" s="29"/>
    </row>
    <row r="17" spans="1:8">
      <c r="A17" s="26">
        <v>1975</v>
      </c>
      <c r="C17" s="28">
        <v>0.43836000000000003</v>
      </c>
      <c r="D17" s="27"/>
      <c r="E17" s="26">
        <v>2017</v>
      </c>
      <c r="G17" s="37">
        <v>0.54857</v>
      </c>
      <c r="H17" s="29"/>
    </row>
    <row r="18" spans="1:8">
      <c r="A18" s="26">
        <v>1976</v>
      </c>
      <c r="C18" s="28">
        <v>0.75090000000000001</v>
      </c>
      <c r="D18" s="27"/>
      <c r="E18" s="26">
        <v>2018</v>
      </c>
      <c r="G18" s="37">
        <v>0.51105999999999996</v>
      </c>
      <c r="H18" s="29"/>
    </row>
    <row r="19" spans="1:8">
      <c r="A19" s="26">
        <v>1977</v>
      </c>
      <c r="C19" s="28">
        <v>0.41220000000000001</v>
      </c>
      <c r="D19" s="27"/>
      <c r="E19" s="26">
        <v>2019</v>
      </c>
      <c r="G19" s="37">
        <v>0.47688000000000003</v>
      </c>
      <c r="H19" s="29"/>
    </row>
    <row r="20" spans="1:8">
      <c r="A20" s="26">
        <v>1978</v>
      </c>
      <c r="C20" s="28">
        <v>0.441</v>
      </c>
      <c r="D20" s="29"/>
      <c r="E20" s="26">
        <v>2020</v>
      </c>
      <c r="G20" s="37">
        <v>0.44440000000000002</v>
      </c>
      <c r="H20" s="29"/>
    </row>
    <row r="21" spans="1:8">
      <c r="A21" s="26">
        <v>1979</v>
      </c>
      <c r="C21" s="28">
        <v>0.43659999999999999</v>
      </c>
      <c r="D21" s="29"/>
      <c r="E21" s="26">
        <v>2021</v>
      </c>
      <c r="G21" s="37">
        <v>0.41883999999999999</v>
      </c>
      <c r="H21" s="29"/>
    </row>
    <row r="22" spans="1:8">
      <c r="A22" s="26">
        <v>1980</v>
      </c>
      <c r="C22" s="28">
        <f>0.2625+0.1961</f>
        <v>0.45860000000000001</v>
      </c>
      <c r="D22" s="29"/>
      <c r="E22" s="26">
        <v>2022</v>
      </c>
      <c r="G22" s="37">
        <v>0.42</v>
      </c>
      <c r="H22" s="29"/>
    </row>
    <row r="23" spans="1:8">
      <c r="A23" s="26">
        <v>1981</v>
      </c>
      <c r="C23" s="28">
        <v>1.2070700000000001</v>
      </c>
      <c r="D23" s="29"/>
      <c r="E23" s="26">
        <v>2023</v>
      </c>
      <c r="F23" s="7">
        <v>5577964337</v>
      </c>
      <c r="G23" s="37">
        <v>0.34</v>
      </c>
      <c r="H23" s="27">
        <v>1922572</v>
      </c>
    </row>
    <row r="24" spans="1:8">
      <c r="A24" s="26">
        <v>1982</v>
      </c>
      <c r="C24" s="28">
        <v>0.81884999999999997</v>
      </c>
      <c r="D24" s="29"/>
      <c r="E24" s="30">
        <v>2024</v>
      </c>
      <c r="F24" s="31"/>
      <c r="G24" s="39">
        <v>0.29799999999999999</v>
      </c>
      <c r="H24" s="33"/>
    </row>
    <row r="25" spans="1:8">
      <c r="A25" s="26">
        <v>1983</v>
      </c>
      <c r="B25" s="7">
        <v>324299316</v>
      </c>
      <c r="C25" s="28">
        <v>0.87124000000000001</v>
      </c>
      <c r="D25" s="27">
        <v>282544</v>
      </c>
    </row>
    <row r="26" spans="1:8">
      <c r="A26" s="26">
        <v>1984</v>
      </c>
      <c r="C26" s="28">
        <v>0.92708999999999997</v>
      </c>
      <c r="D26" s="29"/>
    </row>
    <row r="27" spans="1:8">
      <c r="A27" s="26">
        <v>1985</v>
      </c>
      <c r="C27" s="28">
        <v>0.83145000000000002</v>
      </c>
      <c r="D27" s="29"/>
    </row>
    <row r="28" spans="1:8">
      <c r="A28" s="26">
        <v>1986</v>
      </c>
      <c r="C28" s="28">
        <v>0.88082000000000005</v>
      </c>
      <c r="D28" s="29"/>
    </row>
    <row r="29" spans="1:8">
      <c r="A29" s="26">
        <v>1987</v>
      </c>
      <c r="C29" s="28">
        <v>0.93567</v>
      </c>
      <c r="D29" s="29"/>
    </row>
    <row r="30" spans="1:8">
      <c r="A30" s="26">
        <v>1988</v>
      </c>
      <c r="C30" s="28">
        <v>0.97733000000000003</v>
      </c>
      <c r="D30" s="29"/>
    </row>
    <row r="31" spans="1:8">
      <c r="A31" s="26">
        <v>1989</v>
      </c>
      <c r="C31" s="28">
        <v>1.0381899999999999</v>
      </c>
      <c r="D31" s="29"/>
    </row>
    <row r="32" spans="1:8">
      <c r="A32" s="26">
        <v>1990</v>
      </c>
      <c r="C32" s="28">
        <v>1.0943099999999999</v>
      </c>
      <c r="D32" s="29"/>
    </row>
    <row r="33" spans="1:4">
      <c r="A33" s="26">
        <v>1991</v>
      </c>
      <c r="C33" s="28">
        <v>0.72585999999999995</v>
      </c>
      <c r="D33" s="29"/>
    </row>
    <row r="34" spans="1:4">
      <c r="A34" s="26">
        <v>1992</v>
      </c>
      <c r="C34" s="28">
        <v>0.91983000000000004</v>
      </c>
      <c r="D34" s="29"/>
    </row>
    <row r="35" spans="1:4">
      <c r="A35" s="26">
        <v>1993</v>
      </c>
      <c r="B35" s="7">
        <v>640616533</v>
      </c>
      <c r="C35" s="28">
        <v>0.52</v>
      </c>
      <c r="D35" s="27">
        <v>333012</v>
      </c>
    </row>
    <row r="36" spans="1:4">
      <c r="A36" s="26">
        <v>1994</v>
      </c>
      <c r="C36" s="28">
        <v>0.49391000000000002</v>
      </c>
      <c r="D36" s="29"/>
    </row>
    <row r="37" spans="1:4">
      <c r="A37" s="26">
        <v>1995</v>
      </c>
      <c r="C37" s="28">
        <v>0.46189999999999998</v>
      </c>
      <c r="D37" s="29"/>
    </row>
    <row r="38" spans="1:4">
      <c r="A38" s="26">
        <v>1996</v>
      </c>
      <c r="C38" s="28">
        <v>0.51158999999999999</v>
      </c>
      <c r="D38" s="29"/>
    </row>
    <row r="39" spans="1:4">
      <c r="A39" s="26">
        <v>1997</v>
      </c>
      <c r="C39" s="28">
        <v>0.49360999999999999</v>
      </c>
      <c r="D39" s="29"/>
    </row>
    <row r="40" spans="1:4">
      <c r="A40" s="26">
        <v>1998</v>
      </c>
      <c r="C40" s="28">
        <v>0.62075000000000002</v>
      </c>
      <c r="D40" s="29"/>
    </row>
    <row r="41" spans="1:4">
      <c r="A41" s="26">
        <v>1999</v>
      </c>
      <c r="C41" s="28">
        <v>0.84069000000000005</v>
      </c>
      <c r="D41" s="29"/>
    </row>
    <row r="42" spans="1:4">
      <c r="A42" s="26">
        <v>2000</v>
      </c>
      <c r="C42" s="28">
        <v>0.70184000000000002</v>
      </c>
      <c r="D42" s="29"/>
    </row>
    <row r="43" spans="1:4">
      <c r="A43" s="26">
        <v>2001</v>
      </c>
      <c r="C43" s="28">
        <v>0.73907</v>
      </c>
      <c r="D43" s="29"/>
    </row>
    <row r="44" spans="1:4">
      <c r="A44" s="26">
        <v>2002</v>
      </c>
      <c r="C44" s="28">
        <v>0.74378</v>
      </c>
      <c r="D44" s="29"/>
    </row>
    <row r="45" spans="1:4">
      <c r="A45" s="26">
        <v>2003</v>
      </c>
      <c r="B45" s="7">
        <v>1279190059</v>
      </c>
      <c r="C45" s="28">
        <v>0.74</v>
      </c>
      <c r="D45" s="27">
        <v>951436</v>
      </c>
    </row>
    <row r="46" spans="1:4">
      <c r="A46" s="30">
        <v>2004</v>
      </c>
      <c r="B46" s="31"/>
      <c r="C46" s="32">
        <v>0.59706999999999999</v>
      </c>
      <c r="D46" s="33"/>
    </row>
  </sheetData>
  <mergeCells count="1">
    <mergeCell ref="A1:D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B909B-841F-458D-8D8C-E46DF42D5446}">
  <sheetPr>
    <pageSetUpPr fitToPage="1"/>
  </sheetPr>
  <dimension ref="A1:C54"/>
  <sheetViews>
    <sheetView topLeftCell="A16" workbookViewId="0">
      <selection activeCell="E50" sqref="E50"/>
    </sheetView>
  </sheetViews>
  <sheetFormatPr defaultRowHeight="14.25"/>
  <cols>
    <col min="3" max="3" width="16.28515625" customWidth="1"/>
  </cols>
  <sheetData>
    <row r="1" spans="1:3" ht="14.25" customHeight="1">
      <c r="A1" s="72" t="s">
        <v>80</v>
      </c>
      <c r="B1" s="72"/>
      <c r="C1" s="72"/>
    </row>
    <row r="2" spans="1:3">
      <c r="A2" s="72"/>
      <c r="B2" s="72"/>
      <c r="C2" s="72"/>
    </row>
    <row r="3" spans="1:3">
      <c r="A3" s="16" t="s">
        <v>76</v>
      </c>
      <c r="B3" s="17" t="s">
        <v>81</v>
      </c>
      <c r="C3" s="38" t="s">
        <v>82</v>
      </c>
    </row>
    <row r="4" spans="1:3">
      <c r="A4" s="6">
        <v>2023</v>
      </c>
      <c r="B4" s="15" t="s">
        <v>83</v>
      </c>
      <c r="C4" s="10">
        <v>212514.58</v>
      </c>
    </row>
    <row r="5" spans="1:3">
      <c r="A5" s="6">
        <v>2023</v>
      </c>
      <c r="B5" s="15" t="s">
        <v>84</v>
      </c>
      <c r="C5" s="10">
        <v>117478.24</v>
      </c>
    </row>
    <row r="6" spans="1:3">
      <c r="A6" s="6">
        <v>2023</v>
      </c>
      <c r="B6" s="15" t="s">
        <v>85</v>
      </c>
      <c r="C6" s="10">
        <v>249281.14</v>
      </c>
    </row>
    <row r="7" spans="1:3">
      <c r="A7" s="6">
        <v>2023</v>
      </c>
      <c r="B7" s="15" t="s">
        <v>86</v>
      </c>
      <c r="C7" s="2">
        <v>719236.4</v>
      </c>
    </row>
    <row r="8" spans="1:3">
      <c r="A8" s="6">
        <v>2023</v>
      </c>
      <c r="B8" s="15" t="s">
        <v>87</v>
      </c>
      <c r="C8" s="2">
        <v>803812.45</v>
      </c>
    </row>
    <row r="9" spans="1:3">
      <c r="A9" s="6">
        <v>2023</v>
      </c>
      <c r="B9" s="15" t="s">
        <v>88</v>
      </c>
      <c r="C9" s="2">
        <v>645333.01</v>
      </c>
    </row>
    <row r="10" spans="1:3">
      <c r="A10" s="6">
        <v>2023</v>
      </c>
      <c r="B10" s="15" t="s">
        <v>89</v>
      </c>
      <c r="C10" s="2">
        <v>492540.1</v>
      </c>
    </row>
    <row r="11" spans="1:3">
      <c r="A11" s="6">
        <v>2023</v>
      </c>
      <c r="B11" s="15" t="s">
        <v>90</v>
      </c>
      <c r="C11" s="10">
        <v>356582.74</v>
      </c>
    </row>
    <row r="12" spans="1:3">
      <c r="A12" s="6">
        <v>2023</v>
      </c>
      <c r="B12" s="15" t="s">
        <v>91</v>
      </c>
      <c r="C12" s="10">
        <v>242709.53</v>
      </c>
    </row>
    <row r="13" spans="1:3">
      <c r="A13" s="6">
        <v>2023</v>
      </c>
      <c r="B13" s="15" t="s">
        <v>92</v>
      </c>
      <c r="C13" s="2">
        <v>607741.71</v>
      </c>
    </row>
    <row r="14" spans="1:3">
      <c r="A14" s="6">
        <v>2023</v>
      </c>
      <c r="B14" s="15" t="s">
        <v>93</v>
      </c>
      <c r="C14" s="2">
        <v>604222.52</v>
      </c>
    </row>
    <row r="15" spans="1:3">
      <c r="A15" s="6">
        <v>2023</v>
      </c>
      <c r="B15" s="15" t="s">
        <v>94</v>
      </c>
      <c r="C15" s="2">
        <v>434332.33</v>
      </c>
    </row>
    <row r="16" spans="1:3">
      <c r="A16" s="6"/>
      <c r="B16" s="15"/>
      <c r="C16" s="2"/>
    </row>
    <row r="17" spans="1:3">
      <c r="A17" s="6">
        <v>2022</v>
      </c>
      <c r="B17" s="15" t="s">
        <v>83</v>
      </c>
      <c r="C17" s="10">
        <v>271389.52</v>
      </c>
    </row>
    <row r="18" spans="1:3">
      <c r="A18" s="6">
        <v>2022</v>
      </c>
      <c r="B18" s="15" t="s">
        <v>84</v>
      </c>
      <c r="C18" s="10">
        <v>211643.81</v>
      </c>
    </row>
    <row r="19" spans="1:3">
      <c r="A19" s="6">
        <v>2022</v>
      </c>
      <c r="B19" s="15" t="s">
        <v>85</v>
      </c>
      <c r="C19" s="10">
        <v>325310.63</v>
      </c>
    </row>
    <row r="20" spans="1:3">
      <c r="A20" s="6">
        <v>2022</v>
      </c>
      <c r="B20" s="15" t="s">
        <v>86</v>
      </c>
      <c r="C20" s="2">
        <v>678813.5</v>
      </c>
    </row>
    <row r="21" spans="1:3">
      <c r="A21" s="6">
        <v>2022</v>
      </c>
      <c r="B21" s="15" t="s">
        <v>87</v>
      </c>
      <c r="C21" s="2">
        <v>701638.36</v>
      </c>
    </row>
    <row r="22" spans="1:3">
      <c r="A22" s="6">
        <v>2022</v>
      </c>
      <c r="B22" s="15" t="s">
        <v>88</v>
      </c>
      <c r="C22" s="2">
        <v>554842.47</v>
      </c>
    </row>
    <row r="23" spans="1:3">
      <c r="A23" s="6">
        <v>2022</v>
      </c>
      <c r="B23" s="15" t="s">
        <v>89</v>
      </c>
      <c r="C23" s="10">
        <v>355596.05</v>
      </c>
    </row>
    <row r="24" spans="1:3">
      <c r="A24" s="6">
        <v>2022</v>
      </c>
      <c r="B24" s="15" t="s">
        <v>90</v>
      </c>
      <c r="C24" s="10">
        <v>155275.74</v>
      </c>
    </row>
    <row r="25" spans="1:3">
      <c r="A25" s="6">
        <v>2022</v>
      </c>
      <c r="B25" s="15" t="s">
        <v>91</v>
      </c>
      <c r="C25" s="10">
        <v>96653.33</v>
      </c>
    </row>
    <row r="26" spans="1:3">
      <c r="A26" s="6">
        <v>2022</v>
      </c>
      <c r="B26" s="15" t="s">
        <v>92</v>
      </c>
      <c r="C26" s="2">
        <v>605692.65</v>
      </c>
    </row>
    <row r="27" spans="1:3">
      <c r="A27" s="6">
        <v>2022</v>
      </c>
      <c r="B27" s="15" t="s">
        <v>93</v>
      </c>
      <c r="C27" s="2">
        <v>543163.93999999994</v>
      </c>
    </row>
    <row r="28" spans="1:3">
      <c r="A28" s="6">
        <v>2022</v>
      </c>
      <c r="B28" s="15" t="s">
        <v>94</v>
      </c>
      <c r="C28" s="10">
        <v>327541.73</v>
      </c>
    </row>
    <row r="29" spans="1:3">
      <c r="A29" s="6"/>
      <c r="B29" s="15"/>
      <c r="C29" s="2"/>
    </row>
    <row r="30" spans="1:3">
      <c r="A30" s="6">
        <v>2021</v>
      </c>
      <c r="B30" s="15" t="s">
        <v>83</v>
      </c>
      <c r="C30" s="2">
        <v>447314.67</v>
      </c>
    </row>
    <row r="31" spans="1:3">
      <c r="A31" s="6">
        <v>2021</v>
      </c>
      <c r="B31" s="15" t="s">
        <v>84</v>
      </c>
      <c r="C31" s="2">
        <v>409460.05</v>
      </c>
    </row>
    <row r="32" spans="1:3">
      <c r="A32" s="6">
        <v>2021</v>
      </c>
      <c r="B32" s="15" t="s">
        <v>85</v>
      </c>
      <c r="C32" s="2">
        <v>562270.39</v>
      </c>
    </row>
    <row r="33" spans="1:3">
      <c r="A33" s="6">
        <v>2021</v>
      </c>
      <c r="B33" s="15" t="s">
        <v>86</v>
      </c>
      <c r="C33" s="2">
        <v>852634.62</v>
      </c>
    </row>
    <row r="34" spans="1:3">
      <c r="A34" s="6">
        <v>2021</v>
      </c>
      <c r="B34" s="15" t="s">
        <v>87</v>
      </c>
      <c r="C34" s="2">
        <v>836426.97</v>
      </c>
    </row>
    <row r="35" spans="1:3">
      <c r="A35" s="6">
        <v>2021</v>
      </c>
      <c r="B35" s="15" t="s">
        <v>88</v>
      </c>
      <c r="C35" s="2">
        <v>661406.5</v>
      </c>
    </row>
    <row r="36" spans="1:3">
      <c r="A36" s="6">
        <v>2021</v>
      </c>
      <c r="B36" s="15" t="s">
        <v>89</v>
      </c>
      <c r="C36" s="2">
        <v>587064.21</v>
      </c>
    </row>
    <row r="37" spans="1:3">
      <c r="A37" s="6">
        <v>2021</v>
      </c>
      <c r="B37" s="15" t="s">
        <v>90</v>
      </c>
      <c r="C37" s="10">
        <v>388972.3</v>
      </c>
    </row>
    <row r="38" spans="1:3">
      <c r="A38" s="6">
        <v>2021</v>
      </c>
      <c r="B38" s="15" t="s">
        <v>91</v>
      </c>
      <c r="C38" s="10">
        <v>324649.34000000003</v>
      </c>
    </row>
    <row r="39" spans="1:3">
      <c r="A39" s="6">
        <v>2021</v>
      </c>
      <c r="B39" s="15" t="s">
        <v>92</v>
      </c>
      <c r="C39" s="2">
        <v>608147.56999999995</v>
      </c>
    </row>
    <row r="40" spans="1:3">
      <c r="A40" s="6">
        <v>2021</v>
      </c>
      <c r="B40" s="15" t="s">
        <v>93</v>
      </c>
      <c r="C40" s="2">
        <v>605789.6</v>
      </c>
    </row>
    <row r="41" spans="1:3">
      <c r="A41" s="6">
        <v>2021</v>
      </c>
      <c r="B41" s="15" t="s">
        <v>94</v>
      </c>
      <c r="C41" s="2">
        <v>405145.4</v>
      </c>
    </row>
    <row r="42" spans="1:3">
      <c r="A42" s="6"/>
      <c r="B42" s="15"/>
      <c r="C42" s="2"/>
    </row>
    <row r="43" spans="1:3">
      <c r="A43" s="6">
        <v>2020</v>
      </c>
      <c r="B43" s="15" t="s">
        <v>83</v>
      </c>
      <c r="C43" s="2">
        <v>464875.1</v>
      </c>
    </row>
    <row r="44" spans="1:3">
      <c r="A44" s="6">
        <v>2020</v>
      </c>
      <c r="B44" s="15" t="s">
        <v>84</v>
      </c>
      <c r="C44" s="2">
        <v>405607.5</v>
      </c>
    </row>
    <row r="45" spans="1:3">
      <c r="A45" s="6">
        <v>2020</v>
      </c>
      <c r="B45" s="15" t="s">
        <v>85</v>
      </c>
      <c r="C45" s="2">
        <v>439541.48</v>
      </c>
    </row>
    <row r="46" spans="1:3">
      <c r="A46" s="6">
        <v>2020</v>
      </c>
      <c r="B46" s="15" t="s">
        <v>86</v>
      </c>
      <c r="C46" s="2">
        <v>851806.3</v>
      </c>
    </row>
    <row r="47" spans="1:3">
      <c r="A47" s="6">
        <v>2020</v>
      </c>
      <c r="B47" s="15" t="s">
        <v>87</v>
      </c>
      <c r="C47" s="2">
        <v>859370.5</v>
      </c>
    </row>
    <row r="48" spans="1:3">
      <c r="A48" s="6">
        <v>2020</v>
      </c>
      <c r="B48" s="15" t="s">
        <v>88</v>
      </c>
      <c r="C48" s="2">
        <v>789542.53</v>
      </c>
    </row>
    <row r="49" spans="1:3">
      <c r="A49" s="6">
        <v>2020</v>
      </c>
      <c r="B49" s="15" t="s">
        <v>89</v>
      </c>
      <c r="C49" s="2">
        <v>655764.81000000006</v>
      </c>
    </row>
    <row r="50" spans="1:3">
      <c r="A50" s="6">
        <v>2020</v>
      </c>
      <c r="B50" s="15" t="s">
        <v>90</v>
      </c>
      <c r="C50" s="2">
        <v>565203.59</v>
      </c>
    </row>
    <row r="51" spans="1:3">
      <c r="A51" s="6">
        <v>2020</v>
      </c>
      <c r="B51" s="15" t="s">
        <v>91</v>
      </c>
      <c r="C51" s="2">
        <v>477798.53</v>
      </c>
    </row>
    <row r="52" spans="1:3">
      <c r="A52" s="6">
        <v>2020</v>
      </c>
      <c r="B52" s="15" t="s">
        <v>92</v>
      </c>
      <c r="C52" s="2">
        <v>711398.51</v>
      </c>
    </row>
    <row r="53" spans="1:3">
      <c r="A53" s="6">
        <v>2020</v>
      </c>
      <c r="B53" s="15" t="s">
        <v>93</v>
      </c>
      <c r="C53" s="2">
        <v>779830.14</v>
      </c>
    </row>
    <row r="54" spans="1:3">
      <c r="A54" s="6">
        <v>2020</v>
      </c>
      <c r="B54" s="15" t="s">
        <v>94</v>
      </c>
      <c r="C54" s="2">
        <v>643489.56000000006</v>
      </c>
    </row>
  </sheetData>
  <mergeCells count="1">
    <mergeCell ref="A1:C2"/>
  </mergeCells>
  <pageMargins left="0.7" right="0.7" top="0.75" bottom="0.75" header="0.3" footer="0.3"/>
  <pageSetup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0DF47-6C42-4C50-AC26-68E8356DBABF}">
  <dimension ref="A3:U18"/>
  <sheetViews>
    <sheetView zoomScaleNormal="100" workbookViewId="0">
      <selection activeCell="I52" sqref="I52"/>
    </sheetView>
  </sheetViews>
  <sheetFormatPr defaultRowHeight="14.25"/>
  <cols>
    <col min="3" max="3" width="12.42578125" customWidth="1"/>
    <col min="4" max="21" width="14.28515625" customWidth="1"/>
  </cols>
  <sheetData>
    <row r="3" spans="1:21">
      <c r="C3" t="s">
        <v>95</v>
      </c>
      <c r="D3">
        <v>2023</v>
      </c>
      <c r="E3">
        <v>2022</v>
      </c>
      <c r="F3">
        <v>2021</v>
      </c>
      <c r="G3">
        <v>2020</v>
      </c>
      <c r="H3">
        <v>2019</v>
      </c>
      <c r="I3">
        <v>2018</v>
      </c>
      <c r="J3">
        <v>2017</v>
      </c>
      <c r="K3">
        <v>2016</v>
      </c>
      <c r="L3">
        <v>2015</v>
      </c>
      <c r="M3">
        <v>2014</v>
      </c>
      <c r="N3">
        <v>2013</v>
      </c>
      <c r="O3">
        <v>2012</v>
      </c>
      <c r="P3">
        <v>2011</v>
      </c>
      <c r="Q3">
        <v>2010</v>
      </c>
      <c r="R3">
        <v>2009</v>
      </c>
      <c r="S3">
        <v>2008</v>
      </c>
      <c r="T3">
        <v>2007</v>
      </c>
      <c r="U3">
        <v>2006</v>
      </c>
    </row>
    <row r="4" spans="1:21">
      <c r="A4" t="s">
        <v>96</v>
      </c>
      <c r="B4" t="s">
        <v>97</v>
      </c>
      <c r="C4" s="2">
        <v>260670</v>
      </c>
      <c r="D4" s="2">
        <v>2028962</v>
      </c>
      <c r="E4" s="2">
        <v>2163330</v>
      </c>
      <c r="F4" s="2">
        <v>1823688</v>
      </c>
      <c r="G4" s="2">
        <v>1854371</v>
      </c>
      <c r="H4" s="2">
        <v>1859950</v>
      </c>
      <c r="I4" s="2">
        <v>1828306</v>
      </c>
      <c r="J4" s="2">
        <v>1789092</v>
      </c>
      <c r="K4" s="2">
        <v>1773911</v>
      </c>
      <c r="L4" s="2">
        <v>1750277</v>
      </c>
      <c r="M4" s="2">
        <v>1696820</v>
      </c>
      <c r="N4" s="2">
        <v>2173545</v>
      </c>
      <c r="O4" s="2">
        <v>1738282</v>
      </c>
      <c r="P4" s="2">
        <v>1521153</v>
      </c>
      <c r="Q4" s="2">
        <v>1340690</v>
      </c>
      <c r="R4" s="2">
        <v>1319100</v>
      </c>
      <c r="S4" s="2">
        <v>1364824</v>
      </c>
      <c r="T4" s="2">
        <v>1495135</v>
      </c>
      <c r="U4" s="2">
        <v>1309685</v>
      </c>
    </row>
    <row r="5" spans="1:21">
      <c r="A5" t="s">
        <v>96</v>
      </c>
      <c r="B5" t="s">
        <v>98</v>
      </c>
      <c r="C5" s="2">
        <v>440042</v>
      </c>
      <c r="D5" s="2">
        <v>1922172</v>
      </c>
      <c r="E5" s="2">
        <v>2240933</v>
      </c>
      <c r="F5" s="2">
        <v>2062032</v>
      </c>
      <c r="G5" s="2">
        <v>1785356</v>
      </c>
      <c r="H5" s="2">
        <v>2087428</v>
      </c>
      <c r="I5" s="2">
        <v>2119606</v>
      </c>
      <c r="J5" s="2">
        <v>1844239</v>
      </c>
      <c r="K5" s="2">
        <v>1624001</v>
      </c>
      <c r="L5" s="2">
        <v>1642490</v>
      </c>
      <c r="M5" s="2">
        <v>1727501</v>
      </c>
      <c r="N5" s="2">
        <v>1795345</v>
      </c>
      <c r="O5" s="2">
        <v>1774594</v>
      </c>
      <c r="P5" s="2">
        <v>1566071</v>
      </c>
      <c r="Q5" s="2">
        <v>1137667</v>
      </c>
      <c r="R5" s="2">
        <v>1374898</v>
      </c>
      <c r="S5" s="2">
        <v>1316997</v>
      </c>
      <c r="T5" s="2">
        <v>1198395</v>
      </c>
      <c r="U5" s="2">
        <v>1405124</v>
      </c>
    </row>
    <row r="6" spans="1:21">
      <c r="A6" t="s">
        <v>99</v>
      </c>
      <c r="C6" s="2">
        <f>C4-C5</f>
        <v>-179372</v>
      </c>
      <c r="D6" s="2">
        <f>D4-D5</f>
        <v>106790</v>
      </c>
      <c r="E6" s="2">
        <f t="shared" ref="E6:U6" si="0">E4-E5</f>
        <v>-77603</v>
      </c>
      <c r="F6" s="2">
        <f t="shared" si="0"/>
        <v>-238344</v>
      </c>
      <c r="G6" s="2">
        <f t="shared" si="0"/>
        <v>69015</v>
      </c>
      <c r="H6" s="2">
        <f t="shared" si="0"/>
        <v>-227478</v>
      </c>
      <c r="I6" s="2">
        <f t="shared" si="0"/>
        <v>-291300</v>
      </c>
      <c r="J6" s="2">
        <f t="shared" si="0"/>
        <v>-55147</v>
      </c>
      <c r="K6" s="2">
        <f t="shared" si="0"/>
        <v>149910</v>
      </c>
      <c r="L6" s="2">
        <f t="shared" si="0"/>
        <v>107787</v>
      </c>
      <c r="M6" s="2">
        <f t="shared" si="0"/>
        <v>-30681</v>
      </c>
      <c r="N6" s="2">
        <f t="shared" si="0"/>
        <v>378200</v>
      </c>
      <c r="O6" s="2">
        <f t="shared" si="0"/>
        <v>-36312</v>
      </c>
      <c r="P6" s="2">
        <f t="shared" si="0"/>
        <v>-44918</v>
      </c>
      <c r="Q6" s="2">
        <f t="shared" si="0"/>
        <v>203023</v>
      </c>
      <c r="R6" s="2">
        <f t="shared" si="0"/>
        <v>-55798</v>
      </c>
      <c r="S6" s="2">
        <f t="shared" si="0"/>
        <v>47827</v>
      </c>
      <c r="T6" s="2">
        <f t="shared" si="0"/>
        <v>296740</v>
      </c>
      <c r="U6" s="2">
        <f t="shared" si="0"/>
        <v>-95439</v>
      </c>
    </row>
    <row r="7" spans="1:21">
      <c r="C7" s="2"/>
      <c r="D7" s="2"/>
      <c r="E7" s="2"/>
      <c r="F7" s="2"/>
      <c r="G7" s="2"/>
      <c r="H7" s="2"/>
      <c r="I7" s="2"/>
      <c r="J7" s="2"/>
      <c r="K7" s="2"/>
      <c r="L7" s="2"/>
      <c r="M7" s="2"/>
      <c r="N7" s="2"/>
      <c r="O7" s="2"/>
      <c r="P7" s="2"/>
      <c r="Q7" s="2"/>
      <c r="R7" s="2"/>
      <c r="S7" s="2"/>
      <c r="T7" s="2"/>
      <c r="U7" s="2"/>
    </row>
    <row r="8" spans="1:21">
      <c r="A8" t="s">
        <v>100</v>
      </c>
      <c r="B8" t="s">
        <v>97</v>
      </c>
      <c r="C8" s="2">
        <v>2032</v>
      </c>
      <c r="D8" s="2">
        <v>32695</v>
      </c>
      <c r="E8" s="2">
        <v>202520</v>
      </c>
      <c r="F8" s="2">
        <v>40256</v>
      </c>
      <c r="G8" s="2">
        <v>41300</v>
      </c>
      <c r="H8" s="2">
        <v>199568</v>
      </c>
      <c r="I8" s="2">
        <v>3751</v>
      </c>
      <c r="J8" s="2">
        <v>1835</v>
      </c>
      <c r="K8" s="2">
        <v>48148</v>
      </c>
      <c r="L8" s="2">
        <v>215</v>
      </c>
      <c r="M8" s="2">
        <v>133</v>
      </c>
      <c r="N8" s="2">
        <v>233</v>
      </c>
      <c r="O8" s="2">
        <v>190</v>
      </c>
      <c r="P8" s="2">
        <v>242</v>
      </c>
      <c r="Q8" s="2">
        <v>359</v>
      </c>
      <c r="R8" s="2">
        <v>1122</v>
      </c>
      <c r="S8" s="2">
        <v>4066</v>
      </c>
      <c r="T8" s="2">
        <v>14915</v>
      </c>
      <c r="U8" s="2">
        <v>319109</v>
      </c>
    </row>
    <row r="9" spans="1:21">
      <c r="A9" t="s">
        <v>100</v>
      </c>
      <c r="B9" t="s">
        <v>98</v>
      </c>
      <c r="C9" s="2">
        <v>16825</v>
      </c>
      <c r="D9" s="2">
        <v>152730</v>
      </c>
      <c r="E9" s="2">
        <v>241314</v>
      </c>
      <c r="F9" s="2">
        <v>39801</v>
      </c>
      <c r="G9" s="2">
        <v>82188</v>
      </c>
      <c r="H9" s="2">
        <v>0</v>
      </c>
      <c r="I9" s="2">
        <v>0</v>
      </c>
      <c r="J9" s="2">
        <v>0</v>
      </c>
      <c r="K9" s="2">
        <v>0</v>
      </c>
      <c r="L9" s="2">
        <v>0</v>
      </c>
      <c r="M9" s="2">
        <v>0</v>
      </c>
      <c r="N9" s="2">
        <v>233</v>
      </c>
      <c r="O9" s="2">
        <v>190</v>
      </c>
      <c r="P9" s="2">
        <v>242</v>
      </c>
      <c r="Q9" s="2">
        <v>359</v>
      </c>
      <c r="R9" s="2">
        <v>1122</v>
      </c>
      <c r="S9" s="2">
        <v>4066</v>
      </c>
      <c r="T9" s="2">
        <v>180465</v>
      </c>
      <c r="U9" s="2">
        <v>306128</v>
      </c>
    </row>
    <row r="10" spans="1:21">
      <c r="C10" s="2">
        <f>C8-C9</f>
        <v>-14793</v>
      </c>
      <c r="D10" s="2">
        <f>D8-D9</f>
        <v>-120035</v>
      </c>
      <c r="E10" s="2">
        <f t="shared" ref="E10:U10" si="1">E8-E9</f>
        <v>-38794</v>
      </c>
      <c r="F10" s="2">
        <f t="shared" si="1"/>
        <v>455</v>
      </c>
      <c r="G10" s="2">
        <f t="shared" si="1"/>
        <v>-40888</v>
      </c>
      <c r="H10" s="2">
        <f t="shared" si="1"/>
        <v>199568</v>
      </c>
      <c r="I10" s="2">
        <f t="shared" si="1"/>
        <v>3751</v>
      </c>
      <c r="J10" s="2">
        <f t="shared" si="1"/>
        <v>1835</v>
      </c>
      <c r="K10" s="2">
        <f t="shared" si="1"/>
        <v>48148</v>
      </c>
      <c r="L10" s="2">
        <f t="shared" si="1"/>
        <v>215</v>
      </c>
      <c r="M10" s="2">
        <f t="shared" si="1"/>
        <v>133</v>
      </c>
      <c r="N10" s="2">
        <f t="shared" si="1"/>
        <v>0</v>
      </c>
      <c r="O10" s="2">
        <f t="shared" si="1"/>
        <v>0</v>
      </c>
      <c r="P10" s="2">
        <f t="shared" si="1"/>
        <v>0</v>
      </c>
      <c r="Q10" s="2">
        <f t="shared" si="1"/>
        <v>0</v>
      </c>
      <c r="R10" s="2">
        <f t="shared" si="1"/>
        <v>0</v>
      </c>
      <c r="S10" s="2">
        <f t="shared" si="1"/>
        <v>0</v>
      </c>
      <c r="T10" s="2">
        <f t="shared" si="1"/>
        <v>-165550</v>
      </c>
      <c r="U10" s="2">
        <f t="shared" si="1"/>
        <v>12981</v>
      </c>
    </row>
    <row r="11" spans="1:21">
      <c r="C11" s="2"/>
      <c r="D11" s="2"/>
      <c r="E11" s="2"/>
      <c r="F11" s="2"/>
      <c r="G11" s="2"/>
      <c r="H11" s="2"/>
      <c r="I11" s="2"/>
      <c r="J11" s="2"/>
      <c r="K11" s="2"/>
      <c r="L11" s="2"/>
      <c r="M11" s="2"/>
      <c r="N11" s="2"/>
      <c r="O11" s="2"/>
      <c r="P11" s="2"/>
      <c r="Q11" s="2"/>
      <c r="R11" s="2"/>
      <c r="S11" s="2"/>
      <c r="T11" s="2"/>
      <c r="U11" s="2"/>
    </row>
    <row r="12" spans="1:21">
      <c r="A12" t="s">
        <v>101</v>
      </c>
      <c r="B12" t="s">
        <v>97</v>
      </c>
      <c r="C12" s="2">
        <v>0</v>
      </c>
      <c r="D12" s="2">
        <v>0</v>
      </c>
      <c r="E12" s="2">
        <v>268224</v>
      </c>
      <c r="F12" s="2">
        <v>312707</v>
      </c>
      <c r="G12" s="2">
        <v>312707</v>
      </c>
      <c r="H12" s="2">
        <v>312707</v>
      </c>
      <c r="I12" s="2">
        <v>312707</v>
      </c>
      <c r="J12" s="2">
        <v>286648</v>
      </c>
      <c r="K12" s="2">
        <v>312708</v>
      </c>
      <c r="L12" s="2">
        <v>338766</v>
      </c>
      <c r="M12" s="2">
        <v>441177</v>
      </c>
      <c r="N12" s="2">
        <v>2700068</v>
      </c>
      <c r="O12" s="2">
        <v>0</v>
      </c>
      <c r="P12" s="2">
        <v>0</v>
      </c>
      <c r="Q12" s="2">
        <v>0</v>
      </c>
      <c r="R12" s="2">
        <v>0</v>
      </c>
      <c r="S12" s="2">
        <v>0</v>
      </c>
      <c r="T12" s="2">
        <v>0</v>
      </c>
      <c r="U12" s="2">
        <v>0</v>
      </c>
    </row>
    <row r="13" spans="1:21">
      <c r="A13" t="s">
        <v>101</v>
      </c>
      <c r="B13" t="s">
        <v>98</v>
      </c>
      <c r="C13" s="2">
        <v>0</v>
      </c>
      <c r="D13" s="2">
        <v>24052</v>
      </c>
      <c r="E13" s="2">
        <v>268224</v>
      </c>
      <c r="F13" s="2">
        <v>312707</v>
      </c>
      <c r="G13" s="2">
        <v>312707</v>
      </c>
      <c r="H13" s="2">
        <v>312707</v>
      </c>
      <c r="I13" s="2">
        <v>312707</v>
      </c>
      <c r="J13" s="2">
        <v>286648</v>
      </c>
      <c r="K13" s="2">
        <v>312708</v>
      </c>
      <c r="L13" s="2">
        <v>536668</v>
      </c>
      <c r="M13" s="2">
        <v>275148</v>
      </c>
      <c r="N13" s="2">
        <v>167443</v>
      </c>
      <c r="O13" s="2">
        <v>0</v>
      </c>
      <c r="P13" s="2">
        <v>0</v>
      </c>
      <c r="Q13" s="2">
        <v>0</v>
      </c>
      <c r="R13" s="2">
        <v>0</v>
      </c>
      <c r="S13" s="2">
        <v>0</v>
      </c>
      <c r="T13" s="2">
        <v>0</v>
      </c>
      <c r="U13" s="2">
        <v>0</v>
      </c>
    </row>
    <row r="14" spans="1:21">
      <c r="C14" s="2"/>
      <c r="D14" s="2">
        <f>D12-D13</f>
        <v>-24052</v>
      </c>
      <c r="E14" s="2">
        <f t="shared" ref="E14:U14" si="2">E12-E13</f>
        <v>0</v>
      </c>
      <c r="F14" s="2">
        <f t="shared" si="2"/>
        <v>0</v>
      </c>
      <c r="G14" s="2">
        <f t="shared" si="2"/>
        <v>0</v>
      </c>
      <c r="H14" s="2">
        <f t="shared" si="2"/>
        <v>0</v>
      </c>
      <c r="I14" s="2">
        <f t="shared" si="2"/>
        <v>0</v>
      </c>
      <c r="J14" s="2">
        <f t="shared" si="2"/>
        <v>0</v>
      </c>
      <c r="K14" s="2">
        <f t="shared" si="2"/>
        <v>0</v>
      </c>
      <c r="L14" s="2">
        <f t="shared" si="2"/>
        <v>-197902</v>
      </c>
      <c r="M14" s="2">
        <f t="shared" si="2"/>
        <v>166029</v>
      </c>
      <c r="N14" s="2">
        <f t="shared" si="2"/>
        <v>2532625</v>
      </c>
      <c r="O14" s="2">
        <f t="shared" si="2"/>
        <v>0</v>
      </c>
      <c r="P14" s="2">
        <f t="shared" si="2"/>
        <v>0</v>
      </c>
      <c r="Q14" s="2">
        <f t="shared" si="2"/>
        <v>0</v>
      </c>
      <c r="R14" s="2">
        <f t="shared" si="2"/>
        <v>0</v>
      </c>
      <c r="S14" s="2">
        <f t="shared" si="2"/>
        <v>0</v>
      </c>
      <c r="T14" s="2">
        <f t="shared" si="2"/>
        <v>0</v>
      </c>
      <c r="U14" s="2">
        <f t="shared" si="2"/>
        <v>0</v>
      </c>
    </row>
    <row r="15" spans="1:21">
      <c r="C15" s="2"/>
      <c r="D15" s="2"/>
      <c r="E15" s="2"/>
      <c r="F15" s="2"/>
      <c r="G15" s="2"/>
      <c r="H15" s="2"/>
      <c r="I15" s="2"/>
      <c r="J15" s="2"/>
      <c r="K15" s="2"/>
      <c r="L15" s="2"/>
      <c r="M15" s="2"/>
      <c r="N15" s="2"/>
      <c r="O15" s="2"/>
      <c r="P15" s="2"/>
      <c r="Q15" s="2"/>
      <c r="R15" s="2"/>
      <c r="S15" s="2"/>
      <c r="T15" s="2"/>
      <c r="U15" s="2"/>
    </row>
    <row r="16" spans="1:21">
      <c r="A16" t="s">
        <v>102</v>
      </c>
      <c r="B16" t="s">
        <v>97</v>
      </c>
      <c r="C16" s="2">
        <v>0</v>
      </c>
      <c r="D16" s="2">
        <v>0</v>
      </c>
      <c r="E16" s="2">
        <v>0</v>
      </c>
      <c r="F16" s="2">
        <v>0</v>
      </c>
      <c r="G16" s="2">
        <v>0</v>
      </c>
      <c r="H16" s="2">
        <v>0</v>
      </c>
      <c r="I16" s="2">
        <v>0</v>
      </c>
      <c r="J16" s="2">
        <v>0</v>
      </c>
      <c r="K16" s="2">
        <v>0</v>
      </c>
      <c r="L16" s="2">
        <v>0</v>
      </c>
      <c r="M16" s="2">
        <v>0</v>
      </c>
      <c r="N16" s="2">
        <v>0</v>
      </c>
      <c r="O16" s="2">
        <v>394889</v>
      </c>
      <c r="P16" s="2">
        <v>202000</v>
      </c>
      <c r="Q16" s="2">
        <v>0</v>
      </c>
      <c r="R16" s="2">
        <v>217470</v>
      </c>
      <c r="S16" s="2">
        <v>203960</v>
      </c>
      <c r="T16" s="2">
        <v>206872</v>
      </c>
      <c r="U16" s="2">
        <v>405733</v>
      </c>
    </row>
    <row r="17" spans="1:21">
      <c r="A17" t="s">
        <v>102</v>
      </c>
      <c r="B17" t="s">
        <v>98</v>
      </c>
      <c r="C17" s="2">
        <v>0</v>
      </c>
      <c r="D17" s="2">
        <v>0</v>
      </c>
      <c r="E17" s="2">
        <v>0</v>
      </c>
      <c r="F17" s="2">
        <v>0</v>
      </c>
      <c r="G17" s="2">
        <v>0</v>
      </c>
      <c r="H17" s="2">
        <v>0</v>
      </c>
      <c r="I17" s="2">
        <v>0</v>
      </c>
      <c r="J17" s="2">
        <v>0</v>
      </c>
      <c r="K17" s="2">
        <v>0</v>
      </c>
      <c r="L17" s="2">
        <v>0</v>
      </c>
      <c r="M17" s="2">
        <v>0</v>
      </c>
      <c r="N17" s="2">
        <v>0</v>
      </c>
      <c r="O17" s="2">
        <v>200529</v>
      </c>
      <c r="P17" s="2">
        <v>204491</v>
      </c>
      <c r="Q17" s="2">
        <v>202852</v>
      </c>
      <c r="R17" s="2">
        <v>206486</v>
      </c>
      <c r="S17" s="2">
        <v>204246</v>
      </c>
      <c r="T17" s="2">
        <v>206382</v>
      </c>
      <c r="U17" s="2">
        <v>235570</v>
      </c>
    </row>
    <row r="18" spans="1:21">
      <c r="C18" s="2">
        <f t="shared" ref="C18:N18" si="3">C16-C17</f>
        <v>0</v>
      </c>
      <c r="D18" s="2">
        <f t="shared" si="3"/>
        <v>0</v>
      </c>
      <c r="E18" s="2">
        <f t="shared" si="3"/>
        <v>0</v>
      </c>
      <c r="F18" s="2">
        <f t="shared" si="3"/>
        <v>0</v>
      </c>
      <c r="G18" s="2">
        <f t="shared" si="3"/>
        <v>0</v>
      </c>
      <c r="H18" s="2">
        <f t="shared" si="3"/>
        <v>0</v>
      </c>
      <c r="I18" s="2">
        <f t="shared" si="3"/>
        <v>0</v>
      </c>
      <c r="J18" s="2">
        <f t="shared" si="3"/>
        <v>0</v>
      </c>
      <c r="K18" s="2">
        <f t="shared" si="3"/>
        <v>0</v>
      </c>
      <c r="L18" s="2">
        <f t="shared" si="3"/>
        <v>0</v>
      </c>
      <c r="M18" s="2">
        <f t="shared" si="3"/>
        <v>0</v>
      </c>
      <c r="N18" s="2">
        <f t="shared" si="3"/>
        <v>0</v>
      </c>
      <c r="O18" s="2">
        <f>O16-O17</f>
        <v>194360</v>
      </c>
      <c r="P18" s="2">
        <f>P16-P17</f>
        <v>-2491</v>
      </c>
      <c r="Q18" s="2">
        <f t="shared" ref="Q18:U18" si="4">Q16-Q17</f>
        <v>-202852</v>
      </c>
      <c r="R18" s="2">
        <f t="shared" si="4"/>
        <v>10984</v>
      </c>
      <c r="S18" s="2">
        <f t="shared" si="4"/>
        <v>-286</v>
      </c>
      <c r="T18" s="2">
        <f t="shared" si="4"/>
        <v>490</v>
      </c>
      <c r="U18" s="2">
        <f t="shared" si="4"/>
        <v>170163</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424DBB807F2C04BBE70601B5BAAFB78" ma:contentTypeVersion="13" ma:contentTypeDescription="Create a new document." ma:contentTypeScope="" ma:versionID="758e857e8a08756e4c6390879c2851a8">
  <xsd:schema xmlns:xsd="http://www.w3.org/2001/XMLSchema" xmlns:xs="http://www.w3.org/2001/XMLSchema" xmlns:p="http://schemas.microsoft.com/office/2006/metadata/properties" xmlns:ns2="dd64e0fc-0320-4b66-9644-90f0c4e01c05" xmlns:ns3="e91f147a-fe0d-406e-954d-681dbb53a474" targetNamespace="http://schemas.microsoft.com/office/2006/metadata/properties" ma:root="true" ma:fieldsID="fc4d4d6bc8297e3ec70220c9201984b8" ns2:_="" ns3:_="">
    <xsd:import namespace="dd64e0fc-0320-4b66-9644-90f0c4e01c05"/>
    <xsd:import namespace="e91f147a-fe0d-406e-954d-681dbb53a47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64e0fc-0320-4b66-9644-90f0c4e01c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ad05d18-4143-4577-921a-a1b5f84f459f"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1f147a-fe0d-406e-954d-681dbb53a47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9d8a7b2b-e1d2-47a3-ad53-78e661c9b829}" ma:internalName="TaxCatchAll" ma:showField="CatchAllData" ma:web="e91f147a-fe0d-406e-954d-681dbb53a4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d64e0fc-0320-4b66-9644-90f0c4e01c05">
      <Terms xmlns="http://schemas.microsoft.com/office/infopath/2007/PartnerControls"/>
    </lcf76f155ced4ddcb4097134ff3c332f>
    <TaxCatchAll xmlns="e91f147a-fe0d-406e-954d-681dbb53a474" xsi:nil="true"/>
  </documentManagement>
</p:properties>
</file>

<file path=customXml/itemProps1.xml><?xml version="1.0" encoding="utf-8"?>
<ds:datastoreItem xmlns:ds="http://schemas.openxmlformats.org/officeDocument/2006/customXml" ds:itemID="{FED449E1-4367-4687-A0EB-960EDB2D6AF3}"/>
</file>

<file path=customXml/itemProps2.xml><?xml version="1.0" encoding="utf-8"?>
<ds:datastoreItem xmlns:ds="http://schemas.openxmlformats.org/officeDocument/2006/customXml" ds:itemID="{495AE725-F44F-405A-A615-2C47A51B17B0}"/>
</file>

<file path=customXml/itemProps3.xml><?xml version="1.0" encoding="utf-8"?>
<ds:datastoreItem xmlns:ds="http://schemas.openxmlformats.org/officeDocument/2006/customXml" ds:itemID="{3960D222-31B5-40BC-9C90-D58514363EE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Noel</dc:creator>
  <cp:keywords/>
  <dc:description/>
  <cp:lastModifiedBy/>
  <cp:revision/>
  <dcterms:created xsi:type="dcterms:W3CDTF">2024-04-13T18:48:28Z</dcterms:created>
  <dcterms:modified xsi:type="dcterms:W3CDTF">2024-09-05T19:01:08Z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0x0101003424DBB807F2C04BBE70601B5BAAFB78</vt:lpwstr>
  </property>
  <property fmtid="{D5CDD505-2E9C-101B-9397-08002B2CF9AE}" pid="3" name="MediaServiceImageTags">
    <vt:lpwstr/>
  </property>
</Properties>
</file>