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uelalfieri/Google Drive/Evergreen Sustainability Analyst/STARS/"/>
    </mc:Choice>
  </mc:AlternateContent>
  <xr:revisionPtr revIDLastSave="0" documentId="13_ncr:1_{93145EE9-81E5-C642-9BE3-4E33965CAED9}" xr6:coauthVersionLast="43" xr6:coauthVersionMax="43" xr10:uidLastSave="{00000000-0000-0000-0000-000000000000}"/>
  <bookViews>
    <workbookView xWindow="18480" yWindow="460" windowWidth="27640" windowHeight="16940" xr2:uid="{7F49B14F-CB94-BB47-8022-C5576E88F9F6}"/>
  </bookViews>
  <sheets>
    <sheet name="Report" sheetId="2" r:id="rId1"/>
  </sheets>
  <externalReferences>
    <externalReference r:id="rId2"/>
  </externalReferences>
  <definedNames>
    <definedName name="_xlnm.Print_Area" localSheetId="0">Report!$A$1:$F$43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2" l="1"/>
  <c r="M37" i="2"/>
  <c r="K37" i="2" s="1"/>
  <c r="E37" i="2" s="1"/>
  <c r="C37" i="2"/>
  <c r="K36" i="2"/>
  <c r="E36" i="2"/>
  <c r="C36" i="2"/>
  <c r="K35" i="2"/>
  <c r="E35" i="2" s="1"/>
  <c r="C35" i="2"/>
  <c r="N34" i="2"/>
  <c r="M34" i="2"/>
  <c r="L34" i="2"/>
  <c r="K34" i="2" s="1"/>
  <c r="E34" i="2" s="1"/>
  <c r="N33" i="2"/>
  <c r="M33" i="2"/>
  <c r="L33" i="2"/>
  <c r="K33" i="2" s="1"/>
  <c r="E33" i="2" s="1"/>
  <c r="K29" i="2"/>
  <c r="E29" i="2"/>
  <c r="C29" i="2"/>
  <c r="K28" i="2"/>
  <c r="E28" i="2"/>
  <c r="H48" i="2" s="1"/>
  <c r="C28" i="2"/>
  <c r="K27" i="2"/>
  <c r="E27" i="2"/>
  <c r="C27" i="2"/>
  <c r="E23" i="2"/>
  <c r="L52" i="2" s="1"/>
  <c r="C23" i="2"/>
  <c r="N22" i="2"/>
  <c r="K22" i="2"/>
  <c r="E22" i="2"/>
  <c r="C22" i="2"/>
  <c r="K21" i="2"/>
  <c r="E21" i="2"/>
  <c r="C47" i="2" s="1"/>
  <c r="C21" i="2"/>
  <c r="K20" i="2"/>
  <c r="K19" i="2"/>
  <c r="E19" i="2" s="1"/>
  <c r="C19" i="2"/>
  <c r="K18" i="2"/>
  <c r="E18" i="2"/>
  <c r="L49" i="2" s="1"/>
  <c r="C18" i="2"/>
  <c r="K17" i="2"/>
  <c r="E17" i="2" s="1"/>
  <c r="C17" i="2"/>
  <c r="K16" i="2"/>
  <c r="E16" i="2"/>
  <c r="C16" i="2"/>
  <c r="K15" i="2"/>
  <c r="E15" i="2" s="1"/>
  <c r="C15" i="2"/>
  <c r="G9" i="2"/>
  <c r="G8" i="2"/>
  <c r="G7" i="2"/>
  <c r="L47" i="2" l="1"/>
  <c r="C50" i="2"/>
  <c r="H47" i="2"/>
  <c r="L45" i="2"/>
  <c r="C44" i="2"/>
  <c r="H45" i="2"/>
  <c r="E13" i="2"/>
  <c r="L46" i="2"/>
  <c r="C49" i="2"/>
  <c r="H46" i="2"/>
  <c r="E31" i="2"/>
  <c r="C51" i="2"/>
  <c r="L50" i="2"/>
  <c r="H50" i="2"/>
  <c r="H44" i="2"/>
  <c r="C46" i="2"/>
  <c r="L48" i="2"/>
  <c r="H51" i="2"/>
  <c r="C45" i="2"/>
  <c r="L51" i="2"/>
  <c r="E25" i="2"/>
  <c r="C48" i="2"/>
  <c r="H49" i="2"/>
  <c r="H52" i="2"/>
  <c r="E10" i="2" l="1"/>
  <c r="D49" i="2"/>
  <c r="I45" i="2"/>
  <c r="D50" i="2"/>
  <c r="D45" i="2"/>
  <c r="I50" i="2"/>
  <c r="I46" i="2"/>
  <c r="I47" i="2"/>
  <c r="D51" i="2"/>
  <c r="D44" i="2"/>
  <c r="L42" i="2"/>
  <c r="I49" i="2"/>
  <c r="E11" i="2" l="1"/>
  <c r="F28" i="2"/>
  <c r="F23" i="2"/>
  <c r="F15" i="2"/>
  <c r="D47" i="2"/>
  <c r="F16" i="2"/>
  <c r="F19" i="2"/>
  <c r="F33" i="2"/>
  <c r="F18" i="2"/>
  <c r="F37" i="2"/>
  <c r="I48" i="2"/>
  <c r="F34" i="2"/>
  <c r="F17" i="2"/>
  <c r="F22" i="2"/>
  <c r="F36" i="2"/>
  <c r="F21" i="2"/>
  <c r="F35" i="2"/>
  <c r="F27" i="2"/>
  <c r="F29" i="2"/>
  <c r="I51" i="2"/>
  <c r="D48" i="2"/>
  <c r="I44" i="2"/>
  <c r="I52" i="2"/>
  <c r="D46" i="2"/>
  <c r="I42" i="2" l="1"/>
  <c r="H11" i="2"/>
  <c r="H12" i="2"/>
  <c r="M52" i="2"/>
  <c r="M49" i="2"/>
  <c r="M47" i="2"/>
  <c r="M46" i="2"/>
  <c r="M50" i="2"/>
  <c r="M45" i="2"/>
  <c r="M48" i="2"/>
  <c r="M51" i="2"/>
</calcChain>
</file>

<file path=xl/sharedStrings.xml><?xml version="1.0" encoding="utf-8"?>
<sst xmlns="http://schemas.openxmlformats.org/spreadsheetml/2006/main" count="133" uniqueCount="70">
  <si>
    <t>Carbon Calculator</t>
  </si>
  <si>
    <t>https://unhsimap.org/home</t>
  </si>
  <si>
    <t>User = SEMorgan; Pass = TESCOoS2017</t>
  </si>
  <si>
    <t xml:space="preserve">Using new UNH SIMAP calculator for first time. </t>
  </si>
  <si>
    <t>The Evergreen State College</t>
  </si>
  <si>
    <t>Greenhouse Gas Emissions Inventory</t>
  </si>
  <si>
    <t>Campus Population (Headcount)</t>
  </si>
  <si>
    <t>(MTCDE)</t>
  </si>
  <si>
    <t>Faculty</t>
  </si>
  <si>
    <t>THE VALUES BELOW WERE COPIED FROM THE</t>
  </si>
  <si>
    <t>FY 17-18: July 1, 2017 - June 30, 2018</t>
  </si>
  <si>
    <t>Staff</t>
  </si>
  <si>
    <t xml:space="preserve">CALCULATIONS PERFORMED ON THE </t>
  </si>
  <si>
    <t>Students</t>
  </si>
  <si>
    <t>UNH SIMAP Calculator.</t>
  </si>
  <si>
    <t>Gross Emissions</t>
  </si>
  <si>
    <t>Net Emissions</t>
  </si>
  <si>
    <t>MTCDE Per Capita</t>
  </si>
  <si>
    <t>MTCDE Per FTE Enroll</t>
  </si>
  <si>
    <t>MTCDE Calculations include GWP values that should be verified/updated each year.</t>
  </si>
  <si>
    <t>SCOPE 1</t>
  </si>
  <si>
    <t>Emissions (kg)</t>
  </si>
  <si>
    <t>Usage</t>
  </si>
  <si>
    <t>Measure</t>
  </si>
  <si>
    <t>MTCDE</t>
  </si>
  <si>
    <t>% of Total</t>
  </si>
  <si>
    <t>Sum (MTCDE)</t>
  </si>
  <si>
    <t>CO2</t>
  </si>
  <si>
    <t>CH4</t>
  </si>
  <si>
    <t>N2O</t>
  </si>
  <si>
    <t>Combustion of Natural Gas</t>
  </si>
  <si>
    <t>MMBtu</t>
  </si>
  <si>
    <t>Combustion of Distillate Oil #2</t>
  </si>
  <si>
    <t>Gallons</t>
  </si>
  <si>
    <t>Combustion of Propane</t>
  </si>
  <si>
    <t>Vehicle Fleet emissions (Gasoline)</t>
  </si>
  <si>
    <t>Vehicle Fleet emissions (Diesel)</t>
  </si>
  <si>
    <t>Agricultural animals</t>
  </si>
  <si>
    <t>Chickens</t>
  </si>
  <si>
    <t>Fertilizer</t>
  </si>
  <si>
    <t>Pounds</t>
  </si>
  <si>
    <t>Fugitive coolants (HFC-134a and R407C)</t>
  </si>
  <si>
    <t>SCOPE 2</t>
  </si>
  <si>
    <t>Purchased Electricity</t>
  </si>
  <si>
    <t>kWh</t>
  </si>
  <si>
    <t>Transmission Losses</t>
  </si>
  <si>
    <t>Transmission Losses (Now reported by Utilities)</t>
  </si>
  <si>
    <t>Purchased REC's</t>
  </si>
  <si>
    <t>SCOPE 3</t>
  </si>
  <si>
    <t>Student Commuting</t>
  </si>
  <si>
    <t>Miles</t>
  </si>
  <si>
    <t>Faculty/Staff Commuting</t>
  </si>
  <si>
    <t>Business Travel Air</t>
  </si>
  <si>
    <t>Business Travel Personal Vehicles</t>
  </si>
  <si>
    <t>Solid Waste</t>
  </si>
  <si>
    <t>Tons</t>
  </si>
  <si>
    <t>Aggregate Categories</t>
  </si>
  <si>
    <t>After REC's</t>
  </si>
  <si>
    <t>Emissions</t>
  </si>
  <si>
    <t>% of Tot</t>
  </si>
  <si>
    <t>Stationary Combustion</t>
  </si>
  <si>
    <t>Electricity</t>
  </si>
  <si>
    <t>Space Heating</t>
  </si>
  <si>
    <t>Vehicle Fleet</t>
  </si>
  <si>
    <t>Commuting</t>
  </si>
  <si>
    <t>Agriculture</t>
  </si>
  <si>
    <t>Business Travel</t>
  </si>
  <si>
    <t>Fugitive Coolants</t>
  </si>
  <si>
    <t>Electrical Transmission Losses</t>
  </si>
  <si>
    <t>Study abroad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</si>
</sst>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_(* #,##0_);_(* \(#,##0\);_(* \-??_);_(@_)"/>
    <numFmt numFmtId="166" formatCode="0.0"/>
    <numFmt numFmtId="167" formatCode="_(* #,##0.0_);_(* \(#,##0.0\);_(* \-??_);_(@_)"/>
    <numFmt numFmtId="168" formatCode="0.0%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.5"/>
      <color rgb="FF000000"/>
      <name val="Calibri"/>
      <family val="2"/>
      <charset val="1"/>
    </font>
    <font>
      <sz val="8.5"/>
      <color rgb="FF797979"/>
      <name val="Arial"/>
      <family val="2"/>
      <charset val="1"/>
    </font>
    <font>
      <b/>
      <sz val="14"/>
      <color rgb="FF00B050"/>
      <name val="Calibri"/>
      <family val="2"/>
      <charset val="1"/>
    </font>
    <font>
      <sz val="11"/>
      <color rgb="FF333333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95B3D7"/>
        <bgColor rgb="FF8EB4E3"/>
      </patternFill>
    </fill>
    <fill>
      <patternFill patternType="solid">
        <fgColor rgb="FF558ED5"/>
        <bgColor rgb="FF437ABE"/>
      </patternFill>
    </fill>
    <fill>
      <patternFill patternType="solid">
        <fgColor rgb="FFD99694"/>
        <bgColor rgb="FFD09493"/>
      </patternFill>
    </fill>
    <fill>
      <patternFill patternType="solid">
        <fgColor rgb="FFC3D69B"/>
        <bgColor rgb="FFD7E4BD"/>
      </patternFill>
    </fill>
    <fill>
      <patternFill patternType="solid">
        <fgColor rgb="FF8EB4E3"/>
        <bgColor rgb="FF95B3D7"/>
      </patternFill>
    </fill>
    <fill>
      <patternFill patternType="solid">
        <fgColor rgb="FFD7E4BD"/>
        <bgColor rgb="FFDDD9C3"/>
      </patternFill>
    </fill>
    <fill>
      <patternFill patternType="solid">
        <fgColor rgb="FFDBEEF4"/>
        <bgColor rgb="FFDCE6F2"/>
      </patternFill>
    </fill>
    <fill>
      <patternFill patternType="solid">
        <fgColor rgb="FFC6D9F1"/>
        <bgColor rgb="FFB7DEE8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64">
    <xf numFmtId="0" fontId="0" fillId="0" borderId="0" xfId="0"/>
    <xf numFmtId="0" fontId="1" fillId="0" borderId="0" xfId="1"/>
    <xf numFmtId="0" fontId="2" fillId="0" borderId="0" xfId="2" applyFont="1" applyBorder="1" applyAlignment="1" applyProtection="1"/>
    <xf numFmtId="0" fontId="3" fillId="0" borderId="0" xfId="1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center"/>
    </xf>
    <xf numFmtId="0" fontId="8" fillId="2" borderId="0" xfId="1" applyFont="1" applyFill="1"/>
    <xf numFmtId="0" fontId="1" fillId="2" borderId="0" xfId="1" applyFill="1"/>
    <xf numFmtId="0" fontId="1" fillId="2" borderId="0" xfId="1" applyFont="1" applyFill="1" applyAlignment="1">
      <alignment horizontal="right"/>
    </xf>
    <xf numFmtId="0" fontId="8" fillId="3" borderId="0" xfId="1" applyFont="1" applyFill="1"/>
    <xf numFmtId="0" fontId="1" fillId="3" borderId="0" xfId="1" applyFill="1"/>
    <xf numFmtId="0" fontId="2" fillId="0" borderId="0" xfId="2" applyBorder="1" applyAlignment="1" applyProtection="1">
      <alignment vertical="center"/>
    </xf>
    <xf numFmtId="0" fontId="1" fillId="4" borderId="0" xfId="1" applyFill="1"/>
    <xf numFmtId="0" fontId="8" fillId="4" borderId="0" xfId="1" applyFont="1" applyFill="1" applyAlignment="1">
      <alignment horizontal="right"/>
    </xf>
    <xf numFmtId="165" fontId="8" fillId="4" borderId="0" xfId="3" applyNumberFormat="1" applyFont="1" applyFill="1" applyBorder="1" applyAlignment="1" applyProtection="1"/>
    <xf numFmtId="0" fontId="1" fillId="0" borderId="0" xfId="1" applyFont="1" applyAlignment="1">
      <alignment horizontal="right"/>
    </xf>
    <xf numFmtId="0" fontId="1" fillId="5" borderId="0" xfId="1" applyFont="1" applyFill="1"/>
    <xf numFmtId="0" fontId="8" fillId="5" borderId="0" xfId="1" applyFont="1" applyFill="1" applyAlignment="1">
      <alignment horizontal="right"/>
    </xf>
    <xf numFmtId="165" fontId="8" fillId="5" borderId="0" xfId="1" applyNumberFormat="1" applyFont="1" applyFill="1"/>
    <xf numFmtId="0" fontId="8" fillId="5" borderId="0" xfId="1" applyFont="1" applyFill="1"/>
    <xf numFmtId="166" fontId="8" fillId="5" borderId="0" xfId="1" applyNumberFormat="1" applyFont="1" applyFill="1"/>
    <xf numFmtId="0" fontId="1" fillId="0" borderId="0" xfId="1" applyAlignment="1">
      <alignment horizontal="right"/>
    </xf>
    <xf numFmtId="167" fontId="8" fillId="5" borderId="0" xfId="1" applyNumberFormat="1" applyFont="1" applyFill="1"/>
    <xf numFmtId="0" fontId="8" fillId="0" borderId="0" xfId="1" applyFont="1"/>
    <xf numFmtId="0" fontId="8" fillId="4" borderId="1" xfId="1" applyFont="1" applyFill="1" applyBorder="1" applyAlignment="1">
      <alignment horizontal="right"/>
    </xf>
    <xf numFmtId="1" fontId="1" fillId="4" borderId="1" xfId="1" applyNumberFormat="1" applyFill="1" applyBorder="1"/>
    <xf numFmtId="0" fontId="8" fillId="6" borderId="0" xfId="1" applyFont="1" applyFill="1"/>
    <xf numFmtId="0" fontId="1" fillId="6" borderId="0" xfId="1" applyFill="1"/>
    <xf numFmtId="0" fontId="8" fillId="7" borderId="2" xfId="1" applyFont="1" applyFill="1" applyBorder="1" applyAlignment="1">
      <alignment horizontal="center"/>
    </xf>
    <xf numFmtId="0" fontId="8" fillId="7" borderId="3" xfId="1" applyFont="1" applyFill="1" applyBorder="1" applyAlignment="1">
      <alignment horizontal="center"/>
    </xf>
    <xf numFmtId="0" fontId="1" fillId="7" borderId="0" xfId="1" applyFill="1"/>
    <xf numFmtId="0" fontId="8" fillId="7" borderId="0" xfId="1" applyFont="1" applyFill="1" applyAlignment="1">
      <alignment horizontal="center"/>
    </xf>
    <xf numFmtId="165" fontId="0" fillId="8" borderId="2" xfId="3" applyNumberFormat="1" applyFont="1" applyFill="1" applyBorder="1" applyAlignment="1" applyProtection="1"/>
    <xf numFmtId="0" fontId="1" fillId="8" borderId="2" xfId="1" applyFont="1" applyFill="1" applyBorder="1" applyAlignment="1">
      <alignment horizontal="center"/>
    </xf>
    <xf numFmtId="1" fontId="1" fillId="8" borderId="3" xfId="1" applyNumberFormat="1" applyFill="1" applyBorder="1"/>
    <xf numFmtId="168" fontId="0" fillId="8" borderId="2" xfId="4" applyNumberFormat="1" applyFont="1" applyFill="1" applyBorder="1" applyAlignment="1" applyProtection="1"/>
    <xf numFmtId="164" fontId="8" fillId="6" borderId="0" xfId="3" applyFont="1" applyFill="1" applyBorder="1" applyAlignment="1" applyProtection="1"/>
    <xf numFmtId="165" fontId="0" fillId="9" borderId="0" xfId="3" applyNumberFormat="1" applyFont="1" applyFill="1" applyBorder="1" applyAlignment="1" applyProtection="1"/>
    <xf numFmtId="0" fontId="1" fillId="0" borderId="0" xfId="1" applyFont="1" applyAlignment="1">
      <alignment horizontal="left"/>
    </xf>
    <xf numFmtId="165" fontId="9" fillId="8" borderId="2" xfId="3" applyNumberFormat="1" applyFont="1" applyFill="1" applyBorder="1" applyAlignment="1" applyProtection="1"/>
    <xf numFmtId="167" fontId="9" fillId="8" borderId="2" xfId="3" applyNumberFormat="1" applyFont="1" applyFill="1" applyBorder="1" applyAlignment="1" applyProtection="1"/>
    <xf numFmtId="164" fontId="10" fillId="6" borderId="0" xfId="3" applyFont="1" applyFill="1" applyBorder="1" applyAlignment="1" applyProtection="1"/>
    <xf numFmtId="0" fontId="1" fillId="0" borderId="0" xfId="1" applyBorder="1"/>
    <xf numFmtId="0" fontId="8" fillId="4" borderId="2" xfId="1" applyFont="1" applyFill="1" applyBorder="1" applyAlignment="1">
      <alignment horizontal="right"/>
    </xf>
    <xf numFmtId="1" fontId="1" fillId="4" borderId="2" xfId="1" applyNumberFormat="1" applyFill="1" applyBorder="1"/>
    <xf numFmtId="165" fontId="8" fillId="6" borderId="0" xfId="3" applyNumberFormat="1" applyFont="1" applyFill="1" applyBorder="1" applyAlignment="1" applyProtection="1"/>
    <xf numFmtId="0" fontId="11" fillId="0" borderId="0" xfId="1" applyFont="1"/>
    <xf numFmtId="168" fontId="0" fillId="0" borderId="0" xfId="4" applyNumberFormat="1" applyFont="1" applyBorder="1" applyAlignment="1" applyProtection="1"/>
    <xf numFmtId="165" fontId="0" fillId="0" borderId="2" xfId="3" applyNumberFormat="1" applyFont="1" applyBorder="1" applyAlignment="1" applyProtection="1"/>
    <xf numFmtId="168" fontId="0" fillId="8" borderId="4" xfId="4" applyNumberFormat="1" applyFont="1" applyFill="1" applyBorder="1" applyAlignment="1" applyProtection="1"/>
    <xf numFmtId="0" fontId="1" fillId="10" borderId="0" xfId="1" applyFill="1" applyAlignment="1">
      <alignment horizontal="right"/>
    </xf>
    <xf numFmtId="0" fontId="1" fillId="8" borderId="5" xfId="1" applyFont="1" applyFill="1" applyBorder="1" applyAlignment="1">
      <alignment horizontal="center"/>
    </xf>
    <xf numFmtId="4" fontId="1" fillId="0" borderId="0" xfId="1" applyNumberFormat="1"/>
    <xf numFmtId="165" fontId="8" fillId="0" borderId="0" xfId="3" applyNumberFormat="1" applyFont="1" applyBorder="1" applyAlignment="1" applyProtection="1"/>
    <xf numFmtId="0" fontId="8" fillId="0" borderId="0" xfId="1" applyFont="1" applyAlignment="1">
      <alignment horizontal="right"/>
    </xf>
    <xf numFmtId="165" fontId="8" fillId="0" borderId="0" xfId="1" applyNumberFormat="1" applyFont="1"/>
    <xf numFmtId="168" fontId="1" fillId="0" borderId="0" xfId="1" applyNumberFormat="1"/>
    <xf numFmtId="1" fontId="1" fillId="0" borderId="0" xfId="1" applyNumberFormat="1"/>
    <xf numFmtId="1" fontId="1" fillId="8" borderId="2" xfId="1" applyNumberFormat="1" applyFill="1" applyBorder="1"/>
    <xf numFmtId="1" fontId="1" fillId="8" borderId="2" xfId="1" applyNumberFormat="1" applyFill="1" applyBorder="1" applyAlignment="1">
      <alignment horizontal="right"/>
    </xf>
  </cellXfs>
  <cellStyles count="5">
    <cellStyle name="Comma 2" xfId="3" xr:uid="{0551913B-0554-C143-8BA4-E9BD886EB743}"/>
    <cellStyle name="Hyperlink" xfId="2" builtinId="8"/>
    <cellStyle name="Normal" xfId="0" builtinId="0"/>
    <cellStyle name="Normal 2" xfId="1" xr:uid="{981FB8F9-7BAD-3048-B16F-FCEA2A89249F}"/>
    <cellStyle name="Percent 2" xfId="4" xr:uid="{8CD07B1B-228D-B24E-B671-662CC7D79D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Times New Roman"/>
              </a:defRPr>
            </a:pPr>
            <a:r>
              <a:rPr lang="en-U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Times New Roman"/>
              </a:rPr>
              <a:t>% of Total Greenhouse Gas Emissions by Source
FY 2015 - 16</a:t>
            </a:r>
          </a:p>
        </c:rich>
      </c:tx>
      <c:overlay val="0"/>
    </c:title>
    <c:autoTitleDeleted val="0"/>
    <c:view3D>
      <c:rotX val="75"/>
      <c:rotY val="0"/>
      <c:rAngAx val="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>
        <c:manualLayout>
          <c:layoutTarget val="inner"/>
          <c:xMode val="edge"/>
          <c:yMode val="edge"/>
          <c:x val="0.20758309307512399"/>
          <c:y val="0.238879424569373"/>
          <c:w val="0.60632105749877596"/>
          <c:h val="0.756514606599784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  <c:spPr>
              <a:solidFill>
                <a:srgbClr val="4672A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2A76-A04F-8928-A39052AFF820}"/>
              </c:ext>
            </c:extLst>
          </c:dPt>
          <c:dPt>
            <c:idx val="1"/>
            <c:bubble3D val="0"/>
            <c:spPr>
              <a:solidFill>
                <a:srgbClr val="AB474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2A76-A04F-8928-A39052AFF820}"/>
              </c:ext>
            </c:extLst>
          </c:dPt>
          <c:dPt>
            <c:idx val="2"/>
            <c:bubble3D val="0"/>
            <c:spPr>
              <a:solidFill>
                <a:srgbClr val="8AA64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2A76-A04F-8928-A39052AFF820}"/>
              </c:ext>
            </c:extLst>
          </c:dPt>
          <c:dPt>
            <c:idx val="3"/>
            <c:bubble3D val="0"/>
            <c:spPr>
              <a:solidFill>
                <a:srgbClr val="72599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2A76-A04F-8928-A39052AFF820}"/>
              </c:ext>
            </c:extLst>
          </c:dPt>
          <c:dPt>
            <c:idx val="4"/>
            <c:bubble3D val="0"/>
            <c:spPr>
              <a:solidFill>
                <a:srgbClr val="4299B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2A76-A04F-8928-A39052AFF820}"/>
              </c:ext>
            </c:extLst>
          </c:dPt>
          <c:dPt>
            <c:idx val="5"/>
            <c:bubble3D val="0"/>
            <c:spPr>
              <a:solidFill>
                <a:srgbClr val="DC853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2A76-A04F-8928-A39052AFF820}"/>
              </c:ext>
            </c:extLst>
          </c:dPt>
          <c:dPt>
            <c:idx val="6"/>
            <c:bubble3D val="0"/>
            <c:spPr>
              <a:solidFill>
                <a:srgbClr val="93A9C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2A76-A04F-8928-A39052AFF820}"/>
              </c:ext>
            </c:extLst>
          </c:dPt>
          <c:dPt>
            <c:idx val="7"/>
            <c:bubble3D val="0"/>
            <c:spPr>
              <a:solidFill>
                <a:srgbClr val="D0949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2A76-A04F-8928-A39052AFF820}"/>
              </c:ext>
            </c:extLst>
          </c:dPt>
          <c:dLbls>
            <c:dLbl>
              <c:idx val="0"/>
              <c:dLblPos val="bestFit"/>
              <c:showLegendKey val="1"/>
              <c:showVal val="1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76-A04F-8928-A39052AFF820}"/>
                </c:ext>
              </c:extLst>
            </c:dLbl>
            <c:dLbl>
              <c:idx val="4"/>
              <c:dLblPos val="bestFit"/>
              <c:showLegendKey val="1"/>
              <c:showVal val="1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76-A04F-8928-A39052AFF82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Report!$G$44:$G$51</c:f>
              <c:strCache>
                <c:ptCount val="8"/>
                <c:pt idx="0">
                  <c:v>Electricity</c:v>
                </c:pt>
                <c:pt idx="1">
                  <c:v>Space Heating</c:v>
                </c:pt>
                <c:pt idx="2">
                  <c:v>Commuting</c:v>
                </c:pt>
                <c:pt idx="3">
                  <c:v>Business Travel</c:v>
                </c:pt>
                <c:pt idx="4">
                  <c:v>Electrical Transmission Losses</c:v>
                </c:pt>
                <c:pt idx="5">
                  <c:v>Vehicle Fleet</c:v>
                </c:pt>
                <c:pt idx="6">
                  <c:v>Solid Waste</c:v>
                </c:pt>
                <c:pt idx="7">
                  <c:v>Agriculture</c:v>
                </c:pt>
              </c:strCache>
            </c:strRef>
          </c:cat>
          <c:val>
            <c:numRef>
              <c:f>Report!$I$44:$I$51</c:f>
              <c:numCache>
                <c:formatCode>0.0%</c:formatCode>
                <c:ptCount val="8"/>
                <c:pt idx="0">
                  <c:v>0.36825958071782827</c:v>
                </c:pt>
                <c:pt idx="1">
                  <c:v>0.31293983911014894</c:v>
                </c:pt>
                <c:pt idx="2">
                  <c:v>0.21201136539427773</c:v>
                </c:pt>
                <c:pt idx="3">
                  <c:v>4.923488795949351E-2</c:v>
                </c:pt>
                <c:pt idx="4">
                  <c:v>2.7038089125307682E-2</c:v>
                </c:pt>
                <c:pt idx="5">
                  <c:v>1.5181597085691835E-2</c:v>
                </c:pt>
                <c:pt idx="6">
                  <c:v>1.3667574840254572E-4</c:v>
                </c:pt>
                <c:pt idx="7">
                  <c:v>1.5177303370050882E-2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A76-A04F-8928-A39052AFF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D9D9D9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Times New Roman"/>
              </a:defRPr>
            </a:pPr>
            <a:r>
              <a:rPr lang="en-U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Times New Roman"/>
              </a:rPr>
              <a:t>Total Greenhouse Gas Emissions by Source
FY 16 - 17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882323359316099"/>
          <c:y val="0.28939308706794198"/>
          <c:w val="0.50792054312295698"/>
          <c:h val="0.59578723670229405"/>
        </c:manualLayout>
      </c:layout>
      <c:doughnutChart>
        <c:varyColors val="1"/>
        <c:ser>
          <c:idx val="0"/>
          <c:order val="0"/>
          <c:tx>
            <c:strRef>
              <c:f>Report!$L$44</c:f>
              <c:strCache>
                <c:ptCount val="1"/>
                <c:pt idx="0">
                  <c:v>MTCDE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A7-2E4A-A715-FEE2D1568E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A7-2E4A-A715-FEE2D1568E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3A7-2E4A-A715-FEE2D1568E0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3A7-2E4A-A715-FEE2D1568E0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3A7-2E4A-A715-FEE2D1568E0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3A7-2E4A-A715-FEE2D1568E0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3A7-2E4A-A715-FEE2D1568E0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3A7-2E4A-A715-FEE2D1568E07}"/>
              </c:ext>
            </c:extLst>
          </c:dPt>
          <c:dLbls>
            <c:dLbl>
              <c:idx val="3"/>
              <c:showLegendKey val="1"/>
              <c:showVal val="1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A7-2E4A-A715-FEE2D1568E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Report!$K$45:$K$52</c:f>
              <c:strCache>
                <c:ptCount val="8"/>
                <c:pt idx="0">
                  <c:v>Space Heating</c:v>
                </c:pt>
                <c:pt idx="1">
                  <c:v>Commuting</c:v>
                </c:pt>
                <c:pt idx="2">
                  <c:v>Business Travel</c:v>
                </c:pt>
                <c:pt idx="3">
                  <c:v>Electrical Transmission Losses</c:v>
                </c:pt>
                <c:pt idx="4">
                  <c:v>Vehicle Fleet</c:v>
                </c:pt>
                <c:pt idx="5">
                  <c:v>Solid Waste</c:v>
                </c:pt>
                <c:pt idx="6">
                  <c:v>Agriculture</c:v>
                </c:pt>
                <c:pt idx="7">
                  <c:v>Fugitive Coolants</c:v>
                </c:pt>
              </c:strCache>
            </c:strRef>
          </c:cat>
          <c:val>
            <c:numRef>
              <c:f>Report!$L$45:$L$52</c:f>
              <c:numCache>
                <c:formatCode>0</c:formatCode>
                <c:ptCount val="8"/>
                <c:pt idx="0">
                  <c:v>4846.7344000000003</c:v>
                </c:pt>
                <c:pt idx="1">
                  <c:v>3283.5793000000003</c:v>
                </c:pt>
                <c:pt idx="2">
                  <c:v>762.53770000000009</c:v>
                </c:pt>
                <c:pt idx="3">
                  <c:v>6122.2720000000008</c:v>
                </c:pt>
                <c:pt idx="4">
                  <c:v>235.12879999999996</c:v>
                </c:pt>
                <c:pt idx="5">
                  <c:v>2.1168000000000005</c:v>
                </c:pt>
                <c:pt idx="6">
                  <c:v>235.06229999999996</c:v>
                </c:pt>
                <c:pt idx="7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A7-2E4A-A715-FEE2D1568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942840</xdr:colOff>
      <xdr:row>56</xdr:row>
      <xdr:rowOff>9360</xdr:rowOff>
    </xdr:from>
    <xdr:to>
      <xdr:col>8</xdr:col>
      <xdr:colOff>51120</xdr:colOff>
      <xdr:row>85</xdr:row>
      <xdr:rowOff>190080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C35155-3955-B343-BE6D-EC8F76B73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468720</xdr:colOff>
      <xdr:row>56</xdr:row>
      <xdr:rowOff>13680</xdr:rowOff>
    </xdr:from>
    <xdr:to>
      <xdr:col>21</xdr:col>
      <xdr:colOff>569866</xdr:colOff>
      <xdr:row>86</xdr:row>
      <xdr:rowOff>57960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36442F-AF63-324E-8545-B80CDCD6CB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uelalfieri/Google%20Drive/Evergreen%20Sustainability%20Analyst/GHG%20Inventory/17-18-GHG-Inventory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ravel Calcs"/>
      <sheetName val="Report"/>
      <sheetName val="Gas &amp; Electric"/>
      <sheetName val="Total Energy"/>
      <sheetName val="DES MotorPool-rev"/>
    </sheetNames>
    <sheetDataSet>
      <sheetData sheetId="0">
        <row r="6">
          <cell r="H6">
            <v>3907</v>
          </cell>
        </row>
        <row r="7">
          <cell r="K7">
            <v>223</v>
          </cell>
          <cell r="L7">
            <v>551</v>
          </cell>
        </row>
        <row r="11">
          <cell r="A11">
            <v>1754.7</v>
          </cell>
        </row>
        <row r="12">
          <cell r="A12">
            <v>89621.503099999987</v>
          </cell>
        </row>
        <row r="13">
          <cell r="A13">
            <v>855.4</v>
          </cell>
        </row>
        <row r="14">
          <cell r="A14">
            <v>215.3</v>
          </cell>
        </row>
        <row r="15">
          <cell r="A15">
            <v>100</v>
          </cell>
        </row>
        <row r="16">
          <cell r="A16">
            <v>10759.5</v>
          </cell>
        </row>
        <row r="17">
          <cell r="A17">
            <v>1734.04</v>
          </cell>
        </row>
        <row r="18">
          <cell r="A18">
            <v>4988.8500000000004</v>
          </cell>
        </row>
        <row r="19">
          <cell r="A19">
            <v>15288.232</v>
          </cell>
        </row>
        <row r="20">
          <cell r="A20">
            <v>266.2</v>
          </cell>
        </row>
        <row r="21">
          <cell r="A21">
            <v>3135.7849999999999</v>
          </cell>
        </row>
        <row r="22">
          <cell r="A22">
            <v>160</v>
          </cell>
        </row>
        <row r="23">
          <cell r="A23">
            <v>6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2000</v>
          </cell>
        </row>
        <row r="28">
          <cell r="A28">
            <v>1600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50</v>
          </cell>
        </row>
        <row r="36">
          <cell r="A36">
            <v>0</v>
          </cell>
        </row>
        <row r="37">
          <cell r="A37">
            <v>14779080</v>
          </cell>
        </row>
        <row r="78">
          <cell r="A78">
            <v>251861.89781021897</v>
          </cell>
        </row>
        <row r="81">
          <cell r="A81">
            <v>271.85999999999996</v>
          </cell>
        </row>
        <row r="82">
          <cell r="A82">
            <v>32.4</v>
          </cell>
        </row>
        <row r="85">
          <cell r="A85">
            <v>14779080</v>
          </cell>
        </row>
      </sheetData>
      <sheetData sheetId="1">
        <row r="9">
          <cell r="C9">
            <v>183485.9259259259</v>
          </cell>
        </row>
        <row r="12">
          <cell r="B12">
            <v>1681296.1313868612</v>
          </cell>
        </row>
      </sheetData>
      <sheetData sheetId="2">
        <row r="44">
          <cell r="G44" t="str">
            <v>Electricity</v>
          </cell>
          <cell r="I44">
            <v>0.36825958071782827</v>
          </cell>
          <cell r="L44" t="str">
            <v>MTCDE</v>
          </cell>
        </row>
        <row r="45">
          <cell r="G45" t="str">
            <v>Space Heating</v>
          </cell>
          <cell r="I45">
            <v>0.31293983911014894</v>
          </cell>
          <cell r="K45" t="str">
            <v>Space Heating</v>
          </cell>
          <cell r="L45">
            <v>4846.7344000000003</v>
          </cell>
        </row>
        <row r="46">
          <cell r="G46" t="str">
            <v>Commuting</v>
          </cell>
          <cell r="I46">
            <v>0.21201136539427773</v>
          </cell>
          <cell r="K46" t="str">
            <v>Commuting</v>
          </cell>
          <cell r="L46">
            <v>3283.5793000000003</v>
          </cell>
        </row>
        <row r="47">
          <cell r="G47" t="str">
            <v>Business Travel</v>
          </cell>
          <cell r="I47">
            <v>4.923488795949351E-2</v>
          </cell>
          <cell r="K47" t="str">
            <v>Business Travel</v>
          </cell>
          <cell r="L47">
            <v>762.53770000000009</v>
          </cell>
        </row>
        <row r="48">
          <cell r="G48" t="str">
            <v>Electrical Transmission Losses</v>
          </cell>
          <cell r="I48">
            <v>2.7038089125307682E-2</v>
          </cell>
          <cell r="K48" t="str">
            <v>Electrical Transmission Losses</v>
          </cell>
          <cell r="L48">
            <v>6122.2720000000008</v>
          </cell>
        </row>
        <row r="49">
          <cell r="G49" t="str">
            <v>Vehicle Fleet</v>
          </cell>
          <cell r="I49">
            <v>1.5181597085691835E-2</v>
          </cell>
          <cell r="K49" t="str">
            <v>Vehicle Fleet</v>
          </cell>
          <cell r="L49">
            <v>235.12879999999996</v>
          </cell>
        </row>
        <row r="50">
          <cell r="G50" t="str">
            <v>Solid Waste</v>
          </cell>
          <cell r="I50">
            <v>1.3667574840254572E-4</v>
          </cell>
          <cell r="K50" t="str">
            <v>Solid Waste</v>
          </cell>
          <cell r="L50">
            <v>2.1168000000000005</v>
          </cell>
        </row>
        <row r="51">
          <cell r="G51" t="str">
            <v>Agriculture</v>
          </cell>
          <cell r="I51">
            <v>1.5177303370050882E-2</v>
          </cell>
          <cell r="K51" t="str">
            <v>Agriculture</v>
          </cell>
          <cell r="L51">
            <v>235.06229999999996</v>
          </cell>
        </row>
        <row r="52">
          <cell r="K52" t="str">
            <v>Fugitive Coolants</v>
          </cell>
          <cell r="L52">
            <v>0.32</v>
          </cell>
        </row>
      </sheetData>
      <sheetData sheetId="3">
        <row r="28">
          <cell r="T28">
            <v>1094746.6666666665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44B9-F58E-9449-96B5-7AE668C5F617}">
  <sheetPr>
    <pageSetUpPr fitToPage="1"/>
  </sheetPr>
  <dimension ref="A1:R52"/>
  <sheetViews>
    <sheetView tabSelected="1" zoomScale="98" zoomScaleNormal="98" workbookViewId="0">
      <selection activeCell="B39" sqref="B39"/>
    </sheetView>
  </sheetViews>
  <sheetFormatPr baseColWidth="10" defaultColWidth="8.83203125" defaultRowHeight="15" x14ac:dyDescent="0.2"/>
  <cols>
    <col min="1" max="1" width="21" style="1" customWidth="1"/>
    <col min="2" max="2" width="18.1640625" style="1" customWidth="1"/>
    <col min="3" max="3" width="13.83203125" style="1" customWidth="1"/>
    <col min="4" max="4" width="11.1640625" style="1" customWidth="1"/>
    <col min="5" max="5" width="14.6640625" style="1" customWidth="1"/>
    <col min="6" max="6" width="10.5" style="1" customWidth="1"/>
    <col min="7" max="10" width="8.5" style="1" customWidth="1"/>
    <col min="11" max="11" width="13.1640625" style="1" customWidth="1"/>
    <col min="12" max="12" width="8.83203125" style="1"/>
    <col min="13" max="13" width="9.5" style="1" customWidth="1"/>
    <col min="14" max="14" width="9.33203125" style="1" customWidth="1"/>
    <col min="15" max="1025" width="8.5" style="1" customWidth="1"/>
    <col min="1026" max="16384" width="8.83203125" style="1"/>
  </cols>
  <sheetData>
    <row r="1" spans="1:18" x14ac:dyDescent="0.2">
      <c r="A1" s="1" t="s">
        <v>0</v>
      </c>
      <c r="B1" s="2" t="s">
        <v>1</v>
      </c>
      <c r="F1" s="3"/>
    </row>
    <row r="2" spans="1:18" x14ac:dyDescent="0.2">
      <c r="A2" s="1" t="s">
        <v>2</v>
      </c>
      <c r="F2" s="1" t="s">
        <v>3</v>
      </c>
      <c r="G2" s="3"/>
      <c r="R2" s="4"/>
    </row>
    <row r="3" spans="1:18" x14ac:dyDescent="0.2">
      <c r="G3" s="2" t="s">
        <v>1</v>
      </c>
      <c r="R3" s="5"/>
    </row>
    <row r="4" spans="1:18" ht="19" x14ac:dyDescent="0.25">
      <c r="B4" s="6"/>
      <c r="C4" s="7" t="s">
        <v>4</v>
      </c>
      <c r="D4" s="7"/>
      <c r="G4" s="8"/>
      <c r="K4" s="2"/>
      <c r="R4" s="5"/>
    </row>
    <row r="5" spans="1:18" x14ac:dyDescent="0.2">
      <c r="R5" s="5"/>
    </row>
    <row r="6" spans="1:18" x14ac:dyDescent="0.2">
      <c r="B6" s="9"/>
      <c r="C6" s="9" t="s">
        <v>5</v>
      </c>
      <c r="D6" s="9"/>
      <c r="F6" s="10" t="s">
        <v>6</v>
      </c>
      <c r="G6" s="11"/>
      <c r="H6" s="11"/>
      <c r="R6" s="5"/>
    </row>
    <row r="7" spans="1:18" x14ac:dyDescent="0.2">
      <c r="C7" s="9" t="s">
        <v>7</v>
      </c>
      <c r="D7" s="9"/>
      <c r="F7" s="12" t="s">
        <v>8</v>
      </c>
      <c r="G7" s="10">
        <f>[1]Inputs!K7</f>
        <v>223</v>
      </c>
      <c r="H7" s="11"/>
      <c r="K7" s="13" t="s">
        <v>9</v>
      </c>
      <c r="L7" s="14"/>
      <c r="M7" s="14"/>
      <c r="N7" s="14"/>
      <c r="R7" s="5"/>
    </row>
    <row r="8" spans="1:18" x14ac:dyDescent="0.2">
      <c r="B8" s="9"/>
      <c r="C8" s="9" t="s">
        <v>10</v>
      </c>
      <c r="D8" s="9"/>
      <c r="F8" s="12" t="s">
        <v>11</v>
      </c>
      <c r="G8" s="10">
        <f>[1]Inputs!L7</f>
        <v>551</v>
      </c>
      <c r="H8" s="11"/>
      <c r="K8" s="13" t="s">
        <v>12</v>
      </c>
      <c r="L8" s="14"/>
      <c r="M8" s="14"/>
      <c r="N8" s="14"/>
      <c r="R8" s="15"/>
    </row>
    <row r="9" spans="1:18" x14ac:dyDescent="0.2">
      <c r="F9" s="12" t="s">
        <v>13</v>
      </c>
      <c r="G9" s="10">
        <f>[1]Inputs!H6</f>
        <v>3907</v>
      </c>
      <c r="H9" s="11"/>
      <c r="K9" s="13" t="s">
        <v>14</v>
      </c>
      <c r="L9" s="14"/>
      <c r="M9" s="14"/>
      <c r="N9" s="14"/>
      <c r="R9" s="15"/>
    </row>
    <row r="10" spans="1:18" x14ac:dyDescent="0.2">
      <c r="C10" s="16"/>
      <c r="D10" s="17" t="s">
        <v>15</v>
      </c>
      <c r="E10" s="18">
        <f>E$13+E$25+E$31</f>
        <v>15487.751300000002</v>
      </c>
    </row>
    <row r="11" spans="1:18" x14ac:dyDescent="0.2">
      <c r="B11" s="19"/>
      <c r="C11" s="20"/>
      <c r="D11" s="21" t="s">
        <v>16</v>
      </c>
      <c r="E11" s="22">
        <f>E$10+E$29</f>
        <v>15487.751300000002</v>
      </c>
      <c r="F11" s="23"/>
      <c r="G11" s="21" t="s">
        <v>17</v>
      </c>
      <c r="H11" s="24">
        <f>E11/(G9+G8+G7)</f>
        <v>3.3086415936765654</v>
      </c>
    </row>
    <row r="12" spans="1:18" x14ac:dyDescent="0.2">
      <c r="B12" s="25"/>
      <c r="F12" s="20"/>
      <c r="G12" s="21" t="s">
        <v>18</v>
      </c>
      <c r="H12" s="26">
        <f>E11/4225</f>
        <v>3.6657399526627223</v>
      </c>
      <c r="K12" s="27" t="s">
        <v>19</v>
      </c>
    </row>
    <row r="13" spans="1:18" x14ac:dyDescent="0.2">
      <c r="B13" s="25"/>
      <c r="D13" s="28" t="s">
        <v>20</v>
      </c>
      <c r="E13" s="29">
        <f>SUM(E15:E23)</f>
        <v>5317.2455</v>
      </c>
      <c r="L13" s="30" t="s">
        <v>21</v>
      </c>
      <c r="M13" s="31"/>
    </row>
    <row r="14" spans="1:18" x14ac:dyDescent="0.2">
      <c r="B14" s="25"/>
      <c r="C14" s="32" t="s">
        <v>22</v>
      </c>
      <c r="D14" s="32" t="s">
        <v>23</v>
      </c>
      <c r="E14" s="33" t="s">
        <v>24</v>
      </c>
      <c r="F14" s="32" t="s">
        <v>25</v>
      </c>
      <c r="G14" s="34"/>
      <c r="H14" s="34"/>
      <c r="I14" s="34"/>
      <c r="J14" s="34"/>
      <c r="K14" s="35" t="s">
        <v>26</v>
      </c>
      <c r="L14" s="35" t="s">
        <v>27</v>
      </c>
      <c r="M14" s="35" t="s">
        <v>28</v>
      </c>
      <c r="N14" s="35" t="s">
        <v>29</v>
      </c>
    </row>
    <row r="15" spans="1:18" ht="16" x14ac:dyDescent="0.2">
      <c r="B15" s="25" t="s">
        <v>30</v>
      </c>
      <c r="C15" s="36">
        <f>[1]Inputs!A12</f>
        <v>89621.503099999987</v>
      </c>
      <c r="D15" s="37" t="s">
        <v>31</v>
      </c>
      <c r="E15" s="38">
        <f>K15</f>
        <v>4765.9025000000001</v>
      </c>
      <c r="F15" s="39">
        <f>E15/E$10</f>
        <v>0.3077207534963452</v>
      </c>
      <c r="K15" s="40">
        <f t="shared" ref="K15:K22" si="0">(L15+28*M15+265*N15)/1000</f>
        <v>4765.9025000000001</v>
      </c>
      <c r="L15" s="41">
        <v>4751758.4000000004</v>
      </c>
      <c r="M15" s="41">
        <v>424.7</v>
      </c>
      <c r="N15" s="41">
        <v>8.5</v>
      </c>
      <c r="O15" s="42" t="s">
        <v>30</v>
      </c>
    </row>
    <row r="16" spans="1:18" ht="16" x14ac:dyDescent="0.2">
      <c r="B16" s="25" t="s">
        <v>32</v>
      </c>
      <c r="C16" s="36">
        <f>[1]Inputs!A11</f>
        <v>1754.7</v>
      </c>
      <c r="D16" s="37" t="s">
        <v>33</v>
      </c>
      <c r="E16" s="38">
        <f>K16</f>
        <v>18.088999999999999</v>
      </c>
      <c r="F16" s="39">
        <f>E16/E$10</f>
        <v>1.1679552214917085E-3</v>
      </c>
      <c r="K16" s="40">
        <f t="shared" si="0"/>
        <v>18.088999999999999</v>
      </c>
      <c r="L16" s="41">
        <v>17998.099999999999</v>
      </c>
      <c r="M16" s="41">
        <v>2.2999999999999998</v>
      </c>
      <c r="N16" s="41">
        <v>0.1</v>
      </c>
      <c r="O16" s="42" t="s">
        <v>32</v>
      </c>
    </row>
    <row r="17" spans="2:18" ht="16" x14ac:dyDescent="0.2">
      <c r="B17" s="25" t="s">
        <v>34</v>
      </c>
      <c r="C17" s="43">
        <f>[1]Inputs!A13+[1]Inputs!A14+[1]Inputs!A15+[1]Inputs!A16</f>
        <v>11930.2</v>
      </c>
      <c r="D17" s="37" t="s">
        <v>33</v>
      </c>
      <c r="E17" s="38">
        <f>K17</f>
        <v>62.742899999999999</v>
      </c>
      <c r="F17" s="39">
        <f>E17/E$10</f>
        <v>4.0511303923120197E-3</v>
      </c>
      <c r="K17" s="40">
        <f t="shared" si="0"/>
        <v>62.742899999999999</v>
      </c>
      <c r="L17" s="41">
        <v>62315.1</v>
      </c>
      <c r="M17" s="41">
        <v>9.6</v>
      </c>
      <c r="N17" s="41">
        <v>0.6</v>
      </c>
      <c r="O17" s="42" t="s">
        <v>34</v>
      </c>
    </row>
    <row r="18" spans="2:18" ht="16" x14ac:dyDescent="0.2">
      <c r="B18" s="25" t="s">
        <v>35</v>
      </c>
      <c r="C18" s="43">
        <f>[1]Inputs!A18+[1]Inputs!A19+[1]Inputs!A17</f>
        <v>22011.122000000003</v>
      </c>
      <c r="D18" s="37" t="s">
        <v>33</v>
      </c>
      <c r="E18" s="38">
        <f>K18</f>
        <v>199.94259999999997</v>
      </c>
      <c r="F18" s="39">
        <f>E18/E$10</f>
        <v>1.2909724344553489E-2</v>
      </c>
      <c r="K18" s="40">
        <f t="shared" si="0"/>
        <v>199.94259999999997</v>
      </c>
      <c r="L18" s="41">
        <v>195161.3</v>
      </c>
      <c r="M18" s="41">
        <v>41.1</v>
      </c>
      <c r="N18" s="41">
        <v>13.7</v>
      </c>
      <c r="O18" s="42" t="s">
        <v>35</v>
      </c>
    </row>
    <row r="19" spans="2:18" ht="16" x14ac:dyDescent="0.2">
      <c r="B19" s="25" t="s">
        <v>36</v>
      </c>
      <c r="C19" s="43">
        <f>[1]Inputs!A20+[1]Inputs!A21</f>
        <v>3401.9849999999997</v>
      </c>
      <c r="D19" s="37" t="s">
        <v>33</v>
      </c>
      <c r="E19" s="38">
        <f>K19</f>
        <v>35.186199999999999</v>
      </c>
      <c r="F19" s="39">
        <f>E19/E$10</f>
        <v>2.2718727411383467E-3</v>
      </c>
      <c r="K19" s="40">
        <f t="shared" si="0"/>
        <v>35.186199999999999</v>
      </c>
      <c r="L19" s="41">
        <v>34894.5</v>
      </c>
      <c r="M19" s="41">
        <v>1.9</v>
      </c>
      <c r="N19" s="41">
        <v>0.9</v>
      </c>
      <c r="O19" s="42" t="s">
        <v>36</v>
      </c>
    </row>
    <row r="20" spans="2:18" ht="16" x14ac:dyDescent="0.2">
      <c r="B20" s="25"/>
      <c r="C20" s="36"/>
      <c r="D20" s="37"/>
      <c r="E20" s="38"/>
      <c r="F20" s="39"/>
      <c r="K20" s="40">
        <f t="shared" si="0"/>
        <v>0</v>
      </c>
      <c r="L20" s="41"/>
      <c r="M20" s="41"/>
      <c r="N20" s="41"/>
      <c r="O20" s="42"/>
    </row>
    <row r="21" spans="2:18" ht="16" x14ac:dyDescent="0.2">
      <c r="B21" s="25" t="s">
        <v>37</v>
      </c>
      <c r="C21" s="36">
        <f>SUM([1]Inputs!A30:A36)</f>
        <v>50</v>
      </c>
      <c r="D21" s="37" t="s">
        <v>38</v>
      </c>
      <c r="E21" s="38">
        <f>K21</f>
        <v>0.24580000000000002</v>
      </c>
      <c r="F21" s="39">
        <f>E21/E$10</f>
        <v>1.5870606083402177E-5</v>
      </c>
      <c r="K21" s="40">
        <f t="shared" si="0"/>
        <v>0.24580000000000002</v>
      </c>
      <c r="L21" s="41"/>
      <c r="M21" s="41">
        <v>3.1</v>
      </c>
      <c r="N21" s="41">
        <v>0.6</v>
      </c>
      <c r="O21" s="42" t="s">
        <v>37</v>
      </c>
    </row>
    <row r="22" spans="2:18" ht="16" x14ac:dyDescent="0.2">
      <c r="B22" s="25" t="s">
        <v>39</v>
      </c>
      <c r="C22" s="43">
        <f>[1]Inputs!A26+[1]Inputs!A28</f>
        <v>3600</v>
      </c>
      <c r="D22" s="37" t="s">
        <v>40</v>
      </c>
      <c r="E22" s="38">
        <f>K22</f>
        <v>234.81649999999996</v>
      </c>
      <c r="F22" s="39">
        <f>E22/E$10</f>
        <v>1.516143276396748E-2</v>
      </c>
      <c r="K22" s="40">
        <f t="shared" si="0"/>
        <v>234.81649999999996</v>
      </c>
      <c r="L22" s="41"/>
      <c r="M22" s="41"/>
      <c r="N22" s="41">
        <f>619.3+266.8</f>
        <v>886.09999999999991</v>
      </c>
      <c r="O22" s="42" t="s">
        <v>39</v>
      </c>
    </row>
    <row r="23" spans="2:18" ht="16" x14ac:dyDescent="0.2">
      <c r="B23" s="25" t="s">
        <v>41</v>
      </c>
      <c r="C23" s="44">
        <f>[1]Inputs!A22+[1]Inputs!A23+[1]Inputs!A24+[1]Inputs!A25</f>
        <v>166</v>
      </c>
      <c r="D23" s="37" t="s">
        <v>40</v>
      </c>
      <c r="E23" s="38">
        <f>K23</f>
        <v>0.32</v>
      </c>
      <c r="F23" s="39">
        <f>E23/E$10</f>
        <v>2.0661488798570776E-5</v>
      </c>
      <c r="K23" s="45">
        <v>0.32</v>
      </c>
      <c r="L23" s="41"/>
      <c r="M23" s="41"/>
      <c r="N23" s="41"/>
      <c r="O23" s="42" t="s">
        <v>41</v>
      </c>
    </row>
    <row r="24" spans="2:18" x14ac:dyDescent="0.2">
      <c r="B24" s="25"/>
      <c r="C24" s="46"/>
      <c r="D24" s="46"/>
      <c r="E24" s="46"/>
      <c r="F24" s="46"/>
      <c r="O24" s="42"/>
    </row>
    <row r="25" spans="2:18" x14ac:dyDescent="0.2">
      <c r="B25" s="25"/>
      <c r="D25" s="47" t="s">
        <v>42</v>
      </c>
      <c r="E25" s="48">
        <f>SUM(E27:E28)</f>
        <v>6122.2720000000008</v>
      </c>
      <c r="F25" s="46"/>
      <c r="L25" s="30" t="s">
        <v>21</v>
      </c>
      <c r="M25" s="31"/>
      <c r="O25" s="42"/>
    </row>
    <row r="26" spans="2:18" x14ac:dyDescent="0.2">
      <c r="B26" s="25"/>
      <c r="C26" s="32" t="s">
        <v>22</v>
      </c>
      <c r="D26" s="32" t="s">
        <v>23</v>
      </c>
      <c r="E26" s="33" t="s">
        <v>24</v>
      </c>
      <c r="F26" s="32" t="s">
        <v>25</v>
      </c>
      <c r="G26" s="34"/>
      <c r="H26" s="34"/>
      <c r="I26" s="34"/>
      <c r="J26" s="34"/>
      <c r="K26" s="35" t="s">
        <v>26</v>
      </c>
      <c r="L26" s="35" t="s">
        <v>27</v>
      </c>
      <c r="M26" s="35" t="s">
        <v>28</v>
      </c>
      <c r="N26" s="35" t="s">
        <v>29</v>
      </c>
      <c r="O26" s="42"/>
    </row>
    <row r="27" spans="2:18" ht="16" x14ac:dyDescent="0.2">
      <c r="B27" s="25" t="s">
        <v>43</v>
      </c>
      <c r="C27" s="36">
        <f>[1]Inputs!A37</f>
        <v>14779080</v>
      </c>
      <c r="D27" s="37" t="s">
        <v>44</v>
      </c>
      <c r="E27" s="38">
        <f>K27</f>
        <v>5703.5128000000004</v>
      </c>
      <c r="F27" s="39">
        <f>E27/E$10</f>
        <v>0.36825958071782827</v>
      </c>
      <c r="K27" s="49">
        <f>(L27+25*M27+298*N27)/1000</f>
        <v>5703.5128000000004</v>
      </c>
      <c r="L27" s="41">
        <v>5648384.9000000004</v>
      </c>
      <c r="M27" s="41">
        <v>628.1</v>
      </c>
      <c r="N27" s="41">
        <v>132.30000000000001</v>
      </c>
      <c r="O27" s="42" t="s">
        <v>43</v>
      </c>
      <c r="R27" s="50"/>
    </row>
    <row r="28" spans="2:18" ht="16" x14ac:dyDescent="0.2">
      <c r="B28" s="25" t="s">
        <v>45</v>
      </c>
      <c r="C28" s="36">
        <f>'[1]Gas &amp; Electric'!T28</f>
        <v>1094746.6666666665</v>
      </c>
      <c r="D28" s="37" t="s">
        <v>44</v>
      </c>
      <c r="E28" s="38">
        <f>K28</f>
        <v>418.75919999999996</v>
      </c>
      <c r="F28" s="39">
        <f>E28/E$10</f>
        <v>2.7038089125307682E-2</v>
      </c>
      <c r="K28" s="49">
        <f>(L28+25*M28+298*N28)/1000</f>
        <v>418.75919999999996</v>
      </c>
      <c r="L28" s="41">
        <v>414716.1</v>
      </c>
      <c r="M28" s="41">
        <v>46.1</v>
      </c>
      <c r="N28" s="41">
        <v>9.6999999999999993</v>
      </c>
      <c r="O28" s="42" t="s">
        <v>46</v>
      </c>
    </row>
    <row r="29" spans="2:18" ht="16" x14ac:dyDescent="0.2">
      <c r="B29" s="25" t="s">
        <v>47</v>
      </c>
      <c r="C29" s="36">
        <f>[1]Inputs!A85</f>
        <v>14779080</v>
      </c>
      <c r="D29" s="37" t="s">
        <v>44</v>
      </c>
      <c r="E29" s="38">
        <f>K29</f>
        <v>0</v>
      </c>
      <c r="F29" s="39">
        <f>E29/E$10</f>
        <v>0</v>
      </c>
      <c r="K29" s="49">
        <f>(L29+25*M29+298*N29)/1000</f>
        <v>0</v>
      </c>
      <c r="L29" s="41"/>
      <c r="M29" s="41"/>
      <c r="N29" s="41"/>
      <c r="O29" s="42" t="s">
        <v>47</v>
      </c>
    </row>
    <row r="30" spans="2:18" x14ac:dyDescent="0.2">
      <c r="B30" s="25"/>
      <c r="F30" s="46"/>
      <c r="O30" s="42"/>
    </row>
    <row r="31" spans="2:18" ht="16" x14ac:dyDescent="0.2">
      <c r="B31" s="25"/>
      <c r="D31" s="47" t="s">
        <v>48</v>
      </c>
      <c r="E31" s="48">
        <f>SUM(E33:E37)</f>
        <v>4048.2338</v>
      </c>
      <c r="F31" s="51"/>
      <c r="L31" s="30" t="s">
        <v>21</v>
      </c>
      <c r="M31" s="31"/>
      <c r="O31" s="42"/>
    </row>
    <row r="32" spans="2:18" x14ac:dyDescent="0.2">
      <c r="B32" s="25"/>
      <c r="C32" s="32" t="s">
        <v>22</v>
      </c>
      <c r="D32" s="32" t="s">
        <v>23</v>
      </c>
      <c r="E32" s="33" t="s">
        <v>24</v>
      </c>
      <c r="F32" s="32" t="s">
        <v>25</v>
      </c>
      <c r="G32" s="34"/>
      <c r="H32" s="34"/>
      <c r="I32" s="34"/>
      <c r="J32" s="34"/>
      <c r="K32" s="35" t="s">
        <v>26</v>
      </c>
      <c r="L32" s="35" t="s">
        <v>27</v>
      </c>
      <c r="M32" s="35" t="s">
        <v>28</v>
      </c>
      <c r="N32" s="35" t="s">
        <v>29</v>
      </c>
      <c r="O32" s="42"/>
    </row>
    <row r="33" spans="2:15" ht="16" x14ac:dyDescent="0.2">
      <c r="B33" s="25" t="s">
        <v>49</v>
      </c>
      <c r="C33" s="52"/>
      <c r="D33" s="37" t="s">
        <v>50</v>
      </c>
      <c r="E33" s="38">
        <f>K33</f>
        <v>1859.9118000000001</v>
      </c>
      <c r="F33" s="53">
        <f>E33/E$10</f>
        <v>0.12008920881884252</v>
      </c>
      <c r="K33" s="49">
        <f>(L33+28*M33+265*N33)/1000</f>
        <v>1859.9118000000001</v>
      </c>
      <c r="L33" s="41">
        <f>1371662.6+450904.2</f>
        <v>1822566.8</v>
      </c>
      <c r="M33" s="41">
        <f>288.6+24.9</f>
        <v>313.5</v>
      </c>
      <c r="N33" s="41">
        <f>96.5+11.3</f>
        <v>107.8</v>
      </c>
      <c r="O33" s="42" t="s">
        <v>49</v>
      </c>
    </row>
    <row r="34" spans="2:15" ht="16" x14ac:dyDescent="0.2">
      <c r="B34" s="25" t="s">
        <v>51</v>
      </c>
      <c r="C34" s="52"/>
      <c r="D34" s="37" t="s">
        <v>50</v>
      </c>
      <c r="E34" s="38">
        <f>K34</f>
        <v>1423.6675</v>
      </c>
      <c r="F34" s="39">
        <f>E34/E$10</f>
        <v>9.192215657543519E-2</v>
      </c>
      <c r="K34" s="49">
        <f>(L34+28*M34+265*N34)/1000</f>
        <v>1423.6675</v>
      </c>
      <c r="L34" s="41">
        <f>1187264.9+205583.5</f>
        <v>1392848.4</v>
      </c>
      <c r="M34" s="41">
        <f>249.8+11.4</f>
        <v>261.2</v>
      </c>
      <c r="N34" s="41">
        <f>83.5+5.2</f>
        <v>88.7</v>
      </c>
      <c r="O34" s="42" t="s">
        <v>51</v>
      </c>
    </row>
    <row r="35" spans="2:15" ht="16" x14ac:dyDescent="0.2">
      <c r="B35" s="25" t="s">
        <v>52</v>
      </c>
      <c r="C35" s="36">
        <f>'[1]Travel Calcs'!B12</f>
        <v>1681296.1313868612</v>
      </c>
      <c r="D35" s="37" t="s">
        <v>50</v>
      </c>
      <c r="E35" s="38">
        <f>K35</f>
        <v>689.33770000000004</v>
      </c>
      <c r="F35" s="39">
        <f>E35/E$10</f>
        <v>4.4508572396820448E-2</v>
      </c>
      <c r="K35" s="49">
        <f>(L35+28*M35+265*N35)/1000</f>
        <v>689.33770000000004</v>
      </c>
      <c r="L35" s="41">
        <v>687080.3</v>
      </c>
      <c r="M35" s="41">
        <v>6.8</v>
      </c>
      <c r="N35" s="41">
        <v>7.8</v>
      </c>
      <c r="O35" s="42" t="s">
        <v>52</v>
      </c>
    </row>
    <row r="36" spans="2:15" ht="16" x14ac:dyDescent="0.2">
      <c r="B36" s="25" t="s">
        <v>53</v>
      </c>
      <c r="C36" s="36">
        <f>'[1]Travel Calcs'!C9</f>
        <v>183485.9259259259</v>
      </c>
      <c r="D36" s="37" t="s">
        <v>50</v>
      </c>
      <c r="E36" s="38">
        <f>K36</f>
        <v>73.2</v>
      </c>
      <c r="F36" s="39">
        <f>E36/E$10</f>
        <v>4.7263155626730653E-3</v>
      </c>
      <c r="K36" s="49">
        <f>(L36+28*M36+265*N36)/1000</f>
        <v>73.2</v>
      </c>
      <c r="L36" s="41">
        <v>71455</v>
      </c>
      <c r="M36" s="41">
        <v>15</v>
      </c>
      <c r="N36" s="41">
        <v>5</v>
      </c>
      <c r="O36" s="42" t="s">
        <v>53</v>
      </c>
    </row>
    <row r="37" spans="2:15" ht="16" x14ac:dyDescent="0.2">
      <c r="B37" s="25" t="s">
        <v>54</v>
      </c>
      <c r="C37" s="43">
        <f>[1]Inputs!A81+[1]Inputs!A82</f>
        <v>304.25999999999993</v>
      </c>
      <c r="D37" s="37" t="s">
        <v>55</v>
      </c>
      <c r="E37" s="38">
        <f>K37</f>
        <v>2.1168000000000005</v>
      </c>
      <c r="F37" s="39">
        <f>E37/E$10</f>
        <v>1.3667574840254572E-4</v>
      </c>
      <c r="K37" s="49">
        <f>(L37+28*M37+265*N37)/1000</f>
        <v>2.1168000000000005</v>
      </c>
      <c r="L37" s="41"/>
      <c r="M37" s="41">
        <f>401.8-326.2</f>
        <v>75.600000000000023</v>
      </c>
      <c r="N37" s="41"/>
      <c r="O37" s="42" t="s">
        <v>54</v>
      </c>
    </row>
    <row r="38" spans="2:15" x14ac:dyDescent="0.2">
      <c r="B38" s="54" t="s">
        <v>69</v>
      </c>
      <c r="C38" s="1">
        <f>[1]Inputs!A78</f>
        <v>251861.89781021897</v>
      </c>
      <c r="D38" s="55"/>
      <c r="L38" s="56">
        <v>121061.5</v>
      </c>
      <c r="M38" s="1">
        <v>1.2</v>
      </c>
      <c r="N38" s="1">
        <v>1.4</v>
      </c>
    </row>
    <row r="41" spans="2:15" x14ac:dyDescent="0.2">
      <c r="B41" s="19"/>
      <c r="D41" s="27" t="s">
        <v>56</v>
      </c>
      <c r="E41" s="57"/>
    </row>
    <row r="42" spans="2:15" x14ac:dyDescent="0.2">
      <c r="B42" s="25"/>
      <c r="D42" s="58"/>
      <c r="E42" s="59"/>
      <c r="I42" s="60">
        <f>SUM(I44:I52)</f>
        <v>0.99999999999999989</v>
      </c>
      <c r="K42" s="27" t="s">
        <v>57</v>
      </c>
      <c r="L42" s="61">
        <f>SUM(L45:L52)</f>
        <v>15487.751300000002</v>
      </c>
    </row>
    <row r="43" spans="2:15" x14ac:dyDescent="0.2">
      <c r="C43" s="32" t="s">
        <v>58</v>
      </c>
      <c r="D43" s="32" t="s">
        <v>25</v>
      </c>
      <c r="H43" s="9" t="s">
        <v>24</v>
      </c>
      <c r="I43" s="9" t="s">
        <v>59</v>
      </c>
    </row>
    <row r="44" spans="2:15" ht="16" x14ac:dyDescent="0.2">
      <c r="B44" s="25" t="s">
        <v>60</v>
      </c>
      <c r="C44" s="62">
        <f>E15+E16+E17</f>
        <v>4846.7344000000003</v>
      </c>
      <c r="D44" s="39">
        <f t="shared" ref="D44:D51" si="1">C44/$E$10</f>
        <v>0.31293983911014894</v>
      </c>
      <c r="G44" s="25" t="s">
        <v>61</v>
      </c>
      <c r="H44" s="63">
        <f>$E$27</f>
        <v>5703.5128000000004</v>
      </c>
      <c r="I44" s="39">
        <f t="shared" ref="I44:I52" si="2">H44/$E$10</f>
        <v>0.36825958071782827</v>
      </c>
      <c r="L44" s="9" t="s">
        <v>24</v>
      </c>
      <c r="M44" s="9" t="s">
        <v>59</v>
      </c>
    </row>
    <row r="45" spans="2:15" ht="16" x14ac:dyDescent="0.2">
      <c r="B45" s="25" t="s">
        <v>61</v>
      </c>
      <c r="C45" s="62">
        <f>E27+E28</f>
        <v>6122.2720000000008</v>
      </c>
      <c r="D45" s="39">
        <f t="shared" si="1"/>
        <v>0.39529766984313597</v>
      </c>
      <c r="G45" s="25" t="s">
        <v>62</v>
      </c>
      <c r="H45" s="63">
        <f>$E$15+$E$16+$E$17</f>
        <v>4846.7344000000003</v>
      </c>
      <c r="I45" s="39">
        <f t="shared" si="2"/>
        <v>0.31293983911014894</v>
      </c>
      <c r="K45" s="25" t="s">
        <v>62</v>
      </c>
      <c r="L45" s="63">
        <f>$E$15+$E$16+$E$17</f>
        <v>4846.7344000000003</v>
      </c>
      <c r="M45" s="39">
        <f t="shared" ref="M45:M52" si="3">L45/$E$11</f>
        <v>0.31293983911014894</v>
      </c>
    </row>
    <row r="46" spans="2:15" ht="16" x14ac:dyDescent="0.2">
      <c r="B46" s="25" t="s">
        <v>63</v>
      </c>
      <c r="C46" s="62">
        <f>E18+E19+E20</f>
        <v>235.12879999999996</v>
      </c>
      <c r="D46" s="39">
        <f t="shared" si="1"/>
        <v>1.5181597085691835E-2</v>
      </c>
      <c r="G46" s="25" t="s">
        <v>64</v>
      </c>
      <c r="H46" s="63">
        <f>$E$33+$E$34</f>
        <v>3283.5793000000003</v>
      </c>
      <c r="I46" s="39">
        <f t="shared" si="2"/>
        <v>0.21201136539427773</v>
      </c>
      <c r="K46" s="25" t="s">
        <v>64</v>
      </c>
      <c r="L46" s="63">
        <f>$E$33+$E$34</f>
        <v>3283.5793000000003</v>
      </c>
      <c r="M46" s="39">
        <f t="shared" si="3"/>
        <v>0.21201136539427773</v>
      </c>
    </row>
    <row r="47" spans="2:15" ht="16" x14ac:dyDescent="0.2">
      <c r="B47" s="25" t="s">
        <v>65</v>
      </c>
      <c r="C47" s="62">
        <f>E21+E22</f>
        <v>235.06229999999996</v>
      </c>
      <c r="D47" s="39">
        <f t="shared" si="1"/>
        <v>1.5177303370050882E-2</v>
      </c>
      <c r="G47" s="25" t="s">
        <v>66</v>
      </c>
      <c r="H47" s="63">
        <f>$E$35+$E$36</f>
        <v>762.53770000000009</v>
      </c>
      <c r="I47" s="39">
        <f t="shared" si="2"/>
        <v>4.923488795949351E-2</v>
      </c>
      <c r="K47" s="25" t="s">
        <v>66</v>
      </c>
      <c r="L47" s="63">
        <f>$E$35+$E$36</f>
        <v>762.53770000000009</v>
      </c>
      <c r="M47" s="39">
        <f t="shared" si="3"/>
        <v>4.923488795949351E-2</v>
      </c>
    </row>
    <row r="48" spans="2:15" ht="16" x14ac:dyDescent="0.2">
      <c r="B48" s="25" t="s">
        <v>67</v>
      </c>
      <c r="C48" s="62">
        <f>E23</f>
        <v>0.32</v>
      </c>
      <c r="D48" s="39">
        <f t="shared" si="1"/>
        <v>2.0661488798570776E-5</v>
      </c>
      <c r="G48" s="25" t="s">
        <v>68</v>
      </c>
      <c r="H48" s="63">
        <f>$E$28</f>
        <v>418.75919999999996</v>
      </c>
      <c r="I48" s="39">
        <f t="shared" si="2"/>
        <v>2.7038089125307682E-2</v>
      </c>
      <c r="K48" s="25" t="s">
        <v>68</v>
      </c>
      <c r="L48" s="63">
        <f>$E$28+$E$27+$E$29</f>
        <v>6122.2720000000008</v>
      </c>
      <c r="M48" s="39">
        <f t="shared" si="3"/>
        <v>0.39529766984313597</v>
      </c>
    </row>
    <row r="49" spans="2:13" ht="16" x14ac:dyDescent="0.2">
      <c r="B49" s="25" t="s">
        <v>64</v>
      </c>
      <c r="C49" s="62">
        <f>E33+E34</f>
        <v>3283.5793000000003</v>
      </c>
      <c r="D49" s="39">
        <f t="shared" si="1"/>
        <v>0.21201136539427773</v>
      </c>
      <c r="G49" s="25" t="s">
        <v>63</v>
      </c>
      <c r="H49" s="63">
        <f>$E$18+$E$19+$E$20</f>
        <v>235.12879999999996</v>
      </c>
      <c r="I49" s="39">
        <f t="shared" si="2"/>
        <v>1.5181597085691835E-2</v>
      </c>
      <c r="K49" s="25" t="s">
        <v>63</v>
      </c>
      <c r="L49" s="63">
        <f>$E$18+$E$19+$E$20</f>
        <v>235.12879999999996</v>
      </c>
      <c r="M49" s="39">
        <f t="shared" si="3"/>
        <v>1.5181597085691835E-2</v>
      </c>
    </row>
    <row r="50" spans="2:13" ht="16" x14ac:dyDescent="0.2">
      <c r="B50" s="25" t="s">
        <v>66</v>
      </c>
      <c r="C50" s="62">
        <f>E35+E36</f>
        <v>762.53770000000009</v>
      </c>
      <c r="D50" s="39">
        <f t="shared" si="1"/>
        <v>4.923488795949351E-2</v>
      </c>
      <c r="G50" s="25" t="s">
        <v>54</v>
      </c>
      <c r="H50" s="63">
        <f>$E$37</f>
        <v>2.1168000000000005</v>
      </c>
      <c r="I50" s="39">
        <f t="shared" si="2"/>
        <v>1.3667574840254572E-4</v>
      </c>
      <c r="K50" s="25" t="s">
        <v>54</v>
      </c>
      <c r="L50" s="63">
        <f>$E$37</f>
        <v>2.1168000000000005</v>
      </c>
      <c r="M50" s="39">
        <f t="shared" si="3"/>
        <v>1.3667574840254572E-4</v>
      </c>
    </row>
    <row r="51" spans="2:13" ht="16" x14ac:dyDescent="0.2">
      <c r="B51" s="25" t="s">
        <v>54</v>
      </c>
      <c r="C51" s="62">
        <f>E37</f>
        <v>2.1168000000000005</v>
      </c>
      <c r="D51" s="39">
        <f t="shared" si="1"/>
        <v>1.3667574840254572E-4</v>
      </c>
      <c r="G51" s="25" t="s">
        <v>65</v>
      </c>
      <c r="H51" s="63">
        <f>$E$21+$E$22</f>
        <v>235.06229999999996</v>
      </c>
      <c r="I51" s="39">
        <f t="shared" si="2"/>
        <v>1.5177303370050882E-2</v>
      </c>
      <c r="K51" s="25" t="s">
        <v>65</v>
      </c>
      <c r="L51" s="63">
        <f>$E$21+$E$22</f>
        <v>235.06229999999996</v>
      </c>
      <c r="M51" s="39">
        <f t="shared" si="3"/>
        <v>1.5177303370050882E-2</v>
      </c>
    </row>
    <row r="52" spans="2:13" ht="16" x14ac:dyDescent="0.2">
      <c r="G52" s="25" t="s">
        <v>67</v>
      </c>
      <c r="H52" s="63">
        <f>$E$23</f>
        <v>0.32</v>
      </c>
      <c r="I52" s="39">
        <f t="shared" si="2"/>
        <v>2.0661488798570776E-5</v>
      </c>
      <c r="K52" s="25" t="s">
        <v>67</v>
      </c>
      <c r="L52" s="63">
        <f>$E$23</f>
        <v>0.32</v>
      </c>
      <c r="M52" s="39">
        <f t="shared" si="3"/>
        <v>2.0661488798570776E-5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2019-04-18T19:24:11Z</dcterms:created>
  <dcterms:modified xsi:type="dcterms:W3CDTF">2019-04-18T19:25:10Z</dcterms:modified>
</cp:coreProperties>
</file>