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3"/>
  <workbookPr defaultThemeVersion="166925"/>
  <mc:AlternateContent xmlns:mc="http://schemas.openxmlformats.org/markup-compatibility/2006">
    <mc:Choice Requires="x15">
      <x15ac:absPath xmlns:x15ac="http://schemas.microsoft.com/office/spreadsheetml/2010/11/ac" url="C:\Users\argelber\Documents\"/>
    </mc:Choice>
  </mc:AlternateContent>
  <xr:revisionPtr revIDLastSave="0" documentId="8_{AA00EF32-D5D3-45D4-8A9F-F83A6F6860A0}" xr6:coauthVersionLast="36" xr6:coauthVersionMax="36" xr10:uidLastSave="{00000000-0000-0000-0000-000000000000}"/>
  <bookViews>
    <workbookView xWindow="0" yWindow="0" windowWidth="24000" windowHeight="10920" activeTab="1" xr2:uid="{00000000-000D-0000-FFFF-FFFF00000000}"/>
  </bookViews>
  <sheets>
    <sheet name="Mtgs" sheetId="13" r:id="rId1"/>
    <sheet name="STARS Cat" sheetId="2" r:id="rId2"/>
    <sheet name="Data Submit 2020" sheetId="17" r:id="rId3"/>
    <sheet name="Emissions - NOX,etc" sheetId="19" r:id="rId4"/>
    <sheet name="Util Sum 20" sheetId="16" r:id="rId5"/>
    <sheet name="Water 20" sheetId="18" r:id="rId6"/>
    <sheet name="SW 20" sheetId="14" r:id="rId7"/>
    <sheet name="Purchase" sheetId="5" r:id="rId8"/>
    <sheet name="Transport 20" sheetId="7" r:id="rId9"/>
    <sheet name="NYC GHG 20" sheetId="15" r:id="rId10"/>
    <sheet name="Util Sum 19" sheetId="10" r:id="rId11"/>
    <sheet name="SW 19" sheetId="9" r:id="rId12"/>
    <sheet name="Water 19" sheetId="12" r:id="rId13"/>
    <sheet name="Landscape, BioD" sheetId="11" r:id="rId14"/>
    <sheet name="NYC GHG 07 - 18" sheetId="6" r:id="rId1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0" i="19" l="1"/>
  <c r="I30" i="19"/>
  <c r="E30" i="19"/>
  <c r="L28" i="19"/>
  <c r="L30" i="19" s="1"/>
  <c r="E28" i="19"/>
  <c r="L24" i="19"/>
  <c r="E24" i="19"/>
  <c r="C24" i="19"/>
  <c r="L22" i="19"/>
  <c r="E22" i="19"/>
  <c r="O12" i="19"/>
  <c r="L12" i="19"/>
  <c r="I12" i="19"/>
  <c r="E12" i="19"/>
  <c r="O8" i="19"/>
  <c r="I8" i="19"/>
  <c r="L8" i="19"/>
  <c r="E8" i="19"/>
  <c r="F14" i="5" l="1"/>
  <c r="E14" i="5"/>
  <c r="U16" i="5"/>
  <c r="C45" i="7" l="1"/>
  <c r="C44" i="7"/>
  <c r="C43" i="7"/>
  <c r="I29" i="5" l="1"/>
  <c r="I31" i="5" s="1"/>
  <c r="H31" i="5"/>
  <c r="F29" i="5"/>
  <c r="G29" i="5" s="1"/>
  <c r="H27" i="5" s="1"/>
  <c r="H30" i="5" l="1"/>
  <c r="I27" i="5"/>
  <c r="I30" i="5" s="1"/>
  <c r="S36" i="5"/>
  <c r="T36" i="5" s="1"/>
  <c r="L24" i="5"/>
  <c r="L21" i="5"/>
  <c r="C33" i="7" l="1"/>
  <c r="L8" i="18" l="1"/>
  <c r="K8" i="18"/>
  <c r="K6" i="18"/>
  <c r="AM42" i="18"/>
  <c r="AI42" i="18"/>
  <c r="AK42" i="18"/>
  <c r="AL42" i="18"/>
  <c r="U42" i="18"/>
  <c r="V42" i="18"/>
  <c r="W42" i="18"/>
  <c r="X42" i="18"/>
  <c r="Y42" i="18"/>
  <c r="AA42" i="18"/>
  <c r="AB42" i="18"/>
  <c r="AC42" i="18"/>
  <c r="AD42" i="18"/>
  <c r="AE42" i="18"/>
  <c r="AF42" i="18"/>
  <c r="AG42" i="18"/>
  <c r="M42" i="18"/>
  <c r="N43" i="18"/>
  <c r="G42" i="18"/>
  <c r="I42" i="18"/>
  <c r="K42" i="18"/>
  <c r="U207" i="18"/>
  <c r="Q207" i="18"/>
  <c r="O207" i="18"/>
  <c r="M207" i="18"/>
  <c r="H207" i="18"/>
  <c r="J206" i="18"/>
  <c r="R206" i="18" s="1"/>
  <c r="J205" i="18"/>
  <c r="R205" i="18" s="1"/>
  <c r="J204" i="18"/>
  <c r="R204" i="18" s="1"/>
  <c r="R203" i="18"/>
  <c r="R202" i="18"/>
  <c r="J202" i="18"/>
  <c r="R201" i="18"/>
  <c r="J201" i="18"/>
  <c r="R200" i="18"/>
  <c r="J200" i="18"/>
  <c r="R199" i="18"/>
  <c r="J199" i="18"/>
  <c r="R198" i="18"/>
  <c r="J198" i="18"/>
  <c r="R197" i="18"/>
  <c r="J197" i="18"/>
  <c r="R196" i="18"/>
  <c r="J196" i="18"/>
  <c r="R195" i="18"/>
  <c r="J195" i="18"/>
  <c r="R194" i="18"/>
  <c r="J194" i="18"/>
  <c r="R193" i="18"/>
  <c r="X192" i="18"/>
  <c r="R192" i="18"/>
  <c r="J192" i="18"/>
  <c r="R190" i="18"/>
  <c r="J190" i="18"/>
  <c r="R189" i="18"/>
  <c r="J189" i="18"/>
  <c r="J207" i="18" s="1"/>
  <c r="W187" i="18"/>
  <c r="V158" i="18"/>
  <c r="Q155" i="18"/>
  <c r="P155" i="18"/>
  <c r="J155" i="18"/>
  <c r="I155" i="18"/>
  <c r="H155" i="18"/>
  <c r="G155" i="18"/>
  <c r="R110" i="18"/>
  <c r="R108" i="18"/>
  <c r="R105" i="18"/>
  <c r="J105" i="18"/>
  <c r="R102" i="18"/>
  <c r="J102" i="18"/>
  <c r="R100" i="18"/>
  <c r="J98" i="18"/>
  <c r="R98" i="18" s="1"/>
  <c r="J96" i="18"/>
  <c r="R96" i="18" s="1"/>
  <c r="J95" i="18"/>
  <c r="R95" i="18" s="1"/>
  <c r="J93" i="18"/>
  <c r="R93" i="18" s="1"/>
  <c r="J91" i="18"/>
  <c r="R91" i="18" s="1"/>
  <c r="J90" i="18"/>
  <c r="R90" i="18" s="1"/>
  <c r="J89" i="18"/>
  <c r="R89" i="18" s="1"/>
  <c r="R87" i="18"/>
  <c r="R85" i="18"/>
  <c r="R84" i="18"/>
  <c r="D78" i="18"/>
  <c r="G77" i="18"/>
  <c r="H77" i="18" s="1"/>
  <c r="E77" i="18"/>
  <c r="H76" i="18"/>
  <c r="G76" i="18"/>
  <c r="E76" i="18"/>
  <c r="G75" i="18"/>
  <c r="H75" i="18" s="1"/>
  <c r="E75" i="18"/>
  <c r="H74" i="18"/>
  <c r="G74" i="18"/>
  <c r="E74" i="18"/>
  <c r="G73" i="18"/>
  <c r="H73" i="18" s="1"/>
  <c r="E73" i="18"/>
  <c r="H72" i="18"/>
  <c r="G72" i="18"/>
  <c r="E72" i="18"/>
  <c r="G71" i="18"/>
  <c r="H71" i="18" s="1"/>
  <c r="E71" i="18"/>
  <c r="H70" i="18"/>
  <c r="G70" i="18"/>
  <c r="E70" i="18"/>
  <c r="G69" i="18"/>
  <c r="H69" i="18" s="1"/>
  <c r="E69" i="18"/>
  <c r="H68" i="18"/>
  <c r="G68" i="18"/>
  <c r="E68" i="18"/>
  <c r="G67" i="18"/>
  <c r="H67" i="18" s="1"/>
  <c r="E67" i="18"/>
  <c r="H66" i="18"/>
  <c r="G66" i="18"/>
  <c r="E66" i="18"/>
  <c r="G65" i="18"/>
  <c r="H65" i="18" s="1"/>
  <c r="E65" i="18"/>
  <c r="H64" i="18"/>
  <c r="G64" i="18"/>
  <c r="E64" i="18"/>
  <c r="X63" i="18"/>
  <c r="H63" i="18"/>
  <c r="G63" i="18"/>
  <c r="E63" i="18"/>
  <c r="G62" i="18"/>
  <c r="H62" i="18" s="1"/>
  <c r="E62" i="18"/>
  <c r="H61" i="18"/>
  <c r="G61" i="18"/>
  <c r="E61" i="18"/>
  <c r="G60" i="18"/>
  <c r="G78" i="18" s="1"/>
  <c r="H78" i="18" s="1"/>
  <c r="E60" i="18"/>
  <c r="H50" i="18"/>
  <c r="E49" i="18"/>
  <c r="N45" i="18"/>
  <c r="AJ42" i="18"/>
  <c r="AH42" i="18"/>
  <c r="Z42" i="18"/>
  <c r="T42" i="18"/>
  <c r="S42" i="18"/>
  <c r="R42" i="18"/>
  <c r="Q42" i="18"/>
  <c r="P42" i="18"/>
  <c r="O42" i="18"/>
  <c r="L42" i="18"/>
  <c r="J42" i="18"/>
  <c r="H42" i="18"/>
  <c r="F42" i="18"/>
  <c r="D42" i="18"/>
  <c r="C42" i="18"/>
  <c r="E41" i="18"/>
  <c r="E40" i="18"/>
  <c r="E39" i="18"/>
  <c r="E38" i="18"/>
  <c r="E37" i="18"/>
  <c r="E36" i="18"/>
  <c r="E35" i="18"/>
  <c r="E34" i="18"/>
  <c r="E33" i="18"/>
  <c r="E32" i="18"/>
  <c r="E31" i="18"/>
  <c r="E30" i="18"/>
  <c r="E42" i="18" s="1"/>
  <c r="H60" i="18" l="1"/>
  <c r="F48" i="14" l="1"/>
  <c r="K25" i="17" l="1"/>
  <c r="K24" i="17"/>
  <c r="K23" i="17"/>
  <c r="K22" i="17"/>
  <c r="J26" i="17"/>
  <c r="M32" i="14" l="1"/>
  <c r="F78" i="17" l="1"/>
  <c r="E32" i="17"/>
  <c r="G32" i="17" s="1"/>
  <c r="O28" i="17"/>
  <c r="O27" i="17"/>
  <c r="O21" i="17"/>
  <c r="N20" i="17"/>
  <c r="I20" i="17"/>
  <c r="H20" i="17"/>
  <c r="G20" i="17"/>
  <c r="D20" i="17"/>
  <c r="M17" i="17"/>
  <c r="AD15" i="17"/>
  <c r="AC15" i="17"/>
  <c r="AB15" i="17"/>
  <c r="AA15" i="17"/>
  <c r="Z15" i="17"/>
  <c r="Y15" i="17"/>
  <c r="X15" i="17"/>
  <c r="AC7" i="17"/>
  <c r="Z7" i="17"/>
  <c r="Y7" i="17"/>
  <c r="X7" i="17"/>
  <c r="AB6" i="17"/>
  <c r="AB7" i="17" s="1"/>
  <c r="AA6" i="17"/>
  <c r="AA7" i="17" s="1"/>
  <c r="O6" i="17"/>
  <c r="O20" i="17" l="1"/>
  <c r="E31" i="15"/>
  <c r="G31" i="15" s="1"/>
  <c r="J23" i="15" l="1"/>
  <c r="L29" i="15"/>
  <c r="L28" i="15"/>
  <c r="L27" i="15"/>
  <c r="K26" i="15"/>
  <c r="G29" i="14"/>
  <c r="G28" i="14"/>
  <c r="H28" i="14" s="1"/>
  <c r="I28" i="14" s="1"/>
  <c r="G27" i="14"/>
  <c r="G26" i="14"/>
  <c r="H26" i="14" s="1"/>
  <c r="I26" i="14" s="1"/>
  <c r="G25" i="14"/>
  <c r="G24" i="14"/>
  <c r="H24" i="14" l="1"/>
  <c r="I24" i="14" s="1"/>
  <c r="H16" i="14"/>
  <c r="I16" i="14" s="1"/>
  <c r="G7" i="14"/>
  <c r="G8" i="14"/>
  <c r="G9" i="14"/>
  <c r="H8" i="14" s="1"/>
  <c r="I8" i="14" s="1"/>
  <c r="G10" i="14"/>
  <c r="H10" i="14" s="1"/>
  <c r="I10" i="14" s="1"/>
  <c r="G11" i="14"/>
  <c r="G12" i="14"/>
  <c r="G13" i="14"/>
  <c r="H12" i="14" s="1"/>
  <c r="G14" i="14"/>
  <c r="G15" i="14"/>
  <c r="G16" i="14"/>
  <c r="G17" i="14"/>
  <c r="G18" i="14"/>
  <c r="H18" i="14" s="1"/>
  <c r="I18" i="14" s="1"/>
  <c r="G19" i="14"/>
  <c r="G20" i="14"/>
  <c r="G21" i="14"/>
  <c r="H20" i="14" s="1"/>
  <c r="G22" i="14"/>
  <c r="G23" i="14"/>
  <c r="G6" i="14"/>
  <c r="H6" i="14" l="1"/>
  <c r="I6" i="14" s="1"/>
  <c r="I14" i="14"/>
  <c r="I20" i="14"/>
  <c r="I12" i="14"/>
  <c r="H14" i="14"/>
  <c r="H22" i="14"/>
  <c r="I22" i="14" s="1"/>
  <c r="G26" i="15"/>
  <c r="E67" i="16"/>
  <c r="E66" i="16"/>
  <c r="E65" i="16"/>
  <c r="E68" i="16" s="1"/>
  <c r="N68" i="16" s="1"/>
  <c r="BQ51" i="16"/>
  <c r="BP51" i="16"/>
  <c r="BO51" i="16"/>
  <c r="BL51" i="16"/>
  <c r="BK51" i="16"/>
  <c r="BI51" i="16"/>
  <c r="BD51" i="16"/>
  <c r="BC51" i="16"/>
  <c r="BB51" i="16"/>
  <c r="AU51" i="16"/>
  <c r="AT51" i="16"/>
  <c r="AS51" i="16"/>
  <c r="AP51" i="16"/>
  <c r="AO51" i="16"/>
  <c r="AN51" i="16"/>
  <c r="AK51" i="16"/>
  <c r="AJ51" i="16"/>
  <c r="AI51" i="16"/>
  <c r="AG51" i="16"/>
  <c r="AE51" i="16"/>
  <c r="AD51" i="16"/>
  <c r="AB51" i="16"/>
  <c r="Z51" i="16"/>
  <c r="Y51" i="16"/>
  <c r="X51" i="16"/>
  <c r="V51" i="16"/>
  <c r="Q51" i="16"/>
  <c r="P51" i="16"/>
  <c r="N51" i="16"/>
  <c r="F52" i="16" s="1"/>
  <c r="F53" i="16" s="1"/>
  <c r="I51" i="16"/>
  <c r="H51" i="16"/>
  <c r="F51" i="16"/>
  <c r="E51" i="16"/>
  <c r="AH20" i="16"/>
  <c r="AA6" i="16"/>
  <c r="E26" i="15"/>
  <c r="F26" i="15"/>
  <c r="H26" i="15"/>
  <c r="I26" i="15"/>
  <c r="D26" i="15"/>
  <c r="L26" i="15" l="1"/>
  <c r="F74" i="15" l="1"/>
  <c r="U37" i="15"/>
  <c r="Y21" i="15"/>
  <c r="X21" i="15"/>
  <c r="U21" i="15"/>
  <c r="T21" i="15"/>
  <c r="S21" i="15"/>
  <c r="W20" i="15"/>
  <c r="W21" i="15" s="1"/>
  <c r="V20" i="15"/>
  <c r="V21" i="15" s="1"/>
  <c r="L20" i="15"/>
  <c r="L18" i="15"/>
  <c r="L17" i="15"/>
  <c r="L16" i="15"/>
  <c r="L15" i="15"/>
  <c r="L14" i="15"/>
  <c r="L13" i="15"/>
  <c r="L12" i="15"/>
  <c r="L11" i="15"/>
  <c r="L9" i="15"/>
  <c r="L8" i="15"/>
  <c r="X7" i="15"/>
  <c r="U7" i="15"/>
  <c r="T7" i="15"/>
  <c r="S7" i="15"/>
  <c r="A7" i="15" s="1"/>
  <c r="W6" i="15"/>
  <c r="W7" i="15" s="1"/>
  <c r="V6" i="15"/>
  <c r="V7" i="15" s="1"/>
  <c r="L6" i="15"/>
  <c r="H48" i="14" l="1"/>
  <c r="G42" i="14"/>
  <c r="H42" i="14" s="1"/>
  <c r="J174" i="14"/>
  <c r="I174" i="14"/>
  <c r="E174" i="14"/>
  <c r="D174" i="14"/>
  <c r="F174" i="14" s="1"/>
  <c r="C174" i="14"/>
  <c r="F173" i="14"/>
  <c r="H173" i="14" s="1"/>
  <c r="F172" i="14"/>
  <c r="H172" i="14" s="1"/>
  <c r="F171" i="14"/>
  <c r="H171" i="14" s="1"/>
  <c r="F169" i="14"/>
  <c r="G169" i="14" s="1"/>
  <c r="G168" i="14"/>
  <c r="F168" i="14"/>
  <c r="H168" i="14" s="1"/>
  <c r="F167" i="14"/>
  <c r="G167" i="14" s="1"/>
  <c r="F165" i="14"/>
  <c r="H165" i="14" s="1"/>
  <c r="H164" i="14"/>
  <c r="F164" i="14"/>
  <c r="G164" i="14" s="1"/>
  <c r="F163" i="14"/>
  <c r="G163" i="14" s="1"/>
  <c r="F161" i="14"/>
  <c r="H161" i="14" s="1"/>
  <c r="F160" i="14"/>
  <c r="H160" i="14" s="1"/>
  <c r="F159" i="14"/>
  <c r="G159" i="14" s="1"/>
  <c r="D154" i="14"/>
  <c r="C154" i="14"/>
  <c r="I144" i="14"/>
  <c r="C144" i="14"/>
  <c r="C146" i="14" s="1"/>
  <c r="G143" i="14"/>
  <c r="G142" i="14"/>
  <c r="G141" i="14"/>
  <c r="G140" i="14"/>
  <c r="G139" i="14"/>
  <c r="H137" i="14"/>
  <c r="F137" i="14"/>
  <c r="G137" i="14" s="1"/>
  <c r="F136" i="14"/>
  <c r="H136" i="14" s="1"/>
  <c r="F135" i="14"/>
  <c r="G135" i="14" s="1"/>
  <c r="F134" i="14"/>
  <c r="H134" i="14" s="1"/>
  <c r="F133" i="14"/>
  <c r="G133" i="14" s="1"/>
  <c r="F132" i="14"/>
  <c r="G132" i="14" s="1"/>
  <c r="F131" i="14"/>
  <c r="O121" i="14"/>
  <c r="N121" i="14"/>
  <c r="H121" i="14"/>
  <c r="G121" i="14"/>
  <c r="D121" i="14"/>
  <c r="I120" i="14"/>
  <c r="M120" i="14" s="1"/>
  <c r="I119" i="14"/>
  <c r="J119" i="14" s="1"/>
  <c r="I118" i="14"/>
  <c r="M118" i="14" s="1"/>
  <c r="I116" i="14"/>
  <c r="M116" i="14" s="1"/>
  <c r="I115" i="14"/>
  <c r="M115" i="14" s="1"/>
  <c r="I114" i="14"/>
  <c r="J114" i="14" s="1"/>
  <c r="M112" i="14"/>
  <c r="I112" i="14"/>
  <c r="J112" i="14" s="1"/>
  <c r="I111" i="14"/>
  <c r="J111" i="14" s="1"/>
  <c r="I110" i="14"/>
  <c r="M110" i="14" s="1"/>
  <c r="I108" i="14"/>
  <c r="J108" i="14" s="1"/>
  <c r="I107" i="14"/>
  <c r="M107" i="14" s="1"/>
  <c r="I106" i="14"/>
  <c r="M106" i="14" s="1"/>
  <c r="G101" i="14"/>
  <c r="D101" i="14"/>
  <c r="J91" i="14"/>
  <c r="M91" i="14" s="1"/>
  <c r="I91" i="14"/>
  <c r="C91" i="14"/>
  <c r="C93" i="14" s="1"/>
  <c r="G90" i="14"/>
  <c r="G89" i="14"/>
  <c r="G88" i="14"/>
  <c r="G87" i="14"/>
  <c r="G86" i="14"/>
  <c r="F84" i="14"/>
  <c r="G84" i="14" s="1"/>
  <c r="H83" i="14"/>
  <c r="F83" i="14"/>
  <c r="G83" i="14" s="1"/>
  <c r="F82" i="14"/>
  <c r="H82" i="14" s="1"/>
  <c r="F81" i="14"/>
  <c r="H81" i="14" s="1"/>
  <c r="F80" i="14"/>
  <c r="G80" i="14" s="1"/>
  <c r="F79" i="14"/>
  <c r="G79" i="14" s="1"/>
  <c r="F78" i="14"/>
  <c r="F66" i="14"/>
  <c r="H66" i="14" s="1"/>
  <c r="G59" i="14"/>
  <c r="H59" i="14" s="1"/>
  <c r="M114" i="14" l="1"/>
  <c r="J118" i="14"/>
  <c r="H132" i="14"/>
  <c r="H163" i="14"/>
  <c r="G174" i="14"/>
  <c r="H79" i="14"/>
  <c r="H80" i="14"/>
  <c r="J107" i="14"/>
  <c r="I121" i="14"/>
  <c r="J121" i="14" s="1"/>
  <c r="F144" i="14"/>
  <c r="G144" i="14" s="1"/>
  <c r="F91" i="14"/>
  <c r="G91" i="14" s="1"/>
  <c r="H84" i="14"/>
  <c r="M119" i="14"/>
  <c r="H133" i="14"/>
  <c r="G136" i="14"/>
  <c r="H169" i="14"/>
  <c r="G173" i="14"/>
  <c r="M108" i="14"/>
  <c r="H159" i="14"/>
  <c r="M121" i="14"/>
  <c r="H174" i="14"/>
  <c r="H30" i="14"/>
  <c r="G31" i="14"/>
  <c r="G78" i="14"/>
  <c r="G82" i="14"/>
  <c r="J106" i="14"/>
  <c r="J116" i="14"/>
  <c r="G131" i="14"/>
  <c r="G161" i="14"/>
  <c r="G172" i="14"/>
  <c r="H78" i="14"/>
  <c r="G81" i="14"/>
  <c r="J110" i="14"/>
  <c r="M111" i="14"/>
  <c r="J115" i="14"/>
  <c r="J120" i="14"/>
  <c r="H131" i="14"/>
  <c r="G134" i="14"/>
  <c r="H135" i="14"/>
  <c r="G160" i="14"/>
  <c r="G165" i="14"/>
  <c r="H167" i="14"/>
  <c r="G171" i="14"/>
  <c r="L59" i="5"/>
  <c r="L56" i="5"/>
  <c r="S64" i="5"/>
  <c r="T64" i="5" s="1"/>
  <c r="H32" i="14" l="1"/>
  <c r="H91" i="14"/>
  <c r="I33" i="14"/>
  <c r="J33" i="14"/>
  <c r="H144" i="14"/>
  <c r="K56" i="10"/>
  <c r="M55" i="10"/>
  <c r="J52" i="10"/>
  <c r="BJ51" i="10"/>
  <c r="BI51" i="10"/>
  <c r="BH51" i="10"/>
  <c r="BE51" i="10"/>
  <c r="BD51" i="10"/>
  <c r="BB51" i="10"/>
  <c r="AW51" i="10"/>
  <c r="AV51" i="10"/>
  <c r="AU51" i="10"/>
  <c r="AN51" i="10"/>
  <c r="AM51" i="10"/>
  <c r="AL51" i="10"/>
  <c r="AI51" i="10"/>
  <c r="AH51" i="10"/>
  <c r="AG51" i="10"/>
  <c r="AD51" i="10"/>
  <c r="AC51" i="10"/>
  <c r="AB51" i="10"/>
  <c r="Z51" i="10"/>
  <c r="X51" i="10"/>
  <c r="W51" i="10"/>
  <c r="U51" i="10"/>
  <c r="S51" i="10"/>
  <c r="R51" i="10"/>
  <c r="Q51" i="10"/>
  <c r="O51" i="10"/>
  <c r="I51" i="10"/>
  <c r="I52" i="10" s="1"/>
  <c r="H51" i="10"/>
  <c r="H52" i="10" s="1"/>
  <c r="F51" i="10"/>
  <c r="F52" i="10" s="1"/>
  <c r="K52" i="10" s="1"/>
  <c r="E51" i="10"/>
  <c r="E55" i="10" s="1"/>
  <c r="AA20" i="10"/>
  <c r="T6" i="10"/>
  <c r="AH22" i="12" l="1"/>
  <c r="AG22" i="12"/>
  <c r="AF22" i="12"/>
  <c r="AE22" i="12"/>
  <c r="AD22" i="12"/>
  <c r="AC22" i="12"/>
  <c r="AB22" i="12"/>
  <c r="AA22" i="12"/>
  <c r="Z22" i="12"/>
  <c r="Y22" i="12"/>
  <c r="X22" i="12"/>
  <c r="W22" i="12"/>
  <c r="V22" i="12"/>
  <c r="U22" i="12"/>
  <c r="T22" i="12"/>
  <c r="S22" i="12"/>
  <c r="R22" i="12"/>
  <c r="Q22" i="12"/>
  <c r="P22" i="12"/>
  <c r="O22" i="12"/>
  <c r="N22" i="12"/>
  <c r="M22" i="12"/>
  <c r="L22" i="12"/>
  <c r="K22" i="12"/>
  <c r="J22" i="12"/>
  <c r="I22" i="12"/>
  <c r="H22" i="12"/>
  <c r="G22" i="12"/>
  <c r="F22" i="12"/>
  <c r="AI22" i="12" s="1"/>
  <c r="E22" i="12"/>
  <c r="D22" i="12"/>
  <c r="AI21" i="12"/>
  <c r="AI20" i="12"/>
  <c r="AI19" i="12"/>
  <c r="AI18" i="12"/>
  <c r="AI17" i="12"/>
  <c r="AI16" i="12"/>
  <c r="AI15" i="12"/>
  <c r="AI14" i="12"/>
  <c r="AI13" i="12"/>
  <c r="AI12" i="12"/>
  <c r="AI11" i="12"/>
  <c r="AI10" i="12"/>
  <c r="G12" i="7" l="1"/>
  <c r="K83" i="5" l="1"/>
  <c r="K80" i="5"/>
  <c r="Q15" i="2" l="1"/>
  <c r="AH34" i="12" l="1"/>
  <c r="F62" i="6"/>
  <c r="H48" i="9" l="1"/>
  <c r="F48" i="9"/>
  <c r="J75" i="9"/>
  <c r="L75" i="9" s="1"/>
  <c r="I75" i="9"/>
  <c r="C75" i="9"/>
  <c r="C77" i="9" s="1"/>
  <c r="G74" i="9"/>
  <c r="G73" i="9"/>
  <c r="G72" i="9"/>
  <c r="G71" i="9"/>
  <c r="G70" i="9"/>
  <c r="F68" i="9"/>
  <c r="H68" i="9" s="1"/>
  <c r="F67" i="9"/>
  <c r="H67" i="9" s="1"/>
  <c r="F66" i="9"/>
  <c r="G66" i="9" s="1"/>
  <c r="G65" i="9"/>
  <c r="F65" i="9"/>
  <c r="H65" i="9" s="1"/>
  <c r="F64" i="9"/>
  <c r="G64" i="9" s="1"/>
  <c r="F63" i="9"/>
  <c r="H63" i="9" s="1"/>
  <c r="H62" i="9"/>
  <c r="F62" i="9"/>
  <c r="G62" i="9" s="1"/>
  <c r="H66" i="9" l="1"/>
  <c r="G68" i="9"/>
  <c r="F75" i="9"/>
  <c r="G75" i="9" s="1"/>
  <c r="G63" i="9"/>
  <c r="H64" i="9"/>
  <c r="H75" i="9" s="1"/>
  <c r="G67" i="9"/>
  <c r="G41" i="9" l="1"/>
  <c r="H41" i="9" s="1"/>
  <c r="P92" i="2"/>
  <c r="J158" i="9" l="1"/>
  <c r="I158" i="9"/>
  <c r="E158" i="9"/>
  <c r="D158" i="9"/>
  <c r="C158" i="9"/>
  <c r="F157" i="9"/>
  <c r="H157" i="9" s="1"/>
  <c r="F156" i="9"/>
  <c r="H156" i="9" s="1"/>
  <c r="F155" i="9"/>
  <c r="G155" i="9" s="1"/>
  <c r="F153" i="9"/>
  <c r="H153" i="9" s="1"/>
  <c r="F152" i="9"/>
  <c r="H152" i="9" s="1"/>
  <c r="F151" i="9"/>
  <c r="H151" i="9" s="1"/>
  <c r="F149" i="9"/>
  <c r="G149" i="9" s="1"/>
  <c r="F148" i="9"/>
  <c r="G148" i="9" s="1"/>
  <c r="F147" i="9"/>
  <c r="H147" i="9" s="1"/>
  <c r="F145" i="9"/>
  <c r="H145" i="9" s="1"/>
  <c r="F144" i="9"/>
  <c r="G144" i="9" s="1"/>
  <c r="F143" i="9"/>
  <c r="H143" i="9" s="1"/>
  <c r="D138" i="9"/>
  <c r="C138" i="9"/>
  <c r="I128" i="9"/>
  <c r="C128" i="9"/>
  <c r="C130" i="9" s="1"/>
  <c r="G127" i="9"/>
  <c r="G126" i="9"/>
  <c r="G125" i="9"/>
  <c r="G124" i="9"/>
  <c r="G123" i="9"/>
  <c r="F121" i="9"/>
  <c r="H121" i="9" s="1"/>
  <c r="F120" i="9"/>
  <c r="H120" i="9" s="1"/>
  <c r="F119" i="9"/>
  <c r="H119" i="9" s="1"/>
  <c r="F118" i="9"/>
  <c r="G118" i="9" s="1"/>
  <c r="F117" i="9"/>
  <c r="H117" i="9" s="1"/>
  <c r="F116" i="9"/>
  <c r="H116" i="9" s="1"/>
  <c r="F115" i="9"/>
  <c r="H115" i="9" s="1"/>
  <c r="H149" i="9" l="1"/>
  <c r="G153" i="9"/>
  <c r="H155" i="9"/>
  <c r="G121" i="9"/>
  <c r="G117" i="9"/>
  <c r="G143" i="9"/>
  <c r="H148" i="9"/>
  <c r="H118" i="9"/>
  <c r="H128" i="9" s="1"/>
  <c r="H144" i="9"/>
  <c r="F158" i="9"/>
  <c r="H158" i="9" s="1"/>
  <c r="F128" i="9"/>
  <c r="G128" i="9" s="1"/>
  <c r="G116" i="9"/>
  <c r="G120" i="9"/>
  <c r="G147" i="9"/>
  <c r="G152" i="9"/>
  <c r="G157" i="9"/>
  <c r="G115" i="9"/>
  <c r="G119" i="9"/>
  <c r="G145" i="9"/>
  <c r="G151" i="9"/>
  <c r="G156" i="9"/>
  <c r="G158" i="9" l="1"/>
  <c r="N105" i="9" l="1"/>
  <c r="M105" i="9"/>
  <c r="H105" i="9"/>
  <c r="G105" i="9"/>
  <c r="D105" i="9"/>
  <c r="I104" i="9"/>
  <c r="J104" i="9" s="1"/>
  <c r="I103" i="9"/>
  <c r="L103" i="9" s="1"/>
  <c r="J102" i="9"/>
  <c r="I102" i="9"/>
  <c r="L102" i="9" s="1"/>
  <c r="I100" i="9"/>
  <c r="L100" i="9" s="1"/>
  <c r="I99" i="9"/>
  <c r="J99" i="9" s="1"/>
  <c r="I98" i="9"/>
  <c r="L98" i="9" s="1"/>
  <c r="I96" i="9"/>
  <c r="L96" i="9" s="1"/>
  <c r="I95" i="9"/>
  <c r="L95" i="9" s="1"/>
  <c r="I94" i="9"/>
  <c r="J94" i="9" s="1"/>
  <c r="I92" i="9"/>
  <c r="L92" i="9" s="1"/>
  <c r="I91" i="9"/>
  <c r="J91" i="9" s="1"/>
  <c r="I90" i="9"/>
  <c r="L90" i="9" s="1"/>
  <c r="G85" i="9"/>
  <c r="D85" i="9"/>
  <c r="G29" i="9"/>
  <c r="G28" i="9"/>
  <c r="G27" i="9"/>
  <c r="G26" i="9"/>
  <c r="G25" i="9"/>
  <c r="G24" i="9"/>
  <c r="G23" i="9"/>
  <c r="G22" i="9"/>
  <c r="G21" i="9"/>
  <c r="G20" i="9"/>
  <c r="G19" i="9"/>
  <c r="G18" i="9"/>
  <c r="G17" i="9"/>
  <c r="G16" i="9"/>
  <c r="G15" i="9"/>
  <c r="G14" i="9"/>
  <c r="G13" i="9"/>
  <c r="G12" i="9"/>
  <c r="G11" i="9"/>
  <c r="G10" i="9"/>
  <c r="G9" i="9"/>
  <c r="G8" i="9"/>
  <c r="G7" i="9"/>
  <c r="G6" i="9"/>
  <c r="I105" i="9" l="1"/>
  <c r="J105" i="9" s="1"/>
  <c r="G31" i="9"/>
  <c r="H10" i="9"/>
  <c r="H14" i="9"/>
  <c r="H18" i="9"/>
  <c r="H22" i="9"/>
  <c r="H26" i="9"/>
  <c r="J96" i="9"/>
  <c r="J92" i="9"/>
  <c r="J98" i="9"/>
  <c r="J103" i="9"/>
  <c r="L94" i="9"/>
  <c r="L99" i="9"/>
  <c r="L104" i="9"/>
  <c r="H8" i="9"/>
  <c r="I8" i="9" s="1"/>
  <c r="H12" i="9"/>
  <c r="I12" i="9" s="1"/>
  <c r="H16" i="9"/>
  <c r="I16" i="9" s="1"/>
  <c r="H20" i="9"/>
  <c r="I20" i="9" s="1"/>
  <c r="H24" i="9"/>
  <c r="I24" i="9" s="1"/>
  <c r="H28" i="9"/>
  <c r="I28" i="9" s="1"/>
  <c r="I10" i="9"/>
  <c r="I14" i="9"/>
  <c r="I18" i="9"/>
  <c r="I22" i="9"/>
  <c r="I26" i="9"/>
  <c r="J90" i="9"/>
  <c r="L91" i="9"/>
  <c r="J95" i="9"/>
  <c r="J100" i="9"/>
  <c r="H6" i="9"/>
  <c r="I6" i="9" s="1"/>
  <c r="L105" i="9" l="1"/>
  <c r="H30" i="9"/>
  <c r="O14" i="7"/>
  <c r="L12" i="7"/>
  <c r="I32" i="9" l="1"/>
  <c r="J32" i="9"/>
  <c r="P71" i="2"/>
  <c r="Q71" i="2" l="1"/>
  <c r="T20" i="6" l="1"/>
  <c r="T21" i="6" s="1"/>
  <c r="U20" i="6"/>
  <c r="U21" i="6" s="1"/>
  <c r="U6" i="6"/>
  <c r="U7" i="6" s="1"/>
  <c r="Q7" i="6" l="1"/>
  <c r="S7" i="6"/>
  <c r="V7" i="6"/>
  <c r="R7" i="6"/>
  <c r="T6" i="6"/>
  <c r="T7" i="6" s="1"/>
  <c r="W21" i="6" l="1"/>
  <c r="S25" i="6"/>
  <c r="V21" i="6"/>
  <c r="S21" i="6"/>
  <c r="R21" i="6"/>
  <c r="Q21" i="6"/>
  <c r="A7" i="6"/>
  <c r="J20" i="6" l="1"/>
  <c r="J18" i="6"/>
  <c r="J17" i="6"/>
  <c r="J16" i="6"/>
  <c r="J15" i="6"/>
  <c r="J14" i="6"/>
  <c r="J13" i="6"/>
  <c r="J12" i="6"/>
  <c r="J11" i="6"/>
  <c r="J9" i="6"/>
  <c r="J8" i="6"/>
  <c r="J6" i="6"/>
  <c r="G83" i="5" l="1"/>
  <c r="L83" i="5" s="1"/>
  <c r="G80" i="5"/>
  <c r="L80" i="5" s="1"/>
</calcChain>
</file>

<file path=xl/sharedStrings.xml><?xml version="1.0" encoding="utf-8"?>
<sst xmlns="http://schemas.openxmlformats.org/spreadsheetml/2006/main" count="3093" uniqueCount="1003">
  <si>
    <t>Year</t>
  </si>
  <si>
    <t>Carbon #/sf</t>
  </si>
  <si>
    <t>Elec</t>
  </si>
  <si>
    <t>CDD</t>
  </si>
  <si>
    <t>HDD</t>
  </si>
  <si>
    <t>NG</t>
  </si>
  <si>
    <t>Oil</t>
  </si>
  <si>
    <t>SF</t>
  </si>
  <si>
    <t>MT CO2e</t>
  </si>
  <si>
    <t># Carbon/sf</t>
  </si>
  <si>
    <t>EUI</t>
  </si>
  <si>
    <t>% Reduction</t>
  </si>
  <si>
    <t>kwhrs</t>
  </si>
  <si>
    <t>therms</t>
  </si>
  <si>
    <t>gal</t>
  </si>
  <si>
    <t>Kbtu/sf/yr</t>
  </si>
  <si>
    <t>Base Yr</t>
  </si>
  <si>
    <t>197 258</t>
  </si>
  <si>
    <t>Notes</t>
  </si>
  <si>
    <t>Carbon reductions from the base year, 2007,  %, (# carbon/sf/yr)</t>
  </si>
  <si>
    <t>Electricity is used for lighting, fairly constant year to year, fans, cooling and plug load. Cooling should correspond to CDD, cooling degree days, which increases compressor usage. Fans fairly constant. Plug load, mainly computers, printing and 3D printing has been increasing year to year.lug load, Overall electricity use has been increasing.</t>
  </si>
  <si>
    <t>CDD, cooling degree days are from NYSERDA at LaGuardia Airport. Trend is greater CDD per year re climate change and more variability.</t>
  </si>
  <si>
    <t>HDD, heating degree days are from NYSERDA at LaGuardia Airport. Trend should be decreasing re climate change, also more variable.</t>
  </si>
  <si>
    <t>Natural gas usage in therms from the utility bills Pratt receives from Nat'l Grid for Bklyn and Con Ed for Manhattan. Natural gas is primarily used for space heating and domestic hot water as well as for cooking in the cafeteria and Willoughby Residence Hall. Changes in the use of natural gas are primarily driven by the fuel used in central plant for producing steam for the campus. In 2014/15, #3 boiler came back on line with a new burner fitted for natural gas. The usage appeared to drop significantly. We asked Nat'l Grid to check the meter and they replaced the meter. Nat gas generates significantly less carbon per energy unit than #2 oil.</t>
  </si>
  <si>
    <t>Fuel Oil, #6, #2 - Fuel oil is used primarily in Central Plant to produce steam for tne campus. Fuel oil was originally # 6 oil with no natural gas. We added natural gas and converted boilers #1 and 2 to natural gas and # 6 oil in approximately 2000. In approximately 2015, # 3 boiler was converted to natural gas and NYC law required all boilers to be converted to # 2 oil. We try to run natural gas as the primary fuel as the carbon emissions are less than oil and gas has been less expensive than oil. After about 1 year of usage on # 3 boiler, the tubes began leaking and the boiler has been out of service. As a result in 2015 we rented an all oil,#2 boiler, which has become the main source of steam for the campus. #2 fuel usage has increased as a replacement for natural gas because of the failure of #3 boiler.</t>
  </si>
  <si>
    <t>Square Feet</t>
  </si>
  <si>
    <t>GHG - MTCO2e - Metric Tonnes of Carbon Dioxide equivalent for electricity, nat gas, fuel oil and Pratt vehicles</t>
  </si>
  <si>
    <t>Carbon Intensity - # of carbon/sf/yr</t>
  </si>
  <si>
    <t xml:space="preserve">Energy Intensity - Btu/sf/yr </t>
  </si>
  <si>
    <t>Institutional Characteristics</t>
  </si>
  <si>
    <t>Operational Characteristics</t>
  </si>
  <si>
    <t>Academics</t>
  </si>
  <si>
    <t>Demographics</t>
  </si>
  <si>
    <t>Campus Engagement</t>
  </si>
  <si>
    <t>Public Engagement</t>
  </si>
  <si>
    <t>Operations</t>
  </si>
  <si>
    <t>Air and Climate</t>
  </si>
  <si>
    <t>GHG</t>
  </si>
  <si>
    <t>air emissions</t>
  </si>
  <si>
    <t>outdoor air  quality</t>
  </si>
  <si>
    <t>Buildings</t>
  </si>
  <si>
    <t>Bldg Operation &amp; Maintenance</t>
  </si>
  <si>
    <t>Bldg Design &amp; Construction</t>
  </si>
  <si>
    <t>Energy</t>
  </si>
  <si>
    <t>Bldg Energy Consumption</t>
  </si>
  <si>
    <t>Clean &amp; Renewable Energy</t>
  </si>
  <si>
    <t>Food &amp; Dining</t>
  </si>
  <si>
    <t>Food &amp; Beverage Purchasing</t>
  </si>
  <si>
    <t>Sustainable Dining</t>
  </si>
  <si>
    <t>Grounds</t>
  </si>
  <si>
    <t>Landscape Mgmt</t>
  </si>
  <si>
    <t>Biodiversity</t>
  </si>
  <si>
    <t>Purchasing</t>
  </si>
  <si>
    <t>Sustainable Procurement</t>
  </si>
  <si>
    <t>Electronics</t>
  </si>
  <si>
    <t>Cleaning &amp; Janitorial</t>
  </si>
  <si>
    <t>Office Paper</t>
  </si>
  <si>
    <t>Transportation</t>
  </si>
  <si>
    <t>Campus Fleet</t>
  </si>
  <si>
    <t>Student Commute Modal Split</t>
  </si>
  <si>
    <t>Employee Commute Modal Split</t>
  </si>
  <si>
    <t>Support for Sustainable Transit</t>
  </si>
  <si>
    <t>Waste</t>
  </si>
  <si>
    <t>Waste Minimization &amp; Diversion</t>
  </si>
  <si>
    <t>Construction &amp; Demolition Waste</t>
  </si>
  <si>
    <t>Hazardous Waste Mgmt</t>
  </si>
  <si>
    <t>Water</t>
  </si>
  <si>
    <t>Water Use</t>
  </si>
  <si>
    <t>Rainwater Mgmt.</t>
  </si>
  <si>
    <t>Planning &amp; Administration</t>
  </si>
  <si>
    <t>Coordination &amp; Planning</t>
  </si>
  <si>
    <t>Sustainability Coordination</t>
  </si>
  <si>
    <t>Sustainability Planning</t>
  </si>
  <si>
    <t>Particapatory Governance</t>
  </si>
  <si>
    <t>Diversity &amp; Affordability</t>
  </si>
  <si>
    <t>Diversity &amp; Equity Coordination</t>
  </si>
  <si>
    <t>Assessing D&amp;E</t>
  </si>
  <si>
    <t>Support for Underrepreented Groups</t>
  </si>
  <si>
    <t>Affordability &amp; Access</t>
  </si>
  <si>
    <t>2016 - sf - 1,811,725</t>
  </si>
  <si>
    <t xml:space="preserve">2015 - sf - </t>
  </si>
  <si>
    <t>2014 - sf - 1,627,500</t>
  </si>
  <si>
    <t>Pratt Institute - Utility Data Summary - Older</t>
  </si>
  <si>
    <t>Fleet</t>
  </si>
  <si>
    <t>Steam</t>
  </si>
  <si>
    <t>Name</t>
  </si>
  <si>
    <t>address</t>
  </si>
  <si>
    <t>Con Ed Acct #'s</t>
  </si>
  <si>
    <t>KW Hr</t>
  </si>
  <si>
    <t>Nat Gas Acc't</t>
  </si>
  <si>
    <t>Nat Gas</t>
  </si>
  <si>
    <t>oil</t>
  </si>
  <si>
    <t>Tot therm</t>
  </si>
  <si>
    <t>Therms</t>
  </si>
  <si>
    <t>steam</t>
  </si>
  <si>
    <t>Kw Hr</t>
  </si>
  <si>
    <t>Gals</t>
  </si>
  <si>
    <t>Oil Gal</t>
  </si>
  <si>
    <t>Tot Therms</t>
  </si>
  <si>
    <t>Therms 2011</t>
  </si>
  <si>
    <t xml:space="preserve">Oil Gal </t>
  </si>
  <si>
    <t>KwHr - Meter</t>
  </si>
  <si>
    <t>Kw-Hr - Bldg</t>
  </si>
  <si>
    <t>KW Hr - Bldg</t>
  </si>
  <si>
    <t>Kw Hr Acct</t>
  </si>
  <si>
    <t>gals</t>
  </si>
  <si>
    <t>Gallons</t>
  </si>
  <si>
    <t>Gal</t>
  </si>
  <si>
    <t>2012 Plant</t>
  </si>
  <si>
    <t>Steam - Plant</t>
  </si>
  <si>
    <t>heating plant</t>
  </si>
  <si>
    <t>200 Willoughby Ave</t>
  </si>
  <si>
    <t>012 452 9810</t>
  </si>
  <si>
    <t>0il + gas</t>
  </si>
  <si>
    <t>includes oil</t>
  </si>
  <si>
    <t>"main meter"  ***</t>
  </si>
  <si>
    <t>193 Ryerson St</t>
  </si>
  <si>
    <t>sf - 2018</t>
  </si>
  <si>
    <t>included in Nat Gas</t>
  </si>
  <si>
    <t>sf</t>
  </si>
  <si>
    <t>69-6031-1016-0200-5</t>
  </si>
  <si>
    <t>per bldg</t>
  </si>
  <si>
    <t>chemistry bldg</t>
  </si>
  <si>
    <t>"main meter"</t>
  </si>
  <si>
    <t>012-484-2150</t>
  </si>
  <si>
    <t>Facil, Sec.</t>
  </si>
  <si>
    <t>Facil, Sec, Mail</t>
  </si>
  <si>
    <t>dekalb hall</t>
  </si>
  <si>
    <t>na</t>
  </si>
  <si>
    <t>bus</t>
  </si>
  <si>
    <t>Bus Svc</t>
  </si>
  <si>
    <t>East bldg</t>
  </si>
  <si>
    <t>central Pl</t>
  </si>
  <si>
    <t>central pl</t>
  </si>
  <si>
    <t>central</t>
  </si>
  <si>
    <t>Esther Jones</t>
  </si>
  <si>
    <t>243 Ryerson St</t>
  </si>
  <si>
    <t>Engineering Bldg</t>
  </si>
  <si>
    <t>ISC Bldg</t>
  </si>
  <si>
    <t>Machinery</t>
  </si>
  <si>
    <t>chem</t>
  </si>
  <si>
    <t>Main Bldg</t>
  </si>
  <si>
    <t>Memorial Hall</t>
  </si>
  <si>
    <t>Library</t>
  </si>
  <si>
    <t>North Hall</t>
  </si>
  <si>
    <t>012-480-6001</t>
  </si>
  <si>
    <t>South Hall</t>
  </si>
  <si>
    <t>Student Union</t>
  </si>
  <si>
    <t>see *</t>
  </si>
  <si>
    <t>tba</t>
  </si>
  <si>
    <t>Thrift Hall</t>
  </si>
  <si>
    <t>Arc</t>
  </si>
  <si>
    <t>395 Dekalb Ave</t>
  </si>
  <si>
    <t>69-6031- 1016 0100-7</t>
  </si>
  <si>
    <t>012 480 5001, 5310</t>
  </si>
  <si>
    <t>Cct</t>
  </si>
  <si>
    <t>280 - 296 Classon Ave</t>
  </si>
  <si>
    <t>69-6031-1017-0000-7</t>
  </si>
  <si>
    <t>012 48 7400</t>
  </si>
  <si>
    <t>NA</t>
  </si>
  <si>
    <t>Grand Ave Res Hall</t>
  </si>
  <si>
    <t>100 Grand Ave</t>
  </si>
  <si>
    <t>PLP</t>
  </si>
  <si>
    <t>HH</t>
  </si>
  <si>
    <t>100 Grand</t>
  </si>
  <si>
    <t xml:space="preserve">HCM </t>
  </si>
  <si>
    <t>012-482-5122</t>
  </si>
  <si>
    <t>sign</t>
  </si>
  <si>
    <t>Total</t>
  </si>
  <si>
    <t>Higgins Hall</t>
  </si>
  <si>
    <t>282 Lafayette Ave</t>
  </si>
  <si>
    <t>69-6031-1019-0200-9</t>
  </si>
  <si>
    <t>024-172-7770</t>
  </si>
  <si>
    <t>Leo J Pantas</t>
  </si>
  <si>
    <t>224 Grand Ave</t>
  </si>
  <si>
    <t>69-6031-1017-0100-5</t>
  </si>
  <si>
    <t>012-480-6500</t>
  </si>
  <si>
    <t>513 Myrtle Ave</t>
  </si>
  <si>
    <t>62-2038-1215-0000-1</t>
  </si>
  <si>
    <t>na?</t>
  </si>
  <si>
    <t>Myrtle Hall</t>
  </si>
  <si>
    <t>536 Myrtle Ave</t>
  </si>
  <si>
    <t>62-2038-0702-0000-9</t>
  </si>
  <si>
    <t>50,000 est</t>
  </si>
  <si>
    <t>Pratt Hse</t>
  </si>
  <si>
    <t>229 Clinton Ave</t>
  </si>
  <si>
    <t>69-6031-1018-0100-3</t>
  </si>
  <si>
    <t>012-450-3011</t>
  </si>
  <si>
    <t>Pratt Manhattan Ent</t>
  </si>
  <si>
    <t>142 144 W 14th ST</t>
  </si>
  <si>
    <t>43-1011-0680-0007-0</t>
  </si>
  <si>
    <t>inc</t>
  </si>
  <si>
    <t>Pratt Manhattan</t>
  </si>
  <si>
    <t>PMC base</t>
  </si>
  <si>
    <t>PMC 2 Sto</t>
  </si>
  <si>
    <t>PMC All</t>
  </si>
  <si>
    <t>Pratt Studios</t>
  </si>
  <si>
    <t>369 Dekalb Ave</t>
  </si>
  <si>
    <t>69-6031-1018-0000-5</t>
  </si>
  <si>
    <t>Des Ctr - included in Pratt Studios</t>
  </si>
  <si>
    <t>Film&amp;Video</t>
  </si>
  <si>
    <t>550 Myrtle Ave</t>
  </si>
  <si>
    <t>62-2038-0705-0000-2</t>
  </si>
  <si>
    <t>Stabile Hall</t>
  </si>
  <si>
    <t>240 Will Ave</t>
  </si>
  <si>
    <t>69-6031-1017-0300-1</t>
  </si>
  <si>
    <t>012-452-9800</t>
  </si>
  <si>
    <t>Steuben Hall</t>
  </si>
  <si>
    <t>379 Dekalb Ave</t>
  </si>
  <si>
    <t>69-6031-1016-0000-9</t>
  </si>
  <si>
    <t>Tnhses - Emerson PL</t>
  </si>
  <si>
    <t>Tnhses - Steuben</t>
  </si>
  <si>
    <t>8490 kwhr</t>
  </si>
  <si>
    <t>Tnhses - Will Ave</t>
  </si>
  <si>
    <t>11329 kwhr</t>
  </si>
  <si>
    <t>Willoughby Hall</t>
  </si>
  <si>
    <t>215 Willoughby Ave</t>
  </si>
  <si>
    <t>69-6031-1017-0200-3</t>
  </si>
  <si>
    <t>012-480-4020</t>
  </si>
  <si>
    <t xml:space="preserve">WRH </t>
  </si>
  <si>
    <t>Kitchens</t>
  </si>
  <si>
    <t>012-480-4000</t>
  </si>
  <si>
    <t>248 Flushing Ave *</t>
  </si>
  <si>
    <t>62 2144 5251 0100 6</t>
  </si>
  <si>
    <t>123 W 18th St</t>
  </si>
  <si>
    <t>43 4135 1710 0801 4</t>
  </si>
  <si>
    <t>Pfizer</t>
  </si>
  <si>
    <t>Totals</t>
  </si>
  <si>
    <t>see gas, oil</t>
  </si>
  <si>
    <t>KW HR</t>
  </si>
  <si>
    <t>NG Acc't #</t>
  </si>
  <si>
    <t>#2 oil, gal</t>
  </si>
  <si>
    <t>Fleet Gal</t>
  </si>
  <si>
    <t>#2 oil</t>
  </si>
  <si>
    <t>Gal Heat</t>
  </si>
  <si>
    <t>KwHr</t>
  </si>
  <si>
    <t>Gal heat</t>
  </si>
  <si>
    <t>Heat oil</t>
  </si>
  <si>
    <t>Fleet gal</t>
  </si>
  <si>
    <t>Pfizer estimated - similar usage to PMC</t>
  </si>
  <si>
    <t>123 W18 NG estimated similar to PMC</t>
  </si>
  <si>
    <t>58,550 X 125,000 Btu/gal/100,000 = 73,188 therms</t>
  </si>
  <si>
    <t>302932 MM BTU</t>
  </si>
  <si>
    <t>Notes Pantas dec - add electric DHW</t>
  </si>
  <si>
    <t>Pfizer - sf estimates</t>
  </si>
  <si>
    <t xml:space="preserve">MM btu/yr for 2018 = 1,019,875,000 + </t>
  </si>
  <si>
    <t>123 W 18 gas sf est  - no meters</t>
  </si>
  <si>
    <t>Cct - NG - est readings very low</t>
  </si>
  <si>
    <t>197,258 x120,000 = 23,670,000,000</t>
  </si>
  <si>
    <t>24,619 MM btu/yr thermal</t>
  </si>
  <si>
    <t>Pratt Institute - Solid waste data estimates for 2018 - Draft, 6/12/19</t>
  </si>
  <si>
    <t>Mo</t>
  </si>
  <si>
    <t>All (tons)</t>
  </si>
  <si>
    <t>Recycle P,M,G</t>
  </si>
  <si>
    <t>Paper,   Cardboard</t>
  </si>
  <si>
    <t>Subtot Recycled</t>
  </si>
  <si>
    <t>Recycled x 100 = %</t>
  </si>
  <si>
    <t>Waste to Energy *</t>
  </si>
  <si>
    <t>Landfill  5 - 10 % (tons) **</t>
  </si>
  <si>
    <t>Bulk***</t>
  </si>
  <si>
    <t>Jan</t>
  </si>
  <si>
    <t>Feb</t>
  </si>
  <si>
    <t>Mar</t>
  </si>
  <si>
    <t>April</t>
  </si>
  <si>
    <t>May</t>
  </si>
  <si>
    <t>June</t>
  </si>
  <si>
    <t>July</t>
  </si>
  <si>
    <t>Aug</t>
  </si>
  <si>
    <t>Sept</t>
  </si>
  <si>
    <t>Oct</t>
  </si>
  <si>
    <t>Nov</t>
  </si>
  <si>
    <t>Dec</t>
  </si>
  <si>
    <t>Totals 2018 All Pratt - Solid Waste</t>
  </si>
  <si>
    <t>Tot Tons</t>
  </si>
  <si>
    <t>Diverted</t>
  </si>
  <si>
    <t>% Diverted</t>
  </si>
  <si>
    <t>xxxxxxxxxxxxxxxxxxxxxxxxxxxxxxxxxxxxxxxxxxxxxxxx</t>
  </si>
  <si>
    <t>Pratt Institute - Solid waste data estimates for 2017 - Draft, 2/13/2018</t>
  </si>
  <si>
    <t>* all mat'l that is not recycled goes to a 'waste to energy' plant to produce energy</t>
  </si>
  <si>
    <t>** Waste to energy plant, non burnable for energy, from 5-10% goes to landfill</t>
  </si>
  <si>
    <t xml:space="preserve">*** bulk mat'ls are picked up in 30 or 40 yard containers, on a call basis. This mat'l is very variable. </t>
  </si>
  <si>
    <t>The GiveTake Program removed  9095 pounds of mat'ls and gives back to students 16/17.</t>
  </si>
  <si>
    <t>The GiveTake Program removed  8900 pounds of mat'ls and gives back to students 17/18 to date.</t>
  </si>
  <si>
    <t>Cat</t>
  </si>
  <si>
    <t>OP 13</t>
  </si>
  <si>
    <t>total $ on Cleaning</t>
  </si>
  <si>
    <t>$ green cleaning</t>
  </si>
  <si>
    <t>$ paper Products</t>
  </si>
  <si>
    <t>$ green paper</t>
  </si>
  <si>
    <t>annual 2018</t>
  </si>
  <si>
    <t>time period</t>
  </si>
  <si>
    <t>% Green</t>
  </si>
  <si>
    <t>Approx 50/50 split</t>
  </si>
  <si>
    <t>toilet tissue - all 100% recycled</t>
  </si>
  <si>
    <t>roll towels all 100% recycled</t>
  </si>
  <si>
    <t>hand soap - allGreen seal</t>
  </si>
  <si>
    <t>trash bag liners approx 10%Ecologo</t>
  </si>
  <si>
    <t>all buildings - gen'l purpose cleaner 100% Green seal</t>
  </si>
  <si>
    <t>about 50% janitorial and 50% paper</t>
  </si>
  <si>
    <t>AASHE - Submission for Year - 2018 - Submission Date - 1/2020</t>
  </si>
  <si>
    <t>Pratt Institute - Carbon/GHG - Draft - 6/18/19 - Bldgs, Fleet, Pratt owned - Revised 2/2020</t>
  </si>
  <si>
    <t>2,14</t>
  </si>
  <si>
    <t># C NG</t>
  </si>
  <si>
    <t>#C Oil</t>
  </si>
  <si>
    <t># C Elec</t>
  </si>
  <si>
    <t>#c fleet</t>
  </si>
  <si>
    <t># C/ sf</t>
  </si>
  <si>
    <t>tC Fleet</t>
  </si>
  <si>
    <t>MT</t>
  </si>
  <si>
    <t xml:space="preserve">MT </t>
  </si>
  <si>
    <t>t SW</t>
  </si>
  <si>
    <t>t</t>
  </si>
  <si>
    <t xml:space="preserve"> C Elec</t>
  </si>
  <si>
    <t>NG&amp;Oil</t>
  </si>
  <si>
    <t xml:space="preserve"> C NG</t>
  </si>
  <si>
    <t xml:space="preserve"> Elec, NG, Oil</t>
  </si>
  <si>
    <t>On site</t>
  </si>
  <si>
    <t>oil - %</t>
  </si>
  <si>
    <t>NG - %</t>
  </si>
  <si>
    <t>Pratt's 25 acres campus is managed sustainably. No inorganic fertilizers, pesticides used. Organic topsoil added to lawns and beds annually. Leaves and grass clippings composted offsite.</t>
  </si>
  <si>
    <t>Fleet = 5 trucks, 3 sec cars, 1 mail car, 1 elect truck = 10</t>
  </si>
  <si>
    <t>Employees can purchase pre-tax mass transit the the Beniversal Program</t>
  </si>
  <si>
    <t>Pratt handles all waste according to Federal, State and local regs. Toxic product us is minimized by banning some mat'ls and finding alternatives for other mat'ls.</t>
  </si>
  <si>
    <t>Compost</t>
  </si>
  <si>
    <t>Tot</t>
  </si>
  <si>
    <t>Yard</t>
  </si>
  <si>
    <t>Give Take</t>
  </si>
  <si>
    <t>Pratt changed Carters from 5 Star to RTS. Also went from single stream to single stream recyling. We are evaluating this change.</t>
  </si>
  <si>
    <t>Rainwater is managed via permeable surfaces. When we design landscape project we attempt to have 100% retention. We have completed a 100% retention parking lot and our Townhouses were converted to 100 % retention on the campus side, grounds not roofs.</t>
  </si>
  <si>
    <t>Res Hall Students</t>
  </si>
  <si>
    <t>Parking Passes Stud</t>
  </si>
  <si>
    <t xml:space="preserve">Students Driving and not parking on campus -  very little off campus parking </t>
  </si>
  <si>
    <t xml:space="preserve"> 4829 - 466 = 4363</t>
  </si>
  <si>
    <t>Transport - Students &amp; Fac Staff</t>
  </si>
  <si>
    <t>401+</t>
  </si>
  <si>
    <t>1096 - 11= 1085</t>
  </si>
  <si>
    <t>1085-401=684</t>
  </si>
  <si>
    <t>684*.1=68</t>
  </si>
  <si>
    <t>% sustainable  is 466/4829 students</t>
  </si>
  <si>
    <t>Fac staff</t>
  </si>
  <si>
    <t>1085-401-68/1096</t>
  </si>
  <si>
    <t>616/1096</t>
  </si>
  <si>
    <t>Drive</t>
  </si>
  <si>
    <t xml:space="preserve"> % sustainable -1096 - 469 = 627 green</t>
  </si>
  <si>
    <t>627/1096=57%</t>
  </si>
  <si>
    <t>Pratt Institute - GHG Inventory 2017 Climate Change - Feb, 2019</t>
  </si>
  <si>
    <t>Scope 1, 2 and solid waste from NYC Carbon Challenge - Mayor's Ofc of Sustainability</t>
  </si>
  <si>
    <t>Category</t>
  </si>
  <si>
    <t>T CO2e</t>
  </si>
  <si>
    <t>Mult</t>
  </si>
  <si>
    <t>MTCO2e</t>
  </si>
  <si>
    <t>Fuel</t>
  </si>
  <si>
    <t>Nat gas</t>
  </si>
  <si>
    <t>oil B5</t>
  </si>
  <si>
    <t>Electricity</t>
  </si>
  <si>
    <t>elec</t>
  </si>
  <si>
    <t>Solid Waste</t>
  </si>
  <si>
    <t>Pratt Fleet</t>
  </si>
  <si>
    <t>commuting</t>
  </si>
  <si>
    <t>air travel</t>
  </si>
  <si>
    <t>GHG 2017 - MTCO2e</t>
  </si>
  <si>
    <t>Pratt Institute - Solid waste data estimates for 2019 - Draft 2, 17,2021, 2/27,2021</t>
  </si>
  <si>
    <t>Month</t>
  </si>
  <si>
    <t>Item</t>
  </si>
  <si>
    <t>PMC</t>
  </si>
  <si>
    <t>Bklyn</t>
  </si>
  <si>
    <t>Subtot</t>
  </si>
  <si>
    <t>Recycle</t>
  </si>
  <si>
    <t>Recyled</t>
  </si>
  <si>
    <t>March</t>
  </si>
  <si>
    <t>Annual Trash Tons</t>
  </si>
  <si>
    <t>Annual Recyle Tons</t>
  </si>
  <si>
    <t xml:space="preserve">Annual Recycle </t>
  </si>
  <si>
    <t>C&amp;D tot</t>
  </si>
  <si>
    <t>C&amp;D % recover</t>
  </si>
  <si>
    <t>***Bulk/Constrution - Mat'l very variable - steel, plasti, masonry recovered - approx 75% recovered</t>
  </si>
  <si>
    <t>Pratt Institute - Utility Data Summary - 2019; March 18, 2020</t>
  </si>
  <si>
    <t>Nat Gas Therns</t>
  </si>
  <si>
    <t>#2 Oil Gal</t>
  </si>
  <si>
    <t>Fleet Gals</t>
  </si>
  <si>
    <t>incl in steam</t>
  </si>
  <si>
    <t>oih</t>
  </si>
  <si>
    <t xml:space="preserve">Emerson Hall </t>
  </si>
  <si>
    <t>135Emerson Pl</t>
  </si>
  <si>
    <t>Na</t>
  </si>
  <si>
    <t>?gen</t>
  </si>
  <si>
    <t>Willoughby Hall Tot</t>
  </si>
  <si>
    <t>gen?</t>
  </si>
  <si>
    <t>Total SF and energy usage</t>
  </si>
  <si>
    <t>Total $</t>
  </si>
  <si>
    <t>sf - 2019</t>
  </si>
  <si>
    <t>Energy $</t>
  </si>
  <si>
    <t>KWH</t>
  </si>
  <si>
    <t>NG Therms</t>
  </si>
  <si>
    <t>$</t>
  </si>
  <si>
    <t>Tons</t>
  </si>
  <si>
    <t>Data from NYC Carbon Challenge XL Sheet</t>
  </si>
  <si>
    <t>NYC GHG t CO2e</t>
  </si>
  <si>
    <t>tCO2 e/sf</t>
  </si>
  <si>
    <t>MM Btu</t>
  </si>
  <si>
    <t>MMBTU/sf</t>
  </si>
  <si>
    <t>Energy Intensity</t>
  </si>
  <si>
    <t>KBTU/SF</t>
  </si>
  <si>
    <t>Carbon Intensity</t>
  </si>
  <si>
    <t># CO2e/SF</t>
  </si>
  <si>
    <t>Pratt Institute - AASHE STARS - Sustainability Indicators 2018</t>
  </si>
  <si>
    <t>OP1</t>
  </si>
  <si>
    <t>Status</t>
  </si>
  <si>
    <t>complete</t>
  </si>
  <si>
    <t>OP2</t>
  </si>
  <si>
    <t>OP 3</t>
  </si>
  <si>
    <t>Bldg Design &amp; Const</t>
  </si>
  <si>
    <t>Emissions Inventory</t>
  </si>
  <si>
    <t>GHG Emissions</t>
  </si>
  <si>
    <t>OP 4</t>
  </si>
  <si>
    <t xml:space="preserve"> Bldg O&amp;M</t>
  </si>
  <si>
    <t>OP 5</t>
  </si>
  <si>
    <t>Bldg Energy Eff</t>
  </si>
  <si>
    <t>OP 6</t>
  </si>
  <si>
    <t>Clean &amp; Renewable E</t>
  </si>
  <si>
    <t>OP 7</t>
  </si>
  <si>
    <t>OP 8</t>
  </si>
  <si>
    <t>OP 9</t>
  </si>
  <si>
    <t>OP 10</t>
  </si>
  <si>
    <t>Sust Dining</t>
  </si>
  <si>
    <t>OP-11: Sustainable Procurement</t>
  </si>
  <si>
    <t>OP-12: Electronics Purchasing</t>
  </si>
  <si>
    <t>OP-13: Cleaning and Janitorial Purchasing</t>
  </si>
  <si>
    <t>OP-14: Office Paper Purchasing</t>
  </si>
  <si>
    <t>OP-15: Campus Fleet</t>
  </si>
  <si>
    <t>OP-16: Commute Modal Split</t>
  </si>
  <si>
    <t>OP-18: Waste Minimization and Diversion</t>
  </si>
  <si>
    <t>OP-20: Hazardous Waste Management</t>
  </si>
  <si>
    <t>OP-21: Water Use</t>
  </si>
  <si>
    <t>OP-22: Rainwater Management</t>
  </si>
  <si>
    <t>Pratt Institute</t>
  </si>
  <si>
    <t>Landscape Mgmt.</t>
  </si>
  <si>
    <t>25 acres</t>
  </si>
  <si>
    <t>organics</t>
  </si>
  <si>
    <t>Inorganic fertilizers, pesticides, herbicides or fungicides are not used, if necessary, organic materials are applied.  An annual application of ¼ - ½ inch organic compost is broadcast over lawns and planting beds in lieu of fertilizers.</t>
  </si>
  <si>
    <t>Grounds consist of predominantly lawn ground cover, large mature native trees and combinations of ornamental and naturalized trees and shrubs.   Damaged or diseased materials are replaced in kind or with comparable species which will tolerate existing soil and climate conditions.  New plant materials are chosen for their adaptability and tolerance of the same existing conditions.  Native and naturalized species are first choice for new plantings.</t>
  </si>
  <si>
    <t>The grounds are irrigated through the use of well water and potable water. We have and are continuing to implement newer technology for the controllers to reduce the amount of irrigation based upon real-time rain infiltration and management of irrigated areas based upon vegetation and soil characteristics.</t>
  </si>
  <si>
    <t>The campus strives to install permeable pavement to reduce direct run-off into combined sewer systems.  Included in the 25 managed acres, we have converted about 15% to permeable surfaces including 1 entire parking lot, 1 roadway, 1 walkway and areas under bicycle parking.</t>
  </si>
  <si>
    <t>All grass clippings, branches, pruning waste and leaves are collected and disposed of separately for off-site composting through our waste disposal vendor and landscape maintenance contractor.</t>
  </si>
  <si>
    <t>We have a very well vegetated campus and have been planting native species and Species that attract pollinators.</t>
  </si>
  <si>
    <t>This year again I observed quite a few Monarch Butterflies as well as at times a hawk and many blackbirds.</t>
  </si>
  <si>
    <t>Number of students resident on-site</t>
  </si>
  <si>
    <t>Number of employees resident on-site</t>
  </si>
  <si>
    <t>Number of other individuals resident on-site</t>
  </si>
  <si>
    <t>Total full-time equivalent student enrollment</t>
  </si>
  <si>
    <t>Full-time equivalent of employees</t>
  </si>
  <si>
    <t>Full-time equivalent of students enrolled exclusively in distance education</t>
  </si>
  <si>
    <t>AASHE - Submission for Year - 2019 - Submission Date - 3/2021</t>
  </si>
  <si>
    <t>Ofc Paper</t>
  </si>
  <si>
    <t>OP 14</t>
  </si>
  <si>
    <t>Total annual expenditures on office paper </t>
  </si>
  <si>
    <t> US/Canadian $</t>
  </si>
  <si>
    <t>Expenditure Per Level</t>
  </si>
  <si>
    <t>10-29 percent</t>
  </si>
  <si>
    <t>*</t>
  </si>
  <si>
    <t>lynette</t>
  </si>
  <si>
    <t xml:space="preserve">Compost - grounds mat'l - clippings, leaves, pruning residue - </t>
  </si>
  <si>
    <t>compost</t>
  </si>
  <si>
    <t>Pratt yard waste</t>
  </si>
  <si>
    <t>26 mows/year at 1000 #</t>
  </si>
  <si>
    <t>Leaves  10 at 750 = 7500</t>
  </si>
  <si>
    <t>Pruning trees 2 X/ year at 5,00 #</t>
  </si>
  <si>
    <t>21.2 tons</t>
  </si>
  <si>
    <t>Landfill</t>
  </si>
  <si>
    <t>Student Residents in campus dorms - 1814</t>
  </si>
  <si>
    <t>FTE students - 4698 (CE, MWP excluded), 5083 (CE, MWP included)</t>
  </si>
  <si>
    <t>FTE faculty - 524</t>
  </si>
  <si>
    <t>FTE staff - 579</t>
  </si>
  <si>
    <t>FTE Faculty</t>
  </si>
  <si>
    <t>FTE Employees - fac &amp; staff</t>
  </si>
  <si>
    <t>C&amp;D</t>
  </si>
  <si>
    <t>included in waste numbers</t>
  </si>
  <si>
    <t>C&amp;D Waste</t>
  </si>
  <si>
    <t>some included in gen'l waste</t>
  </si>
  <si>
    <t xml:space="preserve">25 # per yard </t>
  </si>
  <si>
    <t>#</t>
  </si>
  <si>
    <t>s eparate containers - 10 30 yard containers</t>
  </si>
  <si>
    <t>4 tons</t>
  </si>
  <si>
    <t>about 50% reycled - 2 tons</t>
  </si>
  <si>
    <t>Higgins</t>
  </si>
  <si>
    <t>PS</t>
  </si>
  <si>
    <t>Stabile</t>
  </si>
  <si>
    <t>WRH</t>
  </si>
  <si>
    <t>Pantas</t>
  </si>
  <si>
    <t>Steuben</t>
  </si>
  <si>
    <t>Lib</t>
  </si>
  <si>
    <t>Dek</t>
  </si>
  <si>
    <t>Isc</t>
  </si>
  <si>
    <t>Elj</t>
  </si>
  <si>
    <t>Thrift</t>
  </si>
  <si>
    <t>Engin</t>
  </si>
  <si>
    <t>Mach</t>
  </si>
  <si>
    <t>Chem</t>
  </si>
  <si>
    <t>North</t>
  </si>
  <si>
    <t>Union</t>
  </si>
  <si>
    <t>Mem</t>
  </si>
  <si>
    <t>Main</t>
  </si>
  <si>
    <t>East</t>
  </si>
  <si>
    <t>South</t>
  </si>
  <si>
    <t>F&amp;V</t>
  </si>
  <si>
    <t>Tnhse E</t>
  </si>
  <si>
    <t>Tnhse - S</t>
  </si>
  <si>
    <t>Tnhse W</t>
  </si>
  <si>
    <t>act</t>
  </si>
  <si>
    <t>est</t>
  </si>
  <si>
    <t>actual</t>
  </si>
  <si>
    <t>Tot Gal/yr</t>
  </si>
  <si>
    <t>3500 gal/day</t>
  </si>
  <si>
    <t>1,010,000gal/yr</t>
  </si>
  <si>
    <t>1500 gal/day</t>
  </si>
  <si>
    <t>4000 gal/day</t>
  </si>
  <si>
    <t>135,000 gal/yr</t>
  </si>
  <si>
    <t>2,600,000gal/yr</t>
  </si>
  <si>
    <t>11,200,000gal/yr</t>
  </si>
  <si>
    <t>2,000,000 gal/yr</t>
  </si>
  <si>
    <t>560,000gal/yr</t>
  </si>
  <si>
    <t>88,000gal/yr</t>
  </si>
  <si>
    <t>52,000 gal/yr</t>
  </si>
  <si>
    <t>269,280gal/yr</t>
  </si>
  <si>
    <t>1,361,000gal/yr</t>
  </si>
  <si>
    <t>23,000gal/yr</t>
  </si>
  <si>
    <t>170,500gal/yr</t>
  </si>
  <si>
    <t>93,000 gal/yr</t>
  </si>
  <si>
    <t>67,000 gal/yr</t>
  </si>
  <si>
    <t>494,000 gal/yr</t>
  </si>
  <si>
    <t>22,400 gal/yr</t>
  </si>
  <si>
    <t>33,700 gal/yr</t>
  </si>
  <si>
    <t>127,000 gal/yr</t>
  </si>
  <si>
    <t>120,000 gal/yr</t>
  </si>
  <si>
    <t>28,000 gal/yr</t>
  </si>
  <si>
    <t>26,000 gal/yr</t>
  </si>
  <si>
    <t>2,000 gal/dy</t>
  </si>
  <si>
    <t>2400 gal /day</t>
  </si>
  <si>
    <t>Potable Gal/Yr</t>
  </si>
  <si>
    <t>non ptable gal/yr - irrigation</t>
  </si>
  <si>
    <t>Total Water/yr - gal</t>
  </si>
  <si>
    <t>Non Potable - well water for irrigation on 5 acres</t>
  </si>
  <si>
    <t>1inch per SF/week * 16 weeks = 1.333 cubic feet * 50,000*5=333,333cubic feet/yr * 7.48 gal/CF= 2,493,331 gal/yr</t>
  </si>
  <si>
    <t>FTE Employees</t>
  </si>
  <si>
    <t>FY 19/20 - July 1 2019 - June 30 2020</t>
  </si>
  <si>
    <t>Covid started March 15 2020</t>
  </si>
  <si>
    <t>Jay Montalvo</t>
  </si>
  <si>
    <t>Gould Paper</t>
  </si>
  <si>
    <t>908 278 5821 steve isaac</t>
  </si>
  <si>
    <t>Toilet tissue - 1,216 cases</t>
  </si>
  <si>
    <t>Roll towels - 1,220 cases</t>
  </si>
  <si>
    <t>C-fold towels - 183 cases</t>
  </si>
  <si>
    <t>From 1/1/18 to 12/31/18</t>
  </si>
  <si>
    <t>Toilet tissue - 480 cases</t>
  </si>
  <si>
    <t>Roll towels - 686 cases</t>
  </si>
  <si>
    <t>C-fold towels - 70 cases</t>
  </si>
  <si>
    <t>2019/2020</t>
  </si>
  <si>
    <t>2020/2021</t>
  </si>
  <si>
    <t>used 25% less, Covid</t>
  </si>
  <si>
    <t>Copy Ctr which handles all admin paper restructured due to Covid - data very had to find</t>
  </si>
  <si>
    <t>2019/20 at 75% less</t>
  </si>
  <si>
    <t>2019/20 Covid 25%</t>
  </si>
  <si>
    <t>Started a entire Covid cleaning protocol - not included</t>
  </si>
  <si>
    <t>COVID supplies and equipment not included</t>
  </si>
  <si>
    <t>OP-19: Const and Demo Waste Diversion</t>
  </si>
  <si>
    <t>OP-17: Support for Sust Transport</t>
  </si>
  <si>
    <t>Students 2018</t>
  </si>
  <si>
    <t>Fac/Staff 2018</t>
  </si>
  <si>
    <t>2019 Fac, Staff</t>
  </si>
  <si>
    <t>2019 Stud</t>
  </si>
  <si>
    <t>1103-11= 1092</t>
  </si>
  <si>
    <t>cars to school -</t>
  </si>
  <si>
    <t xml:space="preserve"> 162 +304 =466</t>
  </si>
  <si>
    <t>We have:</t>
  </si>
  <si>
    <t>4698 FTE students.</t>
  </si>
  <si>
    <t>1814 dorm students</t>
  </si>
  <si>
    <t>sell 167 student parking passes</t>
  </si>
  <si>
    <t>very little street parking, assume 10% of (4698-1814), drive 288</t>
  </si>
  <si>
    <t>288/4698 drive = 6% drive or 94% walk, bike, mass transit.</t>
  </si>
  <si>
    <t>This is based on student numbers and passes sold for 2019.</t>
  </si>
  <si>
    <t>Passes sold</t>
  </si>
  <si>
    <t>We have approximately:</t>
  </si>
  <si>
    <t>1103 fte faculty and staff</t>
  </si>
  <si>
    <t xml:space="preserve">396 parking passes sold </t>
  </si>
  <si>
    <t>add 10% street parking= 40</t>
  </si>
  <si>
    <t>667 green</t>
  </si>
  <si>
    <t>667/1103 = 61% green</t>
  </si>
  <si>
    <t>this is for 2019</t>
  </si>
  <si>
    <t>Pratt Institute - Water 2019 - ESTIMATE - gal/mo</t>
  </si>
  <si>
    <t>similat to Pantas</t>
  </si>
  <si>
    <t>Emerson Res</t>
  </si>
  <si>
    <t>Tnhse - Steub</t>
  </si>
  <si>
    <t>Tnhse Will</t>
  </si>
  <si>
    <t>ESTIMATES/day/yr</t>
  </si>
  <si>
    <t>5 mo occ &amp; onst</t>
  </si>
  <si>
    <t>gal/mo</t>
  </si>
  <si>
    <t>Pratt Institute - Water 2019 - Estimate - gal/mo &amp; gal/yr</t>
  </si>
  <si>
    <t>Pratt Institute - Water 2018 - ESTIMATE - gal/mo</t>
  </si>
  <si>
    <t>tCO2e</t>
  </si>
  <si>
    <t>GiveTake</t>
  </si>
  <si>
    <t>4.62 tons of mat'l recovered from the waste stream and given to students</t>
  </si>
  <si>
    <t>Expenditures on office paper  following levels of post-consumer recycled, agricultural residue, and/or FSC certified content:</t>
  </si>
  <si>
    <t>10-29% -$5,000</t>
  </si>
  <si>
    <t>OP12</t>
  </si>
  <si>
    <t>total $ on electronics</t>
  </si>
  <si>
    <t>epeat gold</t>
  </si>
  <si>
    <t>epeart silver</t>
  </si>
  <si>
    <t>2019/2020 - 25% less due to Covid. Estimate</t>
  </si>
  <si>
    <t>14 STREET – 14,906.71</t>
  </si>
  <si>
    <t>CAMPUS -  152,587.20</t>
  </si>
  <si>
    <t xml:space="preserve">from Angel - FY 19/20 total janitorial </t>
  </si>
  <si>
    <t>Cleaning &amp; Janitorial -NOT including Covid</t>
  </si>
  <si>
    <t>PA 15: Workplace Health &amp; Safety</t>
  </si>
  <si>
    <t>no data available use 25% less due to Covid</t>
  </si>
  <si>
    <t>na data available - use 25% less due to Covid</t>
  </si>
  <si>
    <t>no Data; no foodservice people</t>
  </si>
  <si>
    <r>
      <t>Nicolle Portilla</t>
    </r>
    <r>
      <rPr>
        <sz val="11"/>
        <color rgb="FF222222"/>
        <rFont val="Arial"/>
        <family val="2"/>
      </rPr>
      <t> </t>
    </r>
    <r>
      <rPr>
        <sz val="11"/>
        <color rgb="FF555555"/>
        <rFont val="Arial"/>
        <family val="2"/>
      </rPr>
      <t>&lt;nicolle@rts.com&gt;</t>
    </r>
  </si>
  <si>
    <t>RTS</t>
  </si>
  <si>
    <t xml:space="preserve">Pratt Institute - Solid waste data estimates for 2020 - </t>
  </si>
  <si>
    <t xml:space="preserve">Pratt Institute - AASHE STARS - Sustainability Indicators </t>
  </si>
  <si>
    <t>Carolyn Shafer has granted you Administrator access to Pratt Institute's account in the STARS Reporting Tool, which is available at http://stars.aashe.org/.   </t>
  </si>
  <si>
    <t>To access the STARS Reporting Tool, please log in using the username and password associated with your AASHE account. If you do not have an AASHE account your may create a new one at http://www.aashe.org/user/register.  If you have an account, but forgot your password, you may update your password at http://www.aashe.org/user/password.</t>
  </si>
  <si>
    <t>Please contact your institution's STARS Liaison, Carolyn Shafer at csds@pratt.edu or the STARS Team at stars@aashe.org with questions.   </t>
  </si>
  <si>
    <t>Happy Reporting!</t>
  </si>
  <si>
    <t>The STARS Team</t>
  </si>
  <si>
    <t>stars@aashe.org </t>
  </si>
  <si>
    <t>--</t>
  </si>
  <si>
    <t> http://stars.aashe.org/. </t>
  </si>
  <si>
    <t>Your Customer ID: 10490</t>
  </si>
  <si>
    <t>Tony Gelber</t>
  </si>
  <si>
    <t>Brooklyn, NY 11205</t>
  </si>
  <si>
    <t>Preferred Contact #: (917) 750-6314</t>
  </si>
  <si>
    <t>Email: argelber@pratt.edu</t>
  </si>
  <si>
    <t>Login ID: argelber@pratt.edu (change)</t>
  </si>
  <si>
    <t>Pratt Institute - Carbon/GHG - Draft - 2,23,22</t>
  </si>
  <si>
    <t>Pratt Institute - Utility Data Summary - 2020 - April 15, 2021</t>
  </si>
  <si>
    <t>Total Therms</t>
  </si>
  <si>
    <t>2020 sf</t>
  </si>
  <si>
    <t>reduction %</t>
  </si>
  <si>
    <t>FOR NYSERDA</t>
  </si>
  <si>
    <t>Btu/yr</t>
  </si>
  <si>
    <t>MM btu/yr</t>
  </si>
  <si>
    <t>approx</t>
  </si>
  <si>
    <t>12,500 MTCO2 e</t>
  </si>
  <si>
    <t>%</t>
  </si>
  <si>
    <t>Oct, Nov, Dec Estimates</t>
  </si>
  <si>
    <t>SW</t>
  </si>
  <si>
    <t>stationary combustion</t>
  </si>
  <si>
    <t>Scope 2</t>
  </si>
  <si>
    <t>Scope 1 fleet</t>
  </si>
  <si>
    <t>MM btu</t>
  </si>
  <si>
    <t>emauil Rich Rose - AASHE - OSHA</t>
  </si>
  <si>
    <t>TG Carolyn</t>
  </si>
  <si>
    <t>xxxxxxxxxxxxxxxxxxxxxxxxxxxxxx</t>
  </si>
  <si>
    <t>Biofuels</t>
  </si>
  <si>
    <t>5% of 36564 gal</t>
  </si>
  <si>
    <t>238 MM btu</t>
  </si>
  <si>
    <t>Complete</t>
  </si>
  <si>
    <t>CS</t>
  </si>
  <si>
    <t>students - 167</t>
  </si>
  <si>
    <t>fac/staff - 396</t>
  </si>
  <si>
    <t>2020 Stud</t>
  </si>
  <si>
    <t>202 fac, staff</t>
  </si>
  <si>
    <t>Scope 3 - Solid Waste</t>
  </si>
  <si>
    <t>Pratt Institute - AASHE STARS - Data Submit for FY20/21 -  Draft - 2,28,22</t>
  </si>
  <si>
    <t>Annual to Landfill</t>
  </si>
  <si>
    <t>TCO2e</t>
  </si>
  <si>
    <t>Commuting</t>
  </si>
  <si>
    <t xml:space="preserve"> </t>
  </si>
  <si>
    <t>Bus travel for 2020 - 25% of 2019</t>
  </si>
  <si>
    <t>Pratt suspended all travel as of midMarch 2020</t>
  </si>
  <si>
    <t>commuting -for 2020 - 40% of 2019</t>
  </si>
  <si>
    <t>Bus Travel</t>
  </si>
  <si>
    <t>Covid</t>
  </si>
  <si>
    <t>In 2020 Pratt suspended classes mid March and resumed at about 35% 0n Fall 2020.</t>
  </si>
  <si>
    <t>All travel was canceled as of mid-March 2020.</t>
  </si>
  <si>
    <t>Bus Travel estimated at 25% of 2019.</t>
  </si>
  <si>
    <t>Commuting estimated at 40% 0f 2019.</t>
  </si>
  <si>
    <t>Nitrogen oxides (NOx)</t>
  </si>
  <si>
    <t> Tons</t>
  </si>
  <si>
    <t>Sulfur oxides (SOx)</t>
  </si>
  <si>
    <t>Carbon monoxide (CO)</t>
  </si>
  <si>
    <t>Particulate matter (PM)</t>
  </si>
  <si>
    <t>Ozone (O3)</t>
  </si>
  <si>
    <t>Lead (Pb)</t>
  </si>
  <si>
    <t>Hazardous air pollutants (HAPs)</t>
  </si>
  <si>
    <t>Ozone-depleting compounds (ODCs)</t>
  </si>
  <si>
    <t>Other standard categories of air emissions identified in permits and/or regulations</t>
  </si>
  <si>
    <t>Do the air pollutant emissions figures provided include the following sources? </t>
  </si>
  <si>
    <t>Yes or No</t>
  </si>
  <si>
    <t>Major stationary sources</t>
  </si>
  <si>
    <t>Area sources</t>
  </si>
  <si>
    <t>Mobile sources</t>
  </si>
  <si>
    <t>Off-site electricity production</t>
  </si>
  <si>
    <t>* A brief description of the methodology(ies) the institution used to complete its air emissions inventory</t>
  </si>
  <si>
    <t>electric</t>
  </si>
  <si>
    <t>nat gas</t>
  </si>
  <si>
    <t>biodiesel</t>
  </si>
  <si>
    <t>Mmbtu</t>
  </si>
  <si>
    <t>10,000 KWhr * 3412</t>
  </si>
  <si>
    <t>Heating Mmbtu</t>
  </si>
  <si>
    <t>2.32 tons of mat'l recovered from the waste stream and given to students</t>
  </si>
  <si>
    <t>separate containers - 5,  30 yard containers</t>
  </si>
  <si>
    <t xml:space="preserve"> tons</t>
  </si>
  <si>
    <t>about 50% reycled - 1.875 tons</t>
  </si>
  <si>
    <t>50% landfill</t>
  </si>
  <si>
    <t>tons</t>
  </si>
  <si>
    <t>due to Covid, less constructon, fewere move in move out and more stuff to Landfill</t>
  </si>
  <si>
    <t>2020 Water Gal/Mo - some actual some estimates ALL effected by COVID</t>
  </si>
  <si>
    <t>Your account has AMR installation issues. DEP is investigating.</t>
  </si>
  <si>
    <t>184 EMERSON PLACE AMR installed 3/19/2014 meer changed 3/20/14</t>
  </si>
  <si>
    <t>?</t>
  </si>
  <si>
    <t>This account has not been converted to AMR.</t>
  </si>
  <si>
    <t>BROOKLYN,  NY  11205-0000</t>
  </si>
  <si>
    <t xml:space="preserve">There is no meter associated with account number: </t>
  </si>
  <si>
    <t>Account #: 2000298659001</t>
  </si>
  <si>
    <t>349 Dekalb</t>
  </si>
  <si>
    <t>The Pit - PS Pantas</t>
  </si>
  <si>
    <t>80009-95915-001</t>
  </si>
  <si>
    <t>38 Classon</t>
  </si>
  <si>
    <t>Pit</t>
  </si>
  <si>
    <t>184 Emerson</t>
  </si>
  <si>
    <t>1 Clifton Pl</t>
  </si>
  <si>
    <t>80002-99124-001</t>
  </si>
  <si>
    <t>xxxxxxxxxxxxxxxxxxxxxxxxxxxxxxxxxxxxxxxxxxxxxxxxxxxxxxxxxxxxxxxxxxxxxxxxxxxxxxx</t>
  </si>
  <si>
    <t>115.49 pe month</t>
  </si>
  <si>
    <t>No AMR</t>
  </si>
  <si>
    <t>H2O - 2020</t>
  </si>
  <si>
    <t>Steuben Hose?</t>
  </si>
  <si>
    <t>78 Steuben St</t>
  </si>
  <si>
    <t>Service Address:</t>
  </si>
  <si>
    <t>Account #: 298654001</t>
  </si>
  <si>
    <t>Account Balance: $0.00</t>
  </si>
  <si>
    <t>349 DE KALB AV</t>
  </si>
  <si>
    <t xml:space="preserve">Borough: Brooklyn  Block: 01920  Lot: 0001 </t>
  </si>
  <si>
    <t>AMR Installed On: 06/25/2018</t>
  </si>
  <si>
    <t>no AMR</t>
  </si>
  <si>
    <t>Act</t>
  </si>
  <si>
    <t>avg $180/3mo</t>
  </si>
  <si>
    <t>Temp</t>
  </si>
  <si>
    <t>Est</t>
  </si>
  <si>
    <t>Gallons - many estimates - Covid hit March 16 2020 through Dec 31, 2020</t>
  </si>
  <si>
    <t>no meter assoc</t>
  </si>
  <si>
    <t>AMR issues</t>
  </si>
  <si>
    <t>Actual</t>
  </si>
  <si>
    <t>Grand Pit</t>
  </si>
  <si>
    <t>Emerson Pit</t>
  </si>
  <si>
    <t>Total 2 Pits</t>
  </si>
  <si>
    <t>E14030300</t>
  </si>
  <si>
    <t>135 Emerson</t>
  </si>
  <si>
    <t>poor readings</t>
  </si>
  <si>
    <t>Myrtle hall</t>
  </si>
  <si>
    <t>cct</t>
  </si>
  <si>
    <t xml:space="preserve">dekalb </t>
  </si>
  <si>
    <t>Town Hses</t>
  </si>
  <si>
    <t xml:space="preserve">Town Hses </t>
  </si>
  <si>
    <t>Dekalb</t>
  </si>
  <si>
    <t>349 Dekalb Ave</t>
  </si>
  <si>
    <t>238 Classon CCT</t>
  </si>
  <si>
    <t>184 Emerson Pl</t>
  </si>
  <si>
    <t>Film &amp; Video</t>
  </si>
  <si>
    <t>215 Will</t>
  </si>
  <si>
    <t>255 Ryerson</t>
  </si>
  <si>
    <t>164 Willoughby</t>
  </si>
  <si>
    <t xml:space="preserve">524 Myrtle </t>
  </si>
  <si>
    <t>379 Dekalb</t>
  </si>
  <si>
    <t>Emerso</t>
  </si>
  <si>
    <t>Steub</t>
  </si>
  <si>
    <t>Will</t>
  </si>
  <si>
    <t>00002-98661-001</t>
  </si>
  <si>
    <t>224 Grand</t>
  </si>
  <si>
    <t> 4000298398001</t>
  </si>
  <si>
    <t> 4000298655001</t>
  </si>
  <si>
    <t> 5000298653001</t>
  </si>
  <si>
    <t>Gal/mo</t>
  </si>
  <si>
    <t>no data</t>
  </si>
  <si>
    <t>no meter on acc't</t>
  </si>
  <si>
    <t>F</t>
  </si>
  <si>
    <t>M</t>
  </si>
  <si>
    <t>A</t>
  </si>
  <si>
    <t>JL</t>
  </si>
  <si>
    <t>S</t>
  </si>
  <si>
    <t>O</t>
  </si>
  <si>
    <t>N</t>
  </si>
  <si>
    <t>D</t>
  </si>
  <si>
    <t>Gal/yr</t>
  </si>
  <si>
    <t>enter in Port Mgr</t>
  </si>
  <si>
    <t>yes, Temp</t>
  </si>
  <si>
    <t>yes temp</t>
  </si>
  <si>
    <t>yes</t>
  </si>
  <si>
    <t>yes - temp</t>
  </si>
  <si>
    <t>yes, temp</t>
  </si>
  <si>
    <t>adj start error</t>
  </si>
  <si>
    <t>Water Costs</t>
  </si>
  <si>
    <t>Usage - gal/day</t>
  </si>
  <si>
    <t>cost - $</t>
  </si>
  <si>
    <t>$/gallon</t>
  </si>
  <si>
    <t>Emerson Pit 180/3mo</t>
  </si>
  <si>
    <t>$60/mo</t>
  </si>
  <si>
    <t>assume 50% sewer = $30/mo</t>
  </si>
  <si>
    <t>$30/.0135</t>
  </si>
  <si>
    <t>2020 Water - 2 Central Meters - The Pit - Emerson and Grand Ave</t>
  </si>
  <si>
    <t xml:space="preserve"> Acct #</t>
  </si>
  <si>
    <t xml:space="preserve">sf </t>
  </si>
  <si>
    <t>Central Supply</t>
  </si>
  <si>
    <t>The Pit</t>
  </si>
  <si>
    <t>Total 2 Pits - Gal/Yr</t>
  </si>
  <si>
    <t>98654-001</t>
  </si>
  <si>
    <t>238 Classon Ave</t>
  </si>
  <si>
    <t>98661-001</t>
  </si>
  <si>
    <t>Gal/Yr</t>
  </si>
  <si>
    <t>Central Total</t>
  </si>
  <si>
    <t>Gal/Mo</t>
  </si>
  <si>
    <t>Central Meters</t>
  </si>
  <si>
    <t>Factor</t>
  </si>
  <si>
    <t>Value</t>
  </si>
  <si>
    <t>cf cubic feet</t>
  </si>
  <si>
    <t>238/296 Classon</t>
  </si>
  <si>
    <t>Emerson Pl</t>
  </si>
  <si>
    <t>Steuben Pl</t>
  </si>
  <si>
    <t>Willoughby Ave</t>
  </si>
  <si>
    <t>Caf</t>
  </si>
  <si>
    <t>total Central</t>
  </si>
  <si>
    <t>Water 2013 - average cost water and sewer $8.78 per 100 cu ft</t>
  </si>
  <si>
    <t>Annual Use</t>
  </si>
  <si>
    <t>Water 2018 cubic ft/yr</t>
  </si>
  <si>
    <t>Daily Use</t>
  </si>
  <si>
    <t>gal/sf-yr</t>
  </si>
  <si>
    <t>Water 2012</t>
  </si>
  <si>
    <t>Water 2014</t>
  </si>
  <si>
    <t>Water 2015</t>
  </si>
  <si>
    <t>Acc't</t>
  </si>
  <si>
    <t>gallons/yr</t>
  </si>
  <si>
    <t>cubic ft /yr</t>
  </si>
  <si>
    <t>Cubic Feet</t>
  </si>
  <si>
    <t>avg gal/day</t>
  </si>
  <si>
    <t>arc</t>
  </si>
  <si>
    <t>98659-001</t>
  </si>
  <si>
    <t>40002-97958-001</t>
  </si>
  <si>
    <t>97958-001</t>
  </si>
  <si>
    <t>81 Grand</t>
  </si>
  <si>
    <t>40002-97972-001</t>
  </si>
  <si>
    <t>61 St James</t>
  </si>
  <si>
    <t>99124-001</t>
  </si>
  <si>
    <t>50001-98653-001</t>
  </si>
  <si>
    <t>98653-001</t>
  </si>
  <si>
    <t>Dekalb hall</t>
  </si>
  <si>
    <t>00002-98654-001</t>
  </si>
  <si>
    <t>Leo Pantas</t>
  </si>
  <si>
    <t>Dekalb Ave</t>
  </si>
  <si>
    <t>Estimate</t>
  </si>
  <si>
    <t>Hall St</t>
  </si>
  <si>
    <t>00002-97962-001</t>
  </si>
  <si>
    <t>524/536 Myrtle</t>
  </si>
  <si>
    <t>60010-32420-001</t>
  </si>
  <si>
    <t>2420-001</t>
  </si>
  <si>
    <t>AMR not working</t>
  </si>
  <si>
    <t>90002-98568-001</t>
  </si>
  <si>
    <t>00001-11492-001</t>
  </si>
  <si>
    <t>11492-001</t>
  </si>
  <si>
    <t>98657-001</t>
  </si>
  <si>
    <t>Design ctr</t>
  </si>
  <si>
    <t>ESTIMATE</t>
  </si>
  <si>
    <t>80002-98658-001</t>
  </si>
  <si>
    <t>8658-001</t>
  </si>
  <si>
    <t>255 Ryerson St</t>
  </si>
  <si>
    <t>40002-98655-001</t>
  </si>
  <si>
    <t xml:space="preserve">215 Willoughby </t>
  </si>
  <si>
    <t>40002-98398-001</t>
  </si>
  <si>
    <t>8398-001</t>
  </si>
  <si>
    <t>2014 cubic feet</t>
  </si>
  <si>
    <t>20002-98659-001</t>
  </si>
  <si>
    <t>4002-97988-001</t>
  </si>
  <si>
    <t>Monthly Water Usage by Pratt Voucher Billing - $</t>
  </si>
  <si>
    <t>00002-9861-001</t>
  </si>
  <si>
    <t>Pratt Store</t>
  </si>
  <si>
    <t>1 clifton pl</t>
  </si>
  <si>
    <t>Not a Pratt</t>
  </si>
  <si>
    <t>Water 2018 Gal</t>
  </si>
  <si>
    <t xml:space="preserve">Water </t>
  </si>
  <si>
    <t xml:space="preserve">Annual Use </t>
  </si>
  <si>
    <t>gal/yr</t>
  </si>
  <si>
    <t>ESTIMKATE</t>
  </si>
  <si>
    <t>cubic Ft/yr</t>
  </si>
  <si>
    <t>cafeteria</t>
  </si>
  <si>
    <t xml:space="preserve">Est </t>
  </si>
  <si>
    <t>Water Usage</t>
  </si>
  <si>
    <t>Potable - from meters</t>
  </si>
  <si>
    <t xml:space="preserve">irrigation - from well - </t>
  </si>
  <si>
    <t>it takes about 25,000 gal of H2O to water 1 acre, 1 inch</t>
  </si>
  <si>
    <t>Assuming we have 4 acres at 1 inch/week for 8 weeks</t>
  </si>
  <si>
    <t>wks/yr</t>
  </si>
  <si>
    <t>acres</t>
  </si>
  <si>
    <t>gal/acre</t>
  </si>
  <si>
    <t>Gal Water</t>
  </si>
  <si>
    <t>Irrigation - from well</t>
  </si>
  <si>
    <t>Potable - from well</t>
  </si>
  <si>
    <t>10 total</t>
  </si>
  <si>
    <t>8 gasolene</t>
  </si>
  <si>
    <t>1 diesel</t>
  </si>
  <si>
    <t>1 electric</t>
  </si>
  <si>
    <t>Students</t>
  </si>
  <si>
    <t>FTE students</t>
  </si>
  <si>
    <t>Parking lots</t>
  </si>
  <si>
    <t>Support for Sust Transit</t>
  </si>
  <si>
    <t>No change</t>
  </si>
  <si>
    <t>North Campus</t>
  </si>
  <si>
    <t>Steuben St</t>
  </si>
  <si>
    <t>Steuben lot</t>
  </si>
  <si>
    <t>Front Lot</t>
  </si>
  <si>
    <t>AASHE - Submission for Year - 20/21 - Submission Date - 3/2022</t>
  </si>
  <si>
    <t>19/20</t>
  </si>
  <si>
    <t>20/21</t>
  </si>
  <si>
    <t>20/221</t>
  </si>
  <si>
    <t>11/30/20 - 13,194.00</t>
  </si>
  <si>
    <t>3/11/21 - 9330.00</t>
  </si>
  <si>
    <t>4/8/21 - 4140.00</t>
  </si>
  <si>
    <t>Add Covid - Contract Cleaning</t>
  </si>
  <si>
    <t xml:space="preserve">at 60/40 labor/mat'l </t>
  </si>
  <si>
    <t>janitorial/paper 50/50</t>
  </si>
  <si>
    <t>clean products</t>
  </si>
  <si>
    <t>paper products</t>
  </si>
  <si>
    <t>tot cleaning</t>
  </si>
  <si>
    <t>tot paper</t>
  </si>
  <si>
    <t>at 25%</t>
  </si>
  <si>
    <t>est 25% green</t>
  </si>
  <si>
    <t>Various vendors</t>
  </si>
  <si>
    <t>Most offices remote for part of the year and when staffed at 1 person per office</t>
  </si>
  <si>
    <t>tot ofc paper</t>
  </si>
  <si>
    <t>10-29%</t>
  </si>
  <si>
    <t>For Covid - estimate 25% of paper used preCovid</t>
  </si>
  <si>
    <t>Sustainable procurement</t>
  </si>
  <si>
    <t>Pratt has established a ban on single use water bottles</t>
  </si>
  <si>
    <t>OP 11</t>
  </si>
  <si>
    <t>started</t>
  </si>
  <si>
    <t>Pratt has  banned many hazardous art mat'lssingle use water bottles</t>
  </si>
  <si>
    <t xml:space="preserve">in place </t>
  </si>
  <si>
    <t>We had a total of 20 claims for 2021</t>
  </si>
  <si>
    <t>- 7 claims resulted in lost time</t>
  </si>
  <si>
    <t>- 8 claims were medical only</t>
  </si>
  <si>
    <t>- 5 claims were for record only</t>
  </si>
  <si>
    <t>1. Arises from exposure to hazards at work, AND</t>
  </si>
  <si>
    <t>2. Results in death, days away from work, restricted work or transfer to another job, medical treatment beyond first aid, loss of consciousness, or significant injury or ill health diagnosed by a physician or other licensed healthcare professional.</t>
  </si>
  <si>
    <t>FY 20/21 - Covid continues</t>
  </si>
  <si>
    <t>Campus Park Lot Survey</t>
  </si>
  <si>
    <t xml:space="preserve">Fall 2020 - </t>
  </si>
  <si>
    <t>Spring 21</t>
  </si>
  <si>
    <t>Park Lot Survey</t>
  </si>
  <si>
    <t>Fall 2020</t>
  </si>
  <si>
    <t>M,T,W,TH - 20%</t>
  </si>
  <si>
    <t>Spring 21 - 40%</t>
  </si>
  <si>
    <t>3989FTE students</t>
  </si>
  <si>
    <t>Avg</t>
  </si>
  <si>
    <t>132 cars on campus - subtract fac/staff</t>
  </si>
  <si>
    <t>sold 221 fac/staff park permits - who worked about 10% on campus</t>
  </si>
  <si>
    <t xml:space="preserve">about 40 cars fac/staff so 132-40 = 92 cars - 1/4 dorm = </t>
  </si>
  <si>
    <t>92.31 = 61 stud cars</t>
  </si>
  <si>
    <t>60 stud cars /3989= 98.5% more sustainable</t>
  </si>
  <si>
    <t>40 cars on campus of</t>
  </si>
  <si>
    <t>1044 fte employees</t>
  </si>
  <si>
    <t>- 441 parking spots, almost no off campus parking</t>
  </si>
  <si>
    <t>- 123 dorm students</t>
  </si>
  <si>
    <t>- sell 51 student parking passes; 221 fac/staff passes, very little street parking.</t>
  </si>
  <si>
    <t>Park lot visual surveys Fall 20 about 20% full; Spring 21 40% full</t>
  </si>
  <si>
    <t>Avg 132 cars on campus - fac/staff 40 - 1/4 dorms = 60 student cars</t>
  </si>
  <si>
    <t>60/3989 = 98.5 sustainable.</t>
  </si>
  <si>
    <t>2020/21</t>
  </si>
  <si>
    <t>ue to Covid employees work asked to work from home and then return, 1 person per office.</t>
  </si>
  <si>
    <t>Park lot survey about 40 cars for faculty and staff/1044 fte employees = 96%</t>
  </si>
  <si>
    <t>* 95 Apple Computers: Average cost  $1750.00  (Total: $166,250)</t>
  </si>
  <si>
    <t>* 30 iPads: Average cost $950.00 (Total: $28,500)</t>
  </si>
  <si>
    <t>* 3 HP computers: Average cost $2000.00 (Total: $6000.00)</t>
  </si>
  <si>
    <t>* 1 Lenovo Business Desktop: $970</t>
  </si>
  <si>
    <t>* 1 Razar Laptop: $1200.00</t>
  </si>
  <si>
    <t>*  3 Microsystem Computers: Average Cost $1060.00 (Total: $3,180.00)</t>
  </si>
  <si>
    <t>* 45 Dell Computers: Average Cost $1300.00 (Total: $58,500)</t>
  </si>
  <si>
    <t>* 2 Televisions: Average Cost $450.00 (Total: $900)</t>
  </si>
  <si>
    <t>EPEAT:</t>
  </si>
  <si>
    <t>2020 - Notes</t>
  </si>
  <si>
    <t>Small Boilers</t>
  </si>
  <si>
    <t>(&lt;100)</t>
  </si>
  <si>
    <t>Uncontrolled 100 B 84 B</t>
  </si>
  <si>
    <t>Controlled - Low NOx burners 50 D 84 B</t>
  </si>
  <si>
    <t>NOX Nat Gas</t>
  </si>
  <si>
    <t>Emission Factor (lb/106 scf)</t>
  </si>
  <si>
    <t>NOX</t>
  </si>
  <si>
    <t>SOX</t>
  </si>
  <si>
    <t>CO</t>
  </si>
  <si>
    <t>PM</t>
  </si>
  <si>
    <t>2019 Tons</t>
  </si>
  <si>
    <t>1000 gal</t>
  </si>
  <si>
    <t>MM CF</t>
  </si>
  <si>
    <t>Btu</t>
  </si>
  <si>
    <t>Low sulphur #2 oil</t>
  </si>
  <si>
    <t>Calc</t>
  </si>
  <si>
    <t>Subtot #</t>
  </si>
  <si>
    <t>1 CF NG = 1000 btu</t>
  </si>
  <si>
    <t>MMCF</t>
  </si>
  <si>
    <t>#/btu</t>
  </si>
  <si>
    <t>937000*100000</t>
  </si>
  <si>
    <t>subtot #</t>
  </si>
  <si>
    <t>From EPA for Low Sulphur oil and Natural Gas - source EPA</t>
  </si>
  <si>
    <t>from EPA and Antares Engineers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</si>
</sst>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8" formatCode="&quot;$&quot;#,##0.00_);[Red]\(&quot;$&quot;#,##0.00\)"/>
    <numFmt numFmtId="43" formatCode="_(* #,##0.00_);_(* \(#,##0.00\);_(* &quot;-&quot;??_);_(@_)"/>
    <numFmt numFmtId="164" formatCode="_(* #,##0_);_(* \(#,##0\);_(* &quot;-&quot;??_);_(@_)"/>
    <numFmt numFmtId="165" formatCode="0.0"/>
    <numFmt numFmtId="166" formatCode="0.000"/>
    <numFmt numFmtId="167" formatCode="_(* #,##0.000_);_(* \(#,##0.000\);_(* &quot;-&quot;??_);_(@_)"/>
    <numFmt numFmtId="168" formatCode="_(* #,##0.0000000000_);_(* \(#,##0.0000000000\);_(* &quot;-&quot;??_);_(@_)"/>
    <numFmt numFmtId="169" formatCode="_(* #,##0.0_);_(* \(#,##0.0\);_(* &quot;-&quot;??_);_(@_)"/>
    <numFmt numFmtId="170" formatCode="0.0000"/>
    <numFmt numFmtId="171" formatCode="_(* #,##0.0000_);_(* \(#,##0.0000\);_(* &quot;-&quot;??_);_(@_)"/>
    <numFmt numFmtId="172" formatCode="_(* #,##0.00000_);_(* \(#,##0.00000\);_(* &quot;-&quot;??_);_(@_)"/>
    <numFmt numFmtId="176" formatCode="#,##0.0000"/>
  </numFmts>
  <fonts count="34" x14ac:knownFonts="1">
    <font>
      <sz val="11"/>
      <color theme="1"/>
      <name val="Calibri"/>
      <family val="2"/>
      <scheme val="minor"/>
    </font>
    <font>
      <sz val="11"/>
      <color theme="1"/>
      <name val="Calibri"/>
      <family val="2"/>
      <scheme val="minor"/>
    </font>
    <font>
      <b/>
      <sz val="11"/>
      <color theme="1"/>
      <name val="Calibri"/>
      <family val="2"/>
      <scheme val="minor"/>
    </font>
    <font>
      <b/>
      <sz val="12"/>
      <name val="Arial"/>
      <family val="2"/>
    </font>
    <font>
      <sz val="12"/>
      <color theme="1"/>
      <name val="Calibri"/>
      <family val="2"/>
      <scheme val="minor"/>
    </font>
    <font>
      <b/>
      <sz val="12"/>
      <color theme="1"/>
      <name val="Calibri"/>
      <family val="2"/>
      <scheme val="minor"/>
    </font>
    <font>
      <b/>
      <sz val="11"/>
      <name val="Arial"/>
      <family val="2"/>
    </font>
    <font>
      <b/>
      <sz val="14"/>
      <color theme="1"/>
      <name val="Calibri"/>
      <family val="2"/>
      <scheme val="minor"/>
    </font>
    <font>
      <sz val="10"/>
      <name val="Gill Sans MT"/>
      <family val="2"/>
    </font>
    <font>
      <sz val="10"/>
      <name val="Calibri"/>
      <family val="2"/>
      <scheme val="minor"/>
    </font>
    <font>
      <b/>
      <sz val="12"/>
      <name val="Calibri"/>
      <family val="2"/>
      <scheme val="minor"/>
    </font>
    <font>
      <b/>
      <sz val="11"/>
      <name val="Calibri"/>
      <family val="2"/>
      <scheme val="minor"/>
    </font>
    <font>
      <b/>
      <sz val="10"/>
      <name val="Arial"/>
      <family val="2"/>
    </font>
    <font>
      <b/>
      <i/>
      <sz val="12"/>
      <name val="Arial"/>
      <family val="2"/>
    </font>
    <font>
      <b/>
      <sz val="12"/>
      <color rgb="FFFF0000"/>
      <name val="Calibri"/>
      <family val="2"/>
      <scheme val="minor"/>
    </font>
    <font>
      <b/>
      <i/>
      <sz val="14"/>
      <color rgb="FF00B050"/>
      <name val="Calibri"/>
      <family val="2"/>
      <scheme val="minor"/>
    </font>
    <font>
      <b/>
      <sz val="12"/>
      <color rgb="FF0070C0"/>
      <name val="Calibri"/>
      <family val="2"/>
      <scheme val="minor"/>
    </font>
    <font>
      <b/>
      <sz val="12"/>
      <color rgb="FF00B050"/>
      <name val="Calibri"/>
      <family val="2"/>
      <scheme val="minor"/>
    </font>
    <font>
      <b/>
      <sz val="12"/>
      <color theme="9" tint="-0.499984740745262"/>
      <name val="Calibri"/>
      <family val="2"/>
      <scheme val="minor"/>
    </font>
    <font>
      <b/>
      <sz val="14"/>
      <color rgb="FF425968"/>
      <name val="Arial"/>
      <family val="2"/>
    </font>
    <font>
      <b/>
      <sz val="16"/>
      <name val="Arial"/>
      <family val="2"/>
    </font>
    <font>
      <b/>
      <sz val="16"/>
      <color theme="1"/>
      <name val="Calibri"/>
      <family val="2"/>
      <scheme val="minor"/>
    </font>
    <font>
      <b/>
      <sz val="20"/>
      <name val="Arial"/>
      <family val="2"/>
    </font>
    <font>
      <b/>
      <sz val="20"/>
      <color theme="1"/>
      <name val="Calibri"/>
      <family val="2"/>
      <scheme val="minor"/>
    </font>
    <font>
      <b/>
      <sz val="20"/>
      <name val="Calibri"/>
      <family val="2"/>
      <scheme val="minor"/>
    </font>
    <font>
      <b/>
      <sz val="11"/>
      <color rgb="FF202124"/>
      <name val="Arial"/>
      <family val="2"/>
    </font>
    <font>
      <sz val="11"/>
      <color rgb="FF222222"/>
      <name val="Arial"/>
      <family val="2"/>
    </font>
    <font>
      <sz val="11"/>
      <color rgb="FF555555"/>
      <name val="Arial"/>
      <family val="2"/>
    </font>
    <font>
      <sz val="14"/>
      <color theme="1"/>
      <name val="Calibri"/>
      <family val="2"/>
      <scheme val="minor"/>
    </font>
    <font>
      <b/>
      <i/>
      <sz val="14"/>
      <color theme="1"/>
      <name val="Calibri"/>
      <family val="2"/>
      <scheme val="minor"/>
    </font>
    <font>
      <b/>
      <sz val="12"/>
      <color rgb="FF333333"/>
      <name val="Arial"/>
      <family val="2"/>
    </font>
    <font>
      <sz val="10"/>
      <name val="Arial"/>
      <family val="2"/>
    </font>
    <font>
      <u/>
      <sz val="10"/>
      <color theme="10"/>
      <name val="Arial"/>
      <family val="2"/>
    </font>
    <font>
      <sz val="14"/>
      <color theme="1"/>
      <name val="Arial"/>
      <family val="2"/>
    </font>
  </fonts>
  <fills count="3">
    <fill>
      <patternFill patternType="none"/>
    </fill>
    <fill>
      <patternFill patternType="gray125"/>
    </fill>
    <fill>
      <patternFill patternType="solid">
        <fgColor theme="0"/>
        <bgColor indexed="64"/>
      </patternFill>
    </fill>
  </fills>
  <borders count="6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medium">
        <color rgb="FF000000"/>
      </left>
      <right style="medium">
        <color rgb="FF000000"/>
      </right>
      <top/>
      <bottom style="medium">
        <color rgb="FF000000"/>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s>
  <cellStyleXfs count="5">
    <xf numFmtId="0" fontId="0" fillId="0" borderId="0"/>
    <xf numFmtId="43" fontId="1" fillId="0" borderId="0" applyFont="0" applyFill="0" applyBorder="0" applyAlignment="0" applyProtection="0"/>
    <xf numFmtId="0" fontId="1" fillId="0" borderId="0"/>
    <xf numFmtId="0" fontId="31" fillId="0" borderId="0"/>
    <xf numFmtId="0" fontId="32" fillId="0" borderId="0" applyNumberFormat="0" applyFill="0" applyBorder="0" applyAlignment="0" applyProtection="0"/>
  </cellStyleXfs>
  <cellXfs count="994">
    <xf numFmtId="0" fontId="0" fillId="0" borderId="0" xfId="0"/>
    <xf numFmtId="0" fontId="2" fillId="0" borderId="0" xfId="0" applyFont="1" applyAlignment="1">
      <alignment horizontal="center"/>
    </xf>
    <xf numFmtId="0" fontId="2" fillId="0" borderId="0" xfId="0" applyFont="1"/>
    <xf numFmtId="0" fontId="3" fillId="0" borderId="0" xfId="0" applyFont="1" applyAlignment="1">
      <alignment horizontal="left"/>
    </xf>
    <xf numFmtId="164" fontId="5" fillId="0" borderId="0" xfId="1" applyNumberFormat="1" applyFont="1" applyBorder="1" applyAlignment="1">
      <alignment horizontal="center"/>
    </xf>
    <xf numFmtId="0" fontId="5" fillId="0" borderId="5" xfId="0" applyFont="1" applyBorder="1" applyAlignment="1">
      <alignment horizontal="center"/>
    </xf>
    <xf numFmtId="0" fontId="3" fillId="0" borderId="0" xfId="0" applyFont="1"/>
    <xf numFmtId="1" fontId="3" fillId="0" borderId="3" xfId="1" applyNumberFormat="1" applyFont="1" applyBorder="1" applyAlignment="1"/>
    <xf numFmtId="1" fontId="3" fillId="0" borderId="19" xfId="1" applyNumberFormat="1" applyFont="1" applyBorder="1" applyAlignment="1">
      <alignment horizontal="left"/>
    </xf>
    <xf numFmtId="0" fontId="3" fillId="0" borderId="18" xfId="0" applyFont="1" applyBorder="1" applyAlignment="1">
      <alignment horizontal="center"/>
    </xf>
    <xf numFmtId="164" fontId="3" fillId="0" borderId="5" xfId="1" applyNumberFormat="1" applyFont="1" applyBorder="1" applyAlignment="1">
      <alignment horizontal="center"/>
    </xf>
    <xf numFmtId="1" fontId="3" fillId="0" borderId="6" xfId="1" applyNumberFormat="1" applyFont="1" applyBorder="1" applyAlignment="1"/>
    <xf numFmtId="164" fontId="3" fillId="0" borderId="6" xfId="1" applyNumberFormat="1" applyFont="1" applyBorder="1" applyAlignment="1"/>
    <xf numFmtId="164" fontId="3" fillId="0" borderId="0" xfId="1" applyNumberFormat="1" applyFont="1" applyBorder="1" applyAlignment="1"/>
    <xf numFmtId="164" fontId="3" fillId="0" borderId="6" xfId="1" applyNumberFormat="1" applyFont="1" applyBorder="1" applyAlignment="1">
      <alignment horizontal="left"/>
    </xf>
    <xf numFmtId="164" fontId="3" fillId="0" borderId="18" xfId="1" applyNumberFormat="1" applyFont="1" applyBorder="1" applyAlignment="1"/>
    <xf numFmtId="164" fontId="3" fillId="0" borderId="18" xfId="1" applyNumberFormat="1" applyFont="1" applyBorder="1" applyAlignment="1">
      <alignment horizontal="center"/>
    </xf>
    <xf numFmtId="164" fontId="3" fillId="0" borderId="6" xfId="1" applyNumberFormat="1" applyFont="1" applyBorder="1" applyAlignment="1">
      <alignment horizontal="center"/>
    </xf>
    <xf numFmtId="164" fontId="3" fillId="0" borderId="0" xfId="1" applyNumberFormat="1" applyFont="1" applyAlignment="1">
      <alignment horizontal="center"/>
    </xf>
    <xf numFmtId="0" fontId="3" fillId="0" borderId="0" xfId="0" applyFont="1" applyAlignment="1">
      <alignment horizontal="center"/>
    </xf>
    <xf numFmtId="0" fontId="3" fillId="0" borderId="1" xfId="0" applyFont="1" applyBorder="1" applyAlignment="1">
      <alignment horizontal="left"/>
    </xf>
    <xf numFmtId="0" fontId="3" fillId="0" borderId="2" xfId="0" applyFont="1" applyBorder="1"/>
    <xf numFmtId="164" fontId="3" fillId="0" borderId="7" xfId="1" applyNumberFormat="1" applyFont="1" applyBorder="1" applyAlignment="1">
      <alignment horizontal="center"/>
    </xf>
    <xf numFmtId="0" fontId="3" fillId="0" borderId="16" xfId="0" applyFont="1" applyBorder="1" applyAlignment="1">
      <alignment horizontal="center"/>
    </xf>
    <xf numFmtId="164" fontId="3" fillId="0" borderId="8" xfId="1" applyNumberFormat="1" applyFont="1" applyBorder="1" applyAlignment="1">
      <alignment horizontal="center"/>
    </xf>
    <xf numFmtId="164" fontId="3" fillId="0" borderId="19" xfId="1" applyNumberFormat="1" applyFont="1" applyBorder="1" applyAlignment="1">
      <alignment vertical="top" wrapText="1"/>
    </xf>
    <xf numFmtId="164" fontId="3" fillId="0" borderId="19" xfId="1" applyNumberFormat="1" applyFont="1" applyBorder="1" applyAlignment="1">
      <alignment horizontal="center"/>
    </xf>
    <xf numFmtId="0" fontId="3" fillId="0" borderId="6" xfId="0" applyFont="1" applyBorder="1" applyAlignment="1">
      <alignment horizontal="center"/>
    </xf>
    <xf numFmtId="0" fontId="3" fillId="0" borderId="3" xfId="0" applyFont="1" applyBorder="1" applyAlignment="1">
      <alignment horizontal="center"/>
    </xf>
    <xf numFmtId="164" fontId="3" fillId="0" borderId="0" xfId="1" applyNumberFormat="1" applyFont="1" applyBorder="1" applyAlignment="1">
      <alignment horizontal="center"/>
    </xf>
    <xf numFmtId="164" fontId="3" fillId="0" borderId="7" xfId="1" applyNumberFormat="1" applyFont="1" applyBorder="1" applyAlignment="1">
      <alignment horizontal="left"/>
    </xf>
    <xf numFmtId="164" fontId="3" fillId="0" borderId="1" xfId="1" applyNumberFormat="1" applyFont="1" applyBorder="1" applyAlignment="1">
      <alignment horizontal="center"/>
    </xf>
    <xf numFmtId="0" fontId="3" fillId="0" borderId="19" xfId="0" applyFont="1" applyBorder="1"/>
    <xf numFmtId="0" fontId="3" fillId="0" borderId="19" xfId="0" applyFont="1" applyBorder="1" applyAlignment="1">
      <alignment horizontal="center"/>
    </xf>
    <xf numFmtId="164" fontId="3" fillId="0" borderId="2" xfId="1" applyNumberFormat="1" applyFont="1" applyBorder="1" applyAlignment="1">
      <alignment horizontal="center"/>
    </xf>
    <xf numFmtId="0" fontId="3" fillId="0" borderId="13" xfId="0" applyFont="1" applyBorder="1" applyAlignment="1">
      <alignment horizontal="left"/>
    </xf>
    <xf numFmtId="0" fontId="5" fillId="0" borderId="14" xfId="0" applyFont="1" applyBorder="1"/>
    <xf numFmtId="164" fontId="3" fillId="0" borderId="16" xfId="1" applyNumberFormat="1" applyFont="1" applyBorder="1" applyAlignment="1">
      <alignment vertical="top" wrapText="1"/>
    </xf>
    <xf numFmtId="0" fontId="3" fillId="0" borderId="8" xfId="0" applyFont="1" applyBorder="1" applyAlignment="1">
      <alignment horizontal="left"/>
    </xf>
    <xf numFmtId="0" fontId="3" fillId="0" borderId="0" xfId="0" applyFont="1" applyBorder="1"/>
    <xf numFmtId="0" fontId="3" fillId="0" borderId="2" xfId="0" applyFont="1" applyBorder="1" applyAlignment="1">
      <alignment horizontal="center"/>
    </xf>
    <xf numFmtId="0" fontId="3" fillId="0" borderId="0" xfId="0" applyFont="1" applyBorder="1" applyAlignment="1">
      <alignment horizontal="center"/>
    </xf>
    <xf numFmtId="0" fontId="5" fillId="0" borderId="0" xfId="0" applyFont="1" applyBorder="1"/>
    <xf numFmtId="0" fontId="3" fillId="0" borderId="14" xfId="0" applyFont="1" applyBorder="1"/>
    <xf numFmtId="164" fontId="3" fillId="0" borderId="16" xfId="1" applyNumberFormat="1" applyFont="1" applyBorder="1" applyAlignment="1">
      <alignment horizontal="center"/>
    </xf>
    <xf numFmtId="0" fontId="3" fillId="0" borderId="14" xfId="0" applyFont="1" applyBorder="1" applyAlignment="1">
      <alignment horizontal="center"/>
    </xf>
    <xf numFmtId="3" fontId="5" fillId="0" borderId="0" xfId="0" applyNumberFormat="1" applyFont="1" applyBorder="1" applyAlignment="1">
      <alignment horizontal="center"/>
    </xf>
    <xf numFmtId="0" fontId="5" fillId="0" borderId="0" xfId="0" applyFont="1" applyBorder="1" applyAlignment="1">
      <alignment horizontal="center"/>
    </xf>
    <xf numFmtId="2" fontId="5" fillId="0" borderId="0" xfId="0" applyNumberFormat="1" applyFont="1" applyBorder="1"/>
    <xf numFmtId="2" fontId="5" fillId="0" borderId="0" xfId="0" applyNumberFormat="1" applyFont="1" applyBorder="1" applyAlignment="1">
      <alignment horizontal="center"/>
    </xf>
    <xf numFmtId="164" fontId="6" fillId="0" borderId="7" xfId="1" applyNumberFormat="1" applyFont="1" applyBorder="1" applyAlignment="1">
      <alignment horizontal="center"/>
    </xf>
    <xf numFmtId="3" fontId="3" fillId="0" borderId="0" xfId="0" applyNumberFormat="1" applyFont="1" applyBorder="1" applyAlignment="1">
      <alignment horizontal="center"/>
    </xf>
    <xf numFmtId="1" fontId="3" fillId="0" borderId="0" xfId="0" applyNumberFormat="1" applyFont="1" applyBorder="1"/>
    <xf numFmtId="164" fontId="6" fillId="0" borderId="0" xfId="1" applyNumberFormat="1" applyFont="1" applyBorder="1" applyAlignment="1">
      <alignment horizontal="center"/>
    </xf>
    <xf numFmtId="3" fontId="3" fillId="0" borderId="18" xfId="0" applyNumberFormat="1" applyFont="1" applyBorder="1" applyAlignment="1">
      <alignment horizontal="center"/>
    </xf>
    <xf numFmtId="0" fontId="3" fillId="0" borderId="18" xfId="0" applyFont="1" applyBorder="1" applyAlignment="1">
      <alignment horizontal="left"/>
    </xf>
    <xf numFmtId="0" fontId="5" fillId="0" borderId="12" xfId="0" applyFont="1" applyBorder="1" applyAlignment="1">
      <alignment horizontal="center"/>
    </xf>
    <xf numFmtId="0" fontId="3" fillId="0" borderId="7" xfId="0" applyFont="1" applyBorder="1" applyAlignment="1">
      <alignment horizontal="center"/>
    </xf>
    <xf numFmtId="164" fontId="3" fillId="0" borderId="13" xfId="1" applyNumberFormat="1" applyFont="1" applyBorder="1" applyAlignment="1">
      <alignment horizontal="center"/>
    </xf>
    <xf numFmtId="164" fontId="3" fillId="0" borderId="15" xfId="1" applyNumberFormat="1" applyFont="1" applyBorder="1" applyAlignment="1">
      <alignment horizontal="center"/>
    </xf>
    <xf numFmtId="164" fontId="3" fillId="0" borderId="12" xfId="1" applyNumberFormat="1" applyFont="1" applyBorder="1" applyAlignment="1">
      <alignment horizontal="center"/>
    </xf>
    <xf numFmtId="164" fontId="3" fillId="0" borderId="7" xfId="1" applyNumberFormat="1" applyFont="1" applyBorder="1" applyAlignment="1">
      <alignment horizontal="right"/>
    </xf>
    <xf numFmtId="3" fontId="3" fillId="0" borderId="7" xfId="0" applyNumberFormat="1" applyFont="1" applyBorder="1" applyAlignment="1">
      <alignment horizontal="center"/>
    </xf>
    <xf numFmtId="164" fontId="3" fillId="0" borderId="14" xfId="1" applyNumberFormat="1" applyFont="1" applyBorder="1" applyAlignment="1">
      <alignment horizontal="center"/>
    </xf>
    <xf numFmtId="0" fontId="5" fillId="0" borderId="0" xfId="0" applyFont="1" applyAlignment="1">
      <alignment horizontal="center"/>
    </xf>
    <xf numFmtId="0" fontId="7" fillId="0" borderId="0" xfId="0" applyFont="1"/>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horizontal="center"/>
    </xf>
    <xf numFmtId="0" fontId="7" fillId="0" borderId="0" xfId="0" applyFont="1" applyAlignment="1">
      <alignment horizontal="left"/>
    </xf>
    <xf numFmtId="9" fontId="7" fillId="0" borderId="0" xfId="0" applyNumberFormat="1" applyFont="1" applyAlignment="1">
      <alignment horizontal="center"/>
    </xf>
    <xf numFmtId="3" fontId="7" fillId="0" borderId="0" xfId="0" applyNumberFormat="1" applyFont="1"/>
    <xf numFmtId="0" fontId="0" fillId="0" borderId="0" xfId="0" applyAlignment="1">
      <alignment horizontal="center"/>
    </xf>
    <xf numFmtId="6" fontId="0" fillId="0" borderId="0" xfId="0" applyNumberFormat="1" applyAlignment="1">
      <alignment horizontal="center"/>
    </xf>
    <xf numFmtId="9" fontId="2" fillId="0" borderId="0" xfId="0" applyNumberFormat="1" applyFont="1" applyAlignment="1">
      <alignment horizontal="center"/>
    </xf>
    <xf numFmtId="0" fontId="0" fillId="0" borderId="0" xfId="0" applyAlignment="1">
      <alignment horizontal="left"/>
    </xf>
    <xf numFmtId="0" fontId="5" fillId="0" borderId="0" xfId="0" applyFont="1" applyAlignment="1">
      <alignment horizontal="center" vertical="top"/>
    </xf>
    <xf numFmtId="0" fontId="5" fillId="0" borderId="0" xfId="0" applyFont="1" applyAlignment="1">
      <alignment horizontal="left" vertical="top"/>
    </xf>
    <xf numFmtId="2" fontId="5" fillId="0" borderId="0" xfId="0" applyNumberFormat="1" applyFont="1" applyAlignment="1">
      <alignment horizontal="center"/>
    </xf>
    <xf numFmtId="0" fontId="5" fillId="0" borderId="1" xfId="0" applyFont="1" applyBorder="1" applyAlignment="1">
      <alignment horizontal="center" vertical="top"/>
    </xf>
    <xf numFmtId="0" fontId="5" fillId="0" borderId="2" xfId="0" applyFont="1" applyBorder="1" applyAlignment="1">
      <alignment horizontal="center" vertical="top"/>
    </xf>
    <xf numFmtId="0" fontId="5" fillId="0" borderId="2" xfId="0" applyFont="1" applyBorder="1" applyAlignment="1">
      <alignment horizontal="center"/>
    </xf>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8" xfId="0" applyFont="1" applyBorder="1" applyAlignment="1">
      <alignment horizontal="center" vertical="top"/>
    </xf>
    <xf numFmtId="0" fontId="5" fillId="0" borderId="0" xfId="0" applyFont="1" applyBorder="1" applyAlignment="1">
      <alignment horizontal="center" vertical="top"/>
    </xf>
    <xf numFmtId="0" fontId="4" fillId="2" borderId="0" xfId="0" applyFont="1" applyFill="1" applyBorder="1" applyAlignment="1">
      <alignment horizontal="center" vertical="center"/>
    </xf>
    <xf numFmtId="3" fontId="5" fillId="0" borderId="0" xfId="0" applyNumberFormat="1" applyFont="1" applyBorder="1" applyAlignment="1">
      <alignment horizontal="center" vertical="top"/>
    </xf>
    <xf numFmtId="3" fontId="5" fillId="0" borderId="8" xfId="0" applyNumberFormat="1" applyFont="1" applyBorder="1" applyAlignment="1">
      <alignment horizontal="center" vertical="top"/>
    </xf>
    <xf numFmtId="3" fontId="5" fillId="2" borderId="9" xfId="2" applyNumberFormat="1" applyFont="1" applyFill="1" applyBorder="1" applyAlignment="1" applyProtection="1">
      <alignment horizontal="center" vertical="center"/>
      <protection hidden="1"/>
    </xf>
    <xf numFmtId="164" fontId="8" fillId="2" borderId="0" xfId="1" applyNumberFormat="1" applyFont="1" applyFill="1" applyBorder="1" applyAlignment="1" applyProtection="1">
      <alignment horizontal="center" vertical="center"/>
      <protection locked="0" hidden="1"/>
    </xf>
    <xf numFmtId="2" fontId="5" fillId="0" borderId="12" xfId="0" applyNumberFormat="1" applyFont="1" applyBorder="1" applyAlignment="1">
      <alignment horizontal="center" vertical="top"/>
    </xf>
    <xf numFmtId="0" fontId="5" fillId="0" borderId="7" xfId="0" applyFont="1" applyBorder="1" applyAlignment="1">
      <alignment horizontal="center" vertical="top"/>
    </xf>
    <xf numFmtId="164" fontId="8" fillId="2" borderId="0" xfId="1" applyNumberFormat="1" applyFont="1" applyFill="1" applyBorder="1" applyAlignment="1" applyProtection="1">
      <alignment horizontal="center" vertical="top"/>
      <protection locked="0" hidden="1"/>
    </xf>
    <xf numFmtId="0" fontId="4" fillId="0" borderId="0" xfId="0" applyFont="1" applyBorder="1" applyAlignment="1">
      <alignment horizontal="center" vertical="center"/>
    </xf>
    <xf numFmtId="164" fontId="9" fillId="2" borderId="0" xfId="1" applyNumberFormat="1" applyFont="1" applyFill="1" applyBorder="1" applyAlignment="1" applyProtection="1">
      <alignment horizontal="center"/>
      <protection locked="0" hidden="1"/>
    </xf>
    <xf numFmtId="4" fontId="5" fillId="0" borderId="7" xfId="0" applyNumberFormat="1" applyFont="1" applyBorder="1" applyAlignment="1">
      <alignment horizontal="center" vertical="top"/>
    </xf>
    <xf numFmtId="2" fontId="5" fillId="0" borderId="0" xfId="0" applyNumberFormat="1" applyFont="1" applyBorder="1" applyAlignment="1">
      <alignment horizontal="center" vertical="top"/>
    </xf>
    <xf numFmtId="3" fontId="5" fillId="2" borderId="8" xfId="2" applyNumberFormat="1" applyFont="1" applyFill="1" applyBorder="1" applyAlignment="1" applyProtection="1">
      <alignment horizontal="center" vertical="center"/>
      <protection hidden="1"/>
    </xf>
    <xf numFmtId="0" fontId="5" fillId="0" borderId="13" xfId="0" applyFont="1" applyBorder="1" applyAlignment="1">
      <alignment horizontal="center" vertical="top"/>
    </xf>
    <xf numFmtId="0" fontId="5" fillId="0" borderId="14" xfId="0" applyFont="1" applyBorder="1" applyAlignment="1">
      <alignment horizontal="center" vertical="top"/>
    </xf>
    <xf numFmtId="0" fontId="5" fillId="0" borderId="14" xfId="0" applyFont="1" applyBorder="1" applyAlignment="1">
      <alignment horizontal="center"/>
    </xf>
    <xf numFmtId="2" fontId="5" fillId="0" borderId="15" xfId="0" applyNumberFormat="1" applyFont="1" applyBorder="1" applyAlignment="1">
      <alignment horizontal="center" vertical="top"/>
    </xf>
    <xf numFmtId="0" fontId="5" fillId="0" borderId="16" xfId="0" applyFont="1" applyBorder="1" applyAlignment="1">
      <alignment horizontal="center" vertical="top"/>
    </xf>
    <xf numFmtId="0" fontId="5" fillId="0" borderId="0" xfId="0" applyFont="1" applyAlignment="1">
      <alignment vertical="top"/>
    </xf>
    <xf numFmtId="2" fontId="5" fillId="0" borderId="0" xfId="0" applyNumberFormat="1" applyFont="1" applyAlignment="1">
      <alignment vertical="top"/>
    </xf>
    <xf numFmtId="0" fontId="5" fillId="0" borderId="0" xfId="0" applyFont="1" applyAlignment="1">
      <alignment horizontal="left" wrapText="1"/>
    </xf>
    <xf numFmtId="0" fontId="5" fillId="0" borderId="0" xfId="0" applyFont="1" applyAlignment="1">
      <alignment horizontal="center" wrapText="1"/>
    </xf>
    <xf numFmtId="2" fontId="5" fillId="0" borderId="0" xfId="0" applyNumberFormat="1" applyFont="1" applyAlignment="1">
      <alignment horizontal="left" wrapText="1"/>
    </xf>
    <xf numFmtId="0" fontId="5" fillId="0" borderId="0" xfId="0" applyFont="1" applyAlignment="1">
      <alignment horizontal="left" vertical="top"/>
    </xf>
    <xf numFmtId="0" fontId="5" fillId="0" borderId="0" xfId="0" applyFont="1" applyAlignment="1">
      <alignment horizontal="left" vertical="top"/>
    </xf>
    <xf numFmtId="0" fontId="5" fillId="0" borderId="0" xfId="0" applyFont="1" applyAlignment="1">
      <alignment horizontal="left" wrapText="1"/>
    </xf>
    <xf numFmtId="2" fontId="5" fillId="0" borderId="12" xfId="0" applyNumberFormat="1" applyFont="1" applyBorder="1" applyAlignment="1">
      <alignment horizontal="center"/>
    </xf>
    <xf numFmtId="2" fontId="5" fillId="2" borderId="23" xfId="2" applyNumberFormat="1" applyFont="1" applyFill="1" applyBorder="1" applyAlignment="1" applyProtection="1">
      <alignment horizontal="center" vertical="center"/>
      <protection hidden="1"/>
    </xf>
    <xf numFmtId="0" fontId="5" fillId="0" borderId="18"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166" fontId="5" fillId="2" borderId="23" xfId="2" applyNumberFormat="1" applyFont="1" applyFill="1" applyBorder="1" applyAlignment="1" applyProtection="1">
      <alignment horizontal="center" vertical="center"/>
      <protection hidden="1"/>
    </xf>
    <xf numFmtId="2" fontId="5" fillId="2" borderId="0" xfId="2" applyNumberFormat="1" applyFont="1" applyFill="1" applyBorder="1" applyAlignment="1" applyProtection="1">
      <alignment horizontal="center" vertical="center"/>
      <protection hidden="1"/>
    </xf>
    <xf numFmtId="0" fontId="5" fillId="0" borderId="12" xfId="0" applyFont="1" applyBorder="1" applyAlignment="1">
      <alignment horizontal="center" vertical="top"/>
    </xf>
    <xf numFmtId="4" fontId="5" fillId="2" borderId="12" xfId="2" applyNumberFormat="1" applyFont="1" applyFill="1" applyBorder="1" applyAlignment="1" applyProtection="1">
      <alignment horizontal="center" vertical="center"/>
      <protection hidden="1"/>
    </xf>
    <xf numFmtId="2" fontId="5" fillId="0" borderId="9" xfId="0" applyNumberFormat="1" applyFont="1" applyBorder="1" applyAlignment="1">
      <alignment horizontal="center" vertical="top"/>
    </xf>
    <xf numFmtId="2" fontId="5" fillId="2" borderId="9" xfId="2" applyNumberFormat="1" applyFont="1" applyFill="1" applyBorder="1" applyAlignment="1" applyProtection="1">
      <alignment horizontal="center" vertical="center"/>
      <protection hidden="1"/>
    </xf>
    <xf numFmtId="165" fontId="5" fillId="2" borderId="9" xfId="2" applyNumberFormat="1" applyFont="1" applyFill="1" applyBorder="1" applyAlignment="1" applyProtection="1">
      <alignment horizontal="center" vertical="center"/>
      <protection hidden="1"/>
    </xf>
    <xf numFmtId="166" fontId="5" fillId="2" borderId="9" xfId="2" applyNumberFormat="1" applyFont="1" applyFill="1" applyBorder="1" applyAlignment="1" applyProtection="1">
      <alignment horizontal="center" vertical="center"/>
      <protection hidden="1"/>
    </xf>
    <xf numFmtId="165" fontId="5" fillId="0" borderId="12" xfId="0" applyNumberFormat="1" applyFont="1" applyBorder="1" applyAlignment="1">
      <alignment horizontal="center" vertical="top"/>
    </xf>
    <xf numFmtId="1" fontId="5" fillId="2" borderId="23" xfId="2" applyNumberFormat="1" applyFont="1" applyFill="1" applyBorder="1" applyAlignment="1" applyProtection="1">
      <alignment horizontal="center" vertical="center"/>
      <protection hidden="1"/>
    </xf>
    <xf numFmtId="2" fontId="5" fillId="0" borderId="24" xfId="0" applyNumberFormat="1" applyFont="1" applyBorder="1" applyAlignment="1">
      <alignment horizontal="center"/>
    </xf>
    <xf numFmtId="2" fontId="5" fillId="2" borderId="24" xfId="2" applyNumberFormat="1" applyFont="1" applyFill="1" applyBorder="1" applyAlignment="1" applyProtection="1">
      <alignment horizontal="center" vertical="center"/>
      <protection hidden="1"/>
    </xf>
    <xf numFmtId="2" fontId="5" fillId="0" borderId="14" xfId="0" applyNumberFormat="1" applyFont="1" applyBorder="1" applyAlignment="1">
      <alignment horizontal="center" vertical="top"/>
    </xf>
    <xf numFmtId="2" fontId="5" fillId="0" borderId="25" xfId="0" applyNumberFormat="1" applyFont="1" applyBorder="1" applyAlignment="1">
      <alignment horizontal="center" vertical="top"/>
    </xf>
    <xf numFmtId="2" fontId="5" fillId="0" borderId="7" xfId="0" applyNumberFormat="1" applyFont="1" applyBorder="1" applyAlignment="1">
      <alignment horizontal="center"/>
    </xf>
    <xf numFmtId="166" fontId="5" fillId="2" borderId="11" xfId="2" applyNumberFormat="1" applyFont="1" applyFill="1" applyBorder="1" applyAlignment="1" applyProtection="1">
      <alignment horizontal="center" vertical="center"/>
      <protection hidden="1"/>
    </xf>
    <xf numFmtId="2" fontId="5" fillId="0" borderId="7" xfId="0" applyNumberFormat="1" applyFont="1" applyBorder="1" applyAlignment="1">
      <alignment horizontal="center" vertical="top"/>
    </xf>
    <xf numFmtId="2" fontId="5" fillId="0" borderId="26" xfId="0" applyNumberFormat="1" applyFont="1" applyBorder="1" applyAlignment="1">
      <alignment horizontal="center" vertical="top"/>
    </xf>
    <xf numFmtId="2" fontId="5" fillId="0" borderId="10" xfId="0" applyNumberFormat="1" applyFont="1" applyBorder="1" applyAlignment="1">
      <alignment horizontal="center" vertical="top"/>
    </xf>
    <xf numFmtId="166" fontId="5" fillId="2" borderId="26" xfId="2" applyNumberFormat="1" applyFont="1" applyFill="1" applyBorder="1" applyAlignment="1" applyProtection="1">
      <alignment horizontal="center" vertical="center"/>
      <protection hidden="1"/>
    </xf>
    <xf numFmtId="166" fontId="5" fillId="2" borderId="10" xfId="2" applyNumberFormat="1" applyFont="1" applyFill="1" applyBorder="1" applyAlignment="1" applyProtection="1">
      <alignment horizontal="center" vertical="center"/>
      <protection hidden="1"/>
    </xf>
    <xf numFmtId="2" fontId="5" fillId="0" borderId="16" xfId="0" applyNumberFormat="1" applyFont="1" applyBorder="1" applyAlignment="1">
      <alignment horizontal="center" vertical="top"/>
    </xf>
    <xf numFmtId="1" fontId="5" fillId="0" borderId="0" xfId="0" applyNumberFormat="1" applyFont="1" applyAlignment="1">
      <alignment vertical="top"/>
    </xf>
    <xf numFmtId="0" fontId="5" fillId="0" borderId="0" xfId="0" applyFont="1" applyAlignment="1">
      <alignment horizontal="left" vertical="top"/>
    </xf>
    <xf numFmtId="0" fontId="5" fillId="0" borderId="0" xfId="0" applyFont="1" applyAlignment="1">
      <alignment horizontal="left" wrapText="1"/>
    </xf>
    <xf numFmtId="165" fontId="5" fillId="2" borderId="23" xfId="2" applyNumberFormat="1" applyFont="1" applyFill="1" applyBorder="1" applyAlignment="1" applyProtection="1">
      <alignment horizontal="center" vertical="center"/>
      <protection hidden="1"/>
    </xf>
    <xf numFmtId="4" fontId="5" fillId="2" borderId="23" xfId="2" applyNumberFormat="1" applyFont="1" applyFill="1" applyBorder="1" applyAlignment="1" applyProtection="1">
      <alignment horizontal="center" vertical="center"/>
      <protection hidden="1"/>
    </xf>
    <xf numFmtId="2" fontId="5" fillId="0" borderId="27" xfId="0" applyNumberFormat="1" applyFont="1" applyBorder="1" applyAlignment="1">
      <alignment horizontal="center"/>
    </xf>
    <xf numFmtId="2" fontId="5" fillId="0" borderId="28" xfId="0" applyNumberFormat="1" applyFont="1" applyBorder="1" applyAlignment="1">
      <alignment horizontal="center"/>
    </xf>
    <xf numFmtId="1" fontId="5" fillId="2" borderId="11" xfId="2" applyNumberFormat="1" applyFont="1" applyFill="1" applyBorder="1" applyAlignment="1" applyProtection="1">
      <alignment horizontal="center" vertical="center"/>
      <protection hidden="1"/>
    </xf>
    <xf numFmtId="1" fontId="5" fillId="2" borderId="29" xfId="2" applyNumberFormat="1" applyFont="1" applyFill="1" applyBorder="1" applyAlignment="1" applyProtection="1">
      <alignment horizontal="center" vertical="center"/>
      <protection hidden="1"/>
    </xf>
    <xf numFmtId="164" fontId="5" fillId="0" borderId="15" xfId="1" applyNumberFormat="1" applyFont="1" applyBorder="1" applyAlignment="1">
      <alignment horizontal="center" vertical="top"/>
    </xf>
    <xf numFmtId="2" fontId="5" fillId="0" borderId="2" xfId="0" applyNumberFormat="1" applyFont="1" applyBorder="1" applyAlignment="1">
      <alignment horizontal="center"/>
    </xf>
    <xf numFmtId="2" fontId="5" fillId="0" borderId="29" xfId="0" applyNumberFormat="1" applyFont="1" applyBorder="1" applyAlignment="1">
      <alignment horizontal="center" vertical="top"/>
    </xf>
    <xf numFmtId="2" fontId="5" fillId="0" borderId="21" xfId="0" applyNumberFormat="1" applyFont="1" applyBorder="1" applyAlignment="1">
      <alignment wrapText="1"/>
    </xf>
    <xf numFmtId="0" fontId="5" fillId="0" borderId="0" xfId="0" applyFont="1" applyAlignment="1">
      <alignment horizontal="left" vertical="top"/>
    </xf>
    <xf numFmtId="0" fontId="5" fillId="0" borderId="0" xfId="0" applyFont="1" applyAlignment="1">
      <alignment horizontal="left" wrapText="1"/>
    </xf>
    <xf numFmtId="3" fontId="2" fillId="0" borderId="0" xfId="0" applyNumberFormat="1" applyFont="1"/>
    <xf numFmtId="2" fontId="5" fillId="0" borderId="3" xfId="0" applyNumberFormat="1" applyFont="1" applyBorder="1" applyAlignment="1">
      <alignment horizontal="center"/>
    </xf>
    <xf numFmtId="0" fontId="7" fillId="0" borderId="19" xfId="0" applyFont="1" applyBorder="1" applyAlignment="1">
      <alignment vertical="top"/>
    </xf>
    <xf numFmtId="0" fontId="7" fillId="0" borderId="7" xfId="0" applyFont="1" applyBorder="1"/>
    <xf numFmtId="0" fontId="7" fillId="0" borderId="16" xfId="0" applyFont="1" applyBorder="1"/>
    <xf numFmtId="0" fontId="7" fillId="0" borderId="24" xfId="0" applyFont="1" applyBorder="1"/>
    <xf numFmtId="0" fontId="7" fillId="0" borderId="29" xfId="0" applyFont="1" applyBorder="1"/>
    <xf numFmtId="0" fontId="7" fillId="0" borderId="11" xfId="0" applyFont="1" applyBorder="1"/>
    <xf numFmtId="0" fontId="7" fillId="0" borderId="25" xfId="0" applyFont="1" applyBorder="1"/>
    <xf numFmtId="0" fontId="7" fillId="0" borderId="0" xfId="0" applyFont="1" applyBorder="1"/>
    <xf numFmtId="0" fontId="5" fillId="0" borderId="0" xfId="0" applyFont="1" applyAlignment="1">
      <alignment horizontal="left"/>
    </xf>
    <xf numFmtId="0" fontId="2" fillId="0" borderId="0" xfId="0" applyFont="1" applyAlignment="1"/>
    <xf numFmtId="0" fontId="0" fillId="0" borderId="0" xfId="0" applyAlignment="1"/>
    <xf numFmtId="43" fontId="0" fillId="0" borderId="0" xfId="1" applyFont="1"/>
    <xf numFmtId="0" fontId="5" fillId="0" borderId="0" xfId="0" applyFont="1"/>
    <xf numFmtId="0" fontId="5" fillId="0" borderId="1" xfId="0" applyFont="1" applyBorder="1"/>
    <xf numFmtId="0" fontId="5" fillId="0" borderId="2" xfId="0" applyFont="1" applyBorder="1"/>
    <xf numFmtId="0" fontId="5" fillId="0" borderId="19" xfId="0" applyFont="1" applyBorder="1"/>
    <xf numFmtId="0" fontId="5" fillId="0" borderId="3" xfId="0" applyFont="1" applyBorder="1"/>
    <xf numFmtId="0" fontId="5" fillId="0" borderId="13" xfId="0" applyFont="1" applyBorder="1"/>
    <xf numFmtId="0" fontId="5" fillId="0" borderId="16" xfId="0" applyFont="1" applyBorder="1"/>
    <xf numFmtId="0" fontId="5" fillId="0" borderId="15" xfId="0" applyFont="1" applyBorder="1"/>
    <xf numFmtId="0" fontId="5" fillId="0" borderId="8" xfId="0" applyFont="1" applyBorder="1"/>
    <xf numFmtId="0" fontId="5" fillId="0" borderId="7" xfId="0" applyFont="1" applyBorder="1"/>
    <xf numFmtId="166" fontId="5" fillId="0" borderId="7" xfId="0" applyNumberFormat="1" applyFont="1" applyBorder="1"/>
    <xf numFmtId="0" fontId="5" fillId="0" borderId="12" xfId="0" applyFont="1" applyBorder="1"/>
    <xf numFmtId="166" fontId="5" fillId="0" borderId="16" xfId="0" applyNumberFormat="1" applyFont="1" applyBorder="1"/>
    <xf numFmtId="0" fontId="5" fillId="0" borderId="20" xfId="0" applyFont="1" applyBorder="1"/>
    <xf numFmtId="0" fontId="5" fillId="0" borderId="21" xfId="0" applyFont="1" applyBorder="1"/>
    <xf numFmtId="0" fontId="5" fillId="0" borderId="17" xfId="0" applyFont="1" applyBorder="1"/>
    <xf numFmtId="166" fontId="5" fillId="0" borderId="17" xfId="0" applyNumberFormat="1" applyFont="1" applyBorder="1"/>
    <xf numFmtId="0" fontId="5" fillId="0" borderId="38" xfId="0" applyFont="1" applyBorder="1"/>
    <xf numFmtId="0" fontId="5" fillId="0" borderId="0" xfId="0" applyFont="1" applyAlignment="1">
      <alignment vertical="top" wrapText="1"/>
    </xf>
    <xf numFmtId="9" fontId="5" fillId="0" borderId="0" xfId="0" applyNumberFormat="1" applyFont="1" applyAlignment="1">
      <alignment horizontal="center"/>
    </xf>
    <xf numFmtId="0" fontId="10" fillId="0" borderId="0" xfId="0" applyFont="1" applyAlignment="1"/>
    <xf numFmtId="0" fontId="10" fillId="0" borderId="0" xfId="0" applyFont="1"/>
    <xf numFmtId="164" fontId="10" fillId="0" borderId="0" xfId="1" applyNumberFormat="1" applyFont="1" applyAlignment="1">
      <alignment horizontal="center"/>
    </xf>
    <xf numFmtId="164" fontId="10" fillId="0" borderId="0" xfId="1" applyNumberFormat="1" applyFont="1" applyBorder="1" applyAlignment="1">
      <alignment horizontal="center"/>
    </xf>
    <xf numFmtId="164" fontId="10" fillId="0" borderId="2" xfId="1" applyNumberFormat="1" applyFont="1" applyBorder="1" applyAlignment="1">
      <alignment horizontal="left"/>
    </xf>
    <xf numFmtId="1" fontId="10" fillId="0" borderId="2" xfId="1" applyNumberFormat="1" applyFont="1" applyBorder="1" applyAlignment="1">
      <alignment horizontal="center"/>
    </xf>
    <xf numFmtId="164" fontId="10" fillId="0" borderId="2" xfId="1" applyNumberFormat="1" applyFont="1" applyBorder="1" applyAlignment="1">
      <alignment horizontal="center"/>
    </xf>
    <xf numFmtId="164" fontId="10" fillId="0" borderId="4" xfId="1" applyNumberFormat="1" applyFont="1" applyBorder="1" applyAlignment="1">
      <alignment horizontal="left"/>
    </xf>
    <xf numFmtId="1" fontId="10" fillId="0" borderId="5" xfId="1" applyNumberFormat="1" applyFont="1" applyBorder="1" applyAlignment="1">
      <alignment horizontal="center"/>
    </xf>
    <xf numFmtId="164" fontId="10" fillId="0" borderId="5" xfId="1" applyNumberFormat="1" applyFont="1" applyBorder="1" applyAlignment="1">
      <alignment horizontal="center"/>
    </xf>
    <xf numFmtId="164" fontId="10" fillId="0" borderId="18" xfId="1" applyNumberFormat="1" applyFont="1" applyBorder="1" applyAlignment="1">
      <alignment horizontal="center"/>
    </xf>
    <xf numFmtId="164" fontId="10" fillId="0" borderId="4" xfId="1" applyNumberFormat="1" applyFont="1" applyBorder="1" applyAlignment="1">
      <alignment horizontal="center"/>
    </xf>
    <xf numFmtId="164" fontId="10" fillId="0" borderId="6" xfId="1" applyNumberFormat="1" applyFont="1" applyBorder="1" applyAlignment="1">
      <alignment horizontal="center"/>
    </xf>
    <xf numFmtId="0" fontId="10" fillId="0" borderId="4" xfId="0" applyFont="1" applyBorder="1" applyAlignment="1">
      <alignment horizontal="center"/>
    </xf>
    <xf numFmtId="0" fontId="10" fillId="0" borderId="5" xfId="0" applyFont="1" applyBorder="1" applyAlignment="1">
      <alignment horizontal="center"/>
    </xf>
    <xf numFmtId="43" fontId="10" fillId="0" borderId="0" xfId="1" applyNumberFormat="1" applyFont="1" applyAlignment="1">
      <alignment horizontal="center"/>
    </xf>
    <xf numFmtId="164" fontId="10" fillId="0" borderId="0" xfId="1" applyNumberFormat="1" applyFont="1"/>
    <xf numFmtId="0" fontId="10" fillId="0" borderId="0" xfId="0" applyFont="1" applyAlignment="1">
      <alignment horizontal="center"/>
    </xf>
    <xf numFmtId="0" fontId="3" fillId="0" borderId="4" xfId="0" applyFont="1" applyBorder="1" applyAlignment="1">
      <alignment horizontal="left"/>
    </xf>
    <xf numFmtId="0" fontId="3" fillId="0" borderId="5" xfId="0" applyFont="1" applyBorder="1"/>
    <xf numFmtId="0" fontId="6" fillId="0" borderId="1" xfId="0" applyFont="1" applyBorder="1" applyAlignment="1">
      <alignment horizontal="left"/>
    </xf>
    <xf numFmtId="0" fontId="6" fillId="0" borderId="2" xfId="0" applyFont="1" applyBorder="1"/>
    <xf numFmtId="164" fontId="6" fillId="0" borderId="2" xfId="1" applyNumberFormat="1" applyFont="1" applyBorder="1" applyAlignment="1">
      <alignment horizontal="center"/>
    </xf>
    <xf numFmtId="164" fontId="6" fillId="0" borderId="19" xfId="1" applyNumberFormat="1" applyFont="1" applyBorder="1" applyAlignment="1">
      <alignment horizontal="center"/>
    </xf>
    <xf numFmtId="164" fontId="6" fillId="0" borderId="7" xfId="1" applyNumberFormat="1" applyFont="1" applyBorder="1" applyAlignment="1">
      <alignment horizontal="center" wrapText="1"/>
    </xf>
    <xf numFmtId="164" fontId="6" fillId="0" borderId="3" xfId="1" applyNumberFormat="1" applyFont="1" applyBorder="1" applyAlignment="1">
      <alignment horizontal="center"/>
    </xf>
    <xf numFmtId="0" fontId="6" fillId="0" borderId="19" xfId="0" applyFont="1" applyBorder="1" applyAlignment="1">
      <alignment horizontal="center"/>
    </xf>
    <xf numFmtId="164" fontId="6" fillId="0" borderId="8" xfId="1" applyNumberFormat="1" applyFont="1" applyBorder="1" applyAlignment="1">
      <alignment horizontal="center"/>
    </xf>
    <xf numFmtId="164" fontId="6" fillId="0" borderId="7" xfId="1" applyNumberFormat="1" applyFont="1" applyBorder="1" applyAlignment="1"/>
    <xf numFmtId="164" fontId="6" fillId="0" borderId="7" xfId="1" applyNumberFormat="1" applyFont="1" applyBorder="1" applyAlignment="1">
      <alignment vertical="top" wrapText="1"/>
    </xf>
    <xf numFmtId="164" fontId="6" fillId="0" borderId="8" xfId="1" applyNumberFormat="1" applyFont="1" applyBorder="1" applyAlignment="1"/>
    <xf numFmtId="1" fontId="6" fillId="0" borderId="8" xfId="1" applyNumberFormat="1" applyFont="1" applyBorder="1" applyAlignment="1">
      <alignment horizontal="center"/>
    </xf>
    <xf numFmtId="1" fontId="6" fillId="0" borderId="7" xfId="1" applyNumberFormat="1" applyFont="1" applyBorder="1" applyAlignment="1"/>
    <xf numFmtId="0" fontId="6" fillId="0" borderId="3" xfId="0" applyFont="1" applyBorder="1" applyAlignment="1">
      <alignment horizontal="center"/>
    </xf>
    <xf numFmtId="164" fontId="6" fillId="0" borderId="0" xfId="1" applyNumberFormat="1" applyFont="1" applyBorder="1" applyAlignment="1"/>
    <xf numFmtId="1" fontId="6" fillId="0" borderId="7" xfId="1" applyNumberFormat="1" applyFont="1" applyBorder="1" applyAlignment="1">
      <alignment horizontal="center"/>
    </xf>
    <xf numFmtId="0" fontId="6" fillId="0" borderId="8" xfId="1" applyNumberFormat="1" applyFont="1" applyBorder="1" applyAlignment="1">
      <alignment horizontal="center"/>
    </xf>
    <xf numFmtId="0" fontId="6" fillId="0" borderId="7" xfId="1" applyNumberFormat="1" applyFont="1" applyBorder="1" applyAlignment="1">
      <alignment horizontal="center"/>
    </xf>
    <xf numFmtId="0" fontId="6" fillId="0" borderId="7" xfId="1" applyNumberFormat="1" applyFont="1" applyFill="1" applyBorder="1" applyAlignment="1">
      <alignment horizontal="center"/>
    </xf>
    <xf numFmtId="0" fontId="6" fillId="0" borderId="19" xfId="1" applyNumberFormat="1" applyFont="1" applyBorder="1" applyAlignment="1">
      <alignment horizontal="center"/>
    </xf>
    <xf numFmtId="1" fontId="6" fillId="0" borderId="2" xfId="1" applyNumberFormat="1" applyFont="1" applyBorder="1" applyAlignment="1">
      <alignment horizontal="center"/>
    </xf>
    <xf numFmtId="1" fontId="6" fillId="0" borderId="19" xfId="1" applyNumberFormat="1" applyFont="1" applyBorder="1" applyAlignment="1">
      <alignment horizontal="center"/>
    </xf>
    <xf numFmtId="0" fontId="11" fillId="0" borderId="0" xfId="0" applyFont="1"/>
    <xf numFmtId="0" fontId="10" fillId="0" borderId="0" xfId="0" applyFont="1" applyBorder="1"/>
    <xf numFmtId="164" fontId="10" fillId="0" borderId="7" xfId="1" applyNumberFormat="1" applyFont="1" applyBorder="1" applyAlignment="1">
      <alignment horizontal="center"/>
    </xf>
    <xf numFmtId="164" fontId="10" fillId="0" borderId="9" xfId="1" applyNumberFormat="1" applyFont="1" applyBorder="1" applyAlignment="1">
      <alignment horizontal="center"/>
    </xf>
    <xf numFmtId="164" fontId="10" fillId="0" borderId="12" xfId="1" applyNumberFormat="1" applyFont="1" applyBorder="1" applyAlignment="1">
      <alignment horizontal="center"/>
    </xf>
    <xf numFmtId="164" fontId="10" fillId="0" borderId="15" xfId="1" applyNumberFormat="1" applyFont="1" applyBorder="1" applyAlignment="1">
      <alignment horizontal="center"/>
    </xf>
    <xf numFmtId="164" fontId="10" fillId="0" borderId="16" xfId="1" applyNumberFormat="1" applyFont="1" applyBorder="1" applyAlignment="1">
      <alignment horizontal="center"/>
    </xf>
    <xf numFmtId="3" fontId="10" fillId="0" borderId="16" xfId="0" applyNumberFormat="1" applyFont="1" applyBorder="1" applyAlignment="1">
      <alignment horizontal="center"/>
    </xf>
    <xf numFmtId="164" fontId="10" fillId="0" borderId="20" xfId="1" applyNumberFormat="1" applyFont="1" applyBorder="1" applyAlignment="1">
      <alignment horizontal="center"/>
    </xf>
    <xf numFmtId="164" fontId="10" fillId="0" borderId="17" xfId="1" applyNumberFormat="1" applyFont="1" applyBorder="1" applyAlignment="1">
      <alignment horizontal="center"/>
    </xf>
    <xf numFmtId="0" fontId="10" fillId="0" borderId="15" xfId="0" applyFont="1" applyBorder="1" applyAlignment="1">
      <alignment horizontal="center"/>
    </xf>
    <xf numFmtId="164" fontId="10" fillId="0" borderId="8" xfId="1" applyNumberFormat="1" applyFont="1" applyBorder="1" applyAlignment="1">
      <alignment horizontal="center"/>
    </xf>
    <xf numFmtId="0" fontId="10" fillId="0" borderId="14" xfId="0" applyFont="1" applyBorder="1"/>
    <xf numFmtId="164" fontId="10" fillId="0" borderId="14" xfId="1" applyNumberFormat="1" applyFont="1" applyBorder="1" applyAlignment="1">
      <alignment horizontal="center"/>
    </xf>
    <xf numFmtId="164" fontId="10" fillId="0" borderId="16" xfId="1" applyNumberFormat="1" applyFont="1" applyBorder="1" applyAlignment="1">
      <alignment horizontal="left"/>
    </xf>
    <xf numFmtId="164" fontId="10" fillId="0" borderId="21" xfId="1" applyNumberFormat="1" applyFont="1" applyBorder="1" applyAlignment="1">
      <alignment horizontal="center"/>
    </xf>
    <xf numFmtId="164" fontId="10" fillId="0" borderId="17" xfId="1" applyNumberFormat="1" applyFont="1" applyBorder="1"/>
    <xf numFmtId="0" fontId="10" fillId="0" borderId="16" xfId="0" applyFont="1" applyBorder="1" applyAlignment="1">
      <alignment horizontal="center"/>
    </xf>
    <xf numFmtId="0" fontId="3" fillId="0" borderId="9" xfId="0" applyFont="1" applyBorder="1"/>
    <xf numFmtId="0" fontId="10" fillId="0" borderId="9" xfId="0" applyFont="1" applyBorder="1"/>
    <xf numFmtId="164" fontId="3" fillId="0" borderId="24" xfId="1" applyNumberFormat="1" applyFont="1" applyBorder="1" applyAlignment="1">
      <alignment horizontal="center"/>
    </xf>
    <xf numFmtId="164" fontId="3" fillId="0" borderId="11" xfId="1" applyNumberFormat="1" applyFont="1" applyBorder="1" applyAlignment="1">
      <alignment horizontal="center"/>
    </xf>
    <xf numFmtId="164" fontId="3" fillId="0" borderId="25" xfId="1" applyNumberFormat="1" applyFont="1" applyBorder="1" applyAlignment="1">
      <alignment horizontal="center"/>
    </xf>
    <xf numFmtId="164" fontId="3" fillId="0" borderId="9" xfId="1" applyNumberFormat="1" applyFont="1" applyBorder="1" applyAlignment="1">
      <alignment horizontal="center"/>
    </xf>
    <xf numFmtId="164" fontId="3" fillId="0" borderId="10" xfId="1" applyNumberFormat="1" applyFont="1" applyBorder="1" applyAlignment="1">
      <alignment horizontal="center"/>
    </xf>
    <xf numFmtId="3" fontId="10" fillId="0" borderId="7" xfId="0" applyNumberFormat="1" applyFont="1" applyBorder="1" applyAlignment="1">
      <alignment horizontal="center"/>
    </xf>
    <xf numFmtId="164" fontId="10" fillId="0" borderId="8" xfId="1" applyNumberFormat="1" applyFont="1" applyBorder="1" applyAlignment="1">
      <alignment horizontal="center" wrapText="1"/>
    </xf>
    <xf numFmtId="164" fontId="10" fillId="0" borderId="7" xfId="1" applyNumberFormat="1" applyFont="1" applyBorder="1" applyAlignment="1">
      <alignment horizontal="center" wrapText="1"/>
    </xf>
    <xf numFmtId="0" fontId="10" fillId="0" borderId="7" xfId="0" applyFont="1" applyBorder="1" applyAlignment="1">
      <alignment horizontal="center"/>
    </xf>
    <xf numFmtId="164" fontId="10" fillId="0" borderId="7" xfId="1" applyNumberFormat="1" applyFont="1" applyBorder="1" applyAlignment="1">
      <alignment horizontal="left"/>
    </xf>
    <xf numFmtId="164" fontId="10" fillId="0" borderId="7" xfId="1" applyNumberFormat="1" applyFont="1" applyBorder="1"/>
    <xf numFmtId="43" fontId="10" fillId="0" borderId="7" xfId="1" applyNumberFormat="1" applyFont="1" applyBorder="1" applyAlignment="1">
      <alignment horizontal="center"/>
    </xf>
    <xf numFmtId="164" fontId="10" fillId="0" borderId="24" xfId="1" applyNumberFormat="1" applyFont="1" applyBorder="1" applyAlignment="1">
      <alignment horizontal="center"/>
    </xf>
    <xf numFmtId="164" fontId="10" fillId="0" borderId="11" xfId="1" applyNumberFormat="1" applyFont="1" applyBorder="1" applyAlignment="1">
      <alignment horizontal="center"/>
    </xf>
    <xf numFmtId="164" fontId="10" fillId="0" borderId="25" xfId="1" applyNumberFormat="1" applyFont="1" applyBorder="1" applyAlignment="1">
      <alignment horizontal="center"/>
    </xf>
    <xf numFmtId="164" fontId="10" fillId="0" borderId="10" xfId="1" applyNumberFormat="1" applyFont="1" applyBorder="1" applyAlignment="1">
      <alignment horizontal="center"/>
    </xf>
    <xf numFmtId="0" fontId="10" fillId="0" borderId="12" xfId="0" applyFont="1" applyBorder="1" applyAlignment="1">
      <alignment horizontal="center"/>
    </xf>
    <xf numFmtId="0" fontId="10" fillId="0" borderId="1" xfId="0" applyFont="1" applyBorder="1" applyAlignment="1">
      <alignment horizontal="left"/>
    </xf>
    <xf numFmtId="0" fontId="12" fillId="0" borderId="25" xfId="0" applyFont="1" applyBorder="1" applyAlignment="1">
      <alignment horizontal="center" wrapText="1"/>
    </xf>
    <xf numFmtId="164" fontId="12" fillId="0" borderId="9" xfId="1" applyNumberFormat="1" applyFont="1" applyBorder="1" applyAlignment="1">
      <alignment horizontal="center" wrapText="1"/>
    </xf>
    <xf numFmtId="0" fontId="12" fillId="0" borderId="9" xfId="0" applyFont="1" applyBorder="1" applyAlignment="1">
      <alignment horizontal="center" wrapText="1"/>
    </xf>
    <xf numFmtId="164" fontId="3" fillId="0" borderId="3" xfId="1" applyNumberFormat="1" applyFont="1" applyBorder="1" applyAlignment="1">
      <alignment horizontal="center"/>
    </xf>
    <xf numFmtId="0" fontId="12" fillId="0" borderId="22" xfId="0" applyFont="1" applyBorder="1" applyAlignment="1">
      <alignment horizontal="center" wrapText="1"/>
    </xf>
    <xf numFmtId="0" fontId="10" fillId="0" borderId="19" xfId="0" applyFont="1" applyBorder="1" applyAlignment="1">
      <alignment horizontal="center"/>
    </xf>
    <xf numFmtId="164" fontId="10" fillId="0" borderId="19" xfId="1" applyNumberFormat="1" applyFont="1" applyBorder="1" applyAlignment="1">
      <alignment horizontal="center"/>
    </xf>
    <xf numFmtId="164" fontId="10" fillId="0" borderId="1" xfId="1" applyNumberFormat="1" applyFont="1" applyBorder="1" applyAlignment="1">
      <alignment horizontal="center"/>
    </xf>
    <xf numFmtId="164" fontId="10" fillId="0" borderId="2" xfId="1" applyNumberFormat="1" applyFont="1" applyBorder="1" applyAlignment="1">
      <alignment horizontal="right"/>
    </xf>
    <xf numFmtId="0" fontId="10" fillId="0" borderId="2" xfId="0" applyFont="1" applyBorder="1"/>
    <xf numFmtId="164" fontId="10" fillId="0" borderId="19" xfId="1" applyNumberFormat="1" applyFont="1" applyBorder="1" applyAlignment="1">
      <alignment horizontal="left"/>
    </xf>
    <xf numFmtId="164" fontId="10" fillId="0" borderId="3" xfId="1" applyNumberFormat="1" applyFont="1" applyBorder="1" applyAlignment="1">
      <alignment horizontal="center"/>
    </xf>
    <xf numFmtId="164" fontId="10" fillId="0" borderId="3" xfId="1" applyNumberFormat="1" applyFont="1" applyBorder="1"/>
    <xf numFmtId="43" fontId="10" fillId="0" borderId="3" xfId="1" applyNumberFormat="1" applyFont="1" applyBorder="1" applyAlignment="1">
      <alignment horizontal="center"/>
    </xf>
    <xf numFmtId="0" fontId="10" fillId="0" borderId="8" xfId="0" applyFont="1" applyBorder="1" applyAlignment="1">
      <alignment horizontal="left"/>
    </xf>
    <xf numFmtId="43" fontId="10" fillId="0" borderId="0" xfId="1" applyNumberFormat="1" applyFont="1" applyBorder="1" applyAlignment="1">
      <alignment horizontal="right"/>
    </xf>
    <xf numFmtId="164" fontId="10" fillId="0" borderId="12" xfId="1" applyNumberFormat="1" applyFont="1" applyBorder="1"/>
    <xf numFmtId="43" fontId="10" fillId="0" borderId="12" xfId="1" applyNumberFormat="1" applyFont="1" applyBorder="1" applyAlignment="1">
      <alignment horizontal="center"/>
    </xf>
    <xf numFmtId="164" fontId="10" fillId="0" borderId="0" xfId="1" applyNumberFormat="1" applyFont="1" applyBorder="1"/>
    <xf numFmtId="164" fontId="10" fillId="0" borderId="12" xfId="1" applyNumberFormat="1" applyFont="1" applyFill="1" applyBorder="1" applyAlignment="1">
      <alignment horizontal="center"/>
    </xf>
    <xf numFmtId="0" fontId="10" fillId="0" borderId="13" xfId="0" applyFont="1" applyBorder="1" applyAlignment="1">
      <alignment horizontal="left"/>
    </xf>
    <xf numFmtId="164" fontId="10" fillId="0" borderId="13" xfId="1" applyNumberFormat="1" applyFont="1" applyBorder="1" applyAlignment="1">
      <alignment horizontal="center"/>
    </xf>
    <xf numFmtId="43" fontId="10" fillId="0" borderId="14" xfId="1" applyNumberFormat="1" applyFont="1" applyBorder="1" applyAlignment="1">
      <alignment horizontal="right"/>
    </xf>
    <xf numFmtId="164" fontId="10" fillId="0" borderId="15" xfId="1" applyNumberFormat="1" applyFont="1" applyBorder="1"/>
    <xf numFmtId="43" fontId="10" fillId="0" borderId="15" xfId="1" applyNumberFormat="1" applyFont="1" applyBorder="1" applyAlignment="1">
      <alignment horizontal="center"/>
    </xf>
    <xf numFmtId="3" fontId="10" fillId="0" borderId="0" xfId="0" applyNumberFormat="1" applyFont="1" applyBorder="1" applyAlignment="1">
      <alignment horizontal="center"/>
    </xf>
    <xf numFmtId="0" fontId="10" fillId="0" borderId="0" xfId="0" applyFont="1" applyBorder="1" applyAlignment="1">
      <alignment horizontal="center"/>
    </xf>
    <xf numFmtId="164" fontId="10" fillId="0" borderId="7" xfId="1" applyNumberFormat="1" applyFont="1" applyBorder="1" applyAlignment="1">
      <alignment horizontal="right"/>
    </xf>
    <xf numFmtId="164" fontId="10" fillId="0" borderId="9" xfId="1" applyNumberFormat="1" applyFont="1" applyBorder="1" applyAlignment="1">
      <alignment horizontal="center" vertical="center"/>
    </xf>
    <xf numFmtId="0" fontId="10" fillId="0" borderId="8" xfId="0" applyFont="1" applyBorder="1" applyAlignment="1">
      <alignment horizontal="left" indent="1"/>
    </xf>
    <xf numFmtId="0" fontId="10" fillId="0" borderId="8" xfId="0" applyFont="1" applyBorder="1" applyAlignment="1">
      <alignment horizontal="right" indent="1"/>
    </xf>
    <xf numFmtId="0" fontId="12" fillId="0" borderId="0" xfId="0" applyFont="1" applyBorder="1" applyAlignment="1">
      <alignment horizontal="center" wrapText="1"/>
    </xf>
    <xf numFmtId="0" fontId="10" fillId="0" borderId="9" xfId="0" applyFont="1" applyFill="1" applyBorder="1"/>
    <xf numFmtId="164" fontId="10" fillId="0" borderId="24" xfId="1" applyNumberFormat="1" applyFont="1" applyFill="1" applyBorder="1" applyAlignment="1">
      <alignment horizontal="center"/>
    </xf>
    <xf numFmtId="164" fontId="10" fillId="0" borderId="11" xfId="1" applyNumberFormat="1" applyFont="1" applyFill="1" applyBorder="1" applyAlignment="1">
      <alignment horizontal="center"/>
    </xf>
    <xf numFmtId="164" fontId="10" fillId="0" borderId="25" xfId="1" applyNumberFormat="1" applyFont="1" applyFill="1" applyBorder="1" applyAlignment="1">
      <alignment horizontal="center"/>
    </xf>
    <xf numFmtId="164" fontId="10" fillId="0" borderId="9" xfId="1" applyNumberFormat="1" applyFont="1" applyFill="1" applyBorder="1" applyAlignment="1">
      <alignment horizontal="center"/>
    </xf>
    <xf numFmtId="164" fontId="10" fillId="0" borderId="10" xfId="1" applyNumberFormat="1" applyFont="1" applyFill="1" applyBorder="1" applyAlignment="1">
      <alignment horizontal="center"/>
    </xf>
    <xf numFmtId="164" fontId="10" fillId="0" borderId="7" xfId="1" applyNumberFormat="1" applyFont="1" applyFill="1" applyBorder="1" applyAlignment="1">
      <alignment horizontal="center"/>
    </xf>
    <xf numFmtId="3" fontId="10" fillId="0" borderId="0" xfId="0" applyNumberFormat="1" applyFont="1" applyFill="1" applyBorder="1" applyAlignment="1">
      <alignment horizontal="center"/>
    </xf>
    <xf numFmtId="0" fontId="10" fillId="0" borderId="0" xfId="0" applyFont="1" applyFill="1" applyBorder="1"/>
    <xf numFmtId="0" fontId="10" fillId="0" borderId="0" xfId="0" applyFont="1" applyFill="1" applyBorder="1" applyAlignment="1">
      <alignment horizontal="center"/>
    </xf>
    <xf numFmtId="164" fontId="10" fillId="0" borderId="13" xfId="1" applyNumberFormat="1" applyFont="1" applyBorder="1"/>
    <xf numFmtId="164" fontId="10" fillId="0" borderId="8" xfId="1" applyNumberFormat="1" applyFont="1" applyBorder="1"/>
    <xf numFmtId="2" fontId="10" fillId="0" borderId="9" xfId="0" applyNumberFormat="1" applyFont="1" applyBorder="1"/>
    <xf numFmtId="1" fontId="10" fillId="0" borderId="0" xfId="0" applyNumberFormat="1" applyFont="1" applyBorder="1" applyAlignment="1">
      <alignment horizontal="center"/>
    </xf>
    <xf numFmtId="2" fontId="10" fillId="0" borderId="0" xfId="0" applyNumberFormat="1" applyFont="1" applyBorder="1"/>
    <xf numFmtId="2" fontId="10" fillId="0" borderId="0" xfId="0" applyNumberFormat="1" applyFont="1" applyBorder="1" applyAlignment="1">
      <alignment horizontal="center"/>
    </xf>
    <xf numFmtId="164" fontId="6" fillId="0" borderId="12" xfId="1" applyNumberFormat="1" applyFont="1" applyBorder="1" applyAlignment="1">
      <alignment horizontal="center"/>
    </xf>
    <xf numFmtId="0" fontId="10" fillId="0" borderId="7" xfId="0" applyFont="1" applyBorder="1"/>
    <xf numFmtId="164" fontId="13" fillId="0" borderId="24" xfId="1" applyNumberFormat="1" applyFont="1" applyBorder="1" applyAlignment="1">
      <alignment horizontal="center"/>
    </xf>
    <xf numFmtId="164" fontId="13" fillId="0" borderId="10" xfId="1" applyNumberFormat="1" applyFont="1" applyBorder="1" applyAlignment="1">
      <alignment horizontal="center"/>
    </xf>
    <xf numFmtId="164" fontId="13" fillId="0" borderId="0" xfId="1" applyNumberFormat="1" applyFont="1" applyBorder="1" applyAlignment="1">
      <alignment horizontal="center"/>
    </xf>
    <xf numFmtId="0" fontId="10" fillId="0" borderId="12" xfId="0" applyFont="1" applyBorder="1"/>
    <xf numFmtId="0" fontId="10" fillId="0" borderId="4" xfId="0" applyFont="1" applyFill="1" applyBorder="1" applyAlignment="1">
      <alignment horizontal="left"/>
    </xf>
    <xf numFmtId="164" fontId="10" fillId="0" borderId="6" xfId="1" applyNumberFormat="1" applyFont="1" applyBorder="1" applyAlignment="1">
      <alignment vertical="center"/>
    </xf>
    <xf numFmtId="3" fontId="10" fillId="0" borderId="6" xfId="0" applyNumberFormat="1" applyFont="1" applyBorder="1" applyAlignment="1">
      <alignment horizontal="center"/>
    </xf>
    <xf numFmtId="164" fontId="10" fillId="0" borderId="5" xfId="0" applyNumberFormat="1" applyFont="1" applyBorder="1" applyAlignment="1">
      <alignment horizontal="center"/>
    </xf>
    <xf numFmtId="164" fontId="10" fillId="0" borderId="6" xfId="1" applyNumberFormat="1" applyFont="1" applyBorder="1" applyAlignment="1">
      <alignment horizontal="left"/>
    </xf>
    <xf numFmtId="0" fontId="14" fillId="0" borderId="4" xfId="0" applyFont="1" applyFill="1" applyBorder="1" applyAlignment="1">
      <alignment horizontal="left"/>
    </xf>
    <xf numFmtId="0" fontId="14" fillId="0" borderId="5" xfId="0" applyFont="1" applyBorder="1" applyAlignment="1">
      <alignment horizontal="center"/>
    </xf>
    <xf numFmtId="0" fontId="14" fillId="0" borderId="18" xfId="0" applyFont="1" applyBorder="1" applyAlignment="1">
      <alignment horizontal="center"/>
    </xf>
    <xf numFmtId="164" fontId="14" fillId="0" borderId="4" xfId="1" applyNumberFormat="1" applyFont="1" applyBorder="1" applyAlignment="1">
      <alignment horizontal="center"/>
    </xf>
    <xf numFmtId="164" fontId="14" fillId="0" borderId="6" xfId="1" applyNumberFormat="1" applyFont="1" applyBorder="1" applyAlignment="1">
      <alignment horizontal="center"/>
    </xf>
    <xf numFmtId="164" fontId="14" fillId="0" borderId="18" xfId="1" applyNumberFormat="1" applyFont="1" applyBorder="1" applyAlignment="1">
      <alignment horizontal="center"/>
    </xf>
    <xf numFmtId="164" fontId="14" fillId="0" borderId="6" xfId="1" applyNumberFormat="1" applyFont="1" applyBorder="1" applyAlignment="1">
      <alignment vertical="center"/>
    </xf>
    <xf numFmtId="3" fontId="10" fillId="0" borderId="5" xfId="0" applyNumberFormat="1" applyFont="1" applyBorder="1" applyAlignment="1">
      <alignment horizontal="center"/>
    </xf>
    <xf numFmtId="164" fontId="10" fillId="0" borderId="0" xfId="0" applyNumberFormat="1" applyFont="1" applyBorder="1" applyAlignment="1">
      <alignment horizontal="center"/>
    </xf>
    <xf numFmtId="0" fontId="10" fillId="0" borderId="0" xfId="0" applyFont="1" applyFill="1" applyBorder="1" applyAlignment="1">
      <alignment horizontal="left"/>
    </xf>
    <xf numFmtId="164" fontId="10" fillId="0" borderId="0" xfId="1" applyNumberFormat="1" applyFont="1" applyBorder="1" applyAlignment="1">
      <alignment horizontal="left"/>
    </xf>
    <xf numFmtId="0" fontId="10" fillId="0" borderId="0" xfId="0" applyFont="1" applyAlignment="1">
      <alignment horizontal="left" wrapText="1"/>
    </xf>
    <xf numFmtId="164" fontId="10" fillId="0" borderId="0" xfId="1" applyNumberFormat="1" applyFont="1" applyBorder="1" applyAlignment="1">
      <alignment horizontal="left" wrapText="1"/>
    </xf>
    <xf numFmtId="164" fontId="10" fillId="0" borderId="0" xfId="1" applyNumberFormat="1" applyFont="1" applyBorder="1" applyAlignment="1">
      <alignment horizontal="center" wrapText="1"/>
    </xf>
    <xf numFmtId="164" fontId="10" fillId="0" borderId="4" xfId="1" applyNumberFormat="1" applyFont="1" applyBorder="1" applyAlignment="1">
      <alignment horizontal="center" wrapText="1"/>
    </xf>
    <xf numFmtId="164" fontId="10" fillId="0" borderId="6" xfId="1" applyNumberFormat="1" applyFont="1" applyBorder="1" applyAlignment="1">
      <alignment horizontal="center" wrapText="1"/>
    </xf>
    <xf numFmtId="164" fontId="10" fillId="0" borderId="18" xfId="1" applyNumberFormat="1" applyFont="1" applyBorder="1" applyAlignment="1">
      <alignment horizontal="center" wrapText="1"/>
    </xf>
    <xf numFmtId="164" fontId="10" fillId="0" borderId="5" xfId="1" applyNumberFormat="1" applyFont="1" applyBorder="1" applyAlignment="1">
      <alignment horizontal="center" wrapText="1"/>
    </xf>
    <xf numFmtId="0" fontId="10" fillId="0" borderId="6" xfId="0" applyFont="1" applyBorder="1" applyAlignment="1">
      <alignment horizontal="center" wrapText="1"/>
    </xf>
    <xf numFmtId="164" fontId="10" fillId="0" borderId="5" xfId="1" applyNumberFormat="1" applyFont="1" applyBorder="1" applyAlignment="1">
      <alignment horizontal="left" wrapText="1"/>
    </xf>
    <xf numFmtId="164" fontId="10" fillId="0" borderId="6" xfId="1" applyNumberFormat="1" applyFont="1" applyBorder="1" applyAlignment="1">
      <alignment horizontal="left" wrapText="1"/>
    </xf>
    <xf numFmtId="164" fontId="10" fillId="0" borderId="2" xfId="1" applyNumberFormat="1" applyFont="1" applyBorder="1" applyAlignment="1">
      <alignment horizontal="left" wrapText="1"/>
    </xf>
    <xf numFmtId="0" fontId="10" fillId="0" borderId="5" xfId="0" applyFont="1" applyBorder="1" applyAlignment="1">
      <alignment horizontal="center" wrapText="1"/>
    </xf>
    <xf numFmtId="0" fontId="10" fillId="0" borderId="0" xfId="0" applyFont="1" applyBorder="1" applyAlignment="1">
      <alignment horizontal="center" wrapText="1"/>
    </xf>
    <xf numFmtId="164" fontId="10" fillId="0" borderId="0" xfId="0" applyNumberFormat="1" applyFont="1" applyBorder="1" applyAlignment="1">
      <alignment horizontal="center" wrapText="1"/>
    </xf>
    <xf numFmtId="0" fontId="10" fillId="0" borderId="0" xfId="0" applyFont="1" applyAlignment="1">
      <alignment horizontal="center" wrapText="1"/>
    </xf>
    <xf numFmtId="0" fontId="10" fillId="0" borderId="0" xfId="0" applyFont="1" applyAlignment="1">
      <alignment horizontal="left"/>
    </xf>
    <xf numFmtId="164" fontId="10" fillId="0" borderId="0" xfId="1" applyNumberFormat="1" applyFont="1" applyBorder="1" applyAlignment="1"/>
    <xf numFmtId="164" fontId="10" fillId="0" borderId="5" xfId="1" applyNumberFormat="1" applyFont="1" applyBorder="1" applyAlignment="1">
      <alignment vertical="center"/>
    </xf>
    <xf numFmtId="164" fontId="10" fillId="0" borderId="18" xfId="1" applyNumberFormat="1" applyFont="1" applyBorder="1" applyAlignment="1">
      <alignment vertical="center"/>
    </xf>
    <xf numFmtId="0" fontId="12" fillId="0" borderId="24" xfId="0" applyFont="1" applyBorder="1" applyAlignment="1">
      <alignment horizontal="center" wrapText="1"/>
    </xf>
    <xf numFmtId="1" fontId="3" fillId="0" borderId="9" xfId="0" applyNumberFormat="1" applyFont="1" applyBorder="1" applyAlignment="1">
      <alignment horizontal="left"/>
    </xf>
    <xf numFmtId="0" fontId="10" fillId="0" borderId="1" xfId="0" applyFont="1" applyBorder="1" applyAlignment="1">
      <alignment horizontal="left" wrapText="1"/>
    </xf>
    <xf numFmtId="164" fontId="10" fillId="0" borderId="2" xfId="1" applyNumberFormat="1" applyFont="1" applyBorder="1" applyAlignment="1">
      <alignment horizontal="center" wrapText="1"/>
    </xf>
    <xf numFmtId="167" fontId="10" fillId="0" borderId="6" xfId="1" applyNumberFormat="1" applyFont="1" applyBorder="1" applyAlignment="1">
      <alignment horizontal="center" wrapText="1"/>
    </xf>
    <xf numFmtId="167" fontId="10" fillId="0" borderId="0" xfId="1" applyNumberFormat="1" applyFont="1" applyBorder="1" applyAlignment="1">
      <alignment horizontal="center" wrapText="1"/>
    </xf>
    <xf numFmtId="164" fontId="16" fillId="0" borderId="0" xfId="1" applyNumberFormat="1" applyFont="1" applyBorder="1" applyAlignment="1">
      <alignment horizontal="center" wrapText="1"/>
    </xf>
    <xf numFmtId="164" fontId="10" fillId="0" borderId="12" xfId="1" applyNumberFormat="1" applyFont="1" applyBorder="1" applyAlignment="1">
      <alignment horizontal="center" wrapText="1"/>
    </xf>
    <xf numFmtId="0" fontId="16" fillId="0" borderId="1" xfId="0" applyFont="1" applyBorder="1" applyAlignment="1">
      <alignment horizontal="left" wrapText="1"/>
    </xf>
    <xf numFmtId="164" fontId="16" fillId="0" borderId="2" xfId="1" applyNumberFormat="1" applyFont="1" applyBorder="1" applyAlignment="1">
      <alignment horizontal="left" wrapText="1"/>
    </xf>
    <xf numFmtId="164" fontId="16" fillId="0" borderId="6" xfId="1" applyNumberFormat="1" applyFont="1" applyBorder="1" applyAlignment="1">
      <alignment horizontal="center" wrapText="1"/>
    </xf>
    <xf numFmtId="168" fontId="16" fillId="0" borderId="18" xfId="1" applyNumberFormat="1" applyFont="1" applyBorder="1" applyAlignment="1">
      <alignment wrapText="1"/>
    </xf>
    <xf numFmtId="164" fontId="16" fillId="0" borderId="0" xfId="1" applyNumberFormat="1" applyFont="1" applyBorder="1" applyAlignment="1">
      <alignment wrapText="1"/>
    </xf>
    <xf numFmtId="167" fontId="16" fillId="0" borderId="0" xfId="1" applyNumberFormat="1" applyFont="1" applyBorder="1" applyAlignment="1">
      <alignment wrapText="1"/>
    </xf>
    <xf numFmtId="164" fontId="16" fillId="0" borderId="12" xfId="1" applyNumberFormat="1" applyFont="1" applyBorder="1" applyAlignment="1">
      <alignment wrapText="1"/>
    </xf>
    <xf numFmtId="0" fontId="17" fillId="0" borderId="13" xfId="0" applyFont="1" applyBorder="1" applyAlignment="1">
      <alignment horizontal="left"/>
    </xf>
    <xf numFmtId="164" fontId="17" fillId="0" borderId="14" xfId="1" applyNumberFormat="1" applyFont="1" applyBorder="1" applyAlignment="1">
      <alignment horizontal="left"/>
    </xf>
    <xf numFmtId="164" fontId="17" fillId="0" borderId="14" xfId="1" applyNumberFormat="1" applyFont="1" applyBorder="1" applyAlignment="1">
      <alignment horizontal="center"/>
    </xf>
    <xf numFmtId="164" fontId="17" fillId="0" borderId="14" xfId="1" applyNumberFormat="1" applyFont="1" applyBorder="1" applyAlignment="1"/>
    <xf numFmtId="164" fontId="10" fillId="0" borderId="14" xfId="1" applyNumberFormat="1" applyFont="1" applyBorder="1" applyAlignment="1"/>
    <xf numFmtId="0" fontId="18" fillId="0" borderId="8" xfId="0" applyFont="1" applyBorder="1" applyAlignment="1">
      <alignment horizontal="left"/>
    </xf>
    <xf numFmtId="164" fontId="17" fillId="0" borderId="0" xfId="1" applyNumberFormat="1" applyFont="1" applyBorder="1" applyAlignment="1">
      <alignment horizontal="left"/>
    </xf>
    <xf numFmtId="164" fontId="17" fillId="0" borderId="2" xfId="1" applyNumberFormat="1" applyFont="1" applyBorder="1" applyAlignment="1">
      <alignment horizontal="center"/>
    </xf>
    <xf numFmtId="168" fontId="17" fillId="0" borderId="2" xfId="1" applyNumberFormat="1" applyFont="1" applyBorder="1" applyAlignment="1">
      <alignment horizontal="center"/>
    </xf>
    <xf numFmtId="164" fontId="17" fillId="0" borderId="0" xfId="1" applyNumberFormat="1" applyFont="1" applyBorder="1" applyAlignment="1">
      <alignment horizontal="center"/>
    </xf>
    <xf numFmtId="164" fontId="17" fillId="0" borderId="0" xfId="1" applyNumberFormat="1" applyFont="1" applyBorder="1" applyAlignment="1"/>
    <xf numFmtId="164" fontId="10" fillId="0" borderId="0" xfId="1" applyNumberFormat="1" applyFont="1" applyBorder="1" applyAlignment="1">
      <alignment vertical="center"/>
    </xf>
    <xf numFmtId="43" fontId="10" fillId="0" borderId="2" xfId="1" applyNumberFormat="1" applyFont="1" applyBorder="1" applyAlignment="1">
      <alignment horizontal="center"/>
    </xf>
    <xf numFmtId="164" fontId="10" fillId="0" borderId="2" xfId="1" applyNumberFormat="1" applyFont="1" applyBorder="1" applyAlignment="1"/>
    <xf numFmtId="43" fontId="10" fillId="0" borderId="0" xfId="1" applyNumberFormat="1" applyFont="1" applyBorder="1" applyAlignment="1">
      <alignment horizontal="center"/>
    </xf>
    <xf numFmtId="164" fontId="10" fillId="0" borderId="14" xfId="1" applyNumberFormat="1" applyFont="1" applyBorder="1" applyAlignment="1">
      <alignment horizontal="left"/>
    </xf>
    <xf numFmtId="0" fontId="10" fillId="0" borderId="0" xfId="0" applyFont="1" applyBorder="1" applyAlignment="1">
      <alignment horizontal="left"/>
    </xf>
    <xf numFmtId="0" fontId="0" fillId="0" borderId="0" xfId="0" applyAlignment="1">
      <alignment horizontal="left" vertical="top"/>
    </xf>
    <xf numFmtId="0" fontId="0" fillId="0" borderId="0" xfId="0" applyAlignment="1">
      <alignment horizontal="left" vertical="top" wrapText="1"/>
    </xf>
    <xf numFmtId="0" fontId="2" fillId="0" borderId="0" xfId="0" applyFont="1" applyAlignment="1">
      <alignment horizontal="left"/>
    </xf>
    <xf numFmtId="0" fontId="2" fillId="0" borderId="0" xfId="0" applyFont="1" applyAlignment="1">
      <alignment horizontal="center"/>
    </xf>
    <xf numFmtId="0" fontId="2" fillId="0" borderId="0" xfId="0" applyFont="1" applyAlignment="1">
      <alignment horizontal="center"/>
    </xf>
    <xf numFmtId="2" fontId="5" fillId="0" borderId="14" xfId="0" applyNumberFormat="1" applyFont="1" applyBorder="1"/>
    <xf numFmtId="0" fontId="7" fillId="0" borderId="0" xfId="0" applyFont="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center"/>
    </xf>
    <xf numFmtId="164" fontId="0" fillId="0" borderId="0" xfId="1" applyNumberFormat="1" applyFont="1"/>
    <xf numFmtId="164" fontId="20" fillId="0" borderId="0" xfId="1" applyNumberFormat="1" applyFont="1"/>
    <xf numFmtId="164" fontId="21" fillId="0" borderId="0" xfId="1" applyNumberFormat="1" applyFont="1"/>
    <xf numFmtId="164" fontId="21" fillId="0" borderId="0" xfId="1" applyNumberFormat="1" applyFont="1" applyAlignment="1">
      <alignment horizontal="center"/>
    </xf>
    <xf numFmtId="164" fontId="21" fillId="0" borderId="0" xfId="1" applyNumberFormat="1" applyFont="1" applyBorder="1" applyAlignment="1">
      <alignment horizontal="center"/>
    </xf>
    <xf numFmtId="164" fontId="20" fillId="0" borderId="0" xfId="1" applyNumberFormat="1" applyFont="1" applyBorder="1"/>
    <xf numFmtId="164" fontId="21" fillId="0" borderId="0" xfId="1" applyNumberFormat="1" applyFont="1" applyBorder="1"/>
    <xf numFmtId="164" fontId="22" fillId="0" borderId="0" xfId="1" applyNumberFormat="1" applyFont="1"/>
    <xf numFmtId="164" fontId="23" fillId="0" borderId="0" xfId="1" applyNumberFormat="1" applyFont="1"/>
    <xf numFmtId="164" fontId="24" fillId="0" borderId="0" xfId="1" applyNumberFormat="1" applyFont="1" applyBorder="1" applyAlignment="1">
      <alignment horizontal="center"/>
    </xf>
    <xf numFmtId="164" fontId="24" fillId="0" borderId="0" xfId="1" applyNumberFormat="1" applyFont="1" applyAlignment="1">
      <alignment horizontal="center"/>
    </xf>
    <xf numFmtId="164" fontId="24" fillId="0" borderId="0" xfId="1" applyNumberFormat="1" applyFont="1" applyAlignment="1">
      <alignment horizontal="left" vertical="top"/>
    </xf>
    <xf numFmtId="164" fontId="20" fillId="0" borderId="0" xfId="1" applyNumberFormat="1" applyFont="1" applyAlignment="1">
      <alignment wrapText="1"/>
    </xf>
    <xf numFmtId="164" fontId="21" fillId="0" borderId="1" xfId="1" applyNumberFormat="1" applyFont="1" applyBorder="1" applyAlignment="1">
      <alignment wrapText="1"/>
    </xf>
    <xf numFmtId="164" fontId="21" fillId="0" borderId="2" xfId="1" applyNumberFormat="1" applyFont="1" applyBorder="1" applyAlignment="1">
      <alignment wrapText="1"/>
    </xf>
    <xf numFmtId="164" fontId="21" fillId="0" borderId="2" xfId="1" applyNumberFormat="1" applyFont="1" applyBorder="1" applyAlignment="1">
      <alignment horizontal="center" wrapText="1"/>
    </xf>
    <xf numFmtId="164" fontId="20" fillId="0" borderId="2" xfId="1" applyNumberFormat="1" applyFont="1" applyBorder="1" applyAlignment="1">
      <alignment wrapText="1"/>
    </xf>
    <xf numFmtId="164" fontId="21" fillId="0" borderId="3" xfId="1" applyNumberFormat="1" applyFont="1" applyBorder="1" applyAlignment="1">
      <alignment wrapText="1"/>
    </xf>
    <xf numFmtId="164" fontId="21" fillId="0" borderId="0" xfId="1" applyNumberFormat="1" applyFont="1" applyAlignment="1">
      <alignment wrapText="1"/>
    </xf>
    <xf numFmtId="164" fontId="21" fillId="0" borderId="13" xfId="1" applyNumberFormat="1" applyFont="1" applyBorder="1" applyAlignment="1">
      <alignment wrapText="1"/>
    </xf>
    <xf numFmtId="164" fontId="21" fillId="0" borderId="14" xfId="1" applyNumberFormat="1" applyFont="1" applyBorder="1" applyAlignment="1">
      <alignment wrapText="1"/>
    </xf>
    <xf numFmtId="164" fontId="21" fillId="0" borderId="15" xfId="1" applyNumberFormat="1" applyFont="1" applyBorder="1" applyAlignment="1">
      <alignment wrapText="1"/>
    </xf>
    <xf numFmtId="164" fontId="21" fillId="0" borderId="0" xfId="1" applyNumberFormat="1" applyFont="1" applyBorder="1" applyAlignment="1">
      <alignment wrapText="1"/>
    </xf>
    <xf numFmtId="164" fontId="21" fillId="0" borderId="12" xfId="1" applyNumberFormat="1" applyFont="1" applyBorder="1" applyAlignment="1">
      <alignment wrapText="1"/>
    </xf>
    <xf numFmtId="164" fontId="21" fillId="0" borderId="8" xfId="1" applyNumberFormat="1" applyFont="1" applyBorder="1"/>
    <xf numFmtId="164" fontId="21" fillId="0" borderId="12" xfId="1" applyNumberFormat="1" applyFont="1" applyBorder="1"/>
    <xf numFmtId="164" fontId="0" fillId="0" borderId="0" xfId="1" applyNumberFormat="1" applyFont="1" applyBorder="1"/>
    <xf numFmtId="164" fontId="0" fillId="0" borderId="12" xfId="1" applyNumberFormat="1" applyFont="1" applyBorder="1"/>
    <xf numFmtId="164" fontId="2" fillId="0" borderId="19" xfId="1" applyNumberFormat="1" applyFont="1" applyBorder="1"/>
    <xf numFmtId="164" fontId="2" fillId="0" borderId="4" xfId="1" applyNumberFormat="1" applyFont="1" applyBorder="1"/>
    <xf numFmtId="164" fontId="0" fillId="0" borderId="5" xfId="1" applyNumberFormat="1" applyFont="1" applyBorder="1"/>
    <xf numFmtId="164" fontId="2" fillId="0" borderId="6" xfId="1" applyNumberFormat="1" applyFont="1" applyBorder="1"/>
    <xf numFmtId="164" fontId="0" fillId="0" borderId="18" xfId="1" applyNumberFormat="1" applyFont="1" applyBorder="1"/>
    <xf numFmtId="164" fontId="0" fillId="0" borderId="13" xfId="1" applyNumberFormat="1" applyFont="1" applyBorder="1"/>
    <xf numFmtId="164" fontId="0" fillId="0" borderId="14" xfId="1" applyNumberFormat="1" applyFont="1" applyBorder="1"/>
    <xf numFmtId="164" fontId="0" fillId="0" borderId="15" xfId="1" applyNumberFormat="1" applyFont="1" applyBorder="1"/>
    <xf numFmtId="0" fontId="7" fillId="0" borderId="19" xfId="0" applyFont="1" applyBorder="1" applyAlignment="1">
      <alignment horizontal="center" vertical="center"/>
    </xf>
    <xf numFmtId="0" fontId="7" fillId="0" borderId="7" xfId="0" applyFont="1" applyBorder="1" applyAlignment="1">
      <alignment horizontal="center" vertical="center"/>
    </xf>
    <xf numFmtId="0" fontId="0" fillId="0" borderId="1" xfId="0" applyBorder="1" applyAlignment="1">
      <alignment horizontal="center"/>
    </xf>
    <xf numFmtId="0" fontId="0" fillId="0" borderId="3" xfId="0" applyBorder="1" applyAlignment="1">
      <alignment horizontal="center"/>
    </xf>
    <xf numFmtId="0" fontId="2" fillId="0" borderId="8" xfId="0" applyFont="1" applyBorder="1" applyAlignment="1">
      <alignment horizontal="center"/>
    </xf>
    <xf numFmtId="0" fontId="2" fillId="0" borderId="12" xfId="0" applyFont="1" applyBorder="1" applyAlignment="1">
      <alignment horizontal="center"/>
    </xf>
    <xf numFmtId="0" fontId="0" fillId="0" borderId="8"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5" xfId="0" applyBorder="1" applyAlignment="1">
      <alignment horizontal="center"/>
    </xf>
    <xf numFmtId="3" fontId="0" fillId="0" borderId="8" xfId="0" applyNumberFormat="1" applyBorder="1" applyAlignment="1">
      <alignment horizontal="center"/>
    </xf>
    <xf numFmtId="3" fontId="0" fillId="0" borderId="12" xfId="0" applyNumberFormat="1" applyBorder="1" applyAlignment="1">
      <alignment horizontal="center"/>
    </xf>
    <xf numFmtId="0" fontId="0" fillId="0" borderId="2" xfId="0" applyBorder="1" applyAlignment="1">
      <alignment horizontal="center"/>
    </xf>
    <xf numFmtId="6" fontId="0" fillId="0" borderId="2" xfId="0" applyNumberFormat="1" applyBorder="1" applyAlignment="1">
      <alignment horizontal="center"/>
    </xf>
    <xf numFmtId="9" fontId="2" fillId="0" borderId="0" xfId="0" applyNumberFormat="1" applyFont="1" applyBorder="1" applyAlignment="1">
      <alignment horizontal="center"/>
    </xf>
    <xf numFmtId="0" fontId="2" fillId="0" borderId="0" xfId="0" applyFont="1" applyBorder="1" applyAlignment="1">
      <alignment horizontal="center"/>
    </xf>
    <xf numFmtId="0" fontId="0" fillId="0" borderId="0" xfId="0" applyBorder="1" applyAlignment="1">
      <alignment horizontal="center"/>
    </xf>
    <xf numFmtId="9" fontId="2" fillId="0" borderId="14" xfId="0" applyNumberFormat="1"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2" fillId="0" borderId="8" xfId="0" applyFont="1" applyBorder="1" applyAlignment="1">
      <alignment horizontal="left"/>
    </xf>
    <xf numFmtId="1" fontId="3" fillId="0" borderId="5" xfId="1" applyNumberFormat="1" applyFont="1" applyBorder="1" applyAlignment="1">
      <alignment horizontal="center"/>
    </xf>
    <xf numFmtId="164" fontId="3" fillId="0" borderId="19" xfId="1" applyNumberFormat="1" applyFont="1" applyBorder="1" applyAlignment="1">
      <alignment horizontal="center" wrapText="1"/>
    </xf>
    <xf numFmtId="164" fontId="3" fillId="0" borderId="7" xfId="1" applyNumberFormat="1" applyFont="1" applyBorder="1" applyAlignment="1">
      <alignment horizontal="center" wrapText="1"/>
    </xf>
    <xf numFmtId="164" fontId="10" fillId="0" borderId="0" xfId="1" applyNumberFormat="1" applyFont="1" applyAlignment="1">
      <alignment horizontal="left"/>
    </xf>
    <xf numFmtId="0" fontId="0" fillId="0" borderId="24" xfId="0" applyBorder="1" applyAlignment="1">
      <alignment horizontal="left" vertical="top" wrapText="1"/>
    </xf>
    <xf numFmtId="0" fontId="0" fillId="0" borderId="11" xfId="0" applyBorder="1" applyAlignment="1">
      <alignment horizontal="left" vertical="top" wrapText="1"/>
    </xf>
    <xf numFmtId="0" fontId="0" fillId="0" borderId="24" xfId="0" applyBorder="1" applyAlignment="1">
      <alignment horizontal="left" vertical="top"/>
    </xf>
    <xf numFmtId="0" fontId="0" fillId="0" borderId="40" xfId="0" applyBorder="1" applyAlignment="1">
      <alignment horizontal="left" vertical="top"/>
    </xf>
    <xf numFmtId="0" fontId="0" fillId="0" borderId="29" xfId="0" applyBorder="1" applyAlignment="1">
      <alignment horizontal="left" vertical="top"/>
    </xf>
    <xf numFmtId="0" fontId="0" fillId="0" borderId="25" xfId="0" applyBorder="1" applyAlignment="1">
      <alignment horizontal="left" vertical="top"/>
    </xf>
    <xf numFmtId="0" fontId="0" fillId="0" borderId="9" xfId="0" applyBorder="1" applyAlignment="1">
      <alignment horizontal="left" vertical="top"/>
    </xf>
    <xf numFmtId="0" fontId="0" fillId="0" borderId="11" xfId="0" applyBorder="1" applyAlignment="1">
      <alignment horizontal="left" vertical="top"/>
    </xf>
    <xf numFmtId="0" fontId="0" fillId="0" borderId="26" xfId="0" applyBorder="1" applyAlignment="1">
      <alignment horizontal="left" vertical="top"/>
    </xf>
    <xf numFmtId="0" fontId="0" fillId="0" borderId="10" xfId="0" applyBorder="1" applyAlignment="1">
      <alignment horizontal="left" vertical="top"/>
    </xf>
    <xf numFmtId="9" fontId="0" fillId="0" borderId="10" xfId="0" applyNumberFormat="1" applyBorder="1" applyAlignment="1">
      <alignment horizontal="left" vertical="top"/>
    </xf>
    <xf numFmtId="0" fontId="0" fillId="0" borderId="41" xfId="0" applyBorder="1" applyAlignment="1">
      <alignment horizontal="left" vertical="top"/>
    </xf>
    <xf numFmtId="0" fontId="0" fillId="0" borderId="35" xfId="0" applyBorder="1" applyAlignment="1">
      <alignment horizontal="left" vertical="top"/>
    </xf>
    <xf numFmtId="0" fontId="0" fillId="0" borderId="36" xfId="0" applyBorder="1" applyAlignment="1">
      <alignment horizontal="left" vertical="top"/>
    </xf>
    <xf numFmtId="0" fontId="0" fillId="0" borderId="37" xfId="0" applyBorder="1" applyAlignment="1">
      <alignment horizontal="left" vertical="top"/>
    </xf>
    <xf numFmtId="9" fontId="0" fillId="0" borderId="11" xfId="0" applyNumberFormat="1" applyBorder="1" applyAlignment="1">
      <alignment horizontal="left" vertical="top" wrapText="1"/>
    </xf>
    <xf numFmtId="0" fontId="0" fillId="0" borderId="42" xfId="0" applyBorder="1" applyAlignment="1">
      <alignment horizontal="left" vertical="top"/>
    </xf>
    <xf numFmtId="0" fontId="0" fillId="0" borderId="1" xfId="0"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43" xfId="0" applyBorder="1" applyAlignment="1">
      <alignment horizontal="left" vertical="top"/>
    </xf>
    <xf numFmtId="0" fontId="0" fillId="0" borderId="29" xfId="0" applyBorder="1" applyAlignment="1">
      <alignment horizontal="left" vertical="top" wrapText="1"/>
    </xf>
    <xf numFmtId="0" fontId="0" fillId="0" borderId="44" xfId="0" applyBorder="1" applyAlignment="1">
      <alignment horizontal="left" vertical="top"/>
    </xf>
    <xf numFmtId="9" fontId="0" fillId="0" borderId="11" xfId="0" applyNumberFormat="1" applyBorder="1" applyAlignment="1">
      <alignment horizontal="left" vertical="top"/>
    </xf>
    <xf numFmtId="0" fontId="0" fillId="0" borderId="45" xfId="0" applyBorder="1" applyAlignment="1">
      <alignment horizontal="left" vertical="top"/>
    </xf>
    <xf numFmtId="0" fontId="0" fillId="0" borderId="39" xfId="0" applyBorder="1" applyAlignment="1">
      <alignment horizontal="left" vertical="top"/>
    </xf>
    <xf numFmtId="0" fontId="0" fillId="0" borderId="8" xfId="0" applyBorder="1" applyAlignment="1">
      <alignment horizontal="left" vertical="top"/>
    </xf>
    <xf numFmtId="0" fontId="0" fillId="0" borderId="0" xfId="0" applyBorder="1" applyAlignment="1">
      <alignment horizontal="left" vertical="top"/>
    </xf>
    <xf numFmtId="0" fontId="0" fillId="0" borderId="12" xfId="0"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169" fontId="5" fillId="0" borderId="0" xfId="1" applyNumberFormat="1" applyFont="1" applyAlignment="1">
      <alignment horizontal="center"/>
    </xf>
    <xf numFmtId="169" fontId="5" fillId="0" borderId="0" xfId="1" applyNumberFormat="1" applyFont="1" applyBorder="1" applyAlignment="1">
      <alignment horizontal="center"/>
    </xf>
    <xf numFmtId="164" fontId="3" fillId="0" borderId="0" xfId="0" applyNumberFormat="1" applyFont="1" applyBorder="1"/>
    <xf numFmtId="0" fontId="10" fillId="0" borderId="0" xfId="0" applyFont="1" applyAlignment="1">
      <alignment horizontal="left" vertical="top"/>
    </xf>
    <xf numFmtId="0" fontId="3" fillId="0" borderId="0" xfId="0" applyFont="1" applyAlignment="1">
      <alignment wrapText="1"/>
    </xf>
    <xf numFmtId="0" fontId="5" fillId="0" borderId="1" xfId="0" applyFont="1" applyBorder="1" applyAlignment="1">
      <alignment wrapText="1"/>
    </xf>
    <xf numFmtId="3" fontId="5" fillId="0" borderId="2" xfId="0" applyNumberFormat="1" applyFont="1" applyBorder="1" applyAlignment="1">
      <alignment wrapText="1"/>
    </xf>
    <xf numFmtId="3" fontId="5" fillId="0" borderId="2" xfId="0" applyNumberFormat="1" applyFont="1" applyBorder="1" applyAlignment="1">
      <alignment horizontal="center" wrapText="1"/>
    </xf>
    <xf numFmtId="169" fontId="5" fillId="0" borderId="2" xfId="1" applyNumberFormat="1" applyFont="1" applyBorder="1" applyAlignment="1">
      <alignment horizontal="center" wrapText="1"/>
    </xf>
    <xf numFmtId="164" fontId="3" fillId="0" borderId="2" xfId="0" applyNumberFormat="1" applyFont="1" applyBorder="1" applyAlignment="1">
      <alignment wrapText="1"/>
    </xf>
    <xf numFmtId="0" fontId="3" fillId="0" borderId="2" xfId="0" applyFont="1" applyBorder="1" applyAlignment="1">
      <alignment wrapText="1"/>
    </xf>
    <xf numFmtId="0" fontId="5" fillId="0" borderId="2" xfId="0" applyFont="1" applyBorder="1" applyAlignment="1">
      <alignment wrapText="1"/>
    </xf>
    <xf numFmtId="3" fontId="5" fillId="0" borderId="0" xfId="0" applyNumberFormat="1" applyFont="1" applyBorder="1" applyAlignment="1">
      <alignment wrapText="1"/>
    </xf>
    <xf numFmtId="0" fontId="5" fillId="0" borderId="0" xfId="0" applyFont="1" applyAlignment="1">
      <alignment wrapText="1"/>
    </xf>
    <xf numFmtId="0" fontId="5" fillId="0" borderId="13" xfId="0" applyFont="1" applyBorder="1" applyAlignment="1">
      <alignment wrapText="1"/>
    </xf>
    <xf numFmtId="0" fontId="5" fillId="0" borderId="14" xfId="0" applyFont="1" applyBorder="1" applyAlignment="1">
      <alignment wrapText="1"/>
    </xf>
    <xf numFmtId="3" fontId="5" fillId="0" borderId="14" xfId="0" applyNumberFormat="1" applyFont="1" applyBorder="1" applyAlignment="1">
      <alignment wrapText="1"/>
    </xf>
    <xf numFmtId="3" fontId="5" fillId="0" borderId="15" xfId="0" applyNumberFormat="1" applyFont="1" applyBorder="1" applyAlignment="1">
      <alignment wrapText="1"/>
    </xf>
    <xf numFmtId="169" fontId="5" fillId="0" borderId="0" xfId="0" applyNumberFormat="1" applyFont="1" applyAlignment="1">
      <alignment horizontal="center" vertical="center"/>
    </xf>
    <xf numFmtId="169" fontId="3" fillId="0" borderId="0" xfId="0" applyNumberFormat="1" applyFont="1" applyAlignment="1">
      <alignment horizontal="center" vertical="center"/>
    </xf>
    <xf numFmtId="164" fontId="5" fillId="0" borderId="0" xfId="0" applyNumberFormat="1" applyFont="1" applyAlignment="1">
      <alignment horizontal="center" vertical="center"/>
    </xf>
    <xf numFmtId="169" fontId="5" fillId="0" borderId="0" xfId="1" applyNumberFormat="1" applyFont="1" applyAlignment="1">
      <alignment horizontal="center" vertical="center"/>
    </xf>
    <xf numFmtId="164" fontId="5" fillId="0" borderId="0" xfId="1" applyNumberFormat="1" applyFont="1" applyBorder="1" applyAlignment="1">
      <alignment horizontal="center" vertical="center"/>
    </xf>
    <xf numFmtId="169" fontId="5" fillId="0" borderId="0" xfId="1" applyNumberFormat="1" applyFont="1" applyBorder="1" applyAlignment="1">
      <alignment horizontal="center" vertical="center"/>
    </xf>
    <xf numFmtId="164" fontId="3" fillId="0" borderId="0" xfId="0" applyNumberFormat="1" applyFont="1" applyBorder="1" applyAlignment="1">
      <alignment horizontal="center" vertical="center"/>
    </xf>
    <xf numFmtId="164" fontId="5" fillId="0" borderId="0" xfId="0" applyNumberFormat="1" applyFont="1" applyBorder="1" applyAlignment="1">
      <alignment horizontal="center" vertical="center"/>
    </xf>
    <xf numFmtId="169" fontId="3" fillId="0" borderId="0" xfId="0" applyNumberFormat="1" applyFont="1" applyBorder="1" applyAlignment="1">
      <alignment horizontal="center" vertical="center"/>
    </xf>
    <xf numFmtId="169" fontId="5" fillId="0" borderId="0" xfId="0" applyNumberFormat="1" applyFont="1" applyBorder="1" applyAlignment="1">
      <alignment horizontal="center" vertical="center"/>
    </xf>
    <xf numFmtId="43" fontId="5" fillId="0" borderId="0" xfId="1" applyNumberFormat="1" applyFont="1" applyBorder="1" applyAlignment="1">
      <alignment horizontal="center"/>
    </xf>
    <xf numFmtId="164" fontId="17" fillId="0" borderId="6" xfId="1" applyNumberFormat="1" applyFont="1" applyBorder="1" applyAlignment="1">
      <alignment horizontal="center"/>
    </xf>
    <xf numFmtId="168" fontId="17" fillId="0" borderId="18" xfId="1" applyNumberFormat="1" applyFont="1" applyBorder="1" applyAlignment="1">
      <alignment horizontal="center"/>
    </xf>
    <xf numFmtId="8" fontId="0" fillId="0" borderId="8" xfId="0" applyNumberFormat="1" applyBorder="1" applyAlignment="1">
      <alignment horizontal="center"/>
    </xf>
    <xf numFmtId="3" fontId="0" fillId="0" borderId="0" xfId="0" applyNumberFormat="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3" fontId="2" fillId="0" borderId="2" xfId="0" applyNumberFormat="1" applyFont="1" applyBorder="1" applyAlignment="1">
      <alignment horizontal="center"/>
    </xf>
    <xf numFmtId="0" fontId="2" fillId="0" borderId="3" xfId="0" applyFont="1" applyBorder="1" applyAlignment="1">
      <alignment horizontal="center"/>
    </xf>
    <xf numFmtId="3" fontId="2" fillId="0" borderId="0" xfId="0" applyNumberFormat="1" applyFont="1" applyBorder="1" applyAlignment="1">
      <alignment horizontal="center"/>
    </xf>
    <xf numFmtId="0" fontId="2" fillId="0" borderId="13" xfId="0" applyFont="1" applyBorder="1" applyAlignment="1">
      <alignment horizontal="center"/>
    </xf>
    <xf numFmtId="0" fontId="7" fillId="0" borderId="0" xfId="0" applyFont="1" applyAlignment="1">
      <alignment horizontal="left"/>
    </xf>
    <xf numFmtId="0" fontId="7" fillId="0" borderId="0" xfId="0" applyFont="1" applyAlignment="1">
      <alignment horizontal="center"/>
    </xf>
    <xf numFmtId="0" fontId="5" fillId="0" borderId="0" xfId="0" applyFont="1" applyAlignment="1">
      <alignment horizontal="left"/>
    </xf>
    <xf numFmtId="0" fontId="25" fillId="0" borderId="0" xfId="0" applyFont="1"/>
    <xf numFmtId="166" fontId="5" fillId="0" borderId="0" xfId="0" applyNumberFormat="1" applyFont="1" applyBorder="1"/>
    <xf numFmtId="0" fontId="5" fillId="0" borderId="0" xfId="0" applyFont="1" applyBorder="1" applyAlignment="1">
      <alignment horizontal="center" wrapText="1"/>
    </xf>
    <xf numFmtId="0" fontId="7" fillId="0" borderId="0" xfId="0" applyFont="1" applyBorder="1" applyAlignment="1">
      <alignment horizontal="center"/>
    </xf>
    <xf numFmtId="0" fontId="5" fillId="0" borderId="5" xfId="0" applyFont="1" applyBorder="1" applyAlignment="1">
      <alignment horizontal="center"/>
    </xf>
    <xf numFmtId="0" fontId="5" fillId="0" borderId="18" xfId="0" applyFont="1" applyBorder="1" applyAlignment="1">
      <alignment horizontal="center"/>
    </xf>
    <xf numFmtId="0" fontId="5" fillId="0" borderId="0" xfId="0" applyFont="1" applyAlignment="1">
      <alignment horizontal="left" vertical="top"/>
    </xf>
    <xf numFmtId="0" fontId="5" fillId="0" borderId="0" xfId="0" applyFont="1" applyAlignment="1">
      <alignment horizontal="left" wrapText="1"/>
    </xf>
    <xf numFmtId="2" fontId="5" fillId="0" borderId="2" xfId="0" applyNumberFormat="1" applyFont="1" applyBorder="1" applyAlignment="1">
      <alignment horizontal="center"/>
    </xf>
    <xf numFmtId="0" fontId="28" fillId="0" borderId="0" xfId="0" applyFont="1" applyAlignment="1">
      <alignment horizontal="left" vertical="top" wrapText="1"/>
    </xf>
    <xf numFmtId="0" fontId="28" fillId="0" borderId="0" xfId="0" applyFont="1"/>
    <xf numFmtId="1" fontId="3" fillId="0" borderId="5" xfId="1" applyNumberFormat="1" applyFont="1" applyBorder="1" applyAlignment="1">
      <alignment horizontal="center"/>
    </xf>
    <xf numFmtId="164" fontId="3" fillId="0" borderId="19" xfId="1" applyNumberFormat="1" applyFont="1" applyBorder="1" applyAlignment="1">
      <alignment horizontal="center" wrapText="1"/>
    </xf>
    <xf numFmtId="164" fontId="3" fillId="0" borderId="7" xfId="1" applyNumberFormat="1" applyFont="1" applyBorder="1" applyAlignment="1">
      <alignment horizontal="center" wrapText="1"/>
    </xf>
    <xf numFmtId="164" fontId="10" fillId="0" borderId="0" xfId="1" applyNumberFormat="1" applyFont="1" applyAlignment="1">
      <alignment horizontal="left"/>
    </xf>
    <xf numFmtId="0" fontId="5" fillId="0" borderId="5" xfId="0" applyFont="1" applyBorder="1" applyAlignment="1">
      <alignment horizontal="center"/>
    </xf>
    <xf numFmtId="0" fontId="5" fillId="0" borderId="0" xfId="0" applyFont="1" applyAlignment="1">
      <alignment horizontal="left" vertical="top"/>
    </xf>
    <xf numFmtId="0" fontId="5" fillId="0" borderId="0" xfId="0" applyFont="1" applyAlignment="1">
      <alignment horizontal="left" wrapText="1"/>
    </xf>
    <xf numFmtId="2" fontId="5" fillId="0" borderId="35" xfId="0" applyNumberFormat="1" applyFont="1" applyBorder="1" applyAlignment="1">
      <alignment horizontal="center" vertical="top"/>
    </xf>
    <xf numFmtId="2" fontId="5" fillId="0" borderId="36" xfId="0" applyNumberFormat="1" applyFont="1" applyBorder="1" applyAlignment="1">
      <alignment horizontal="center" vertical="top"/>
    </xf>
    <xf numFmtId="2" fontId="5" fillId="0" borderId="37" xfId="0" applyNumberFormat="1" applyFont="1" applyBorder="1" applyAlignment="1">
      <alignment horizontal="center" vertical="top"/>
    </xf>
    <xf numFmtId="0" fontId="5" fillId="0" borderId="15" xfId="0" applyFont="1" applyBorder="1" applyAlignment="1">
      <alignment horizontal="center" vertical="top"/>
    </xf>
    <xf numFmtId="164" fontId="10" fillId="0" borderId="0" xfId="1" applyNumberFormat="1" applyFont="1" applyAlignment="1"/>
    <xf numFmtId="164" fontId="3" fillId="0" borderId="7" xfId="1" applyNumberFormat="1" applyFont="1" applyBorder="1" applyAlignment="1">
      <alignment wrapText="1"/>
    </xf>
    <xf numFmtId="164" fontId="6" fillId="0" borderId="7" xfId="1" applyNumberFormat="1" applyFont="1" applyBorder="1" applyAlignment="1">
      <alignment wrapText="1"/>
    </xf>
    <xf numFmtId="164" fontId="10" fillId="0" borderId="12" xfId="1" applyNumberFormat="1" applyFont="1" applyBorder="1" applyAlignment="1"/>
    <xf numFmtId="164" fontId="3" fillId="0" borderId="9" xfId="1" applyNumberFormat="1" applyFont="1" applyBorder="1" applyAlignment="1"/>
    <xf numFmtId="164" fontId="10" fillId="0" borderId="9" xfId="1" applyNumberFormat="1" applyFont="1" applyBorder="1" applyAlignment="1"/>
    <xf numFmtId="0" fontId="12" fillId="0" borderId="9" xfId="0" applyFont="1" applyBorder="1" applyAlignment="1">
      <alignment wrapText="1"/>
    </xf>
    <xf numFmtId="164" fontId="3" fillId="0" borderId="16" xfId="1" applyNumberFormat="1" applyFont="1" applyBorder="1" applyAlignment="1"/>
    <xf numFmtId="164" fontId="10" fillId="0" borderId="7" xfId="1" applyNumberFormat="1" applyFont="1" applyBorder="1" applyAlignment="1"/>
    <xf numFmtId="164" fontId="10" fillId="0" borderId="9" xfId="1" applyNumberFormat="1" applyFont="1" applyBorder="1" applyAlignment="1">
      <alignment vertical="center"/>
    </xf>
    <xf numFmtId="164" fontId="10" fillId="0" borderId="9" xfId="1" applyNumberFormat="1" applyFont="1" applyFill="1" applyBorder="1" applyAlignment="1"/>
    <xf numFmtId="1" fontId="3" fillId="0" borderId="9" xfId="0" applyNumberFormat="1" applyFont="1" applyBorder="1"/>
    <xf numFmtId="43" fontId="10" fillId="0" borderId="6" xfId="1" applyNumberFormat="1" applyFont="1" applyBorder="1" applyAlignment="1">
      <alignment horizontal="center" wrapText="1"/>
    </xf>
    <xf numFmtId="164" fontId="10" fillId="0" borderId="6" xfId="1" applyNumberFormat="1" applyFont="1" applyBorder="1" applyAlignment="1">
      <alignment wrapText="1"/>
    </xf>
    <xf numFmtId="43" fontId="10" fillId="0" borderId="0" xfId="1" applyNumberFormat="1" applyFont="1" applyBorder="1" applyAlignment="1">
      <alignment horizontal="center" wrapText="1"/>
    </xf>
    <xf numFmtId="164" fontId="10" fillId="0" borderId="0" xfId="1" applyNumberFormat="1" applyFont="1" applyBorder="1" applyAlignment="1">
      <alignment wrapText="1"/>
    </xf>
    <xf numFmtId="3" fontId="10" fillId="0" borderId="0" xfId="0" applyNumberFormat="1" applyFont="1" applyAlignment="1"/>
    <xf numFmtId="3" fontId="10" fillId="0" borderId="0" xfId="0" applyNumberFormat="1" applyFont="1"/>
    <xf numFmtId="0" fontId="7" fillId="0" borderId="1" xfId="0" applyFont="1" applyBorder="1" applyAlignment="1">
      <alignment horizontal="center"/>
    </xf>
    <xf numFmtId="0" fontId="7" fillId="0" borderId="2" xfId="0" applyFont="1" applyBorder="1" applyAlignment="1">
      <alignment horizontal="center"/>
    </xf>
    <xf numFmtId="0" fontId="7" fillId="0" borderId="8" xfId="0" applyFont="1" applyBorder="1"/>
    <xf numFmtId="0" fontId="7" fillId="0" borderId="13" xfId="0" applyFont="1" applyBorder="1"/>
    <xf numFmtId="0" fontId="7" fillId="0" borderId="14" xfId="0" applyFont="1" applyBorder="1"/>
    <xf numFmtId="0" fontId="7" fillId="0" borderId="15" xfId="0" applyFont="1" applyBorder="1"/>
    <xf numFmtId="0" fontId="5" fillId="0" borderId="0" xfId="0" applyFont="1" applyAlignment="1">
      <alignment horizontal="left" wrapText="1"/>
    </xf>
    <xf numFmtId="0" fontId="5" fillId="0" borderId="0" xfId="0" applyFont="1" applyAlignment="1">
      <alignment horizontal="left" vertical="top"/>
    </xf>
    <xf numFmtId="0" fontId="5" fillId="0" borderId="24" xfId="0" applyFont="1" applyBorder="1" applyAlignment="1">
      <alignment horizontal="center"/>
    </xf>
    <xf numFmtId="2" fontId="5" fillId="0" borderId="29" xfId="0" applyNumberFormat="1" applyFont="1" applyBorder="1" applyAlignment="1">
      <alignment horizontal="center"/>
    </xf>
    <xf numFmtId="2" fontId="5" fillId="2" borderId="29" xfId="2" applyNumberFormat="1" applyFont="1" applyFill="1" applyBorder="1" applyAlignment="1" applyProtection="1">
      <alignment horizontal="center" vertical="center"/>
      <protection hidden="1"/>
    </xf>
    <xf numFmtId="0" fontId="5" fillId="0" borderId="40" xfId="0" applyFont="1" applyBorder="1" applyAlignment="1">
      <alignment horizontal="center"/>
    </xf>
    <xf numFmtId="0" fontId="5" fillId="0" borderId="7" xfId="0" applyFont="1" applyBorder="1" applyAlignment="1">
      <alignment horizontal="center"/>
    </xf>
    <xf numFmtId="3" fontId="5" fillId="2" borderId="11" xfId="2" applyNumberFormat="1" applyFont="1" applyFill="1" applyBorder="1" applyAlignment="1" applyProtection="1">
      <alignment horizontal="center" vertical="center"/>
      <protection hidden="1"/>
    </xf>
    <xf numFmtId="3" fontId="5" fillId="0" borderId="7" xfId="0" applyNumberFormat="1" applyFont="1" applyBorder="1" applyAlignment="1">
      <alignment horizontal="center" vertical="top"/>
    </xf>
    <xf numFmtId="3" fontId="5" fillId="2" borderId="7" xfId="2" applyNumberFormat="1" applyFont="1" applyFill="1" applyBorder="1" applyAlignment="1" applyProtection="1">
      <alignment horizontal="center" vertical="center"/>
      <protection hidden="1"/>
    </xf>
    <xf numFmtId="0" fontId="7" fillId="0" borderId="0" xfId="0" applyFont="1" applyAlignment="1">
      <alignment horizontal="center"/>
    </xf>
    <xf numFmtId="0" fontId="7" fillId="0" borderId="0" xfId="0" applyFont="1" applyAlignment="1">
      <alignment horizontal="center"/>
    </xf>
    <xf numFmtId="0" fontId="5" fillId="0" borderId="0" xfId="0" applyFont="1" applyAlignment="1">
      <alignment horizontal="left"/>
    </xf>
    <xf numFmtId="2" fontId="5" fillId="0" borderId="2" xfId="0" applyNumberFormat="1" applyFont="1" applyBorder="1" applyAlignment="1">
      <alignment horizontal="center"/>
    </xf>
    <xf numFmtId="0" fontId="5" fillId="0" borderId="0" xfId="0" applyFont="1" applyAlignment="1">
      <alignment horizontal="left" wrapText="1"/>
    </xf>
    <xf numFmtId="0" fontId="5" fillId="0" borderId="0" xfId="0" applyFont="1" applyAlignment="1">
      <alignment horizontal="left" vertical="top"/>
    </xf>
    <xf numFmtId="0" fontId="5" fillId="0" borderId="18" xfId="0" applyFont="1" applyBorder="1" applyAlignment="1">
      <alignment horizontal="center"/>
    </xf>
    <xf numFmtId="0" fontId="7" fillId="0" borderId="8" xfId="0" applyFont="1" applyBorder="1" applyAlignment="1">
      <alignment horizontal="center" vertical="center"/>
    </xf>
    <xf numFmtId="0" fontId="7" fillId="0" borderId="0" xfId="0" applyFont="1" applyBorder="1" applyAlignment="1">
      <alignment horizontal="center" vertical="center"/>
    </xf>
    <xf numFmtId="3" fontId="7" fillId="0" borderId="0" xfId="0" applyNumberFormat="1" applyFont="1" applyBorder="1" applyAlignment="1">
      <alignment horizontal="center" vertical="center"/>
    </xf>
    <xf numFmtId="3" fontId="7" fillId="0" borderId="8" xfId="0" applyNumberFormat="1" applyFont="1" applyBorder="1" applyAlignment="1">
      <alignment horizontal="center" vertical="center"/>
    </xf>
    <xf numFmtId="3" fontId="7" fillId="0" borderId="7" xfId="0" applyNumberFormat="1" applyFont="1" applyBorder="1" applyAlignment="1">
      <alignment horizontal="center" vertical="center"/>
    </xf>
    <xf numFmtId="2" fontId="7" fillId="0" borderId="0" xfId="0" applyNumberFormat="1" applyFont="1" applyBorder="1" applyAlignment="1">
      <alignment horizontal="center" vertical="center"/>
    </xf>
    <xf numFmtId="2" fontId="7" fillId="0" borderId="8" xfId="0" applyNumberFormat="1" applyFont="1" applyBorder="1" applyAlignment="1">
      <alignment horizontal="center" vertical="center"/>
    </xf>
    <xf numFmtId="2" fontId="7" fillId="0" borderId="12" xfId="0" applyNumberFormat="1" applyFont="1" applyBorder="1" applyAlignment="1">
      <alignment horizontal="center" vertical="center"/>
    </xf>
    <xf numFmtId="0" fontId="7" fillId="0" borderId="12" xfId="0" applyFont="1" applyBorder="1" applyAlignment="1">
      <alignment horizontal="center" vertical="center"/>
    </xf>
    <xf numFmtId="3" fontId="29" fillId="0" borderId="6" xfId="0" applyNumberFormat="1" applyFont="1" applyBorder="1" applyAlignment="1">
      <alignment horizontal="center" vertical="center"/>
    </xf>
    <xf numFmtId="0" fontId="7" fillId="0" borderId="8" xfId="0" applyFont="1" applyBorder="1" applyAlignment="1">
      <alignment horizontal="center" vertical="top"/>
    </xf>
    <xf numFmtId="0" fontId="7" fillId="0" borderId="0" xfId="0" applyFont="1" applyBorder="1" applyAlignment="1">
      <alignment horizontal="center" vertical="top"/>
    </xf>
    <xf numFmtId="0" fontId="7" fillId="0" borderId="7" xfId="0" applyFont="1" applyBorder="1" applyAlignment="1">
      <alignment horizontal="center" vertical="top"/>
    </xf>
    <xf numFmtId="2" fontId="7" fillId="0" borderId="0" xfId="0" applyNumberFormat="1" applyFont="1" applyBorder="1" applyAlignment="1">
      <alignment horizontal="center" vertical="top"/>
    </xf>
    <xf numFmtId="2" fontId="7" fillId="0" borderId="8" xfId="0" applyNumberFormat="1" applyFont="1" applyBorder="1" applyAlignment="1">
      <alignment horizontal="center" vertical="top"/>
    </xf>
    <xf numFmtId="2" fontId="7" fillId="0" borderId="12" xfId="0" applyNumberFormat="1" applyFont="1" applyBorder="1" applyAlignment="1">
      <alignment horizontal="center" vertical="top"/>
    </xf>
    <xf numFmtId="0" fontId="7" fillId="0" borderId="12" xfId="0" applyFont="1" applyBorder="1" applyAlignment="1">
      <alignment horizontal="center" vertical="top"/>
    </xf>
    <xf numFmtId="0" fontId="7" fillId="0" borderId="4" xfId="0" applyFont="1" applyBorder="1" applyAlignment="1">
      <alignment horizontal="center" vertical="top"/>
    </xf>
    <xf numFmtId="0" fontId="7" fillId="0" borderId="18" xfId="0" applyFont="1" applyBorder="1" applyAlignment="1">
      <alignment horizontal="center" vertical="top"/>
    </xf>
    <xf numFmtId="1" fontId="7" fillId="0" borderId="5" xfId="0" applyNumberFormat="1" applyFont="1" applyBorder="1" applyAlignment="1">
      <alignment horizontal="center"/>
    </xf>
    <xf numFmtId="1" fontId="7" fillId="0" borderId="6" xfId="0" applyNumberFormat="1" applyFont="1" applyBorder="1" applyAlignment="1">
      <alignment horizontal="center"/>
    </xf>
    <xf numFmtId="1" fontId="7" fillId="0" borderId="6" xfId="0" applyNumberFormat="1" applyFont="1" applyBorder="1" applyAlignment="1">
      <alignment horizontal="center" vertical="top"/>
    </xf>
    <xf numFmtId="2" fontId="7" fillId="0" borderId="5" xfId="0" applyNumberFormat="1" applyFont="1" applyBorder="1" applyAlignment="1">
      <alignment horizontal="center" vertical="top"/>
    </xf>
    <xf numFmtId="2" fontId="7" fillId="0" borderId="4" xfId="0" applyNumberFormat="1" applyFont="1" applyBorder="1" applyAlignment="1">
      <alignment horizontal="center" vertical="top"/>
    </xf>
    <xf numFmtId="2" fontId="7" fillId="0" borderId="18" xfId="0" applyNumberFormat="1" applyFont="1" applyBorder="1" applyAlignment="1">
      <alignment horizontal="center" vertical="top"/>
    </xf>
    <xf numFmtId="1" fontId="7" fillId="0" borderId="0" xfId="0" applyNumberFormat="1" applyFont="1" applyBorder="1" applyAlignment="1">
      <alignment horizontal="center"/>
    </xf>
    <xf numFmtId="1" fontId="7" fillId="0" borderId="8" xfId="0" applyNumberFormat="1" applyFont="1" applyBorder="1" applyAlignment="1">
      <alignment horizontal="center" vertical="top"/>
    </xf>
    <xf numFmtId="1" fontId="7" fillId="0" borderId="7" xfId="0" applyNumberFormat="1" applyFont="1" applyBorder="1" applyAlignment="1">
      <alignment horizontal="center" vertical="top"/>
    </xf>
    <xf numFmtId="1" fontId="7" fillId="0" borderId="4" xfId="0" applyNumberFormat="1" applyFont="1" applyBorder="1" applyAlignment="1">
      <alignment horizontal="center" vertical="top"/>
    </xf>
    <xf numFmtId="0" fontId="7" fillId="0" borderId="0" xfId="0" applyFont="1" applyBorder="1" applyAlignment="1">
      <alignment horizontal="center"/>
    </xf>
    <xf numFmtId="1" fontId="7" fillId="0" borderId="5" xfId="0" applyNumberFormat="1" applyFont="1" applyBorder="1" applyAlignment="1">
      <alignment horizontal="left"/>
    </xf>
    <xf numFmtId="0" fontId="7" fillId="0" borderId="0" xfId="0" applyFont="1" applyAlignment="1">
      <alignment horizontal="center"/>
    </xf>
    <xf numFmtId="0" fontId="5" fillId="0" borderId="0" xfId="0" applyFont="1" applyAlignment="1">
      <alignment horizontal="left"/>
    </xf>
    <xf numFmtId="0" fontId="5" fillId="0" borderId="0" xfId="0" applyFont="1" applyAlignment="1">
      <alignment horizontal="left" vertical="top"/>
    </xf>
    <xf numFmtId="0" fontId="7" fillId="0" borderId="0" xfId="0" applyFont="1" applyBorder="1" applyAlignment="1">
      <alignment horizontal="center"/>
    </xf>
    <xf numFmtId="0" fontId="5" fillId="0" borderId="5" xfId="0" applyFont="1" applyBorder="1" applyAlignment="1">
      <alignment horizontal="center"/>
    </xf>
    <xf numFmtId="0" fontId="5" fillId="2" borderId="0" xfId="0" applyFont="1" applyFill="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3" fontId="7" fillId="0" borderId="21" xfId="0" applyNumberFormat="1" applyFont="1" applyBorder="1" applyAlignment="1">
      <alignment horizontal="center" vertical="center"/>
    </xf>
    <xf numFmtId="3" fontId="7" fillId="0" borderId="20" xfId="0" applyNumberFormat="1" applyFont="1" applyBorder="1" applyAlignment="1">
      <alignment horizontal="center" vertical="center"/>
    </xf>
    <xf numFmtId="3" fontId="7" fillId="0" borderId="17" xfId="0" applyNumberFormat="1" applyFont="1" applyBorder="1" applyAlignment="1">
      <alignment horizontal="center" vertical="center"/>
    </xf>
    <xf numFmtId="0" fontId="7" fillId="0" borderId="17" xfId="0" applyFont="1" applyBorder="1" applyAlignment="1">
      <alignment horizontal="center" vertical="center"/>
    </xf>
    <xf numFmtId="2" fontId="7" fillId="0" borderId="21" xfId="0" applyNumberFormat="1" applyFont="1" applyBorder="1" applyAlignment="1">
      <alignment horizontal="center" vertical="center"/>
    </xf>
    <xf numFmtId="2" fontId="7" fillId="0" borderId="20" xfId="0" applyNumberFormat="1" applyFont="1" applyBorder="1" applyAlignment="1">
      <alignment horizontal="center" vertical="center"/>
    </xf>
    <xf numFmtId="2" fontId="7" fillId="0" borderId="38" xfId="0" applyNumberFormat="1" applyFont="1" applyBorder="1" applyAlignment="1">
      <alignment horizontal="center" vertical="center"/>
    </xf>
    <xf numFmtId="0" fontId="0" fillId="0" borderId="21" xfId="0" applyBorder="1" applyAlignment="1">
      <alignment horizontal="left" vertical="top"/>
    </xf>
    <xf numFmtId="0" fontId="0" fillId="0" borderId="46" xfId="0" applyBorder="1" applyAlignment="1">
      <alignment horizontal="left" vertical="top"/>
    </xf>
    <xf numFmtId="0" fontId="0" fillId="0" borderId="47" xfId="0" applyBorder="1" applyAlignment="1">
      <alignment horizontal="left" vertical="top"/>
    </xf>
    <xf numFmtId="0" fontId="0" fillId="0" borderId="48" xfId="0" applyBorder="1" applyAlignment="1">
      <alignment horizontal="left" vertical="top"/>
    </xf>
    <xf numFmtId="0" fontId="0" fillId="0" borderId="49" xfId="0" applyBorder="1" applyAlignment="1">
      <alignment horizontal="left" vertical="top"/>
    </xf>
    <xf numFmtId="0" fontId="0" fillId="0" borderId="50" xfId="0" applyBorder="1" applyAlignment="1">
      <alignment horizontal="left" vertical="top"/>
    </xf>
    <xf numFmtId="0" fontId="0" fillId="0" borderId="30" xfId="0" applyBorder="1" applyAlignment="1">
      <alignment horizontal="left" vertical="top"/>
    </xf>
    <xf numFmtId="0" fontId="7" fillId="0" borderId="8" xfId="0" applyFont="1" applyBorder="1" applyAlignment="1">
      <alignment horizontal="left" vertical="top"/>
    </xf>
    <xf numFmtId="1" fontId="7" fillId="0" borderId="14" xfId="0" applyNumberFormat="1" applyFont="1" applyBorder="1" applyAlignment="1">
      <alignment horizontal="left"/>
    </xf>
    <xf numFmtId="1" fontId="7" fillId="0" borderId="13" xfId="0" applyNumberFormat="1" applyFont="1" applyBorder="1" applyAlignment="1">
      <alignment horizontal="center" vertical="top"/>
    </xf>
    <xf numFmtId="0" fontId="5" fillId="0" borderId="12" xfId="0" applyFont="1" applyBorder="1" applyAlignment="1">
      <alignment horizontal="center" wrapText="1"/>
    </xf>
    <xf numFmtId="0" fontId="5" fillId="0" borderId="15" xfId="0" applyFont="1" applyBorder="1" applyAlignment="1">
      <alignment horizontal="center" wrapText="1"/>
    </xf>
    <xf numFmtId="0" fontId="7" fillId="0" borderId="9" xfId="0" applyFont="1" applyBorder="1" applyAlignment="1">
      <alignment horizontal="center" vertical="top"/>
    </xf>
    <xf numFmtId="1" fontId="7" fillId="0" borderId="9" xfId="0" applyNumberFormat="1" applyFont="1" applyBorder="1" applyAlignment="1">
      <alignment horizontal="center"/>
    </xf>
    <xf numFmtId="1" fontId="7" fillId="0" borderId="9" xfId="0" applyNumberFormat="1" applyFont="1" applyBorder="1" applyAlignment="1">
      <alignment horizontal="center" vertical="top"/>
    </xf>
    <xf numFmtId="2" fontId="7" fillId="0" borderId="9" xfId="0" applyNumberFormat="1" applyFont="1" applyBorder="1" applyAlignment="1">
      <alignment horizontal="center" vertical="top"/>
    </xf>
    <xf numFmtId="0" fontId="7" fillId="0" borderId="9" xfId="0" applyFont="1" applyBorder="1" applyAlignment="1">
      <alignment horizontal="center"/>
    </xf>
    <xf numFmtId="0" fontId="7" fillId="0" borderId="9" xfId="0" applyFont="1" applyBorder="1" applyAlignment="1">
      <alignment horizontal="center"/>
    </xf>
    <xf numFmtId="1" fontId="7" fillId="0" borderId="9" xfId="0" applyNumberFormat="1" applyFont="1" applyBorder="1" applyAlignment="1">
      <alignment horizontal="left"/>
    </xf>
    <xf numFmtId="0" fontId="5" fillId="0" borderId="5" xfId="0" applyFont="1" applyBorder="1" applyAlignment="1">
      <alignment horizontal="left"/>
    </xf>
    <xf numFmtId="0" fontId="5" fillId="0" borderId="0" xfId="0" applyFont="1" applyBorder="1" applyAlignment="1">
      <alignment horizontal="left"/>
    </xf>
    <xf numFmtId="0" fontId="5" fillId="0" borderId="14" xfId="0" applyFont="1" applyBorder="1" applyAlignment="1">
      <alignment horizontal="left"/>
    </xf>
    <xf numFmtId="0" fontId="7" fillId="0" borderId="0" xfId="0" applyFont="1" applyBorder="1" applyAlignment="1">
      <alignment horizontal="left" vertical="center"/>
    </xf>
    <xf numFmtId="0" fontId="7" fillId="0" borderId="21" xfId="0" applyFont="1" applyBorder="1" applyAlignment="1">
      <alignment horizontal="left" vertical="center"/>
    </xf>
    <xf numFmtId="0" fontId="7" fillId="0" borderId="0" xfId="0" applyFont="1" applyBorder="1" applyAlignment="1">
      <alignment horizontal="left"/>
    </xf>
    <xf numFmtId="1" fontId="7" fillId="0" borderId="0" xfId="0" applyNumberFormat="1" applyFont="1" applyBorder="1" applyAlignment="1">
      <alignment horizontal="left"/>
    </xf>
    <xf numFmtId="0" fontId="7" fillId="0" borderId="9" xfId="0" applyFont="1" applyBorder="1" applyAlignment="1">
      <alignment horizontal="left"/>
    </xf>
    <xf numFmtId="43" fontId="0" fillId="0" borderId="0" xfId="1" applyFont="1" applyAlignment="1">
      <alignment horizontal="left"/>
    </xf>
    <xf numFmtId="0" fontId="7" fillId="0" borderId="31" xfId="0" applyFont="1" applyBorder="1" applyAlignment="1">
      <alignment horizontal="center" vertical="top"/>
    </xf>
    <xf numFmtId="1" fontId="7" fillId="0" borderId="31" xfId="0" applyNumberFormat="1" applyFont="1" applyBorder="1" applyAlignment="1">
      <alignment horizontal="center"/>
    </xf>
    <xf numFmtId="1" fontId="7" fillId="0" borderId="31" xfId="0" applyNumberFormat="1" applyFont="1" applyBorder="1" applyAlignment="1">
      <alignment horizontal="left"/>
    </xf>
    <xf numFmtId="1" fontId="7" fillId="0" borderId="31" xfId="0" applyNumberFormat="1" applyFont="1" applyBorder="1" applyAlignment="1">
      <alignment horizontal="center" vertical="top"/>
    </xf>
    <xf numFmtId="2" fontId="7" fillId="0" borderId="31" xfId="0" applyNumberFormat="1" applyFont="1" applyBorder="1" applyAlignment="1">
      <alignment horizontal="center" vertical="top"/>
    </xf>
    <xf numFmtId="166" fontId="7" fillId="0" borderId="9" xfId="0" applyNumberFormat="1" applyFont="1" applyBorder="1" applyAlignment="1">
      <alignment horizontal="center"/>
    </xf>
    <xf numFmtId="170" fontId="7" fillId="0" borderId="9" xfId="0" applyNumberFormat="1" applyFont="1" applyBorder="1" applyAlignment="1">
      <alignment horizontal="center"/>
    </xf>
    <xf numFmtId="170" fontId="7" fillId="0" borderId="31" xfId="0" applyNumberFormat="1" applyFont="1" applyBorder="1" applyAlignment="1">
      <alignment horizontal="center"/>
    </xf>
    <xf numFmtId="170" fontId="7" fillId="0" borderId="9" xfId="0" applyNumberFormat="1" applyFont="1" applyBorder="1" applyAlignment="1">
      <alignment horizontal="left"/>
    </xf>
    <xf numFmtId="0" fontId="2" fillId="0" borderId="0" xfId="0" applyFont="1" applyAlignment="1">
      <alignment horizontal="left" vertical="top"/>
    </xf>
    <xf numFmtId="1" fontId="5" fillId="0" borderId="0" xfId="0" applyNumberFormat="1" applyFont="1" applyAlignment="1"/>
    <xf numFmtId="4" fontId="5" fillId="0" borderId="0" xfId="0" applyNumberFormat="1" applyFont="1" applyAlignment="1">
      <alignment horizontal="left"/>
    </xf>
    <xf numFmtId="164" fontId="5" fillId="0" borderId="0" xfId="1" applyNumberFormat="1" applyFont="1" applyBorder="1" applyAlignment="1">
      <alignment horizontal="left"/>
    </xf>
    <xf numFmtId="0" fontId="5" fillId="0" borderId="0" xfId="0" applyFont="1" applyAlignment="1"/>
    <xf numFmtId="1" fontId="5" fillId="0" borderId="0" xfId="0" applyNumberFormat="1" applyFont="1"/>
    <xf numFmtId="1" fontId="5" fillId="0" borderId="0" xfId="0" applyNumberFormat="1" applyFont="1" applyAlignment="1">
      <alignment horizontal="center"/>
    </xf>
    <xf numFmtId="43" fontId="6" fillId="0" borderId="9" xfId="1" applyFont="1" applyBorder="1" applyAlignment="1">
      <alignment horizontal="center"/>
    </xf>
    <xf numFmtId="43" fontId="6" fillId="0" borderId="0" xfId="1" applyFont="1" applyBorder="1" applyAlignment="1">
      <alignment horizontal="center"/>
    </xf>
    <xf numFmtId="1" fontId="5" fillId="0" borderId="0" xfId="1" applyNumberFormat="1" applyFont="1" applyBorder="1" applyAlignment="1">
      <alignment horizontal="center"/>
    </xf>
    <xf numFmtId="0" fontId="5" fillId="0" borderId="1" xfId="0" applyFont="1" applyBorder="1" applyAlignment="1">
      <alignment horizontal="center"/>
    </xf>
    <xf numFmtId="169" fontId="5" fillId="0" borderId="2" xfId="1" applyNumberFormat="1" applyFont="1" applyBorder="1" applyAlignment="1">
      <alignment horizontal="center"/>
    </xf>
    <xf numFmtId="169" fontId="5" fillId="0" borderId="19" xfId="1" applyNumberFormat="1" applyFont="1" applyBorder="1" applyAlignment="1">
      <alignment horizontal="center"/>
    </xf>
    <xf numFmtId="164" fontId="5" fillId="0" borderId="2" xfId="1" applyNumberFormat="1" applyFont="1" applyBorder="1" applyAlignment="1">
      <alignment horizontal="center"/>
    </xf>
    <xf numFmtId="43" fontId="5" fillId="0" borderId="2" xfId="1" applyNumberFormat="1" applyFont="1" applyBorder="1" applyAlignment="1">
      <alignment horizontal="center"/>
    </xf>
    <xf numFmtId="0" fontId="5" fillId="0" borderId="3" xfId="0" applyFont="1" applyBorder="1" applyAlignment="1">
      <alignment horizontal="center"/>
    </xf>
    <xf numFmtId="0" fontId="5" fillId="0" borderId="0" xfId="0" applyFont="1" applyBorder="1" applyAlignment="1"/>
    <xf numFmtId="169" fontId="5" fillId="0" borderId="7" xfId="1" applyNumberFormat="1" applyFont="1" applyBorder="1" applyAlignment="1">
      <alignment horizontal="center"/>
    </xf>
    <xf numFmtId="169" fontId="5" fillId="0" borderId="15" xfId="1" applyNumberFormat="1" applyFont="1" applyBorder="1" applyAlignment="1">
      <alignment horizontal="center"/>
    </xf>
    <xf numFmtId="169" fontId="5" fillId="0" borderId="14" xfId="1" applyNumberFormat="1" applyFont="1" applyBorder="1" applyAlignment="1">
      <alignment horizontal="center"/>
    </xf>
    <xf numFmtId="164" fontId="5" fillId="0" borderId="14" xfId="1" applyNumberFormat="1" applyFont="1" applyBorder="1" applyAlignment="1">
      <alignment horizontal="center"/>
    </xf>
    <xf numFmtId="0" fontId="5" fillId="0" borderId="19" xfId="0" applyFont="1" applyBorder="1" applyAlignment="1">
      <alignment horizontal="center"/>
    </xf>
    <xf numFmtId="14" fontId="5" fillId="0" borderId="0" xfId="0" applyNumberFormat="1" applyFont="1" applyBorder="1" applyAlignment="1">
      <alignment horizontal="center"/>
    </xf>
    <xf numFmtId="164" fontId="5" fillId="0" borderId="19" xfId="1" applyNumberFormat="1" applyFont="1" applyBorder="1" applyAlignment="1">
      <alignment horizontal="center"/>
    </xf>
    <xf numFmtId="169" fontId="5" fillId="0" borderId="1" xfId="1" applyNumberFormat="1" applyFont="1" applyBorder="1" applyAlignment="1">
      <alignment horizontal="center"/>
    </xf>
    <xf numFmtId="43" fontId="5" fillId="0" borderId="19" xfId="1" applyNumberFormat="1" applyFont="1" applyBorder="1" applyAlignment="1">
      <alignment horizontal="center"/>
    </xf>
    <xf numFmtId="164" fontId="5" fillId="0" borderId="7" xfId="1" applyNumberFormat="1" applyFont="1" applyBorder="1" applyAlignment="1">
      <alignment horizontal="center"/>
    </xf>
    <xf numFmtId="169" fontId="5" fillId="0" borderId="8" xfId="1" applyNumberFormat="1" applyFont="1" applyBorder="1" applyAlignment="1">
      <alignment horizontal="center"/>
    </xf>
    <xf numFmtId="43" fontId="5" fillId="0" borderId="7" xfId="1" applyNumberFormat="1" applyFont="1" applyBorder="1" applyAlignment="1">
      <alignment horizontal="center"/>
    </xf>
    <xf numFmtId="1" fontId="5" fillId="0" borderId="8" xfId="0" applyNumberFormat="1" applyFont="1" applyBorder="1" applyAlignment="1">
      <alignment horizontal="right"/>
    </xf>
    <xf numFmtId="1" fontId="5" fillId="0" borderId="0" xfId="0" applyNumberFormat="1" applyFont="1" applyBorder="1"/>
    <xf numFmtId="1" fontId="5" fillId="0" borderId="7" xfId="0" applyNumberFormat="1" applyFont="1" applyBorder="1"/>
    <xf numFmtId="1" fontId="5" fillId="0" borderId="0" xfId="0" applyNumberFormat="1" applyFont="1" applyBorder="1" applyAlignment="1">
      <alignment horizontal="center"/>
    </xf>
    <xf numFmtId="1" fontId="5" fillId="0" borderId="7" xfId="1" applyNumberFormat="1" applyFont="1" applyBorder="1" applyAlignment="1">
      <alignment horizontal="center"/>
    </xf>
    <xf numFmtId="43" fontId="3" fillId="0" borderId="9" xfId="1" applyFont="1" applyBorder="1" applyAlignment="1">
      <alignment horizontal="center"/>
    </xf>
    <xf numFmtId="43" fontId="3" fillId="0" borderId="0" xfId="1" applyFont="1" applyBorder="1" applyAlignment="1">
      <alignment horizontal="center"/>
    </xf>
    <xf numFmtId="1" fontId="5" fillId="0" borderId="13" xfId="0" applyNumberFormat="1" applyFont="1" applyBorder="1"/>
    <xf numFmtId="1" fontId="5" fillId="0" borderId="16" xfId="1" applyNumberFormat="1" applyFont="1" applyBorder="1" applyAlignment="1">
      <alignment horizontal="center"/>
    </xf>
    <xf numFmtId="1" fontId="5" fillId="0" borderId="14" xfId="1" applyNumberFormat="1" applyFont="1" applyBorder="1" applyAlignment="1">
      <alignment horizontal="center"/>
    </xf>
    <xf numFmtId="1" fontId="5" fillId="0" borderId="16" xfId="0" applyNumberFormat="1" applyFont="1" applyBorder="1"/>
    <xf numFmtId="1" fontId="5" fillId="0" borderId="14" xfId="0" applyNumberFormat="1" applyFont="1" applyBorder="1"/>
    <xf numFmtId="1" fontId="5" fillId="0" borderId="14" xfId="0" applyNumberFormat="1" applyFont="1" applyBorder="1" applyAlignment="1">
      <alignment horizontal="center"/>
    </xf>
    <xf numFmtId="1" fontId="5" fillId="0" borderId="4" xfId="0" applyNumberFormat="1" applyFont="1" applyBorder="1"/>
    <xf numFmtId="1" fontId="5" fillId="0" borderId="5" xfId="0" applyNumberFormat="1" applyFont="1" applyBorder="1"/>
    <xf numFmtId="1" fontId="5" fillId="0" borderId="6" xfId="0" applyNumberFormat="1" applyFont="1" applyBorder="1"/>
    <xf numFmtId="1" fontId="5" fillId="0" borderId="5" xfId="0" applyNumberFormat="1" applyFont="1" applyBorder="1" applyAlignment="1">
      <alignment horizontal="center"/>
    </xf>
    <xf numFmtId="0" fontId="5" fillId="0" borderId="5" xfId="0" applyFont="1" applyBorder="1" applyAlignment="1"/>
    <xf numFmtId="1" fontId="5" fillId="0" borderId="5" xfId="1" applyNumberFormat="1" applyFont="1" applyBorder="1" applyAlignment="1">
      <alignment horizontal="center"/>
    </xf>
    <xf numFmtId="1" fontId="5" fillId="0" borderId="6" xfId="1" applyNumberFormat="1" applyFont="1" applyBorder="1" applyAlignment="1">
      <alignment horizontal="center"/>
    </xf>
    <xf numFmtId="1" fontId="5" fillId="0" borderId="4" xfId="1" applyNumberFormat="1" applyFont="1" applyBorder="1" applyAlignment="1">
      <alignment horizontal="center"/>
    </xf>
    <xf numFmtId="0" fontId="5" fillId="0" borderId="8" xfId="0" applyFont="1" applyBorder="1" applyAlignment="1">
      <alignment horizontal="right"/>
    </xf>
    <xf numFmtId="3" fontId="5" fillId="0" borderId="0" xfId="0" applyNumberFormat="1" applyFont="1" applyBorder="1"/>
    <xf numFmtId="3" fontId="5" fillId="0" borderId="7" xfId="0" applyNumberFormat="1" applyFont="1" applyBorder="1" applyAlignment="1">
      <alignment horizontal="center"/>
    </xf>
    <xf numFmtId="3" fontId="5" fillId="0" borderId="7" xfId="0" applyNumberFormat="1" applyFont="1" applyBorder="1"/>
    <xf numFmtId="164" fontId="5" fillId="0" borderId="8" xfId="1" applyNumberFormat="1" applyFont="1" applyBorder="1" applyAlignment="1">
      <alignment horizontal="center"/>
    </xf>
    <xf numFmtId="164" fontId="5" fillId="0" borderId="7" xfId="1" applyNumberFormat="1" applyFont="1" applyBorder="1" applyAlignment="1">
      <alignment horizontal="center" vertical="center"/>
    </xf>
    <xf numFmtId="164" fontId="5" fillId="0" borderId="0" xfId="0" applyNumberFormat="1" applyFont="1" applyBorder="1" applyAlignment="1">
      <alignment horizontal="center"/>
    </xf>
    <xf numFmtId="164" fontId="5" fillId="0" borderId="0" xfId="0" applyNumberFormat="1" applyFont="1" applyBorder="1"/>
    <xf numFmtId="0" fontId="5" fillId="0" borderId="4" xfId="0" applyFont="1" applyBorder="1" applyAlignment="1">
      <alignment horizontal="right"/>
    </xf>
    <xf numFmtId="3" fontId="5" fillId="0" borderId="5" xfId="0" applyNumberFormat="1" applyFont="1" applyBorder="1"/>
    <xf numFmtId="3" fontId="5" fillId="0" borderId="6" xfId="0" applyNumberFormat="1" applyFont="1" applyBorder="1"/>
    <xf numFmtId="3" fontId="5" fillId="0" borderId="5" xfId="0" applyNumberFormat="1" applyFont="1" applyBorder="1" applyAlignment="1">
      <alignment horizontal="center"/>
    </xf>
    <xf numFmtId="169" fontId="5" fillId="0" borderId="5" xfId="1" applyNumberFormat="1" applyFont="1" applyBorder="1" applyAlignment="1">
      <alignment horizontal="center"/>
    </xf>
    <xf numFmtId="169" fontId="5" fillId="0" borderId="6" xfId="1" applyNumberFormat="1" applyFont="1" applyBorder="1" applyAlignment="1">
      <alignment horizontal="center"/>
    </xf>
    <xf numFmtId="164" fontId="5" fillId="0" borderId="6" xfId="1" applyNumberFormat="1" applyFont="1" applyBorder="1" applyAlignment="1">
      <alignment horizontal="center"/>
    </xf>
    <xf numFmtId="164" fontId="5" fillId="0" borderId="4" xfId="1" applyNumberFormat="1" applyFont="1" applyBorder="1" applyAlignment="1">
      <alignment horizontal="center"/>
    </xf>
    <xf numFmtId="164" fontId="5" fillId="0" borderId="4" xfId="0" applyNumberFormat="1" applyFont="1" applyBorder="1"/>
    <xf numFmtId="164" fontId="5" fillId="0" borderId="6" xfId="0" applyNumberFormat="1" applyFont="1" applyBorder="1"/>
    <xf numFmtId="164" fontId="5" fillId="0" borderId="5" xfId="0" applyNumberFormat="1" applyFont="1" applyBorder="1"/>
    <xf numFmtId="164" fontId="5" fillId="0" borderId="5" xfId="0" applyNumberFormat="1" applyFont="1" applyBorder="1" applyAlignment="1">
      <alignment horizontal="center"/>
    </xf>
    <xf numFmtId="169" fontId="5" fillId="0" borderId="16" xfId="1" applyNumberFormat="1" applyFont="1" applyBorder="1" applyAlignment="1">
      <alignment horizontal="center"/>
    </xf>
    <xf numFmtId="0" fontId="5" fillId="0" borderId="14" xfId="1" applyNumberFormat="1" applyFont="1" applyBorder="1" applyAlignment="1">
      <alignment horizontal="center"/>
    </xf>
    <xf numFmtId="164" fontId="5" fillId="0" borderId="16" xfId="1" applyNumberFormat="1" applyFont="1" applyBorder="1" applyAlignment="1">
      <alignment horizontal="center"/>
    </xf>
    <xf numFmtId="43" fontId="5" fillId="0" borderId="6" xfId="1" applyNumberFormat="1" applyFont="1" applyBorder="1" applyAlignment="1">
      <alignment horizontal="center"/>
    </xf>
    <xf numFmtId="0" fontId="5" fillId="0" borderId="16" xfId="0" applyFont="1" applyBorder="1" applyAlignment="1">
      <alignment horizontal="center"/>
    </xf>
    <xf numFmtId="43" fontId="5" fillId="0" borderId="16" xfId="1" applyNumberFormat="1" applyFont="1" applyBorder="1" applyAlignment="1">
      <alignment horizontal="center"/>
    </xf>
    <xf numFmtId="0" fontId="5" fillId="0" borderId="13" xfId="0" applyFont="1" applyBorder="1" applyAlignment="1">
      <alignment horizontal="center"/>
    </xf>
    <xf numFmtId="0" fontId="5" fillId="0" borderId="0" xfId="0" applyFont="1" applyBorder="1" applyAlignment="1">
      <alignment horizontal="right"/>
    </xf>
    <xf numFmtId="171" fontId="5" fillId="0" borderId="0" xfId="0" applyNumberFormat="1" applyFont="1" applyAlignment="1">
      <alignment horizontal="center" vertical="center"/>
    </xf>
    <xf numFmtId="169" fontId="3" fillId="0" borderId="0" xfId="1" applyNumberFormat="1" applyFont="1" applyAlignment="1">
      <alignment horizontal="center"/>
    </xf>
    <xf numFmtId="169" fontId="3" fillId="0" borderId="0" xfId="1" applyNumberFormat="1" applyFont="1" applyBorder="1" applyAlignment="1">
      <alignment horizontal="center"/>
    </xf>
    <xf numFmtId="43" fontId="3" fillId="0" borderId="0" xfId="1" applyNumberFormat="1" applyFont="1" applyBorder="1" applyAlignment="1">
      <alignment horizontal="center"/>
    </xf>
    <xf numFmtId="169" fontId="5" fillId="0" borderId="0" xfId="0" applyNumberFormat="1" applyFont="1" applyBorder="1"/>
    <xf numFmtId="169" fontId="3" fillId="0" borderId="2" xfId="1" applyNumberFormat="1" applyFont="1" applyBorder="1" applyAlignment="1">
      <alignment horizontal="center"/>
    </xf>
    <xf numFmtId="169" fontId="3" fillId="0" borderId="19" xfId="1" applyNumberFormat="1" applyFont="1" applyBorder="1" applyAlignment="1">
      <alignment horizontal="center" vertical="top" wrapText="1"/>
    </xf>
    <xf numFmtId="169" fontId="3" fillId="0" borderId="19" xfId="1" applyNumberFormat="1" applyFont="1" applyBorder="1" applyAlignment="1">
      <alignment horizontal="center"/>
    </xf>
    <xf numFmtId="169" fontId="3" fillId="0" borderId="3" xfId="1" applyNumberFormat="1" applyFont="1" applyBorder="1" applyAlignment="1">
      <alignment horizontal="center"/>
    </xf>
    <xf numFmtId="164" fontId="3" fillId="0" borderId="2" xfId="1" applyNumberFormat="1" applyFont="1" applyBorder="1" applyAlignment="1"/>
    <xf numFmtId="0" fontId="3" fillId="0" borderId="8" xfId="0" applyFont="1" applyBorder="1"/>
    <xf numFmtId="169" fontId="3" fillId="0" borderId="7" xfId="1" applyNumberFormat="1" applyFont="1" applyBorder="1" applyAlignment="1">
      <alignment horizontal="center" vertical="top" wrapText="1"/>
    </xf>
    <xf numFmtId="0" fontId="3" fillId="0" borderId="7" xfId="1" applyNumberFormat="1" applyFont="1" applyBorder="1" applyAlignment="1">
      <alignment horizontal="center" vertical="center"/>
    </xf>
    <xf numFmtId="0" fontId="3" fillId="0" borderId="12" xfId="1" applyNumberFormat="1" applyFont="1" applyBorder="1" applyAlignment="1">
      <alignment horizontal="center" vertical="center"/>
    </xf>
    <xf numFmtId="1" fontId="3" fillId="0" borderId="12" xfId="1" applyNumberFormat="1" applyFont="1" applyBorder="1" applyAlignment="1">
      <alignment horizontal="center"/>
    </xf>
    <xf numFmtId="1" fontId="3" fillId="0" borderId="7" xfId="1" applyNumberFormat="1" applyFont="1" applyBorder="1" applyAlignment="1">
      <alignment horizontal="center"/>
    </xf>
    <xf numFmtId="169" fontId="3" fillId="0" borderId="7" xfId="1" applyNumberFormat="1" applyFont="1" applyBorder="1" applyAlignment="1">
      <alignment horizontal="center"/>
    </xf>
    <xf numFmtId="0" fontId="3" fillId="0" borderId="13" xfId="0" applyFont="1" applyBorder="1" applyAlignment="1">
      <alignment horizontal="center"/>
    </xf>
    <xf numFmtId="169" fontId="3" fillId="0" borderId="14" xfId="1" applyNumberFormat="1" applyFont="1" applyBorder="1" applyAlignment="1">
      <alignment horizontal="center"/>
    </xf>
    <xf numFmtId="169" fontId="3" fillId="0" borderId="16" xfId="1" applyNumberFormat="1" applyFont="1" applyBorder="1" applyAlignment="1">
      <alignment horizontal="center" vertical="top" wrapText="1"/>
    </xf>
    <xf numFmtId="169" fontId="3" fillId="0" borderId="16" xfId="1" applyNumberFormat="1" applyFont="1" applyBorder="1" applyAlignment="1">
      <alignment horizontal="center"/>
    </xf>
    <xf numFmtId="169" fontId="3" fillId="0" borderId="15" xfId="1" applyNumberFormat="1" applyFont="1" applyBorder="1" applyAlignment="1">
      <alignment horizontal="center"/>
    </xf>
    <xf numFmtId="0" fontId="5" fillId="0" borderId="14" xfId="0" applyFont="1" applyBorder="1" applyAlignment="1"/>
    <xf numFmtId="0" fontId="3" fillId="0" borderId="8" xfId="0" applyFont="1" applyBorder="1" applyAlignment="1">
      <alignment horizontal="center"/>
    </xf>
    <xf numFmtId="169" fontId="3" fillId="0" borderId="12" xfId="1" applyNumberFormat="1" applyFont="1" applyBorder="1" applyAlignment="1">
      <alignment horizontal="center"/>
    </xf>
    <xf numFmtId="164" fontId="3" fillId="0" borderId="7" xfId="0" applyNumberFormat="1" applyFont="1" applyBorder="1" applyAlignment="1">
      <alignment horizontal="center"/>
    </xf>
    <xf numFmtId="0" fontId="3" fillId="0" borderId="7" xfId="0" applyFont="1" applyBorder="1" applyAlignment="1">
      <alignment horizontal="left"/>
    </xf>
    <xf numFmtId="164" fontId="5" fillId="0" borderId="7" xfId="1" applyNumberFormat="1" applyFont="1" applyBorder="1" applyAlignment="1"/>
    <xf numFmtId="164" fontId="5" fillId="0" borderId="0" xfId="1" applyNumberFormat="1" applyFont="1" applyBorder="1" applyAlignment="1"/>
    <xf numFmtId="164" fontId="5" fillId="0" borderId="16" xfId="1" applyNumberFormat="1" applyFont="1" applyBorder="1" applyAlignment="1"/>
    <xf numFmtId="164" fontId="5" fillId="0" borderId="14" xfId="1" applyNumberFormat="1" applyFont="1" applyBorder="1" applyAlignment="1"/>
    <xf numFmtId="164" fontId="3" fillId="0" borderId="14" xfId="0" applyNumberFormat="1" applyFont="1" applyBorder="1"/>
    <xf numFmtId="0" fontId="5" fillId="0" borderId="4" xfId="0" applyFont="1" applyBorder="1"/>
    <xf numFmtId="0" fontId="5" fillId="0" borderId="5" xfId="0" applyFont="1" applyBorder="1"/>
    <xf numFmtId="0" fontId="5" fillId="0" borderId="6" xfId="0" applyFont="1" applyBorder="1" applyAlignment="1">
      <alignment horizontal="center"/>
    </xf>
    <xf numFmtId="164" fontId="5" fillId="0" borderId="18" xfId="1" applyNumberFormat="1" applyFont="1" applyBorder="1" applyAlignment="1">
      <alignment horizontal="center"/>
    </xf>
    <xf numFmtId="169" fontId="5" fillId="0" borderId="18" xfId="1" applyNumberFormat="1" applyFont="1" applyBorder="1" applyAlignment="1">
      <alignment horizontal="center"/>
    </xf>
    <xf numFmtId="43" fontId="5" fillId="0" borderId="5" xfId="1" applyNumberFormat="1" applyFont="1" applyBorder="1" applyAlignment="1">
      <alignment horizontal="center"/>
    </xf>
    <xf numFmtId="0" fontId="5" fillId="0" borderId="6" xfId="0" applyFont="1" applyBorder="1"/>
    <xf numFmtId="0" fontId="3" fillId="0" borderId="7" xfId="0" applyFont="1" applyBorder="1"/>
    <xf numFmtId="164" fontId="5" fillId="0" borderId="12" xfId="1" applyNumberFormat="1" applyFont="1" applyBorder="1" applyAlignment="1">
      <alignment horizontal="center"/>
    </xf>
    <xf numFmtId="169" fontId="5" fillId="0" borderId="12" xfId="1" applyNumberFormat="1" applyFont="1" applyBorder="1" applyAlignment="1">
      <alignment horizontal="center"/>
    </xf>
    <xf numFmtId="0" fontId="5" fillId="0" borderId="7" xfId="1" applyNumberFormat="1" applyFont="1" applyBorder="1" applyAlignment="1">
      <alignment horizontal="center"/>
    </xf>
    <xf numFmtId="3" fontId="5" fillId="0" borderId="0" xfId="0" applyNumberFormat="1" applyFont="1" applyAlignment="1">
      <alignment horizontal="center"/>
    </xf>
    <xf numFmtId="169" fontId="5" fillId="0" borderId="0" xfId="1" applyNumberFormat="1" applyFont="1" applyBorder="1" applyAlignment="1">
      <alignment horizontal="left"/>
    </xf>
    <xf numFmtId="169" fontId="5" fillId="0" borderId="7" xfId="1" applyNumberFormat="1" applyFont="1" applyBorder="1" applyAlignment="1">
      <alignment horizontal="left"/>
    </xf>
    <xf numFmtId="169" fontId="5" fillId="0" borderId="12" xfId="1" applyNumberFormat="1" applyFont="1" applyBorder="1" applyAlignment="1">
      <alignment horizontal="left"/>
    </xf>
    <xf numFmtId="169" fontId="5" fillId="0" borderId="0" xfId="1" applyNumberFormat="1" applyFont="1" applyAlignment="1">
      <alignment horizontal="left"/>
    </xf>
    <xf numFmtId="0" fontId="3" fillId="0" borderId="1" xfId="0" applyFont="1" applyBorder="1" applyAlignment="1">
      <alignment horizontal="center"/>
    </xf>
    <xf numFmtId="164" fontId="3" fillId="0" borderId="19" xfId="1" applyNumberFormat="1" applyFont="1" applyBorder="1" applyAlignment="1">
      <alignment horizontal="center" vertical="top" wrapText="1"/>
    </xf>
    <xf numFmtId="164" fontId="3" fillId="0" borderId="7" xfId="1" applyNumberFormat="1" applyFont="1" applyBorder="1" applyAlignment="1">
      <alignment horizontal="center" vertical="top" wrapText="1"/>
    </xf>
    <xf numFmtId="43" fontId="3" fillId="0" borderId="12" xfId="1" applyFont="1" applyBorder="1" applyAlignment="1">
      <alignment horizontal="center"/>
    </xf>
    <xf numFmtId="164" fontId="3" fillId="0" borderId="16" xfId="1" applyNumberFormat="1" applyFont="1" applyBorder="1" applyAlignment="1">
      <alignment horizontal="center" vertical="top" wrapText="1"/>
    </xf>
    <xf numFmtId="164" fontId="5" fillId="0" borderId="0" xfId="1" applyNumberFormat="1" applyFont="1" applyBorder="1"/>
    <xf numFmtId="172" fontId="5" fillId="0" borderId="0" xfId="1" applyNumberFormat="1" applyFont="1" applyBorder="1" applyAlignment="1">
      <alignment horizontal="center"/>
    </xf>
    <xf numFmtId="0" fontId="5" fillId="0" borderId="8" xfId="0" applyFont="1" applyBorder="1" applyAlignment="1">
      <alignment horizontal="left"/>
    </xf>
    <xf numFmtId="164" fontId="5" fillId="0" borderId="0" xfId="1" applyNumberFormat="1" applyFont="1" applyBorder="1" applyAlignment="1">
      <alignment horizontal="right"/>
    </xf>
    <xf numFmtId="164" fontId="5" fillId="0" borderId="7" xfId="0" applyNumberFormat="1" applyFont="1" applyBorder="1"/>
    <xf numFmtId="164" fontId="5" fillId="0" borderId="12" xfId="0" applyNumberFormat="1" applyFont="1" applyBorder="1"/>
    <xf numFmtId="164" fontId="5" fillId="0" borderId="7" xfId="0" applyNumberFormat="1" applyFont="1" applyBorder="1" applyAlignment="1">
      <alignment horizontal="left"/>
    </xf>
    <xf numFmtId="164" fontId="5" fillId="0" borderId="12" xfId="0" applyNumberFormat="1" applyFont="1" applyBorder="1" applyAlignment="1">
      <alignment horizontal="left"/>
    </xf>
    <xf numFmtId="164" fontId="5" fillId="0" borderId="7" xfId="0" applyNumberFormat="1" applyFont="1" applyBorder="1" applyAlignment="1">
      <alignment horizontal="center"/>
    </xf>
    <xf numFmtId="164" fontId="5" fillId="0" borderId="12" xfId="0" applyNumberFormat="1" applyFont="1" applyBorder="1" applyAlignment="1">
      <alignment horizontal="center"/>
    </xf>
    <xf numFmtId="3" fontId="5" fillId="0" borderId="12" xfId="0" applyNumberFormat="1" applyFont="1" applyBorder="1"/>
    <xf numFmtId="169" fontId="3" fillId="0" borderId="0" xfId="1" applyNumberFormat="1" applyFont="1" applyBorder="1" applyAlignment="1">
      <alignment horizontal="left"/>
    </xf>
    <xf numFmtId="0" fontId="3" fillId="0" borderId="1" xfId="0" applyFont="1" applyBorder="1"/>
    <xf numFmtId="0" fontId="3" fillId="0" borderId="12" xfId="0" applyFont="1" applyBorder="1"/>
    <xf numFmtId="169" fontId="5" fillId="0" borderId="0" xfId="1" applyNumberFormat="1" applyFont="1" applyBorder="1"/>
    <xf numFmtId="43" fontId="5" fillId="0" borderId="14" xfId="1" applyNumberFormat="1" applyFont="1" applyBorder="1" applyAlignment="1">
      <alignment horizontal="center"/>
    </xf>
    <xf numFmtId="1" fontId="5" fillId="0" borderId="19" xfId="0" applyNumberFormat="1" applyFont="1" applyBorder="1"/>
    <xf numFmtId="3" fontId="5" fillId="0" borderId="16" xfId="0" applyNumberFormat="1" applyFont="1" applyBorder="1"/>
    <xf numFmtId="3" fontId="5" fillId="2" borderId="29" xfId="2" applyNumberFormat="1" applyFont="1" applyFill="1" applyBorder="1" applyAlignment="1" applyProtection="1">
      <alignment horizontal="center" vertical="center"/>
      <protection hidden="1"/>
    </xf>
    <xf numFmtId="3" fontId="5" fillId="2" borderId="0" xfId="2" applyNumberFormat="1" applyFont="1" applyFill="1" applyBorder="1" applyAlignment="1" applyProtection="1">
      <alignment horizontal="center" vertical="center"/>
      <protection hidden="1"/>
    </xf>
    <xf numFmtId="1" fontId="7" fillId="0" borderId="5" xfId="0" applyNumberFormat="1" applyFont="1" applyBorder="1" applyAlignment="1">
      <alignment horizontal="center" vertical="top"/>
    </xf>
    <xf numFmtId="1" fontId="7" fillId="0" borderId="0" xfId="0" applyNumberFormat="1" applyFont="1" applyBorder="1" applyAlignment="1">
      <alignment horizontal="center" vertical="top"/>
    </xf>
    <xf numFmtId="0" fontId="5" fillId="0" borderId="51" xfId="0" applyFont="1" applyBorder="1" applyAlignment="1">
      <alignment horizontal="center"/>
    </xf>
    <xf numFmtId="3" fontId="5" fillId="2" borderId="52" xfId="2" applyNumberFormat="1" applyFont="1" applyFill="1" applyBorder="1" applyAlignment="1" applyProtection="1">
      <alignment horizontal="center" vertical="center"/>
      <protection hidden="1"/>
    </xf>
    <xf numFmtId="1" fontId="7" fillId="0" borderId="24" xfId="0" applyNumberFormat="1" applyFont="1" applyBorder="1" applyAlignment="1">
      <alignment horizontal="center" vertical="top"/>
    </xf>
    <xf numFmtId="1" fontId="7" fillId="0" borderId="53" xfId="0" applyNumberFormat="1" applyFont="1" applyBorder="1" applyAlignment="1">
      <alignment horizontal="center" vertical="top"/>
    </xf>
    <xf numFmtId="0" fontId="7" fillId="0" borderId="24" xfId="0" applyFont="1" applyBorder="1" applyAlignment="1">
      <alignment horizontal="center" vertical="top"/>
    </xf>
    <xf numFmtId="1" fontId="7" fillId="0" borderId="25" xfId="0" applyNumberFormat="1" applyFont="1" applyBorder="1" applyAlignment="1">
      <alignment horizontal="center" vertical="top"/>
    </xf>
    <xf numFmtId="1" fontId="7" fillId="0" borderId="54" xfId="0" applyNumberFormat="1" applyFont="1" applyBorder="1" applyAlignment="1">
      <alignment horizontal="center" vertical="top"/>
    </xf>
    <xf numFmtId="0" fontId="7" fillId="0" borderId="25" xfId="0" applyFont="1" applyBorder="1" applyAlignment="1">
      <alignment horizontal="center" vertical="top"/>
    </xf>
    <xf numFmtId="1" fontId="7" fillId="0" borderId="11" xfId="0" applyNumberFormat="1" applyFont="1" applyBorder="1" applyAlignment="1">
      <alignment horizontal="center" vertical="top"/>
    </xf>
    <xf numFmtId="1" fontId="7" fillId="0" borderId="17" xfId="0" applyNumberFormat="1" applyFont="1" applyBorder="1" applyAlignment="1">
      <alignment horizontal="center" vertical="top"/>
    </xf>
    <xf numFmtId="0" fontId="7" fillId="0" borderId="11" xfId="0" applyFont="1" applyBorder="1" applyAlignment="1">
      <alignment horizontal="center" vertical="top"/>
    </xf>
    <xf numFmtId="3" fontId="7" fillId="0" borderId="11" xfId="0" applyNumberFormat="1" applyFont="1" applyBorder="1" applyAlignment="1">
      <alignment horizontal="center" vertical="top"/>
    </xf>
    <xf numFmtId="0" fontId="7" fillId="0" borderId="9" xfId="0" applyFont="1" applyBorder="1" applyAlignment="1">
      <alignment horizontal="left" vertical="top"/>
    </xf>
    <xf numFmtId="0" fontId="7" fillId="0" borderId="0" xfId="0" applyFont="1" applyBorder="1" applyAlignment="1">
      <alignment horizontal="left" vertical="top"/>
    </xf>
    <xf numFmtId="3" fontId="7" fillId="0" borderId="7" xfId="0" applyNumberFormat="1" applyFont="1" applyBorder="1" applyAlignment="1">
      <alignment horizontal="center" vertical="top"/>
    </xf>
    <xf numFmtId="0" fontId="2" fillId="0" borderId="24" xfId="0" applyFont="1" applyBorder="1" applyAlignment="1">
      <alignment horizontal="left" vertical="top"/>
    </xf>
    <xf numFmtId="0" fontId="2" fillId="0" borderId="0" xfId="0" applyFont="1" applyBorder="1" applyAlignment="1">
      <alignment horizontal="center" vertical="top"/>
    </xf>
    <xf numFmtId="0" fontId="2" fillId="0" borderId="45" xfId="0" applyFont="1" applyBorder="1" applyAlignment="1">
      <alignment horizontal="left" vertical="top"/>
    </xf>
    <xf numFmtId="0" fontId="2" fillId="0" borderId="2" xfId="0" applyFont="1" applyBorder="1" applyAlignment="1">
      <alignment horizontal="left"/>
    </xf>
    <xf numFmtId="0" fontId="0" fillId="0" borderId="2" xfId="0" applyBorder="1" applyAlignment="1">
      <alignment horizontal="left"/>
    </xf>
    <xf numFmtId="3" fontId="0" fillId="0" borderId="0" xfId="0" applyNumberFormat="1" applyBorder="1" applyAlignment="1">
      <alignment horizontal="center"/>
    </xf>
    <xf numFmtId="6" fontId="2" fillId="0" borderId="0" xfId="0" applyNumberFormat="1" applyFont="1" applyBorder="1" applyAlignment="1">
      <alignment horizontal="center"/>
    </xf>
    <xf numFmtId="0" fontId="0" fillId="0" borderId="0" xfId="0" applyBorder="1" applyAlignment="1">
      <alignment horizontal="left"/>
    </xf>
    <xf numFmtId="0" fontId="0" fillId="0" borderId="14" xfId="0" applyBorder="1" applyAlignment="1">
      <alignment horizontal="center"/>
    </xf>
    <xf numFmtId="3" fontId="2" fillId="0" borderId="14" xfId="0" applyNumberFormat="1" applyFont="1" applyBorder="1" applyAlignment="1">
      <alignment horizontal="center"/>
    </xf>
    <xf numFmtId="0" fontId="0" fillId="0" borderId="8" xfId="0" applyBorder="1" applyAlignment="1">
      <alignment horizontal="left"/>
    </xf>
    <xf numFmtId="0" fontId="0" fillId="0" borderId="20" xfId="0" applyBorder="1" applyAlignment="1">
      <alignment horizontal="center"/>
    </xf>
    <xf numFmtId="0" fontId="0" fillId="0" borderId="21" xfId="0" applyBorder="1" applyAlignment="1">
      <alignment horizontal="center"/>
    </xf>
    <xf numFmtId="3" fontId="2" fillId="0" borderId="21" xfId="0" applyNumberFormat="1" applyFont="1" applyBorder="1" applyAlignment="1">
      <alignment horizontal="center"/>
    </xf>
    <xf numFmtId="0" fontId="2" fillId="0" borderId="38" xfId="0" applyFont="1" applyBorder="1" applyAlignment="1">
      <alignment horizontal="center"/>
    </xf>
    <xf numFmtId="3" fontId="0" fillId="0" borderId="20" xfId="0" applyNumberFormat="1" applyBorder="1" applyAlignment="1">
      <alignment horizontal="center"/>
    </xf>
    <xf numFmtId="3" fontId="0" fillId="0" borderId="38" xfId="0" applyNumberFormat="1" applyBorder="1" applyAlignment="1">
      <alignment horizontal="center"/>
    </xf>
    <xf numFmtId="3" fontId="0" fillId="0" borderId="19" xfId="0" applyNumberFormat="1" applyBorder="1" applyAlignment="1">
      <alignment horizontal="center"/>
    </xf>
    <xf numFmtId="3" fontId="0" fillId="0" borderId="7" xfId="0" applyNumberFormat="1" applyBorder="1" applyAlignment="1">
      <alignment horizontal="center"/>
    </xf>
    <xf numFmtId="0" fontId="2" fillId="0" borderId="7" xfId="0" applyFont="1" applyBorder="1" applyAlignment="1">
      <alignment horizontal="center"/>
    </xf>
    <xf numFmtId="0" fontId="2" fillId="0" borderId="16" xfId="0" applyFont="1" applyBorder="1" applyAlignment="1">
      <alignment horizontal="center"/>
    </xf>
    <xf numFmtId="9" fontId="2" fillId="0" borderId="2" xfId="0" applyNumberFormat="1" applyFont="1" applyBorder="1" applyAlignment="1">
      <alignment horizontal="center"/>
    </xf>
    <xf numFmtId="0" fontId="2" fillId="0" borderId="12" xfId="0" applyFont="1" applyBorder="1" applyAlignment="1">
      <alignment horizontal="left"/>
    </xf>
    <xf numFmtId="0" fontId="0" fillId="0" borderId="13" xfId="0" applyBorder="1" applyAlignment="1">
      <alignment horizontal="left"/>
    </xf>
    <xf numFmtId="0" fontId="7" fillId="0" borderId="55" xfId="0" applyFont="1" applyBorder="1" applyAlignment="1">
      <alignment horizontal="center"/>
    </xf>
    <xf numFmtId="0" fontId="7" fillId="0" borderId="56" xfId="0" applyFont="1" applyBorder="1"/>
    <xf numFmtId="0" fontId="5" fillId="0" borderId="0" xfId="0" applyFont="1" applyAlignment="1">
      <alignment horizontal="left"/>
    </xf>
    <xf numFmtId="0" fontId="5" fillId="0" borderId="0" xfId="0" applyFont="1" applyAlignment="1">
      <alignment horizontal="left" wrapText="1"/>
    </xf>
    <xf numFmtId="0" fontId="5" fillId="0" borderId="0" xfId="0" applyFont="1" applyAlignment="1">
      <alignment horizontal="left" vertical="top"/>
    </xf>
    <xf numFmtId="2" fontId="5" fillId="0" borderId="18" xfId="0" applyNumberFormat="1" applyFont="1" applyBorder="1" applyAlignment="1">
      <alignment horizontal="center"/>
    </xf>
    <xf numFmtId="0" fontId="5" fillId="0" borderId="5" xfId="0" applyFont="1" applyBorder="1" applyAlignment="1">
      <alignment horizontal="center"/>
    </xf>
    <xf numFmtId="0" fontId="7" fillId="0" borderId="3" xfId="0" applyFont="1" applyBorder="1" applyAlignment="1">
      <alignment horizontal="center"/>
    </xf>
    <xf numFmtId="0" fontId="7" fillId="0" borderId="12" xfId="0" applyFont="1" applyBorder="1"/>
    <xf numFmtId="0" fontId="19" fillId="0" borderId="8" xfId="0" applyFont="1" applyBorder="1"/>
    <xf numFmtId="0" fontId="7" fillId="0" borderId="8" xfId="0" applyFont="1" applyBorder="1" applyAlignment="1">
      <alignment wrapText="1"/>
    </xf>
    <xf numFmtId="0" fontId="7" fillId="0" borderId="57" xfId="0" applyFont="1" applyBorder="1" applyAlignment="1">
      <alignment horizontal="center"/>
    </xf>
    <xf numFmtId="0" fontId="7" fillId="0" borderId="58" xfId="0" applyFont="1" applyBorder="1"/>
    <xf numFmtId="0" fontId="7" fillId="0" borderId="59" xfId="0" applyFont="1" applyBorder="1"/>
    <xf numFmtId="0" fontId="29" fillId="0" borderId="6" xfId="0" applyFont="1" applyBorder="1"/>
    <xf numFmtId="0" fontId="30" fillId="0" borderId="0" xfId="0" applyFont="1" applyAlignment="1">
      <alignment horizontal="left" vertical="center" wrapText="1" indent="1"/>
    </xf>
    <xf numFmtId="0" fontId="5" fillId="0" borderId="0" xfId="0" applyFont="1" applyAlignment="1">
      <alignment horizontal="left" vertical="center" wrapText="1" indent="1"/>
    </xf>
    <xf numFmtId="0" fontId="7" fillId="0" borderId="56" xfId="0" applyFont="1" applyBorder="1" applyAlignment="1">
      <alignment vertical="top"/>
    </xf>
    <xf numFmtId="0" fontId="7" fillId="0" borderId="0" xfId="0" applyFont="1" applyAlignment="1">
      <alignment horizontal="center"/>
    </xf>
    <xf numFmtId="0" fontId="7" fillId="0" borderId="4" xfId="0" applyFont="1" applyBorder="1" applyAlignment="1">
      <alignment horizontal="center"/>
    </xf>
    <xf numFmtId="0" fontId="7" fillId="0" borderId="5" xfId="0" applyFont="1" applyBorder="1" applyAlignment="1">
      <alignment horizontal="center"/>
    </xf>
    <xf numFmtId="0" fontId="7" fillId="0" borderId="18" xfId="0" applyFont="1" applyBorder="1" applyAlignment="1">
      <alignment horizontal="center"/>
    </xf>
    <xf numFmtId="3" fontId="2" fillId="0" borderId="0" xfId="0" applyNumberFormat="1" applyFont="1" applyAlignment="1">
      <alignment horizontal="center"/>
    </xf>
    <xf numFmtId="0" fontId="5" fillId="0" borderId="18" xfId="0" applyFont="1" applyBorder="1" applyAlignment="1">
      <alignment horizontal="center" vertical="top"/>
    </xf>
    <xf numFmtId="170" fontId="7" fillId="0" borderId="31" xfId="0" applyNumberFormat="1" applyFont="1" applyBorder="1" applyAlignment="1">
      <alignment horizontal="left"/>
    </xf>
    <xf numFmtId="2" fontId="5" fillId="0" borderId="8" xfId="0" applyNumberFormat="1" applyFont="1" applyBorder="1" applyAlignment="1">
      <alignment horizontal="center" vertical="top"/>
    </xf>
    <xf numFmtId="164" fontId="8" fillId="2" borderId="14" xfId="1" applyNumberFormat="1" applyFont="1" applyFill="1" applyBorder="1" applyAlignment="1" applyProtection="1">
      <alignment horizontal="center" vertical="center"/>
      <protection locked="0" hidden="1"/>
    </xf>
    <xf numFmtId="3" fontId="5" fillId="2" borderId="60" xfId="2" applyNumberFormat="1" applyFont="1" applyFill="1" applyBorder="1" applyAlignment="1" applyProtection="1">
      <alignment horizontal="center" vertical="center"/>
      <protection hidden="1"/>
    </xf>
    <xf numFmtId="3" fontId="5" fillId="2" borderId="16" xfId="2" applyNumberFormat="1" applyFont="1" applyFill="1" applyBorder="1" applyAlignment="1" applyProtection="1">
      <alignment horizontal="center" vertical="center"/>
      <protection hidden="1"/>
    </xf>
    <xf numFmtId="3" fontId="5" fillId="2" borderId="14" xfId="2" applyNumberFormat="1" applyFont="1" applyFill="1" applyBorder="1" applyAlignment="1" applyProtection="1">
      <alignment horizontal="center" vertical="center"/>
      <protection hidden="1"/>
    </xf>
    <xf numFmtId="3" fontId="5" fillId="0" borderId="14" xfId="0" applyNumberFormat="1" applyFont="1" applyBorder="1" applyAlignment="1">
      <alignment horizontal="center"/>
    </xf>
    <xf numFmtId="3" fontId="5" fillId="0" borderId="14" xfId="0" applyNumberFormat="1" applyFont="1" applyBorder="1" applyAlignment="1">
      <alignment horizontal="center" vertical="top"/>
    </xf>
    <xf numFmtId="0" fontId="30" fillId="0" borderId="0" xfId="0" applyFont="1" applyAlignment="1">
      <alignment horizontal="left" vertical="top" wrapText="1"/>
    </xf>
    <xf numFmtId="0" fontId="7" fillId="0" borderId="0" xfId="0" applyFont="1" applyAlignment="1">
      <alignment horizontal="left"/>
    </xf>
    <xf numFmtId="0" fontId="7" fillId="0" borderId="0" xfId="0" applyFont="1" applyAlignment="1">
      <alignment horizontal="left" wrapText="1"/>
    </xf>
    <xf numFmtId="0" fontId="7" fillId="0" borderId="0" xfId="0" applyFont="1" applyAlignment="1">
      <alignment horizontal="center"/>
    </xf>
    <xf numFmtId="0" fontId="5" fillId="0" borderId="0" xfId="0" applyFont="1" applyAlignment="1">
      <alignment horizontal="left"/>
    </xf>
    <xf numFmtId="0" fontId="5" fillId="0" borderId="0" xfId="0" applyFont="1" applyAlignment="1">
      <alignment horizontal="left" wrapText="1"/>
    </xf>
    <xf numFmtId="0" fontId="5" fillId="0" borderId="0" xfId="0" applyFont="1" applyAlignment="1">
      <alignment horizontal="left" vertical="top" wrapText="1"/>
    </xf>
    <xf numFmtId="0" fontId="5" fillId="0" borderId="0" xfId="0" applyFont="1" applyAlignment="1">
      <alignment horizontal="left" vertical="top"/>
    </xf>
    <xf numFmtId="2" fontId="5" fillId="0" borderId="4" xfId="0" applyNumberFormat="1" applyFont="1" applyBorder="1" applyAlignment="1">
      <alignment horizontal="center"/>
    </xf>
    <xf numFmtId="2" fontId="5" fillId="0" borderId="5" xfId="0" applyNumberFormat="1" applyFont="1" applyBorder="1" applyAlignment="1">
      <alignment horizontal="center"/>
    </xf>
    <xf numFmtId="2" fontId="5" fillId="0" borderId="18" xfId="0" applyNumberFormat="1" applyFont="1" applyBorder="1" applyAlignment="1">
      <alignment horizontal="center"/>
    </xf>
    <xf numFmtId="2" fontId="5" fillId="0" borderId="1" xfId="0" applyNumberFormat="1" applyFont="1" applyBorder="1" applyAlignment="1">
      <alignment horizontal="center"/>
    </xf>
    <xf numFmtId="2" fontId="5" fillId="0" borderId="2" xfId="0" applyNumberFormat="1" applyFont="1" applyBorder="1" applyAlignment="1">
      <alignment horizontal="center"/>
    </xf>
    <xf numFmtId="2" fontId="5" fillId="0" borderId="32" xfId="0" applyNumberFormat="1" applyFont="1" applyBorder="1" applyAlignment="1">
      <alignment horizontal="center"/>
    </xf>
    <xf numFmtId="2" fontId="5" fillId="0" borderId="30" xfId="0" applyNumberFormat="1" applyFont="1" applyBorder="1" applyAlignment="1">
      <alignment horizontal="center" wrapText="1"/>
    </xf>
    <xf numFmtId="2" fontId="5" fillId="0" borderId="31" xfId="0" applyNumberFormat="1" applyFont="1" applyBorder="1" applyAlignment="1">
      <alignment horizontal="center" wrapText="1"/>
    </xf>
    <xf numFmtId="0" fontId="7" fillId="0" borderId="9" xfId="0" applyFont="1" applyBorder="1" applyAlignment="1">
      <alignment horizontal="center"/>
    </xf>
    <xf numFmtId="164" fontId="10" fillId="0" borderId="0" xfId="1" applyNumberFormat="1" applyFont="1" applyAlignment="1">
      <alignment horizontal="left"/>
    </xf>
    <xf numFmtId="0" fontId="3" fillId="0" borderId="4" xfId="1" applyNumberFormat="1" applyFont="1" applyBorder="1" applyAlignment="1">
      <alignment horizontal="center" vertical="center"/>
    </xf>
    <xf numFmtId="0" fontId="3" fillId="0" borderId="5" xfId="1" applyNumberFormat="1" applyFont="1" applyBorder="1" applyAlignment="1">
      <alignment horizontal="center" vertical="center"/>
    </xf>
    <xf numFmtId="0" fontId="3" fillId="0" borderId="18" xfId="1" applyNumberFormat="1" applyFont="1" applyBorder="1" applyAlignment="1">
      <alignment horizontal="center" vertical="center"/>
    </xf>
    <xf numFmtId="1" fontId="3" fillId="0" borderId="5" xfId="1" applyNumberFormat="1" applyFont="1" applyBorder="1" applyAlignment="1">
      <alignment horizontal="center"/>
    </xf>
    <xf numFmtId="1" fontId="3" fillId="0" borderId="18" xfId="1" applyNumberFormat="1" applyFont="1" applyBorder="1" applyAlignment="1">
      <alignment horizontal="center"/>
    </xf>
    <xf numFmtId="1" fontId="3" fillId="0" borderId="4" xfId="1" applyNumberFormat="1" applyFont="1" applyBorder="1" applyAlignment="1">
      <alignment horizontal="center"/>
    </xf>
    <xf numFmtId="164" fontId="3" fillId="0" borderId="19" xfId="1" applyNumberFormat="1" applyFont="1" applyBorder="1" applyAlignment="1">
      <alignment horizontal="center" wrapText="1"/>
    </xf>
    <xf numFmtId="164" fontId="3" fillId="0" borderId="7" xfId="1" applyNumberFormat="1" applyFont="1" applyBorder="1" applyAlignment="1">
      <alignment horizontal="center" wrapText="1"/>
    </xf>
    <xf numFmtId="164" fontId="3" fillId="0" borderId="12" xfId="1" applyNumberFormat="1" applyFont="1" applyBorder="1" applyAlignment="1">
      <alignment horizontal="center" wrapText="1"/>
    </xf>
    <xf numFmtId="169" fontId="3" fillId="0" borderId="19" xfId="1" applyNumberFormat="1" applyFont="1" applyBorder="1" applyAlignment="1">
      <alignment horizontal="center" vertical="top" wrapText="1"/>
    </xf>
    <xf numFmtId="169" fontId="3" fillId="0" borderId="7" xfId="1" applyNumberFormat="1" applyFont="1" applyBorder="1" applyAlignment="1">
      <alignment horizontal="center" vertical="top" wrapText="1"/>
    </xf>
    <xf numFmtId="169" fontId="3" fillId="0" borderId="16" xfId="1" applyNumberFormat="1" applyFont="1" applyBorder="1" applyAlignment="1">
      <alignment horizontal="center" vertical="top" wrapText="1"/>
    </xf>
    <xf numFmtId="0" fontId="3" fillId="0" borderId="0" xfId="0" applyFont="1" applyBorder="1" applyAlignment="1">
      <alignment horizontal="center"/>
    </xf>
    <xf numFmtId="0" fontId="3" fillId="0" borderId="14" xfId="0" applyFont="1" applyBorder="1" applyAlignment="1">
      <alignment horizontal="center"/>
    </xf>
    <xf numFmtId="164" fontId="3" fillId="0" borderId="19" xfId="1" applyNumberFormat="1" applyFont="1" applyBorder="1" applyAlignment="1">
      <alignment horizontal="center" vertical="top" wrapText="1"/>
    </xf>
    <xf numFmtId="164" fontId="3" fillId="0" borderId="7" xfId="1" applyNumberFormat="1" applyFont="1" applyBorder="1" applyAlignment="1">
      <alignment horizontal="center" vertical="top" wrapText="1"/>
    </xf>
    <xf numFmtId="164" fontId="3" fillId="0" borderId="16" xfId="1" applyNumberFormat="1" applyFont="1" applyBorder="1" applyAlignment="1">
      <alignment horizontal="center" vertical="top" wrapText="1"/>
    </xf>
    <xf numFmtId="0" fontId="5" fillId="0" borderId="39" xfId="0" applyFont="1" applyBorder="1" applyAlignment="1">
      <alignment horizontal="center" wrapText="1"/>
    </xf>
    <xf numFmtId="0" fontId="5" fillId="0" borderId="7" xfId="0" applyFont="1" applyBorder="1" applyAlignment="1">
      <alignment horizontal="center" wrapText="1"/>
    </xf>
    <xf numFmtId="0" fontId="5" fillId="0" borderId="16" xfId="0" applyFont="1" applyBorder="1" applyAlignment="1">
      <alignment horizontal="center" wrapText="1"/>
    </xf>
    <xf numFmtId="0" fontId="5" fillId="0" borderId="4" xfId="0" applyFont="1" applyBorder="1" applyAlignment="1">
      <alignment horizontal="center"/>
    </xf>
    <xf numFmtId="0" fontId="5" fillId="0" borderId="5" xfId="0" applyFont="1" applyBorder="1" applyAlignment="1">
      <alignment horizontal="center"/>
    </xf>
    <xf numFmtId="0" fontId="5" fillId="0" borderId="18" xfId="0" applyFont="1" applyBorder="1" applyAlignment="1">
      <alignment horizontal="center"/>
    </xf>
    <xf numFmtId="0" fontId="7" fillId="0" borderId="4" xfId="0" applyFont="1" applyBorder="1" applyAlignment="1">
      <alignment horizontal="center"/>
    </xf>
    <xf numFmtId="0" fontId="7" fillId="0" borderId="5" xfId="0" applyFont="1" applyBorder="1" applyAlignment="1">
      <alignment horizontal="center"/>
    </xf>
    <xf numFmtId="0" fontId="7" fillId="0" borderId="18" xfId="0" applyFont="1" applyBorder="1" applyAlignment="1">
      <alignment horizontal="center"/>
    </xf>
    <xf numFmtId="0" fontId="2" fillId="0" borderId="32" xfId="0" applyFont="1" applyBorder="1" applyAlignment="1">
      <alignment horizontal="left" vertical="top"/>
    </xf>
    <xf numFmtId="0" fontId="2" fillId="0" borderId="34" xfId="0" applyFont="1" applyBorder="1" applyAlignment="1">
      <alignment horizontal="left" vertical="top"/>
    </xf>
    <xf numFmtId="0" fontId="2" fillId="0" borderId="28" xfId="0" applyFont="1" applyBorder="1" applyAlignment="1">
      <alignment horizontal="left" vertical="top"/>
    </xf>
    <xf numFmtId="0" fontId="2" fillId="0" borderId="33" xfId="0" applyFont="1" applyBorder="1" applyAlignment="1">
      <alignment horizontal="left" vertical="top"/>
    </xf>
    <xf numFmtId="0" fontId="2" fillId="0" borderId="4" xfId="0" applyFont="1" applyBorder="1" applyAlignment="1">
      <alignment horizontal="center" vertical="top"/>
    </xf>
    <xf numFmtId="0" fontId="2" fillId="0" borderId="5" xfId="0" applyFont="1" applyBorder="1" applyAlignment="1">
      <alignment horizontal="center" vertical="top"/>
    </xf>
    <xf numFmtId="0" fontId="2" fillId="0" borderId="18" xfId="0" applyFont="1" applyBorder="1" applyAlignment="1">
      <alignment horizontal="center" vertical="top"/>
    </xf>
    <xf numFmtId="0" fontId="5" fillId="0" borderId="0" xfId="0" applyFont="1" applyAlignment="1">
      <alignment horizontal="left" vertical="center" wrapText="1"/>
    </xf>
    <xf numFmtId="0" fontId="7" fillId="0" borderId="0" xfId="0" applyFont="1" applyBorder="1" applyAlignment="1">
      <alignment horizontal="center"/>
    </xf>
    <xf numFmtId="0" fontId="15" fillId="0" borderId="4" xfId="0" applyFont="1" applyBorder="1" applyAlignment="1">
      <alignment horizontal="left" wrapText="1"/>
    </xf>
    <xf numFmtId="0" fontId="15" fillId="0" borderId="5" xfId="0" applyFont="1" applyBorder="1" applyAlignment="1">
      <alignment horizontal="left" wrapText="1"/>
    </xf>
    <xf numFmtId="0" fontId="15" fillId="0" borderId="2" xfId="0" applyFont="1" applyBorder="1" applyAlignment="1">
      <alignment horizontal="left" wrapText="1"/>
    </xf>
    <xf numFmtId="164" fontId="2" fillId="0" borderId="8" xfId="1" applyNumberFormat="1" applyFont="1" applyBorder="1" applyAlignment="1">
      <alignment horizontal="left" vertical="center" wrapText="1"/>
    </xf>
    <xf numFmtId="164" fontId="2" fillId="0" borderId="13" xfId="1" applyNumberFormat="1" applyFont="1" applyBorder="1" applyAlignment="1">
      <alignment horizontal="left" vertical="center" wrapText="1"/>
    </xf>
    <xf numFmtId="164" fontId="0" fillId="0" borderId="8" xfId="1" applyNumberFormat="1" applyFont="1" applyBorder="1" applyAlignment="1">
      <alignment horizontal="left"/>
    </xf>
    <xf numFmtId="164" fontId="0" fillId="0" borderId="0" xfId="1" applyNumberFormat="1" applyFont="1" applyBorder="1" applyAlignment="1">
      <alignment horizontal="left"/>
    </xf>
    <xf numFmtId="0" fontId="28" fillId="0" borderId="8" xfId="0" applyFont="1" applyBorder="1" applyAlignment="1">
      <alignment horizontal="center"/>
    </xf>
    <xf numFmtId="0" fontId="28" fillId="0" borderId="0" xfId="0" applyFont="1" applyBorder="1" applyAlignment="1">
      <alignment horizontal="center"/>
    </xf>
    <xf numFmtId="0" fontId="28" fillId="0" borderId="12" xfId="0" applyFont="1" applyBorder="1" applyAlignment="1">
      <alignment horizontal="center"/>
    </xf>
    <xf numFmtId="0" fontId="28" fillId="0" borderId="0" xfId="0" applyFont="1" applyAlignment="1">
      <alignment horizontal="center"/>
    </xf>
    <xf numFmtId="0" fontId="28" fillId="0" borderId="1" xfId="0" applyFont="1" applyBorder="1" applyAlignment="1">
      <alignment horizontal="center"/>
    </xf>
    <xf numFmtId="0" fontId="28" fillId="0" borderId="2" xfId="0" applyFont="1" applyBorder="1" applyAlignment="1">
      <alignment horizontal="center"/>
    </xf>
    <xf numFmtId="0" fontId="28" fillId="0" borderId="3" xfId="0" applyFont="1" applyBorder="1" applyAlignment="1">
      <alignment horizontal="center"/>
    </xf>
    <xf numFmtId="176" fontId="33" fillId="0" borderId="8" xfId="0" applyNumberFormat="1" applyFont="1" applyBorder="1" applyAlignment="1">
      <alignment horizontal="center"/>
    </xf>
    <xf numFmtId="176" fontId="33" fillId="0" borderId="0" xfId="0" applyNumberFormat="1" applyFont="1" applyBorder="1" applyAlignment="1">
      <alignment horizontal="center"/>
    </xf>
    <xf numFmtId="3" fontId="28" fillId="0" borderId="0" xfId="0" applyNumberFormat="1" applyFont="1" applyBorder="1" applyAlignment="1">
      <alignment horizontal="center"/>
    </xf>
    <xf numFmtId="0" fontId="28" fillId="0" borderId="4" xfId="0" applyFont="1" applyBorder="1" applyAlignment="1">
      <alignment horizontal="center"/>
    </xf>
    <xf numFmtId="0" fontId="28" fillId="0" borderId="5" xfId="0" applyFont="1" applyBorder="1" applyAlignment="1">
      <alignment horizontal="center"/>
    </xf>
    <xf numFmtId="0" fontId="28" fillId="0" borderId="18" xfId="0" applyFont="1" applyBorder="1" applyAlignment="1">
      <alignment horizontal="center"/>
    </xf>
    <xf numFmtId="0" fontId="28" fillId="0" borderId="13" xfId="0" applyFont="1" applyBorder="1" applyAlignment="1">
      <alignment horizontal="center"/>
    </xf>
    <xf numFmtId="0" fontId="28" fillId="0" borderId="14" xfId="0" applyFont="1" applyBorder="1" applyAlignment="1">
      <alignment horizontal="center"/>
    </xf>
    <xf numFmtId="0" fontId="28" fillId="0" borderId="15" xfId="0" applyFont="1" applyBorder="1" applyAlignment="1">
      <alignment horizontal="center"/>
    </xf>
    <xf numFmtId="0" fontId="28" fillId="0" borderId="24" xfId="0" applyFont="1" applyBorder="1" applyAlignment="1">
      <alignment horizontal="center"/>
    </xf>
    <xf numFmtId="0" fontId="28" fillId="0" borderId="52" xfId="0" applyFont="1" applyBorder="1" applyAlignment="1">
      <alignment horizontal="center"/>
    </xf>
    <xf numFmtId="0" fontId="28" fillId="0" borderId="29" xfId="0" applyFont="1" applyBorder="1" applyAlignment="1">
      <alignment horizontal="center"/>
    </xf>
    <xf numFmtId="0" fontId="28" fillId="0" borderId="23" xfId="0" applyFont="1" applyBorder="1" applyAlignment="1">
      <alignment horizontal="center"/>
    </xf>
    <xf numFmtId="0" fontId="28" fillId="0" borderId="25" xfId="0" applyFont="1" applyBorder="1" applyAlignment="1">
      <alignment horizontal="center"/>
    </xf>
    <xf numFmtId="0" fontId="28" fillId="0" borderId="8" xfId="0" applyFont="1" applyBorder="1" applyAlignment="1">
      <alignment horizontal="left"/>
    </xf>
    <xf numFmtId="0" fontId="7" fillId="0" borderId="51" xfId="0" applyFont="1" applyBorder="1" applyAlignment="1">
      <alignment horizontal="center"/>
    </xf>
    <xf numFmtId="0" fontId="7" fillId="0" borderId="43" xfId="0" applyFont="1" applyBorder="1" applyAlignment="1">
      <alignment horizontal="center"/>
    </xf>
    <xf numFmtId="0" fontId="7" fillId="0" borderId="61" xfId="0" applyFont="1" applyBorder="1" applyAlignment="1">
      <alignment horizontal="center"/>
    </xf>
    <xf numFmtId="0" fontId="7" fillId="0" borderId="21" xfId="0" applyFont="1" applyBorder="1" applyAlignment="1">
      <alignment horizontal="center"/>
    </xf>
    <xf numFmtId="0" fontId="7" fillId="0" borderId="13" xfId="0" applyFont="1" applyBorder="1" applyAlignment="1">
      <alignment horizontal="center"/>
    </xf>
    <xf numFmtId="0" fontId="7" fillId="0" borderId="14" xfId="0" applyFont="1" applyBorder="1" applyAlignment="1">
      <alignment horizontal="center"/>
    </xf>
    <xf numFmtId="0" fontId="7" fillId="0" borderId="15" xfId="0" applyFont="1" applyBorder="1" applyAlignment="1">
      <alignment horizontal="center"/>
    </xf>
    <xf numFmtId="0" fontId="28" fillId="0" borderId="0" xfId="0" applyFont="1" applyAlignment="1">
      <alignment horizontal="left"/>
    </xf>
    <xf numFmtId="0" fontId="7" fillId="0" borderId="13" xfId="0" applyFont="1" applyBorder="1" applyAlignment="1">
      <alignment horizontal="left"/>
    </xf>
  </cellXfs>
  <cellStyles count="5">
    <cellStyle name="Comma" xfId="1" builtinId="3"/>
    <cellStyle name="Hyperlink 2" xfId="4" xr:uid="{B2B79867-5E38-48A5-824C-1BDE7DB9933D}"/>
    <cellStyle name="Normal" xfId="0" builtinId="0"/>
    <cellStyle name="Normal 10" xfId="3" xr:uid="{55C61030-388F-419F-9507-43EEACD2AEF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F11A1-8909-47DD-8585-DE88D8F4E585}">
  <dimension ref="C2:H20"/>
  <sheetViews>
    <sheetView workbookViewId="0">
      <selection activeCell="C4" sqref="C4"/>
    </sheetView>
  </sheetViews>
  <sheetFormatPr defaultColWidth="8.85546875" defaultRowHeight="18.75" x14ac:dyDescent="0.3"/>
  <cols>
    <col min="1" max="1" width="3.85546875" style="543" customWidth="1"/>
    <col min="2" max="2" width="3.7109375" style="543" customWidth="1"/>
    <col min="3" max="3" width="130.28515625" style="542" customWidth="1"/>
    <col min="4" max="16384" width="8.85546875" style="543"/>
  </cols>
  <sheetData>
    <row r="2" spans="3:8" x14ac:dyDescent="0.3">
      <c r="D2" s="543" t="s">
        <v>628</v>
      </c>
    </row>
    <row r="3" spans="3:8" x14ac:dyDescent="0.3">
      <c r="D3" s="543" t="s">
        <v>629</v>
      </c>
    </row>
    <row r="4" spans="3:8" x14ac:dyDescent="0.3">
      <c r="C4" s="542" t="s">
        <v>627</v>
      </c>
      <c r="D4" s="543" t="s">
        <v>435</v>
      </c>
    </row>
    <row r="5" spans="3:8" x14ac:dyDescent="0.3">
      <c r="D5" s="543" t="s">
        <v>111</v>
      </c>
    </row>
    <row r="6" spans="3:8" ht="37.5" x14ac:dyDescent="0.3">
      <c r="C6" s="542" t="s">
        <v>620</v>
      </c>
      <c r="D6" s="543" t="s">
        <v>630</v>
      </c>
      <c r="H6" s="543" t="s">
        <v>626</v>
      </c>
    </row>
    <row r="7" spans="3:8" x14ac:dyDescent="0.3">
      <c r="D7" s="543" t="s">
        <v>631</v>
      </c>
    </row>
    <row r="8" spans="3:8" ht="75" x14ac:dyDescent="0.3">
      <c r="C8" s="542" t="s">
        <v>621</v>
      </c>
      <c r="D8" s="543" t="s">
        <v>632</v>
      </c>
    </row>
    <row r="9" spans="3:8" x14ac:dyDescent="0.3">
      <c r="D9" s="543" t="s">
        <v>633</v>
      </c>
    </row>
    <row r="10" spans="3:8" ht="37.5" x14ac:dyDescent="0.3">
      <c r="C10" s="542" t="s">
        <v>622</v>
      </c>
    </row>
    <row r="12" spans="3:8" x14ac:dyDescent="0.3">
      <c r="C12" s="542" t="s">
        <v>623</v>
      </c>
    </row>
    <row r="14" spans="3:8" x14ac:dyDescent="0.3">
      <c r="C14" s="542" t="s">
        <v>624</v>
      </c>
    </row>
    <row r="15" spans="3:8" x14ac:dyDescent="0.3">
      <c r="C15" s="542" t="s">
        <v>625</v>
      </c>
    </row>
    <row r="17" spans="3:3" x14ac:dyDescent="0.3">
      <c r="C17" s="542" t="s">
        <v>653</v>
      </c>
    </row>
    <row r="18" spans="3:3" x14ac:dyDescent="0.3">
      <c r="C18" s="542" t="s">
        <v>652</v>
      </c>
    </row>
    <row r="20" spans="3:3" x14ac:dyDescent="0.3">
      <c r="C20" s="542" t="s">
        <v>651</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0233A-5D40-42AC-AC90-EBA0FF55D2F6}">
  <dimension ref="A2:AD76"/>
  <sheetViews>
    <sheetView zoomScale="90" zoomScaleNormal="90" workbookViewId="0">
      <selection activeCell="C20" sqref="C20"/>
    </sheetView>
  </sheetViews>
  <sheetFormatPr defaultColWidth="8.7109375" defaultRowHeight="15.75" x14ac:dyDescent="0.25"/>
  <cols>
    <col min="1" max="1" width="4.42578125" style="64" customWidth="1"/>
    <col min="2" max="2" width="8.140625" style="76" customWidth="1"/>
    <col min="3" max="3" width="9" style="76" customWidth="1"/>
    <col min="4" max="4" width="14.140625" style="64" customWidth="1"/>
    <col min="5" max="5" width="8.140625" style="64" customWidth="1"/>
    <col min="6" max="7" width="7.5703125" style="64" customWidth="1"/>
    <col min="8" max="8" width="11.5703125" style="64" customWidth="1"/>
    <col min="9" max="9" width="9.42578125" style="64" customWidth="1"/>
    <col min="10" max="11" width="10.85546875" style="64" customWidth="1"/>
    <col min="12" max="12" width="9.85546875" style="64" customWidth="1"/>
    <col min="13" max="13" width="13.28515625" style="78" customWidth="1"/>
    <col min="14" max="15" width="9.28515625" style="78" customWidth="1"/>
    <col min="16" max="16" width="9.42578125" style="78" customWidth="1"/>
    <col min="17" max="17" width="10.7109375" style="78" customWidth="1"/>
    <col min="18" max="18" width="5.42578125" style="78" customWidth="1"/>
    <col min="19" max="19" width="9.85546875" style="78" customWidth="1"/>
    <col min="20" max="20" width="9.140625" style="78" customWidth="1"/>
    <col min="21" max="21" width="10" style="78" customWidth="1"/>
    <col min="22" max="22" width="13.42578125" style="78" customWidth="1"/>
    <col min="23" max="23" width="9.85546875" style="78" customWidth="1"/>
    <col min="24" max="24" width="8.7109375" style="78"/>
    <col min="25" max="25" width="9.42578125" style="78" customWidth="1"/>
    <col min="26" max="26" width="1.5703125" style="78" customWidth="1"/>
    <col min="27" max="27" width="10.7109375" style="78" customWidth="1"/>
    <col min="28" max="28" width="11" style="64" customWidth="1"/>
    <col min="29" max="29" width="14.42578125" style="76" customWidth="1"/>
    <col min="30" max="30" width="12.42578125" style="64" customWidth="1"/>
    <col min="31" max="16384" width="8.7109375" style="64"/>
  </cols>
  <sheetData>
    <row r="2" spans="1:30" x14ac:dyDescent="0.25">
      <c r="C2" s="539" t="s">
        <v>634</v>
      </c>
    </row>
    <row r="3" spans="1:30" ht="16.5" thickBot="1" x14ac:dyDescent="0.3"/>
    <row r="4" spans="1:30" ht="16.5" thickBot="1" x14ac:dyDescent="0.3">
      <c r="B4" s="79" t="s">
        <v>0</v>
      </c>
      <c r="C4" s="80" t="s">
        <v>1</v>
      </c>
      <c r="D4" s="81" t="s">
        <v>2</v>
      </c>
      <c r="E4" s="81" t="s">
        <v>3</v>
      </c>
      <c r="F4" s="81" t="s">
        <v>4</v>
      </c>
      <c r="G4" s="81"/>
      <c r="H4" s="81" t="s">
        <v>5</v>
      </c>
      <c r="I4" s="80" t="s">
        <v>6</v>
      </c>
      <c r="J4" s="581" t="s">
        <v>7</v>
      </c>
      <c r="K4" s="584" t="s">
        <v>646</v>
      </c>
      <c r="L4" s="584" t="s">
        <v>8</v>
      </c>
      <c r="M4" s="582" t="s">
        <v>9</v>
      </c>
      <c r="N4" s="911" t="s">
        <v>306</v>
      </c>
      <c r="O4" s="912"/>
      <c r="P4" s="912"/>
      <c r="Q4" s="913"/>
      <c r="R4" s="541"/>
      <c r="S4" s="914" t="s">
        <v>37</v>
      </c>
      <c r="T4" s="915"/>
      <c r="U4" s="915"/>
      <c r="V4" s="916"/>
      <c r="W4" s="917" t="s">
        <v>315</v>
      </c>
      <c r="X4" s="144"/>
      <c r="Y4" s="144"/>
      <c r="Z4" s="145"/>
      <c r="AA4" s="155" t="s">
        <v>316</v>
      </c>
      <c r="AB4" s="538" t="s">
        <v>10</v>
      </c>
      <c r="AC4" s="64"/>
    </row>
    <row r="5" spans="1:30" ht="16.5" thickBot="1" x14ac:dyDescent="0.3">
      <c r="B5" s="82"/>
      <c r="C5" s="83" t="s">
        <v>11</v>
      </c>
      <c r="D5" s="537" t="s">
        <v>12</v>
      </c>
      <c r="E5" s="537"/>
      <c r="F5" s="537"/>
      <c r="G5" s="548" t="s">
        <v>83</v>
      </c>
      <c r="H5" s="537" t="s">
        <v>13</v>
      </c>
      <c r="I5" s="83" t="s">
        <v>14</v>
      </c>
      <c r="J5" s="115"/>
      <c r="K5" s="585"/>
      <c r="L5" s="585"/>
      <c r="M5" s="49"/>
      <c r="N5" s="131" t="s">
        <v>302</v>
      </c>
      <c r="O5" s="112" t="s">
        <v>303</v>
      </c>
      <c r="P5" s="112" t="s">
        <v>305</v>
      </c>
      <c r="Q5" s="112" t="s">
        <v>304</v>
      </c>
      <c r="R5" s="112"/>
      <c r="S5" s="131" t="s">
        <v>312</v>
      </c>
      <c r="T5" s="112" t="s">
        <v>314</v>
      </c>
      <c r="U5" s="112" t="s">
        <v>6</v>
      </c>
      <c r="V5" s="151" t="s">
        <v>313</v>
      </c>
      <c r="W5" s="918"/>
      <c r="X5" s="112" t="s">
        <v>307</v>
      </c>
      <c r="Y5" s="112" t="s">
        <v>310</v>
      </c>
      <c r="Z5" s="112"/>
      <c r="AA5" s="112" t="s">
        <v>95</v>
      </c>
      <c r="AB5" s="56" t="s">
        <v>15</v>
      </c>
      <c r="AC5" s="64"/>
    </row>
    <row r="6" spans="1:30" x14ac:dyDescent="0.25">
      <c r="B6" s="84">
        <v>2007</v>
      </c>
      <c r="C6" s="85" t="s">
        <v>16</v>
      </c>
      <c r="D6" s="46">
        <v>14380326</v>
      </c>
      <c r="E6" s="86">
        <v>1346</v>
      </c>
      <c r="F6" s="47">
        <v>4777</v>
      </c>
      <c r="G6" s="47" t="s">
        <v>107</v>
      </c>
      <c r="H6" s="46">
        <v>1087149</v>
      </c>
      <c r="I6" s="87">
        <v>190144</v>
      </c>
      <c r="J6" s="88">
        <v>1595000</v>
      </c>
      <c r="K6" s="587"/>
      <c r="L6" s="586">
        <f>SUM(J6*M6/2200)</f>
        <v>13887.592500000001</v>
      </c>
      <c r="M6" s="583">
        <v>19.1553</v>
      </c>
      <c r="N6" s="132">
        <v>7.9897999999999998</v>
      </c>
      <c r="O6" s="117">
        <v>2.7050000000000001</v>
      </c>
      <c r="P6" s="117">
        <v>5.8599999999999999E-2</v>
      </c>
      <c r="Q6" s="117">
        <v>8.4019999999999992</v>
      </c>
      <c r="R6" s="117" t="s">
        <v>311</v>
      </c>
      <c r="S6" s="146">
        <v>6079</v>
      </c>
      <c r="T6" s="126">
        <v>5780</v>
      </c>
      <c r="U6" s="126">
        <v>1957</v>
      </c>
      <c r="V6" s="126">
        <f>SUM(T6:U6)</f>
        <v>7737</v>
      </c>
      <c r="W6" s="126">
        <f>SUM(S6+T6+U6)</f>
        <v>13816</v>
      </c>
      <c r="X6" s="142">
        <v>42</v>
      </c>
      <c r="Y6" s="117"/>
      <c r="Z6" s="113"/>
      <c r="AA6" s="113"/>
      <c r="AB6" s="143">
        <v>170.68</v>
      </c>
      <c r="AC6" s="64"/>
      <c r="AD6"/>
    </row>
    <row r="7" spans="1:30" ht="16.5" thickBot="1" x14ac:dyDescent="0.3">
      <c r="A7" s="78">
        <f>SUM(S7)</f>
        <v>5526.4188999999997</v>
      </c>
      <c r="B7" s="84" t="s">
        <v>309</v>
      </c>
      <c r="C7" s="85"/>
      <c r="D7" s="47"/>
      <c r="E7" s="90"/>
      <c r="F7" s="47"/>
      <c r="G7" s="47"/>
      <c r="H7" s="47"/>
      <c r="I7" s="85"/>
      <c r="J7" s="84"/>
      <c r="K7" s="92"/>
      <c r="L7" s="586"/>
      <c r="M7" s="97"/>
      <c r="N7" s="133"/>
      <c r="O7" s="91"/>
      <c r="P7" s="91"/>
      <c r="Q7" s="91" t="s">
        <v>308</v>
      </c>
      <c r="R7" s="91" t="s">
        <v>308</v>
      </c>
      <c r="S7" s="102">
        <f t="shared" ref="S7:X7" si="0">SUM(S6*0.9091)</f>
        <v>5526.4188999999997</v>
      </c>
      <c r="T7" s="102">
        <f t="shared" si="0"/>
        <v>5254.598</v>
      </c>
      <c r="U7" s="102">
        <f t="shared" si="0"/>
        <v>1779.1087</v>
      </c>
      <c r="V7" s="102">
        <f t="shared" si="0"/>
        <v>7033.7066999999997</v>
      </c>
      <c r="W7" s="148">
        <f t="shared" si="0"/>
        <v>12560.125599999999</v>
      </c>
      <c r="X7" s="102">
        <f t="shared" si="0"/>
        <v>38.182200000000002</v>
      </c>
      <c r="Y7" s="102">
        <v>2292</v>
      </c>
      <c r="Z7" s="102"/>
      <c r="AA7" s="91"/>
      <c r="AB7" s="119"/>
      <c r="AC7" s="64"/>
      <c r="AD7"/>
    </row>
    <row r="8" spans="1:30" x14ac:dyDescent="0.25">
      <c r="B8" s="84">
        <v>2008</v>
      </c>
      <c r="C8" s="85">
        <v>3.85</v>
      </c>
      <c r="D8" s="46">
        <v>14307089</v>
      </c>
      <c r="E8" s="93">
        <v>1142</v>
      </c>
      <c r="F8" s="47">
        <v>4426</v>
      </c>
      <c r="G8" s="47"/>
      <c r="H8" s="46">
        <v>1280833</v>
      </c>
      <c r="I8" s="87">
        <v>42388</v>
      </c>
      <c r="J8" s="88">
        <v>1595000</v>
      </c>
      <c r="K8" s="587"/>
      <c r="L8" s="586">
        <f t="shared" ref="L8:L20" si="1">SUM(J8*M8/2200)</f>
        <v>14422.57</v>
      </c>
      <c r="M8" s="97">
        <v>19.8932</v>
      </c>
      <c r="N8" s="133"/>
      <c r="O8" s="91"/>
      <c r="P8" s="91"/>
      <c r="Q8" s="91"/>
      <c r="R8" s="91"/>
      <c r="S8" s="91"/>
      <c r="T8" s="91"/>
      <c r="U8" s="91"/>
      <c r="V8" s="91"/>
      <c r="W8" s="91"/>
      <c r="X8" s="91"/>
      <c r="Y8" s="91"/>
      <c r="Z8" s="91"/>
      <c r="AA8" s="91"/>
      <c r="AB8" s="92">
        <v>183.02</v>
      </c>
      <c r="AC8" s="64"/>
      <c r="AD8"/>
    </row>
    <row r="9" spans="1:30" x14ac:dyDescent="0.25">
      <c r="B9" s="84">
        <v>2009</v>
      </c>
      <c r="C9" s="85" t="s">
        <v>301</v>
      </c>
      <c r="D9" s="46">
        <v>13519178</v>
      </c>
      <c r="E9" s="90">
        <v>1041</v>
      </c>
      <c r="F9" s="47">
        <v>4647</v>
      </c>
      <c r="G9" s="47"/>
      <c r="H9" s="46">
        <v>1243833</v>
      </c>
      <c r="I9" s="87">
        <v>72535</v>
      </c>
      <c r="J9" s="88">
        <v>1595000</v>
      </c>
      <c r="K9" s="587"/>
      <c r="L9" s="586">
        <f t="shared" si="1"/>
        <v>14185.205</v>
      </c>
      <c r="M9" s="97">
        <v>19.565799999999999</v>
      </c>
      <c r="N9" s="133"/>
      <c r="O9" s="91"/>
      <c r="P9" s="91"/>
      <c r="Q9" s="91"/>
      <c r="R9" s="91"/>
      <c r="S9" s="91"/>
      <c r="T9" s="125"/>
      <c r="U9" s="91"/>
      <c r="V9" s="91"/>
      <c r="W9" s="91"/>
      <c r="X9" s="91"/>
      <c r="Y9" s="91"/>
      <c r="Z9" s="91"/>
      <c r="AA9" s="91"/>
      <c r="AB9" s="92">
        <v>178.25</v>
      </c>
      <c r="AC9" s="64"/>
      <c r="AD9"/>
    </row>
    <row r="10" spans="1:30" x14ac:dyDescent="0.25">
      <c r="B10" s="84"/>
      <c r="C10" s="85"/>
      <c r="D10" s="47"/>
      <c r="E10" s="86"/>
      <c r="F10" s="47"/>
      <c r="G10" s="47"/>
      <c r="H10" s="47"/>
      <c r="I10" s="85"/>
      <c r="J10" s="84"/>
      <c r="K10" s="92"/>
      <c r="L10" s="586"/>
      <c r="M10" s="97"/>
      <c r="N10" s="133"/>
      <c r="O10" s="91"/>
      <c r="P10" s="91"/>
      <c r="Q10" s="91"/>
      <c r="R10" s="91"/>
      <c r="S10" s="91"/>
      <c r="T10" s="91"/>
      <c r="U10" s="91"/>
      <c r="V10" s="91"/>
      <c r="W10" s="91"/>
      <c r="X10" s="91"/>
      <c r="Y10" s="91"/>
      <c r="Z10" s="91"/>
      <c r="AA10" s="91"/>
      <c r="AB10" s="92"/>
      <c r="AC10" s="64"/>
      <c r="AD10"/>
    </row>
    <row r="11" spans="1:30" x14ac:dyDescent="0.25">
      <c r="B11" s="84">
        <v>2010</v>
      </c>
      <c r="C11" s="85">
        <v>-9.85</v>
      </c>
      <c r="D11" s="46">
        <v>14155738</v>
      </c>
      <c r="E11" s="94">
        <v>1712</v>
      </c>
      <c r="F11" s="47">
        <v>4227</v>
      </c>
      <c r="G11" s="47"/>
      <c r="H11" s="46">
        <v>1164674</v>
      </c>
      <c r="I11" s="85">
        <v>25.946000000000002</v>
      </c>
      <c r="J11" s="88">
        <v>1595000</v>
      </c>
      <c r="K11" s="587"/>
      <c r="L11" s="586">
        <f t="shared" si="1"/>
        <v>12519.807500000001</v>
      </c>
      <c r="M11" s="97">
        <v>17.268699999999999</v>
      </c>
      <c r="N11" s="133"/>
      <c r="O11" s="91"/>
      <c r="P11" s="91"/>
      <c r="Q11" s="91"/>
      <c r="R11" s="91"/>
      <c r="S11" s="91"/>
      <c r="T11" s="91"/>
      <c r="U11" s="91"/>
      <c r="V11" s="91"/>
      <c r="W11" s="91"/>
      <c r="X11" s="91"/>
      <c r="Y11" s="91"/>
      <c r="Z11" s="91"/>
      <c r="AA11" s="91"/>
      <c r="AB11" s="92">
        <v>160.09</v>
      </c>
      <c r="AC11" s="64"/>
      <c r="AD11"/>
    </row>
    <row r="12" spans="1:30" x14ac:dyDescent="0.25">
      <c r="B12" s="84">
        <v>2011</v>
      </c>
      <c r="C12" s="85">
        <v>1.39</v>
      </c>
      <c r="D12" s="46">
        <v>16590076</v>
      </c>
      <c r="E12" s="94">
        <v>1363</v>
      </c>
      <c r="F12" s="47">
        <v>4288</v>
      </c>
      <c r="G12" s="47"/>
      <c r="H12" s="46">
        <v>1333951</v>
      </c>
      <c r="I12" s="87">
        <v>15458</v>
      </c>
      <c r="J12" s="88">
        <v>1624000</v>
      </c>
      <c r="K12" s="587"/>
      <c r="L12" s="586">
        <f t="shared" si="1"/>
        <v>14336.893454545456</v>
      </c>
      <c r="M12" s="97">
        <v>19.421900000000001</v>
      </c>
      <c r="N12" s="133"/>
      <c r="O12" s="91"/>
      <c r="P12" s="91"/>
      <c r="Q12" s="91"/>
      <c r="R12" s="91"/>
      <c r="S12" s="91"/>
      <c r="T12" s="91"/>
      <c r="U12" s="91"/>
      <c r="V12" s="91"/>
      <c r="W12" s="91"/>
      <c r="X12" s="91"/>
      <c r="Y12" s="91"/>
      <c r="Z12" s="91"/>
      <c r="AA12" s="91"/>
      <c r="AB12" s="92">
        <v>180.97</v>
      </c>
      <c r="AC12" s="64"/>
      <c r="AD12"/>
    </row>
    <row r="13" spans="1:30" x14ac:dyDescent="0.25">
      <c r="B13" s="84">
        <v>2012</v>
      </c>
      <c r="C13" s="85">
        <v>2.0299999999999998</v>
      </c>
      <c r="D13" s="46">
        <v>16678625</v>
      </c>
      <c r="E13" s="47">
        <v>1503</v>
      </c>
      <c r="F13" s="47">
        <v>3792</v>
      </c>
      <c r="G13" s="47"/>
      <c r="H13" s="46">
        <v>1167874</v>
      </c>
      <c r="I13" s="87">
        <v>50741</v>
      </c>
      <c r="J13" s="88">
        <v>1624000</v>
      </c>
      <c r="K13" s="587"/>
      <c r="L13" s="586">
        <f t="shared" si="1"/>
        <v>13853.458181818181</v>
      </c>
      <c r="M13" s="97">
        <v>18.766999999999999</v>
      </c>
      <c r="N13" s="133"/>
      <c r="O13" s="91"/>
      <c r="P13" s="91"/>
      <c r="Q13" s="91"/>
      <c r="R13" s="91"/>
      <c r="S13" s="91"/>
      <c r="T13" s="91"/>
      <c r="U13" s="91"/>
      <c r="V13" s="91"/>
      <c r="W13" s="91"/>
      <c r="X13" s="91"/>
      <c r="Y13" s="91"/>
      <c r="Z13" s="91"/>
      <c r="AA13" s="91"/>
      <c r="AB13" s="92">
        <v>174.25</v>
      </c>
      <c r="AC13" s="95"/>
      <c r="AD13"/>
    </row>
    <row r="14" spans="1:30" x14ac:dyDescent="0.25">
      <c r="B14" s="84">
        <v>2013</v>
      </c>
      <c r="C14" s="85">
        <v>0.96</v>
      </c>
      <c r="D14" s="46">
        <v>16924917</v>
      </c>
      <c r="E14" s="47">
        <v>1388</v>
      </c>
      <c r="F14" s="47">
        <v>4609</v>
      </c>
      <c r="G14" s="47"/>
      <c r="H14" s="46">
        <v>1227058</v>
      </c>
      <c r="I14" s="87">
        <v>54026</v>
      </c>
      <c r="J14" s="88">
        <v>1627500</v>
      </c>
      <c r="K14" s="587"/>
      <c r="L14" s="586">
        <f t="shared" si="1"/>
        <v>14306.760681818183</v>
      </c>
      <c r="M14" s="97">
        <v>19.339400000000001</v>
      </c>
      <c r="N14" s="133"/>
      <c r="O14" s="91"/>
      <c r="P14" s="91"/>
      <c r="Q14" s="91"/>
      <c r="R14" s="91"/>
      <c r="S14" s="91"/>
      <c r="T14" s="91"/>
      <c r="U14" s="91"/>
      <c r="V14" s="91"/>
      <c r="W14" s="91"/>
      <c r="X14" s="91"/>
      <c r="Y14" s="91"/>
      <c r="Z14" s="91"/>
      <c r="AA14" s="91"/>
      <c r="AB14" s="92">
        <v>179.25</v>
      </c>
      <c r="AC14" s="64"/>
    </row>
    <row r="15" spans="1:30" x14ac:dyDescent="0.25">
      <c r="B15" s="84">
        <v>2014</v>
      </c>
      <c r="C15" s="85">
        <v>16.190000000000001</v>
      </c>
      <c r="D15" s="46">
        <v>16447723</v>
      </c>
      <c r="E15" s="47">
        <v>1183</v>
      </c>
      <c r="F15" s="47">
        <v>4938</v>
      </c>
      <c r="G15" s="47"/>
      <c r="H15" s="46">
        <v>843459</v>
      </c>
      <c r="I15" s="87">
        <v>36111</v>
      </c>
      <c r="J15" s="88">
        <v>1627500</v>
      </c>
      <c r="K15" s="587"/>
      <c r="L15" s="586">
        <f t="shared" si="1"/>
        <v>11876.163409090908</v>
      </c>
      <c r="M15" s="97">
        <v>16.053799999999999</v>
      </c>
      <c r="N15" s="133"/>
      <c r="O15" s="91"/>
      <c r="P15" s="91"/>
      <c r="Q15" s="91"/>
      <c r="R15" s="91"/>
      <c r="S15" s="91"/>
      <c r="T15" s="91"/>
      <c r="U15" s="91"/>
      <c r="V15" s="91"/>
      <c r="W15" s="91"/>
      <c r="X15" s="91"/>
      <c r="Y15" s="91"/>
      <c r="Z15" s="91"/>
      <c r="AA15" s="91"/>
      <c r="AB15" s="96">
        <v>151.36000000000001</v>
      </c>
      <c r="AC15" s="64"/>
    </row>
    <row r="16" spans="1:30" x14ac:dyDescent="0.25">
      <c r="B16" s="84">
        <v>2015</v>
      </c>
      <c r="C16" s="97">
        <v>29.6</v>
      </c>
      <c r="D16" s="46">
        <v>16896530</v>
      </c>
      <c r="E16" s="47">
        <v>1544</v>
      </c>
      <c r="F16" s="47">
        <v>4496</v>
      </c>
      <c r="G16" s="47"/>
      <c r="H16" s="46">
        <v>504974</v>
      </c>
      <c r="I16" s="87">
        <v>7750</v>
      </c>
      <c r="J16" s="88">
        <v>1627500</v>
      </c>
      <c r="K16" s="587"/>
      <c r="L16" s="586">
        <f t="shared" si="1"/>
        <v>9976.6489772727273</v>
      </c>
      <c r="M16" s="97">
        <v>13.4861</v>
      </c>
      <c r="N16" s="133"/>
      <c r="O16" s="91"/>
      <c r="P16" s="91"/>
      <c r="Q16" s="91"/>
      <c r="R16" s="91"/>
      <c r="S16" s="91"/>
      <c r="T16" s="91"/>
      <c r="U16" s="91"/>
      <c r="V16" s="91"/>
      <c r="W16" s="91"/>
      <c r="X16" s="91"/>
      <c r="Y16" s="91"/>
      <c r="Z16" s="91"/>
      <c r="AA16" s="91"/>
      <c r="AB16" s="96">
        <v>130.79</v>
      </c>
      <c r="AC16" s="64"/>
    </row>
    <row r="17" spans="2:29" x14ac:dyDescent="0.25">
      <c r="B17" s="84">
        <v>2016</v>
      </c>
      <c r="C17" s="85">
        <v>23.34</v>
      </c>
      <c r="D17" s="46">
        <v>16709216</v>
      </c>
      <c r="E17" s="46">
        <v>1732</v>
      </c>
      <c r="F17" s="46">
        <v>3978</v>
      </c>
      <c r="G17" s="46"/>
      <c r="H17" s="46">
        <v>881930</v>
      </c>
      <c r="I17" s="85">
        <v>25215</v>
      </c>
      <c r="J17" s="88">
        <v>1811725</v>
      </c>
      <c r="K17" s="587"/>
      <c r="L17" s="586">
        <f t="shared" si="1"/>
        <v>12092.687917045454</v>
      </c>
      <c r="M17" s="97">
        <v>14.6843</v>
      </c>
      <c r="N17" s="133"/>
      <c r="O17" s="91"/>
      <c r="P17" s="91"/>
      <c r="Q17" s="91"/>
      <c r="R17" s="91"/>
      <c r="S17" s="91"/>
      <c r="T17" s="91"/>
      <c r="U17" s="91"/>
      <c r="V17" s="91"/>
      <c r="W17" s="91"/>
      <c r="X17" s="91"/>
      <c r="Y17" s="91"/>
      <c r="Z17" s="91"/>
      <c r="AA17" s="91"/>
      <c r="AB17" s="92">
        <v>138.63999999999999</v>
      </c>
      <c r="AC17" s="64"/>
    </row>
    <row r="18" spans="2:29" x14ac:dyDescent="0.25">
      <c r="B18" s="84">
        <v>2017</v>
      </c>
      <c r="C18" s="85">
        <v>3.38</v>
      </c>
      <c r="D18" s="46">
        <v>16601666</v>
      </c>
      <c r="E18" s="46">
        <v>1429</v>
      </c>
      <c r="F18" s="46">
        <v>3996</v>
      </c>
      <c r="G18" s="46"/>
      <c r="H18" s="46">
        <v>1364250</v>
      </c>
      <c r="I18" s="85">
        <v>57800</v>
      </c>
      <c r="J18" s="88">
        <v>1827238</v>
      </c>
      <c r="K18" s="587"/>
      <c r="L18" s="586">
        <f t="shared" si="1"/>
        <v>15372.636350272727</v>
      </c>
      <c r="M18" s="97">
        <v>18.508700000000001</v>
      </c>
      <c r="N18" s="133"/>
      <c r="O18" s="91"/>
      <c r="P18" s="91"/>
      <c r="Q18" s="91"/>
      <c r="R18" s="91"/>
      <c r="S18" s="91"/>
      <c r="T18" s="91"/>
      <c r="U18" s="91"/>
      <c r="V18" s="91"/>
      <c r="W18" s="91"/>
      <c r="X18" s="91"/>
      <c r="Y18" s="91"/>
      <c r="Z18" s="91"/>
      <c r="AA18" s="91"/>
      <c r="AB18" s="92">
        <v>165.79</v>
      </c>
      <c r="AC18" s="64"/>
    </row>
    <row r="19" spans="2:29" x14ac:dyDescent="0.25">
      <c r="B19" s="84"/>
      <c r="C19" s="85"/>
      <c r="D19" s="47"/>
      <c r="E19" s="47"/>
      <c r="F19" s="47"/>
      <c r="G19" s="47"/>
      <c r="H19" s="47"/>
      <c r="I19" s="85"/>
      <c r="J19" s="84"/>
      <c r="K19" s="92"/>
      <c r="L19" s="586"/>
      <c r="M19" s="97"/>
      <c r="N19" s="134"/>
      <c r="O19" s="121"/>
      <c r="P19" s="121"/>
      <c r="Q19" s="135"/>
      <c r="R19" s="150"/>
      <c r="S19" s="130"/>
      <c r="T19" s="121"/>
      <c r="U19" s="121"/>
      <c r="V19" s="121"/>
      <c r="W19" s="121"/>
      <c r="X19" s="121"/>
      <c r="Y19" s="121"/>
      <c r="Z19" s="121"/>
      <c r="AA19" s="97"/>
      <c r="AB19" s="119"/>
      <c r="AC19" s="64"/>
    </row>
    <row r="20" spans="2:29" x14ac:dyDescent="0.25">
      <c r="B20" s="84">
        <v>2018</v>
      </c>
      <c r="C20" s="85">
        <v>4.58</v>
      </c>
      <c r="D20" s="46">
        <v>16788006</v>
      </c>
      <c r="E20" s="46">
        <v>1688</v>
      </c>
      <c r="F20" s="46">
        <v>4511</v>
      </c>
      <c r="G20" s="46"/>
      <c r="H20" s="46">
        <v>1019875</v>
      </c>
      <c r="I20" s="85" t="s">
        <v>17</v>
      </c>
      <c r="J20" s="98">
        <v>1827238</v>
      </c>
      <c r="K20" s="588"/>
      <c r="L20" s="586">
        <f t="shared" si="1"/>
        <v>15180.527191454546</v>
      </c>
      <c r="M20" s="118">
        <v>18.2774</v>
      </c>
      <c r="N20" s="136">
        <v>6.5427</v>
      </c>
      <c r="O20" s="122"/>
      <c r="P20" s="124">
        <v>8.7999999999999995E-2</v>
      </c>
      <c r="Q20" s="137">
        <v>8.5619999999999994</v>
      </c>
      <c r="R20" s="117" t="s">
        <v>311</v>
      </c>
      <c r="S20" s="126">
        <v>7096</v>
      </c>
      <c r="T20" s="126">
        <v>5423</v>
      </c>
      <c r="U20" s="126">
        <v>1917</v>
      </c>
      <c r="V20" s="147">
        <f>SUM(T20+U20)</f>
        <v>7340</v>
      </c>
      <c r="W20" s="147">
        <f>SUM(S20++U20)</f>
        <v>9013</v>
      </c>
      <c r="X20" s="123">
        <v>73</v>
      </c>
      <c r="Y20" s="124">
        <v>640</v>
      </c>
      <c r="Z20" s="122"/>
      <c r="AA20" s="118"/>
      <c r="AB20" s="120">
        <v>158.41</v>
      </c>
      <c r="AC20" s="64"/>
    </row>
    <row r="21" spans="2:29" ht="16.5" thickBot="1" x14ac:dyDescent="0.3">
      <c r="B21" s="99" t="s">
        <v>308</v>
      </c>
      <c r="C21" s="100"/>
      <c r="D21" s="101"/>
      <c r="E21" s="101"/>
      <c r="F21" s="101"/>
      <c r="G21" s="101"/>
      <c r="H21" s="101"/>
      <c r="I21" s="100"/>
      <c r="J21" s="99"/>
      <c r="K21" s="103"/>
      <c r="L21" s="103"/>
      <c r="M21" s="129"/>
      <c r="N21" s="551"/>
      <c r="O21" s="552"/>
      <c r="P21" s="552"/>
      <c r="Q21" s="553" t="s">
        <v>308</v>
      </c>
      <c r="R21" s="102" t="s">
        <v>308</v>
      </c>
      <c r="S21" s="102">
        <f t="shared" ref="S21:Y21" si="2">SUM(S20*0.9091)</f>
        <v>6450.9736000000003</v>
      </c>
      <c r="T21" s="102">
        <f t="shared" si="2"/>
        <v>4930.0492999999997</v>
      </c>
      <c r="U21" s="102">
        <f t="shared" si="2"/>
        <v>1742.7447</v>
      </c>
      <c r="V21" s="102">
        <f t="shared" si="2"/>
        <v>6672.7939999999999</v>
      </c>
      <c r="W21" s="102">
        <f t="shared" si="2"/>
        <v>8193.7183000000005</v>
      </c>
      <c r="X21" s="102">
        <f t="shared" si="2"/>
        <v>66.3643</v>
      </c>
      <c r="Y21" s="102">
        <f t="shared" si="2"/>
        <v>581.82400000000007</v>
      </c>
      <c r="Z21" s="552"/>
      <c r="AA21" s="129"/>
      <c r="AB21" s="554"/>
      <c r="AC21" s="64"/>
    </row>
    <row r="22" spans="2:29" s="395" customFormat="1" ht="19.5" thickBot="1" x14ac:dyDescent="0.3">
      <c r="B22" s="596">
        <v>2020</v>
      </c>
      <c r="C22" s="597"/>
      <c r="D22" s="597">
        <v>14583015</v>
      </c>
      <c r="E22" s="597"/>
      <c r="F22" s="597"/>
      <c r="G22" s="598">
        <v>3000</v>
      </c>
      <c r="H22" s="597">
        <v>936752.50000000023</v>
      </c>
      <c r="I22" s="597">
        <v>36564</v>
      </c>
      <c r="J22" s="599">
        <v>1903000</v>
      </c>
      <c r="K22" s="600"/>
      <c r="L22" s="435"/>
      <c r="M22" s="601"/>
      <c r="N22" s="602"/>
      <c r="O22" s="601"/>
      <c r="P22" s="601"/>
      <c r="Q22" s="603"/>
      <c r="R22" s="603"/>
      <c r="S22" s="603"/>
      <c r="T22" s="603"/>
      <c r="U22" s="603"/>
      <c r="V22" s="603"/>
      <c r="W22" s="603"/>
      <c r="X22" s="603"/>
      <c r="Y22" s="603"/>
      <c r="Z22" s="601"/>
      <c r="AA22" s="601"/>
      <c r="AB22" s="604"/>
    </row>
    <row r="23" spans="2:29" s="395" customFormat="1" ht="19.5" thickBot="1" x14ac:dyDescent="0.3">
      <c r="B23" s="596"/>
      <c r="C23" s="597" t="s">
        <v>650</v>
      </c>
      <c r="D23" s="597"/>
      <c r="E23" s="597"/>
      <c r="F23" s="597"/>
      <c r="G23" s="598"/>
      <c r="H23" s="598">
        <v>93675</v>
      </c>
      <c r="I23" s="597">
        <v>5046</v>
      </c>
      <c r="J23" s="605">
        <f>SUM(D23:I23)</f>
        <v>98721</v>
      </c>
      <c r="K23" s="600"/>
      <c r="L23" s="435"/>
      <c r="M23" s="601"/>
      <c r="N23" s="602"/>
      <c r="O23" s="601"/>
      <c r="P23" s="601"/>
      <c r="Q23" s="603"/>
      <c r="R23" s="603"/>
      <c r="S23" s="603"/>
      <c r="T23" s="603"/>
      <c r="U23" s="603"/>
      <c r="V23" s="603"/>
      <c r="W23" s="603"/>
      <c r="X23" s="603"/>
      <c r="Y23" s="603"/>
      <c r="Z23" s="601"/>
      <c r="AA23" s="601"/>
      <c r="AB23" s="604"/>
    </row>
    <row r="24" spans="2:29" s="395" customFormat="1" ht="18.75" x14ac:dyDescent="0.25">
      <c r="B24" s="596"/>
      <c r="C24" s="597"/>
      <c r="D24" s="597"/>
      <c r="E24" s="597"/>
      <c r="F24" s="597"/>
      <c r="G24" s="598"/>
      <c r="H24" s="597"/>
      <c r="I24" s="597"/>
      <c r="J24" s="599"/>
      <c r="K24" s="600"/>
      <c r="L24" s="435"/>
      <c r="M24" s="601"/>
      <c r="N24" s="602"/>
      <c r="O24" s="601"/>
      <c r="P24" s="601"/>
      <c r="Q24" s="603"/>
      <c r="R24" s="603"/>
      <c r="S24" s="603"/>
      <c r="T24" s="603"/>
      <c r="U24" s="603"/>
      <c r="V24" s="603"/>
      <c r="W24" s="603"/>
      <c r="X24" s="603"/>
      <c r="Y24" s="603"/>
      <c r="Z24" s="601"/>
      <c r="AA24" s="601"/>
      <c r="AB24" s="604"/>
    </row>
    <row r="25" spans="2:29" s="589" customFormat="1" ht="19.5" thickBot="1" x14ac:dyDescent="0.35">
      <c r="B25" s="606" t="s">
        <v>598</v>
      </c>
      <c r="C25" s="607"/>
      <c r="D25" s="536">
        <v>6164</v>
      </c>
      <c r="E25" s="536"/>
      <c r="F25" s="536"/>
      <c r="G25" s="536">
        <v>27</v>
      </c>
      <c r="H25" s="536">
        <v>4981</v>
      </c>
      <c r="I25" s="607">
        <v>376</v>
      </c>
      <c r="J25" s="606"/>
      <c r="K25" s="608">
        <v>414</v>
      </c>
      <c r="L25" s="608"/>
      <c r="M25" s="609"/>
      <c r="N25" s="610"/>
      <c r="O25" s="609"/>
      <c r="P25" s="609"/>
      <c r="Q25" s="611"/>
      <c r="R25" s="611"/>
      <c r="S25" s="611"/>
      <c r="T25" s="611"/>
      <c r="U25" s="611"/>
      <c r="V25" s="611"/>
      <c r="W25" s="611"/>
      <c r="X25" s="611"/>
      <c r="Y25" s="611"/>
      <c r="Z25" s="609"/>
      <c r="AA25" s="609"/>
      <c r="AB25" s="612"/>
    </row>
    <row r="26" spans="2:29" s="589" customFormat="1" ht="19.5" thickBot="1" x14ac:dyDescent="0.35">
      <c r="B26" s="613" t="s">
        <v>350</v>
      </c>
      <c r="C26" s="614">
        <v>2020</v>
      </c>
      <c r="D26" s="615">
        <f>SUM(D25*0.9091)</f>
        <v>5603.6923999999999</v>
      </c>
      <c r="E26" s="615">
        <f t="shared" ref="E26:K26" si="3">SUM(E25*0.9091)</f>
        <v>0</v>
      </c>
      <c r="F26" s="615">
        <f t="shared" si="3"/>
        <v>0</v>
      </c>
      <c r="G26" s="615">
        <f>SUM(G25*0.9091)</f>
        <v>24.5457</v>
      </c>
      <c r="H26" s="615">
        <f>SUM(H25*0.9091)</f>
        <v>4528.2271000000001</v>
      </c>
      <c r="I26" s="615">
        <f t="shared" si="3"/>
        <v>341.82159999999999</v>
      </c>
      <c r="J26" s="615"/>
      <c r="K26" s="616">
        <f t="shared" si="3"/>
        <v>376.36740000000003</v>
      </c>
      <c r="L26" s="617">
        <f>SUM(D26:J26)</f>
        <v>10498.286799999998</v>
      </c>
      <c r="M26" s="618"/>
      <c r="N26" s="619"/>
      <c r="O26" s="618"/>
      <c r="P26" s="618"/>
      <c r="Q26" s="620"/>
      <c r="R26" s="620"/>
      <c r="S26" s="620"/>
      <c r="T26" s="620"/>
      <c r="U26" s="611"/>
      <c r="V26" s="611"/>
      <c r="W26" s="611"/>
      <c r="X26" s="611"/>
      <c r="Y26" s="611"/>
      <c r="Z26" s="609"/>
      <c r="AA26" s="609"/>
      <c r="AB26" s="612"/>
    </row>
    <row r="27" spans="2:29" s="589" customFormat="1" ht="18.75" x14ac:dyDescent="0.3">
      <c r="B27" s="606"/>
      <c r="C27" s="607" t="s">
        <v>647</v>
      </c>
      <c r="D27" s="621"/>
      <c r="E27" s="621"/>
      <c r="F27" s="621"/>
      <c r="G27" s="621"/>
      <c r="H27" s="621">
        <v>4528</v>
      </c>
      <c r="I27" s="621">
        <v>342</v>
      </c>
      <c r="J27" s="622"/>
      <c r="K27" s="608"/>
      <c r="L27" s="623">
        <f>SUM(H27:K27)</f>
        <v>4870</v>
      </c>
      <c r="M27" s="609"/>
      <c r="N27" s="610"/>
      <c r="O27" s="609"/>
      <c r="P27" s="609"/>
      <c r="Q27" s="611"/>
      <c r="R27" s="611"/>
      <c r="S27" s="611"/>
      <c r="T27" s="611"/>
      <c r="U27" s="611"/>
      <c r="V27" s="611"/>
      <c r="W27" s="611"/>
      <c r="X27" s="611"/>
      <c r="Y27" s="611"/>
      <c r="Z27" s="609"/>
      <c r="AA27" s="609"/>
      <c r="AB27" s="612"/>
    </row>
    <row r="28" spans="2:29" s="589" customFormat="1" ht="18.75" x14ac:dyDescent="0.3">
      <c r="B28" s="606" t="s">
        <v>649</v>
      </c>
      <c r="C28" s="607"/>
      <c r="D28" s="621"/>
      <c r="E28" s="621"/>
      <c r="F28" s="621"/>
      <c r="G28" s="621">
        <v>25</v>
      </c>
      <c r="H28" s="621"/>
      <c r="I28" s="621"/>
      <c r="J28" s="622"/>
      <c r="K28" s="608"/>
      <c r="L28" s="623">
        <f>SUM(G28:K28)</f>
        <v>25</v>
      </c>
      <c r="M28" s="609"/>
      <c r="N28" s="610"/>
      <c r="O28" s="609"/>
      <c r="P28" s="609"/>
      <c r="Q28" s="611"/>
      <c r="R28" s="611"/>
      <c r="S28" s="611"/>
      <c r="T28" s="611"/>
      <c r="U28" s="611"/>
      <c r="V28" s="611"/>
      <c r="W28" s="611"/>
      <c r="X28" s="611"/>
      <c r="Y28" s="611"/>
      <c r="Z28" s="609"/>
      <c r="AA28" s="609"/>
      <c r="AB28" s="612"/>
    </row>
    <row r="29" spans="2:29" s="589" customFormat="1" ht="18.75" x14ac:dyDescent="0.3">
      <c r="B29" s="606" t="s">
        <v>648</v>
      </c>
      <c r="C29" s="607"/>
      <c r="D29" s="621">
        <v>5604</v>
      </c>
      <c r="E29" s="621"/>
      <c r="F29" s="621"/>
      <c r="G29" s="621"/>
      <c r="H29" s="621"/>
      <c r="I29" s="621"/>
      <c r="J29" s="622"/>
      <c r="K29" s="608"/>
      <c r="L29" s="623">
        <f>SUM(D29:K29)</f>
        <v>5604</v>
      </c>
      <c r="M29" s="609"/>
      <c r="N29" s="610"/>
      <c r="O29" s="609"/>
      <c r="P29" s="609"/>
      <c r="Q29" s="611"/>
      <c r="R29" s="611"/>
      <c r="S29" s="611"/>
      <c r="T29" s="611"/>
      <c r="U29" s="611"/>
      <c r="V29" s="611"/>
      <c r="W29" s="611"/>
      <c r="X29" s="611"/>
      <c r="Y29" s="611"/>
      <c r="Z29" s="609"/>
      <c r="AA29" s="609"/>
      <c r="AB29" s="612"/>
    </row>
    <row r="30" spans="2:29" s="589" customFormat="1" ht="19.5" thickBot="1" x14ac:dyDescent="0.35">
      <c r="B30" s="606"/>
      <c r="C30" s="607"/>
      <c r="D30" s="621"/>
      <c r="E30" s="621"/>
      <c r="F30" s="621"/>
      <c r="G30" s="621"/>
      <c r="H30" s="621"/>
      <c r="I30" s="621"/>
      <c r="J30" s="622"/>
      <c r="K30" s="608"/>
      <c r="L30" s="623"/>
      <c r="M30" s="609"/>
      <c r="N30" s="610"/>
      <c r="O30" s="609"/>
      <c r="P30" s="609"/>
      <c r="Q30" s="611"/>
      <c r="R30" s="611"/>
      <c r="S30" s="611"/>
      <c r="T30" s="611"/>
      <c r="U30" s="611"/>
      <c r="V30" s="611"/>
      <c r="W30" s="611"/>
      <c r="X30" s="611"/>
      <c r="Y30" s="611"/>
      <c r="Z30" s="609"/>
      <c r="AA30" s="609"/>
      <c r="AB30" s="612"/>
    </row>
    <row r="31" spans="2:29" s="589" customFormat="1" ht="19.5" thickBot="1" x14ac:dyDescent="0.35">
      <c r="B31" s="606" t="s">
        <v>654</v>
      </c>
      <c r="C31" s="607" t="s">
        <v>655</v>
      </c>
      <c r="D31" s="536"/>
      <c r="E31" s="536">
        <f>SUM(0.05*36564)</f>
        <v>1828.2</v>
      </c>
      <c r="F31" s="536" t="s">
        <v>14</v>
      </c>
      <c r="G31" s="955">
        <f>SUM(E31*130,0)/1000000</f>
        <v>0.23766599999999999</v>
      </c>
      <c r="H31" s="955"/>
      <c r="I31" s="626" t="s">
        <v>656</v>
      </c>
      <c r="J31" s="624"/>
      <c r="K31" s="623"/>
      <c r="L31" s="608"/>
      <c r="M31" s="609"/>
      <c r="N31" s="610"/>
      <c r="O31" s="609"/>
      <c r="P31" s="609"/>
      <c r="Q31" s="611"/>
      <c r="R31" s="611"/>
      <c r="S31" s="611"/>
      <c r="T31" s="611"/>
      <c r="U31" s="611"/>
      <c r="V31" s="611"/>
      <c r="W31" s="611"/>
      <c r="X31" s="611"/>
      <c r="Y31" s="611"/>
      <c r="Z31" s="609"/>
      <c r="AA31" s="609"/>
      <c r="AB31" s="612"/>
    </row>
    <row r="32" spans="2:29" s="590" customFormat="1" ht="19.5" thickBot="1" x14ac:dyDescent="0.35">
      <c r="B32" s="606"/>
      <c r="C32" s="607"/>
      <c r="D32" s="625"/>
      <c r="E32" s="625"/>
      <c r="F32" s="625"/>
      <c r="G32" s="625"/>
      <c r="H32" s="625"/>
      <c r="I32" s="650"/>
      <c r="J32" s="651"/>
      <c r="K32" s="623"/>
      <c r="L32" s="608"/>
      <c r="M32" s="609"/>
      <c r="N32" s="610"/>
      <c r="O32" s="609"/>
      <c r="P32" s="609"/>
      <c r="Q32" s="611"/>
      <c r="R32" s="611"/>
      <c r="S32" s="611"/>
      <c r="T32" s="611"/>
      <c r="U32" s="611"/>
      <c r="V32" s="611"/>
      <c r="W32" s="611"/>
      <c r="X32" s="611"/>
      <c r="Y32" s="611"/>
      <c r="Z32" s="609"/>
      <c r="AA32" s="609"/>
      <c r="AB32" s="612"/>
    </row>
    <row r="33" spans="2:29" s="590" customFormat="1" ht="19.5" thickBot="1" x14ac:dyDescent="0.35">
      <c r="B33" s="606"/>
      <c r="C33" s="607"/>
      <c r="D33" s="625"/>
      <c r="E33" s="625"/>
      <c r="F33" s="625"/>
      <c r="G33" s="625"/>
      <c r="H33" s="625"/>
      <c r="I33" s="650"/>
      <c r="J33" s="651"/>
      <c r="K33" s="623"/>
      <c r="L33" s="608"/>
      <c r="M33" s="609"/>
      <c r="N33" s="610"/>
      <c r="O33" s="609"/>
      <c r="P33" s="609"/>
      <c r="Q33" s="611"/>
      <c r="R33" s="611"/>
      <c r="S33" s="611"/>
      <c r="T33" s="611"/>
      <c r="U33" s="611"/>
      <c r="V33" s="611"/>
      <c r="W33" s="611"/>
      <c r="X33" s="611"/>
      <c r="Y33" s="611"/>
      <c r="Z33" s="609"/>
      <c r="AA33" s="609"/>
      <c r="AB33" s="612"/>
    </row>
    <row r="34" spans="2:29" ht="16.5" thickBot="1" x14ac:dyDescent="0.3">
      <c r="B34" s="99" t="s">
        <v>18</v>
      </c>
      <c r="C34" s="100">
        <v>1</v>
      </c>
      <c r="D34" s="101">
        <v>2</v>
      </c>
      <c r="E34" s="101">
        <v>3</v>
      </c>
      <c r="F34" s="101">
        <v>4</v>
      </c>
      <c r="G34" s="101"/>
      <c r="H34" s="101">
        <v>5</v>
      </c>
      <c r="I34" s="100">
        <v>6</v>
      </c>
      <c r="J34" s="99">
        <v>7</v>
      </c>
      <c r="K34" s="103"/>
      <c r="L34" s="103">
        <v>8</v>
      </c>
      <c r="M34" s="129">
        <v>9</v>
      </c>
      <c r="N34" s="138"/>
      <c r="O34" s="102"/>
      <c r="P34" s="102"/>
      <c r="Q34" s="102"/>
      <c r="R34" s="102"/>
      <c r="S34" s="102"/>
      <c r="T34" s="102"/>
      <c r="U34" s="102"/>
      <c r="V34" s="102"/>
      <c r="W34" s="102"/>
      <c r="X34" s="102"/>
      <c r="Y34" s="102"/>
      <c r="Z34" s="102"/>
      <c r="AA34" s="102"/>
      <c r="AB34" s="103">
        <v>10</v>
      </c>
      <c r="AC34" s="64"/>
    </row>
    <row r="35" spans="2:29" x14ac:dyDescent="0.25">
      <c r="D35" s="104"/>
      <c r="E35" s="76"/>
      <c r="F35" s="104"/>
      <c r="G35" s="104"/>
      <c r="H35" s="104"/>
      <c r="I35" s="104"/>
      <c r="J35" s="104"/>
      <c r="K35" s="104"/>
      <c r="L35" s="104"/>
      <c r="M35" s="105"/>
      <c r="N35" s="105"/>
      <c r="O35" s="105"/>
      <c r="P35" s="105"/>
      <c r="Q35" s="105"/>
      <c r="R35" s="105"/>
      <c r="S35" s="105"/>
      <c r="T35" s="105"/>
      <c r="U35" s="105"/>
      <c r="V35" s="105"/>
      <c r="W35" s="105"/>
      <c r="X35" s="105"/>
      <c r="Y35" s="105"/>
      <c r="Z35" s="105"/>
      <c r="AA35" s="105"/>
      <c r="AB35" s="104"/>
      <c r="AC35" s="104"/>
    </row>
    <row r="36" spans="2:29" ht="15.6" customHeight="1" x14ac:dyDescent="0.25">
      <c r="B36" s="76">
        <v>1</v>
      </c>
      <c r="C36" s="909" t="s">
        <v>19</v>
      </c>
      <c r="D36" s="909"/>
      <c r="E36" s="909"/>
      <c r="F36" s="909"/>
      <c r="G36" s="909"/>
      <c r="H36" s="909"/>
      <c r="I36" s="909"/>
      <c r="J36" s="909"/>
      <c r="K36" s="909"/>
      <c r="L36" s="909"/>
      <c r="M36" s="909"/>
      <c r="N36" s="909"/>
      <c r="O36" s="909"/>
      <c r="P36" s="909"/>
      <c r="Q36" s="909"/>
      <c r="R36" s="909"/>
      <c r="S36" s="909"/>
      <c r="T36" s="909"/>
      <c r="U36" s="909"/>
      <c r="V36" s="909"/>
      <c r="W36" s="909"/>
      <c r="X36" s="909"/>
      <c r="Y36" s="909"/>
      <c r="Z36" s="909"/>
      <c r="AA36" s="909"/>
      <c r="AB36" s="909"/>
    </row>
    <row r="37" spans="2:29" x14ac:dyDescent="0.25">
      <c r="C37" s="104"/>
      <c r="D37" s="76"/>
      <c r="E37" s="104"/>
      <c r="F37" s="104"/>
      <c r="G37" s="104"/>
      <c r="H37" s="104"/>
      <c r="I37" s="104"/>
      <c r="J37" s="104"/>
      <c r="K37" s="104"/>
      <c r="L37" s="105"/>
      <c r="M37" s="104"/>
      <c r="N37" s="104"/>
      <c r="O37" s="104"/>
      <c r="P37" s="104"/>
      <c r="Q37" s="104"/>
      <c r="R37" s="104"/>
      <c r="S37" s="126">
        <v>4930</v>
      </c>
      <c r="T37" s="126">
        <v>1743</v>
      </c>
      <c r="U37" s="139">
        <f>SUM(S37:T37)</f>
        <v>6673</v>
      </c>
      <c r="V37" s="139"/>
      <c r="W37" s="139"/>
      <c r="X37" s="104"/>
      <c r="Y37" s="104"/>
      <c r="Z37" s="104"/>
      <c r="AA37" s="104"/>
      <c r="AB37" s="104"/>
    </row>
    <row r="38" spans="2:29" ht="49.5" customHeight="1" x14ac:dyDescent="0.25">
      <c r="B38" s="76">
        <v>2</v>
      </c>
      <c r="C38" s="909" t="s">
        <v>20</v>
      </c>
      <c r="D38" s="909"/>
      <c r="E38" s="909"/>
      <c r="F38" s="909"/>
      <c r="G38" s="909"/>
      <c r="H38" s="909"/>
      <c r="I38" s="909"/>
      <c r="J38" s="909"/>
      <c r="K38" s="909"/>
      <c r="L38" s="909"/>
      <c r="M38" s="909"/>
      <c r="N38" s="909"/>
      <c r="O38" s="909"/>
      <c r="P38" s="909"/>
      <c r="Q38" s="909"/>
      <c r="R38" s="909"/>
      <c r="S38" s="909"/>
      <c r="T38" s="909"/>
      <c r="U38" s="909"/>
      <c r="V38" s="909"/>
      <c r="W38" s="909"/>
      <c r="X38" s="909"/>
      <c r="Y38" s="909"/>
      <c r="Z38" s="909"/>
      <c r="AA38" s="909"/>
      <c r="AB38" s="909"/>
    </row>
    <row r="39" spans="2:29" x14ac:dyDescent="0.25">
      <c r="C39" s="104"/>
      <c r="D39" s="76"/>
      <c r="E39" s="104"/>
      <c r="F39" s="104"/>
      <c r="G39" s="104"/>
      <c r="H39" s="104"/>
      <c r="I39" s="104"/>
      <c r="J39" s="104"/>
      <c r="K39" s="104"/>
      <c r="L39" s="105"/>
      <c r="M39" s="104"/>
      <c r="N39" s="104"/>
      <c r="O39" s="104"/>
      <c r="P39" s="104"/>
      <c r="Q39" s="104"/>
      <c r="R39" s="104"/>
      <c r="S39" s="104"/>
      <c r="T39" s="104"/>
      <c r="U39" s="104"/>
      <c r="V39" s="104"/>
      <c r="W39" s="104"/>
      <c r="X39" s="104"/>
      <c r="Y39" s="104"/>
      <c r="Z39" s="104"/>
      <c r="AA39" s="104"/>
      <c r="AB39" s="104"/>
    </row>
    <row r="40" spans="2:29" x14ac:dyDescent="0.25">
      <c r="B40" s="76">
        <v>3</v>
      </c>
      <c r="C40" s="539" t="s">
        <v>21</v>
      </c>
      <c r="D40" s="539"/>
      <c r="E40" s="539"/>
      <c r="F40" s="539"/>
      <c r="G40" s="549"/>
      <c r="H40" s="539"/>
      <c r="I40" s="539"/>
      <c r="J40" s="539"/>
      <c r="K40" s="580"/>
      <c r="L40" s="539"/>
      <c r="M40" s="539"/>
      <c r="N40" s="539"/>
      <c r="O40" s="539"/>
      <c r="P40" s="539"/>
      <c r="Q40" s="539"/>
      <c r="R40" s="539"/>
      <c r="S40" s="539"/>
      <c r="T40" s="539"/>
      <c r="U40" s="539"/>
      <c r="V40" s="539"/>
      <c r="W40" s="539"/>
      <c r="X40" s="539"/>
      <c r="Y40" s="539"/>
      <c r="Z40" s="539"/>
      <c r="AA40" s="539"/>
      <c r="AB40" s="539"/>
    </row>
    <row r="41" spans="2:29" x14ac:dyDescent="0.25">
      <c r="C41" s="64"/>
      <c r="L41" s="78"/>
      <c r="M41" s="64"/>
      <c r="N41" s="64"/>
      <c r="O41" s="64"/>
      <c r="P41" s="64"/>
      <c r="Q41" s="64"/>
      <c r="R41" s="64"/>
      <c r="S41" s="64"/>
      <c r="T41" s="64"/>
      <c r="U41" s="64"/>
      <c r="V41" s="64"/>
      <c r="W41" s="64"/>
      <c r="X41" s="64"/>
      <c r="Y41" s="64"/>
      <c r="Z41" s="64"/>
      <c r="AA41" s="64"/>
      <c r="AB41" s="76"/>
    </row>
    <row r="42" spans="2:29" ht="20.45" customHeight="1" x14ac:dyDescent="0.25">
      <c r="B42" s="76">
        <v>4</v>
      </c>
      <c r="C42" s="908" t="s">
        <v>22</v>
      </c>
      <c r="D42" s="908"/>
      <c r="E42" s="908"/>
      <c r="F42" s="908"/>
      <c r="G42" s="908"/>
      <c r="H42" s="908"/>
      <c r="I42" s="908"/>
      <c r="J42" s="908"/>
      <c r="K42" s="908"/>
      <c r="L42" s="908"/>
      <c r="M42" s="908"/>
      <c r="N42" s="908"/>
      <c r="O42" s="908"/>
      <c r="P42" s="908"/>
      <c r="Q42" s="908"/>
      <c r="R42" s="908"/>
      <c r="S42" s="908"/>
      <c r="T42" s="908"/>
      <c r="U42" s="908"/>
      <c r="V42" s="908"/>
      <c r="W42" s="908"/>
      <c r="X42" s="908"/>
      <c r="Y42" s="908"/>
      <c r="Z42" s="908"/>
      <c r="AA42" s="908"/>
      <c r="AB42" s="908"/>
    </row>
    <row r="43" spans="2:29" ht="29.45" customHeight="1" x14ac:dyDescent="0.25">
      <c r="C43" s="540"/>
      <c r="D43" s="107"/>
      <c r="E43" s="540"/>
      <c r="F43" s="540"/>
      <c r="G43" s="550"/>
      <c r="H43" s="540"/>
      <c r="I43" s="540"/>
      <c r="J43" s="540"/>
      <c r="K43" s="579"/>
      <c r="L43" s="108"/>
      <c r="M43" s="540"/>
      <c r="N43" s="540"/>
      <c r="O43" s="540"/>
      <c r="P43" s="540"/>
      <c r="Q43" s="540"/>
      <c r="R43" s="540"/>
      <c r="S43" s="540"/>
      <c r="T43" s="540"/>
      <c r="U43" s="540"/>
      <c r="V43" s="540"/>
      <c r="W43" s="540"/>
      <c r="X43" s="540"/>
      <c r="Y43" s="540"/>
      <c r="Z43" s="540"/>
      <c r="AA43" s="540"/>
      <c r="AB43" s="540"/>
    </row>
    <row r="44" spans="2:29" ht="86.1" customHeight="1" x14ac:dyDescent="0.25">
      <c r="B44" s="76">
        <v>5</v>
      </c>
      <c r="C44" s="909" t="s">
        <v>23</v>
      </c>
      <c r="D44" s="909"/>
      <c r="E44" s="909"/>
      <c r="F44" s="909"/>
      <c r="G44" s="909"/>
      <c r="H44" s="909"/>
      <c r="I44" s="909"/>
      <c r="J44" s="909"/>
      <c r="K44" s="909"/>
      <c r="L44" s="909"/>
      <c r="M44" s="909"/>
      <c r="N44" s="909"/>
      <c r="O44" s="909"/>
      <c r="P44" s="909"/>
      <c r="Q44" s="909"/>
      <c r="R44" s="909"/>
      <c r="S44" s="909"/>
      <c r="T44" s="909"/>
      <c r="U44" s="909"/>
      <c r="V44" s="909"/>
      <c r="W44" s="909"/>
      <c r="X44" s="909"/>
      <c r="Y44" s="909"/>
      <c r="Z44" s="909"/>
      <c r="AA44" s="909"/>
      <c r="AB44" s="909"/>
    </row>
    <row r="45" spans="2:29" ht="6.95" customHeight="1" x14ac:dyDescent="0.25">
      <c r="C45" s="540"/>
      <c r="D45" s="107"/>
      <c r="E45" s="540"/>
      <c r="F45" s="540"/>
      <c r="G45" s="550"/>
      <c r="H45" s="540"/>
      <c r="I45" s="540"/>
      <c r="J45" s="540"/>
      <c r="K45" s="579"/>
      <c r="L45" s="108"/>
      <c r="M45" s="540"/>
      <c r="N45" s="540"/>
      <c r="O45" s="540"/>
      <c r="P45" s="540"/>
      <c r="Q45" s="540"/>
      <c r="R45" s="540"/>
      <c r="S45" s="540"/>
      <c r="T45" s="540"/>
      <c r="U45" s="540"/>
      <c r="V45" s="540"/>
      <c r="W45" s="540"/>
      <c r="X45" s="540"/>
      <c r="Y45" s="540"/>
      <c r="Z45" s="540"/>
      <c r="AA45" s="540"/>
      <c r="AB45" s="540"/>
    </row>
    <row r="46" spans="2:29" ht="117" customHeight="1" x14ac:dyDescent="0.25">
      <c r="B46" s="76">
        <v>6</v>
      </c>
      <c r="C46" s="954" t="s">
        <v>24</v>
      </c>
      <c r="D46" s="954"/>
      <c r="E46" s="954"/>
      <c r="F46" s="954"/>
      <c r="G46" s="954"/>
      <c r="H46" s="954"/>
      <c r="I46" s="954"/>
      <c r="J46" s="954"/>
      <c r="K46" s="954"/>
      <c r="L46" s="954"/>
      <c r="M46" s="954"/>
      <c r="N46" s="954"/>
      <c r="O46" s="954"/>
      <c r="P46" s="954"/>
      <c r="Q46" s="954"/>
      <c r="R46" s="954"/>
      <c r="S46" s="954"/>
      <c r="T46" s="954"/>
      <c r="U46" s="954"/>
      <c r="V46" s="954"/>
      <c r="W46" s="954"/>
      <c r="X46" s="954"/>
      <c r="Y46" s="954"/>
      <c r="Z46" s="954"/>
      <c r="AA46" s="954"/>
      <c r="AB46" s="954"/>
    </row>
    <row r="47" spans="2:29" x14ac:dyDescent="0.25">
      <c r="C47" s="64"/>
      <c r="L47" s="78"/>
      <c r="M47" s="64"/>
      <c r="N47" s="64"/>
      <c r="O47" s="64"/>
      <c r="P47" s="64"/>
      <c r="Q47" s="64"/>
      <c r="R47" s="64"/>
      <c r="S47" s="64"/>
      <c r="T47" s="64"/>
      <c r="U47" s="64"/>
      <c r="V47" s="64"/>
      <c r="W47" s="64"/>
      <c r="X47" s="64"/>
      <c r="Y47" s="64"/>
      <c r="Z47" s="64"/>
      <c r="AA47" s="64"/>
      <c r="AB47" s="76"/>
    </row>
    <row r="48" spans="2:29" x14ac:dyDescent="0.25">
      <c r="B48" s="76">
        <v>7</v>
      </c>
      <c r="C48" s="907" t="s">
        <v>25</v>
      </c>
      <c r="D48" s="907"/>
      <c r="E48" s="907"/>
      <c r="F48" s="907"/>
      <c r="G48" s="907"/>
      <c r="H48" s="907"/>
      <c r="I48" s="907"/>
      <c r="J48" s="907"/>
      <c r="K48" s="907"/>
      <c r="L48" s="907"/>
      <c r="M48" s="907"/>
      <c r="N48" s="907"/>
      <c r="O48" s="907"/>
      <c r="P48" s="907"/>
      <c r="Q48" s="907"/>
      <c r="R48" s="907"/>
      <c r="S48" s="907"/>
      <c r="T48" s="907"/>
      <c r="U48" s="907"/>
      <c r="V48" s="907"/>
      <c r="W48" s="907"/>
      <c r="X48" s="907"/>
      <c r="Y48" s="907"/>
      <c r="Z48" s="907"/>
      <c r="AA48" s="907"/>
      <c r="AB48" s="907"/>
    </row>
    <row r="49" spans="1:28" x14ac:dyDescent="0.25">
      <c r="C49" s="64"/>
      <c r="L49" s="78"/>
      <c r="M49" s="64"/>
      <c r="N49" s="64"/>
      <c r="O49" s="64"/>
      <c r="P49" s="64"/>
      <c r="Q49" s="64"/>
      <c r="R49" s="64"/>
      <c r="S49" s="64"/>
      <c r="T49" s="64"/>
      <c r="U49" s="64"/>
      <c r="V49" s="64"/>
      <c r="W49" s="64"/>
      <c r="X49" s="64"/>
      <c r="Y49" s="64"/>
      <c r="Z49" s="64"/>
      <c r="AA49" s="64"/>
      <c r="AB49" s="76"/>
    </row>
    <row r="50" spans="1:28" ht="20.100000000000001" customHeight="1" x14ac:dyDescent="0.25">
      <c r="B50" s="76">
        <v>8</v>
      </c>
      <c r="C50" s="909" t="s">
        <v>26</v>
      </c>
      <c r="D50" s="909"/>
      <c r="E50" s="909"/>
      <c r="F50" s="909"/>
      <c r="G50" s="909"/>
      <c r="H50" s="909"/>
      <c r="I50" s="909"/>
      <c r="J50" s="909"/>
      <c r="K50" s="909"/>
      <c r="L50" s="909"/>
      <c r="M50" s="909"/>
      <c r="N50" s="909"/>
      <c r="O50" s="909"/>
      <c r="P50" s="909"/>
      <c r="Q50" s="909"/>
      <c r="R50" s="909"/>
      <c r="S50" s="909"/>
      <c r="T50" s="909"/>
      <c r="U50" s="909"/>
      <c r="V50" s="909"/>
      <c r="W50" s="909"/>
      <c r="X50" s="909"/>
      <c r="Y50" s="909"/>
      <c r="Z50" s="909"/>
      <c r="AA50" s="909"/>
      <c r="AB50" s="909"/>
    </row>
    <row r="51" spans="1:28" x14ac:dyDescent="0.25">
      <c r="C51" s="64"/>
      <c r="L51" s="78"/>
      <c r="M51" s="64"/>
      <c r="N51" s="64"/>
      <c r="O51" s="64"/>
      <c r="P51" s="64"/>
      <c r="Q51" s="64"/>
      <c r="R51" s="64"/>
      <c r="S51" s="64"/>
      <c r="T51" s="64"/>
      <c r="U51" s="64"/>
      <c r="V51" s="64"/>
      <c r="W51" s="64"/>
      <c r="X51" s="64"/>
      <c r="Y51" s="64"/>
      <c r="Z51" s="64"/>
      <c r="AA51" s="64"/>
      <c r="AB51" s="76"/>
    </row>
    <row r="52" spans="1:28" x14ac:dyDescent="0.25">
      <c r="B52" s="76">
        <v>9</v>
      </c>
      <c r="C52" s="910" t="s">
        <v>27</v>
      </c>
      <c r="D52" s="910"/>
      <c r="E52" s="910"/>
      <c r="F52" s="910"/>
      <c r="G52" s="910"/>
      <c r="H52" s="910"/>
      <c r="I52" s="910"/>
      <c r="J52" s="910"/>
      <c r="K52" s="910"/>
      <c r="L52" s="910"/>
      <c r="M52" s="910"/>
      <c r="N52" s="910"/>
      <c r="O52" s="910"/>
      <c r="P52" s="910"/>
      <c r="Q52" s="910"/>
      <c r="R52" s="910"/>
      <c r="S52" s="910"/>
      <c r="T52" s="910"/>
      <c r="U52" s="910"/>
      <c r="V52" s="910"/>
      <c r="W52" s="910"/>
      <c r="X52" s="910"/>
      <c r="Y52" s="910"/>
      <c r="Z52" s="910"/>
      <c r="AA52" s="910"/>
      <c r="AB52" s="910"/>
    </row>
    <row r="53" spans="1:28" x14ac:dyDescent="0.25">
      <c r="C53" s="907" t="s">
        <v>28</v>
      </c>
      <c r="D53" s="907"/>
      <c r="E53" s="907"/>
      <c r="F53" s="907"/>
      <c r="G53" s="907"/>
      <c r="H53" s="907"/>
      <c r="I53" s="907"/>
      <c r="J53" s="907"/>
      <c r="K53" s="907"/>
      <c r="L53" s="907"/>
      <c r="M53" s="907"/>
      <c r="N53" s="907"/>
      <c r="O53" s="907"/>
      <c r="P53" s="907"/>
      <c r="Q53" s="907"/>
      <c r="R53" s="907"/>
      <c r="S53" s="907"/>
      <c r="T53" s="907"/>
      <c r="U53" s="907"/>
      <c r="V53" s="907"/>
      <c r="W53" s="907"/>
      <c r="X53" s="907"/>
      <c r="Y53" s="907"/>
      <c r="Z53" s="907"/>
      <c r="AA53" s="907"/>
      <c r="AB53" s="907"/>
    </row>
    <row r="54" spans="1:28" x14ac:dyDescent="0.25">
      <c r="B54" s="76">
        <v>10</v>
      </c>
      <c r="C54" s="907"/>
      <c r="D54" s="907"/>
      <c r="E54" s="907"/>
      <c r="F54" s="907"/>
      <c r="G54" s="907"/>
      <c r="H54" s="907"/>
      <c r="I54" s="907"/>
      <c r="J54" s="907"/>
      <c r="K54" s="907"/>
      <c r="L54" s="907"/>
      <c r="M54" s="907"/>
      <c r="N54" s="907"/>
      <c r="O54" s="907"/>
      <c r="P54" s="907"/>
      <c r="Q54" s="907"/>
      <c r="R54" s="907"/>
      <c r="S54" s="907"/>
      <c r="T54" s="907"/>
      <c r="U54" s="907"/>
      <c r="V54" s="907"/>
      <c r="W54" s="907"/>
      <c r="X54" s="907"/>
      <c r="Y54" s="907"/>
      <c r="Z54" s="907"/>
      <c r="AA54" s="907"/>
      <c r="AB54" s="907"/>
    </row>
    <row r="55" spans="1:28" x14ac:dyDescent="0.25">
      <c r="C55" s="64"/>
      <c r="L55" s="78"/>
      <c r="M55" s="64"/>
      <c r="N55" s="64"/>
      <c r="O55" s="64"/>
      <c r="P55" s="64"/>
      <c r="Q55" s="64"/>
      <c r="R55" s="64"/>
      <c r="S55" s="64"/>
      <c r="T55" s="64"/>
      <c r="U55" s="64"/>
      <c r="V55" s="64"/>
      <c r="W55" s="64"/>
      <c r="X55" s="64"/>
      <c r="Y55" s="64"/>
      <c r="Z55" s="64"/>
      <c r="AA55" s="64"/>
      <c r="AB55" s="76"/>
    </row>
    <row r="56" spans="1:28" customFormat="1" ht="15" x14ac:dyDescent="0.25">
      <c r="B56" s="165" t="s">
        <v>345</v>
      </c>
      <c r="C56" s="166"/>
      <c r="D56" s="166"/>
      <c r="E56" s="166"/>
      <c r="F56" s="166"/>
      <c r="G56" s="166"/>
      <c r="H56" s="166"/>
      <c r="I56" s="166"/>
    </row>
    <row r="57" spans="1:28" customFormat="1" ht="15" x14ac:dyDescent="0.25">
      <c r="B57" s="165" t="s">
        <v>346</v>
      </c>
      <c r="C57" s="166"/>
      <c r="D57" s="166"/>
      <c r="E57" s="166"/>
      <c r="F57" s="166"/>
      <c r="G57" s="166"/>
      <c r="H57" s="166"/>
      <c r="I57" s="166"/>
    </row>
    <row r="58" spans="1:28" customFormat="1" ht="15" x14ac:dyDescent="0.25">
      <c r="B58" s="2"/>
    </row>
    <row r="59" spans="1:28" customFormat="1" ht="15" x14ac:dyDescent="0.25">
      <c r="A59" s="2"/>
      <c r="B59" s="2" t="s">
        <v>347</v>
      </c>
      <c r="C59" s="2"/>
      <c r="D59" s="2" t="s">
        <v>348</v>
      </c>
      <c r="E59" s="2" t="s">
        <v>349</v>
      </c>
      <c r="F59" s="2" t="s">
        <v>350</v>
      </c>
      <c r="G59" s="2"/>
      <c r="H59" s="2"/>
      <c r="I59" s="2"/>
      <c r="J59" s="2"/>
      <c r="K59" s="2"/>
    </row>
    <row r="60" spans="1:28" customFormat="1" ht="15" x14ac:dyDescent="0.25">
      <c r="B60" s="2"/>
      <c r="E60">
        <v>1.1000000000000001</v>
      </c>
    </row>
    <row r="61" spans="1:28" customFormat="1" ht="15" x14ac:dyDescent="0.25">
      <c r="B61" s="2" t="s">
        <v>351</v>
      </c>
      <c r="C61" t="s">
        <v>352</v>
      </c>
      <c r="D61">
        <v>7254</v>
      </c>
      <c r="F61">
        <v>7979</v>
      </c>
    </row>
    <row r="62" spans="1:28" customFormat="1" ht="15" x14ac:dyDescent="0.25">
      <c r="B62" s="2"/>
      <c r="C62" t="s">
        <v>353</v>
      </c>
      <c r="D62">
        <v>562</v>
      </c>
      <c r="F62">
        <v>618</v>
      </c>
    </row>
    <row r="63" spans="1:28" customFormat="1" ht="15" x14ac:dyDescent="0.25">
      <c r="B63" s="2"/>
    </row>
    <row r="64" spans="1:28" customFormat="1" ht="15" x14ac:dyDescent="0.25">
      <c r="B64" s="2" t="s">
        <v>354</v>
      </c>
      <c r="C64" t="s">
        <v>355</v>
      </c>
      <c r="D64">
        <v>7018</v>
      </c>
      <c r="F64">
        <v>7720</v>
      </c>
    </row>
    <row r="65" spans="2:7" customFormat="1" ht="15" x14ac:dyDescent="0.25">
      <c r="B65" s="2"/>
    </row>
    <row r="66" spans="2:7" customFormat="1" ht="15" x14ac:dyDescent="0.25">
      <c r="B66" s="2" t="s">
        <v>356</v>
      </c>
      <c r="D66">
        <v>431</v>
      </c>
      <c r="F66">
        <v>474</v>
      </c>
    </row>
    <row r="67" spans="2:7" customFormat="1" ht="15" x14ac:dyDescent="0.25">
      <c r="B67" s="2"/>
    </row>
    <row r="68" spans="2:7" customFormat="1" ht="15" x14ac:dyDescent="0.25">
      <c r="B68" s="2" t="s">
        <v>357</v>
      </c>
      <c r="D68">
        <v>77</v>
      </c>
      <c r="F68">
        <v>85</v>
      </c>
    </row>
    <row r="69" spans="2:7" customFormat="1" ht="15" x14ac:dyDescent="0.25">
      <c r="B69" s="2"/>
    </row>
    <row r="70" spans="2:7" customFormat="1" ht="15" x14ac:dyDescent="0.25">
      <c r="B70" s="2" t="s">
        <v>358</v>
      </c>
      <c r="C70" s="2"/>
      <c r="D70" s="2"/>
      <c r="F70">
        <v>1095</v>
      </c>
    </row>
    <row r="71" spans="2:7" customFormat="1" ht="15" x14ac:dyDescent="0.25">
      <c r="B71" s="2"/>
    </row>
    <row r="72" spans="2:7" customFormat="1" ht="15" x14ac:dyDescent="0.25">
      <c r="B72" s="2" t="s">
        <v>359</v>
      </c>
      <c r="F72">
        <v>1170</v>
      </c>
    </row>
    <row r="73" spans="2:7" customFormat="1" ht="15" x14ac:dyDescent="0.25">
      <c r="B73" s="2"/>
    </row>
    <row r="74" spans="2:7" customFormat="1" ht="15" x14ac:dyDescent="0.25">
      <c r="B74" s="2" t="s">
        <v>360</v>
      </c>
      <c r="F74" s="167">
        <f>SUM(F61:F73)</f>
        <v>19141</v>
      </c>
      <c r="G74" s="167"/>
    </row>
    <row r="75" spans="2:7" customFormat="1" ht="15" x14ac:dyDescent="0.25">
      <c r="B75" s="2"/>
    </row>
    <row r="76" spans="2:7" customFormat="1" ht="15" x14ac:dyDescent="0.25">
      <c r="B76" s="2"/>
    </row>
  </sheetData>
  <mergeCells count="13">
    <mergeCell ref="C53:AB54"/>
    <mergeCell ref="N4:Q4"/>
    <mergeCell ref="S4:V4"/>
    <mergeCell ref="W4:W5"/>
    <mergeCell ref="C36:AB36"/>
    <mergeCell ref="C38:AB38"/>
    <mergeCell ref="C42:AB42"/>
    <mergeCell ref="C44:AB44"/>
    <mergeCell ref="C46:AB46"/>
    <mergeCell ref="C48:AB48"/>
    <mergeCell ref="C50:AB50"/>
    <mergeCell ref="C52:AB52"/>
    <mergeCell ref="G31:H31"/>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76B05-B86F-4146-B6E5-68FF144A625B}">
  <dimension ref="B1:BJ71"/>
  <sheetViews>
    <sheetView topLeftCell="A4" workbookViewId="0">
      <selection activeCell="E51" sqref="E51"/>
    </sheetView>
  </sheetViews>
  <sheetFormatPr defaultColWidth="9.28515625" defaultRowHeight="15.75" x14ac:dyDescent="0.25"/>
  <cols>
    <col min="1" max="1" width="1.7109375" style="189" customWidth="1"/>
    <col min="2" max="2" width="18.42578125" style="353" customWidth="1"/>
    <col min="3" max="3" width="10.42578125" style="189" customWidth="1"/>
    <col min="4" max="4" width="23.42578125" style="189" customWidth="1"/>
    <col min="5" max="5" width="16" style="190" customWidth="1"/>
    <col min="6" max="6" width="13.28515625" style="190" customWidth="1"/>
    <col min="7" max="8" width="13.7109375" style="190" customWidth="1"/>
    <col min="9" max="9" width="14.7109375" style="190" customWidth="1"/>
    <col min="10" max="10" width="13.7109375" style="190" customWidth="1"/>
    <col min="11" max="11" width="11.42578125" style="190" customWidth="1"/>
    <col min="12" max="13" width="13.7109375" style="190" customWidth="1"/>
    <col min="14" max="14" width="9.28515625" style="190"/>
    <col min="15" max="15" width="13.5703125" style="190" customWidth="1"/>
    <col min="16" max="16" width="13.7109375" style="190" customWidth="1"/>
    <col min="17" max="17" width="10.7109375" style="190" customWidth="1"/>
    <col min="18" max="18" width="12" style="190" customWidth="1"/>
    <col min="19" max="19" width="10.42578125" style="190" customWidth="1"/>
    <col min="20" max="20" width="14" style="190" bestFit="1" customWidth="1"/>
    <col min="21" max="21" width="13.5703125" style="190" customWidth="1"/>
    <col min="22" max="22" width="13.7109375" style="190" customWidth="1"/>
    <col min="23" max="23" width="10.7109375" style="190" customWidth="1"/>
    <col min="24" max="24" width="9.7109375" style="190" customWidth="1"/>
    <col min="25" max="26" width="10.42578125" style="190" customWidth="1"/>
    <col min="27" max="27" width="19.7109375" style="190" customWidth="1"/>
    <col min="28" max="28" width="15.28515625" style="190" customWidth="1"/>
    <col min="29" max="29" width="9.42578125" style="190" customWidth="1"/>
    <col min="30" max="30" width="12.42578125" style="190" customWidth="1"/>
    <col min="31" max="31" width="10.28515625" style="190" customWidth="1"/>
    <col min="32" max="32" width="13.42578125" style="190" customWidth="1"/>
    <col min="33" max="33" width="13" style="190" customWidth="1"/>
    <col min="34" max="34" width="11.42578125" style="190" customWidth="1"/>
    <col min="35" max="36" width="11.28515625" style="190" customWidth="1"/>
    <col min="37" max="37" width="9.5703125" style="190" customWidth="1"/>
    <col min="38" max="38" width="13.42578125" style="205" customWidth="1"/>
    <col min="39" max="39" width="12.5703125" style="205" customWidth="1"/>
    <col min="40" max="41" width="10.7109375" style="190" customWidth="1"/>
    <col min="42" max="42" width="12.42578125" style="190" customWidth="1"/>
    <col min="43" max="43" width="3.28515625" style="190" customWidth="1"/>
    <col min="44" max="44" width="19.42578125" style="353" customWidth="1"/>
    <col min="45" max="45" width="6.5703125" style="189" customWidth="1"/>
    <col min="46" max="46" width="5.42578125" style="189" customWidth="1"/>
    <col min="47" max="47" width="15.42578125" style="190" customWidth="1"/>
    <col min="48" max="48" width="12.28515625" style="458" customWidth="1"/>
    <col min="49" max="49" width="9.42578125" style="190" customWidth="1"/>
    <col min="50" max="51" width="11.28515625" style="190" customWidth="1"/>
    <col min="52" max="52" width="12.5703125" style="190" customWidth="1"/>
    <col min="53" max="53" width="10.5703125" style="190" customWidth="1"/>
    <col min="54" max="54" width="12.28515625" style="190" customWidth="1"/>
    <col min="55" max="55" width="5" style="190" customWidth="1"/>
    <col min="56" max="56" width="13.7109375" style="204" customWidth="1"/>
    <col min="57" max="57" width="15.28515625" style="190" customWidth="1"/>
    <col min="58" max="58" width="9.42578125" style="189" customWidth="1"/>
    <col min="59" max="59" width="6.28515625" style="205" customWidth="1"/>
    <col min="60" max="60" width="13.5703125" style="190" customWidth="1"/>
    <col min="61" max="61" width="18.42578125" style="190" customWidth="1"/>
    <col min="62" max="62" width="14" style="190" customWidth="1"/>
    <col min="63" max="16384" width="9.28515625" style="189"/>
  </cols>
  <sheetData>
    <row r="1" spans="2:62" ht="16.5" thickBot="1" x14ac:dyDescent="0.3">
      <c r="B1" s="3" t="s">
        <v>376</v>
      </c>
      <c r="C1" s="188"/>
      <c r="G1" s="191"/>
      <c r="H1" s="191"/>
      <c r="I1" s="191"/>
      <c r="J1" s="191"/>
      <c r="K1" s="191"/>
      <c r="L1" s="191"/>
      <c r="M1" s="191"/>
      <c r="P1" s="191"/>
      <c r="Q1" s="192"/>
      <c r="R1" s="193"/>
      <c r="S1" s="191"/>
      <c r="T1" s="191"/>
      <c r="V1" s="191"/>
      <c r="W1" s="192"/>
      <c r="X1" s="193"/>
      <c r="Y1" s="194"/>
      <c r="Z1" s="191"/>
      <c r="AA1" s="191"/>
      <c r="AC1" s="195" t="s">
        <v>79</v>
      </c>
      <c r="AD1" s="196"/>
      <c r="AE1" s="197"/>
      <c r="AF1" s="198"/>
      <c r="AG1" s="199"/>
      <c r="AH1" s="197" t="s">
        <v>80</v>
      </c>
      <c r="AI1" s="197"/>
      <c r="AJ1" s="197"/>
      <c r="AK1" s="200"/>
      <c r="AL1" s="201"/>
      <c r="AM1" s="202" t="s">
        <v>81</v>
      </c>
      <c r="AN1" s="197"/>
      <c r="AO1" s="197"/>
      <c r="AP1" s="197"/>
      <c r="AQ1" s="191"/>
      <c r="AR1" s="3" t="s">
        <v>82</v>
      </c>
      <c r="AS1" s="188"/>
      <c r="BB1" s="203"/>
      <c r="BC1" s="203"/>
    </row>
    <row r="2" spans="2:62" ht="16.5" thickBot="1" x14ac:dyDescent="0.3">
      <c r="B2" s="3"/>
      <c r="C2" s="6"/>
      <c r="D2" s="6"/>
      <c r="E2" s="18"/>
      <c r="F2" s="921">
        <v>2019</v>
      </c>
      <c r="G2" s="922"/>
      <c r="H2" s="922"/>
      <c r="I2" s="922"/>
      <c r="J2" s="922"/>
      <c r="K2" s="922"/>
      <c r="L2" s="922"/>
      <c r="M2" s="922"/>
      <c r="N2" s="923"/>
      <c r="O2" s="924">
        <v>2018</v>
      </c>
      <c r="P2" s="924"/>
      <c r="Q2" s="924"/>
      <c r="R2" s="924"/>
      <c r="S2" s="924"/>
      <c r="T2" s="925"/>
      <c r="U2" s="926">
        <v>2017</v>
      </c>
      <c r="V2" s="924"/>
      <c r="W2" s="924"/>
      <c r="X2" s="924"/>
      <c r="Y2" s="924"/>
      <c r="Z2" s="925"/>
      <c r="AA2" s="455"/>
      <c r="AB2" s="926">
        <v>2016</v>
      </c>
      <c r="AC2" s="924"/>
      <c r="AD2" s="924"/>
      <c r="AE2" s="925"/>
      <c r="AF2" s="7">
        <v>2016</v>
      </c>
      <c r="AG2" s="8">
        <v>2015</v>
      </c>
      <c r="AH2" s="9">
        <v>2015</v>
      </c>
      <c r="AI2" s="10"/>
      <c r="AJ2" s="10">
        <v>2015</v>
      </c>
      <c r="AK2" s="11">
        <v>2015</v>
      </c>
      <c r="AL2" s="9">
        <v>2014</v>
      </c>
      <c r="AM2" s="9"/>
      <c r="AN2" s="10"/>
      <c r="AO2" s="10">
        <v>2014</v>
      </c>
      <c r="AP2" s="12" t="s">
        <v>83</v>
      </c>
      <c r="AQ2" s="13"/>
      <c r="AR2" s="3"/>
      <c r="AS2" s="6"/>
      <c r="AT2" s="6"/>
      <c r="AU2" s="18"/>
      <c r="AV2" s="14">
        <v>2013</v>
      </c>
      <c r="AW2" s="10">
        <v>2013</v>
      </c>
      <c r="AX2" s="15"/>
      <c r="AY2" s="15"/>
      <c r="AZ2" s="16"/>
      <c r="BA2" s="455">
        <v>2012</v>
      </c>
      <c r="BB2" s="17" t="s">
        <v>84</v>
      </c>
      <c r="BC2" s="18"/>
      <c r="BD2" s="18"/>
      <c r="BE2" s="18"/>
      <c r="BG2" s="19"/>
      <c r="BH2" s="18"/>
      <c r="BI2" s="18"/>
      <c r="BJ2" s="18"/>
    </row>
    <row r="3" spans="2:62" ht="16.5" customHeight="1" thickBot="1" x14ac:dyDescent="0.3">
      <c r="B3" s="206" t="s">
        <v>85</v>
      </c>
      <c r="C3" s="207" t="s">
        <v>86</v>
      </c>
      <c r="D3" s="207" t="s">
        <v>87</v>
      </c>
      <c r="E3" s="10"/>
      <c r="F3" s="26" t="s">
        <v>88</v>
      </c>
      <c r="G3" s="927" t="s">
        <v>89</v>
      </c>
      <c r="H3" s="927" t="s">
        <v>377</v>
      </c>
      <c r="I3" s="457" t="s">
        <v>378</v>
      </c>
      <c r="J3" s="22" t="s">
        <v>379</v>
      </c>
      <c r="K3" s="927" t="s">
        <v>391</v>
      </c>
      <c r="L3" s="927" t="s">
        <v>356</v>
      </c>
      <c r="M3" s="456"/>
      <c r="N3" s="927" t="s">
        <v>66</v>
      </c>
      <c r="O3" s="60" t="s">
        <v>88</v>
      </c>
      <c r="P3" s="22" t="s">
        <v>89</v>
      </c>
      <c r="Q3" s="23" t="s">
        <v>90</v>
      </c>
      <c r="R3" s="24" t="s">
        <v>91</v>
      </c>
      <c r="S3" s="22" t="s">
        <v>83</v>
      </c>
      <c r="T3" s="25" t="s">
        <v>92</v>
      </c>
      <c r="U3" s="26" t="s">
        <v>88</v>
      </c>
      <c r="V3" s="26" t="s">
        <v>89</v>
      </c>
      <c r="W3" s="27" t="s">
        <v>90</v>
      </c>
      <c r="X3" s="24" t="s">
        <v>91</v>
      </c>
      <c r="Y3" s="24" t="s">
        <v>84</v>
      </c>
      <c r="Z3" s="26" t="s">
        <v>83</v>
      </c>
      <c r="AA3" s="26"/>
      <c r="AB3" s="26" t="s">
        <v>88</v>
      </c>
      <c r="AC3" s="27" t="s">
        <v>90</v>
      </c>
      <c r="AD3" s="24" t="s">
        <v>91</v>
      </c>
      <c r="AE3" s="24" t="s">
        <v>84</v>
      </c>
      <c r="AF3" s="26" t="s">
        <v>83</v>
      </c>
      <c r="AG3" s="26" t="s">
        <v>88</v>
      </c>
      <c r="AH3" s="27" t="s">
        <v>93</v>
      </c>
      <c r="AI3" s="24" t="s">
        <v>91</v>
      </c>
      <c r="AJ3" s="24" t="s">
        <v>94</v>
      </c>
      <c r="AK3" s="22" t="s">
        <v>83</v>
      </c>
      <c r="AL3" s="28" t="s">
        <v>95</v>
      </c>
      <c r="AM3" s="27" t="s">
        <v>13</v>
      </c>
      <c r="AN3" s="24" t="s">
        <v>91</v>
      </c>
      <c r="AO3" s="24" t="s">
        <v>84</v>
      </c>
      <c r="AP3" s="26" t="s">
        <v>96</v>
      </c>
      <c r="AQ3" s="29"/>
      <c r="AR3" s="20" t="s">
        <v>85</v>
      </c>
      <c r="AS3" s="21" t="s">
        <v>86</v>
      </c>
      <c r="AT3" s="21" t="s">
        <v>87</v>
      </c>
      <c r="AU3" s="34"/>
      <c r="AV3" s="30" t="s">
        <v>93</v>
      </c>
      <c r="AW3" s="29" t="s">
        <v>91</v>
      </c>
      <c r="AX3" s="24" t="s">
        <v>84</v>
      </c>
      <c r="AY3" s="24" t="s">
        <v>83</v>
      </c>
      <c r="AZ3" s="31" t="s">
        <v>93</v>
      </c>
      <c r="BA3" s="31" t="s">
        <v>97</v>
      </c>
      <c r="BB3" s="31" t="s">
        <v>98</v>
      </c>
      <c r="BC3" s="31"/>
      <c r="BD3" s="26" t="s">
        <v>93</v>
      </c>
      <c r="BE3" s="26" t="s">
        <v>99</v>
      </c>
      <c r="BF3" s="32" t="s">
        <v>100</v>
      </c>
      <c r="BG3" s="33" t="s">
        <v>101</v>
      </c>
      <c r="BH3" s="26" t="s">
        <v>102</v>
      </c>
      <c r="BI3" s="34" t="s">
        <v>103</v>
      </c>
      <c r="BJ3" s="26" t="s">
        <v>104</v>
      </c>
    </row>
    <row r="4" spans="2:62" s="230" customFormat="1" x14ac:dyDescent="0.25">
      <c r="B4" s="208"/>
      <c r="C4" s="209"/>
      <c r="D4" s="209"/>
      <c r="E4" s="210"/>
      <c r="F4" s="211"/>
      <c r="G4" s="929"/>
      <c r="H4" s="928"/>
      <c r="I4" s="212" t="s">
        <v>380</v>
      </c>
      <c r="J4" s="50"/>
      <c r="K4" s="928"/>
      <c r="L4" s="928"/>
      <c r="M4" s="457"/>
      <c r="N4" s="928"/>
      <c r="O4" s="213"/>
      <c r="P4" s="211"/>
      <c r="Q4" s="214" t="s">
        <v>93</v>
      </c>
      <c r="R4" s="215" t="s">
        <v>105</v>
      </c>
      <c r="S4" s="216" t="s">
        <v>96</v>
      </c>
      <c r="T4" s="217">
        <v>503506</v>
      </c>
      <c r="U4" s="211"/>
      <c r="V4" s="211"/>
      <c r="W4" s="214" t="s">
        <v>93</v>
      </c>
      <c r="X4" s="215" t="s">
        <v>105</v>
      </c>
      <c r="Y4" s="218"/>
      <c r="Z4" s="216" t="s">
        <v>96</v>
      </c>
      <c r="AA4" s="216"/>
      <c r="AB4" s="211"/>
      <c r="AC4" s="214" t="s">
        <v>93</v>
      </c>
      <c r="AD4" s="215" t="s">
        <v>105</v>
      </c>
      <c r="AE4" s="218"/>
      <c r="AF4" s="216" t="s">
        <v>96</v>
      </c>
      <c r="AG4" s="211"/>
      <c r="AH4" s="214"/>
      <c r="AI4" s="219"/>
      <c r="AJ4" s="219" t="s">
        <v>13</v>
      </c>
      <c r="AK4" s="220"/>
      <c r="AL4" s="221"/>
      <c r="AM4" s="214"/>
      <c r="AN4" s="215" t="s">
        <v>106</v>
      </c>
      <c r="AO4" s="215" t="s">
        <v>93</v>
      </c>
      <c r="AP4" s="216"/>
      <c r="AQ4" s="222"/>
      <c r="AR4" s="208"/>
      <c r="AS4" s="209"/>
      <c r="AT4" s="209"/>
      <c r="AU4" s="210"/>
      <c r="AV4" s="223">
        <v>2013</v>
      </c>
      <c r="AW4" s="53">
        <v>2013</v>
      </c>
      <c r="AX4" s="218">
        <v>2013</v>
      </c>
      <c r="AY4" s="218" t="s">
        <v>107</v>
      </c>
      <c r="AZ4" s="224">
        <v>2012</v>
      </c>
      <c r="BA4" s="224">
        <v>2012</v>
      </c>
      <c r="BB4" s="224" t="s">
        <v>108</v>
      </c>
      <c r="BC4" s="224"/>
      <c r="BD4" s="225">
        <v>2011</v>
      </c>
      <c r="BE4" s="50" t="s">
        <v>109</v>
      </c>
      <c r="BF4" s="226">
        <v>2011</v>
      </c>
      <c r="BG4" s="214">
        <v>2011</v>
      </c>
      <c r="BH4" s="227">
        <v>2011</v>
      </c>
      <c r="BI4" s="228">
        <v>2012</v>
      </c>
      <c r="BJ4" s="229">
        <v>2013</v>
      </c>
    </row>
    <row r="5" spans="2:62" ht="16.5" thickBot="1" x14ac:dyDescent="0.3">
      <c r="B5" s="35" t="s">
        <v>110</v>
      </c>
      <c r="C5" s="231" t="s">
        <v>111</v>
      </c>
      <c r="D5" s="231"/>
      <c r="E5" s="191"/>
      <c r="F5" s="232"/>
      <c r="G5" s="191" t="s">
        <v>381</v>
      </c>
      <c r="H5" s="233">
        <v>842944</v>
      </c>
      <c r="I5" s="234">
        <v>67354</v>
      </c>
      <c r="J5" s="234"/>
      <c r="K5" s="234"/>
      <c r="L5" s="234"/>
      <c r="M5" s="234"/>
      <c r="N5" s="234"/>
      <c r="O5" s="235"/>
      <c r="P5" s="236" t="s">
        <v>112</v>
      </c>
      <c r="Q5" s="237">
        <v>503506</v>
      </c>
      <c r="R5" s="238">
        <v>194258</v>
      </c>
      <c r="S5" s="236"/>
      <c r="T5" s="37">
        <v>26807604</v>
      </c>
      <c r="U5" s="236"/>
      <c r="V5" s="236" t="s">
        <v>112</v>
      </c>
      <c r="W5" s="237">
        <v>847587</v>
      </c>
      <c r="X5" s="238">
        <v>54800</v>
      </c>
      <c r="Y5" s="238"/>
      <c r="Z5" s="236"/>
      <c r="AA5" s="236"/>
      <c r="AB5" s="236"/>
      <c r="AC5" s="237">
        <v>434216</v>
      </c>
      <c r="AD5" s="238">
        <v>0</v>
      </c>
      <c r="AE5" s="238">
        <v>452216</v>
      </c>
      <c r="AF5" s="236"/>
      <c r="AG5" s="236"/>
      <c r="AH5" s="237">
        <v>20082</v>
      </c>
      <c r="AI5" s="238">
        <v>0</v>
      </c>
      <c r="AJ5" s="238">
        <v>20082</v>
      </c>
      <c r="AK5" s="239"/>
      <c r="AL5" s="240"/>
      <c r="AM5" s="237">
        <v>415420</v>
      </c>
      <c r="AN5" s="238">
        <v>30860</v>
      </c>
      <c r="AO5" s="241">
        <v>452455</v>
      </c>
      <c r="AP5" s="232"/>
      <c r="AQ5" s="191"/>
      <c r="AR5" s="35" t="s">
        <v>110</v>
      </c>
      <c r="AS5" s="242" t="s">
        <v>111</v>
      </c>
      <c r="AT5" s="242"/>
      <c r="AU5" s="243"/>
      <c r="AV5" s="244">
        <v>852044</v>
      </c>
      <c r="AW5" s="245">
        <v>54026</v>
      </c>
      <c r="AX5" s="239" t="s">
        <v>113</v>
      </c>
      <c r="AY5" s="238"/>
      <c r="AZ5" s="238">
        <v>783031</v>
      </c>
      <c r="BA5" s="238">
        <v>50741</v>
      </c>
      <c r="BB5" s="238" t="s">
        <v>114</v>
      </c>
      <c r="BC5" s="238"/>
      <c r="BD5" s="246">
        <v>926143</v>
      </c>
      <c r="BE5" s="232" t="s">
        <v>114</v>
      </c>
      <c r="BF5" s="22">
        <v>15458</v>
      </c>
      <c r="BG5" s="247"/>
      <c r="BH5" s="236"/>
      <c r="BI5" s="243"/>
      <c r="BJ5" s="236"/>
    </row>
    <row r="6" spans="2:62" ht="47.25" x14ac:dyDescent="0.25">
      <c r="B6" s="38" t="s">
        <v>115</v>
      </c>
      <c r="C6" s="248" t="s">
        <v>116</v>
      </c>
      <c r="D6" s="249"/>
      <c r="E6" s="250" t="s">
        <v>117</v>
      </c>
      <c r="F6" s="251">
        <v>4814440</v>
      </c>
      <c r="G6" s="252"/>
      <c r="H6" s="253"/>
      <c r="I6" s="253"/>
      <c r="J6" s="253"/>
      <c r="K6" s="253"/>
      <c r="L6" s="253"/>
      <c r="M6" s="250"/>
      <c r="N6" s="254"/>
      <c r="O6" s="60">
        <v>4888560</v>
      </c>
      <c r="P6" s="22"/>
      <c r="Q6" s="255"/>
      <c r="R6" s="256"/>
      <c r="S6" s="232"/>
      <c r="T6" s="257">
        <f>SUM(T4:T5)</f>
        <v>27311110</v>
      </c>
      <c r="U6" s="22">
        <v>4487240</v>
      </c>
      <c r="V6" s="22"/>
      <c r="W6" s="255"/>
      <c r="X6" s="241"/>
      <c r="Y6" s="256" t="s">
        <v>118</v>
      </c>
      <c r="Z6" s="232"/>
      <c r="AA6" s="232"/>
      <c r="AB6" s="22">
        <v>4523640</v>
      </c>
      <c r="AC6" s="255"/>
      <c r="AD6" s="241">
        <v>18000</v>
      </c>
      <c r="AE6" s="241"/>
      <c r="AF6" s="232"/>
      <c r="AG6" s="22">
        <v>4689360</v>
      </c>
      <c r="AH6" s="258"/>
      <c r="AI6" s="241">
        <v>0</v>
      </c>
      <c r="AJ6" s="241"/>
      <c r="AK6" s="232"/>
      <c r="AL6" s="234">
        <v>4546560</v>
      </c>
      <c r="AM6" s="258"/>
      <c r="AN6" s="241"/>
      <c r="AO6" s="241"/>
      <c r="AP6" s="232"/>
      <c r="AQ6" s="191"/>
      <c r="AR6" s="38" t="s">
        <v>115</v>
      </c>
      <c r="AS6" s="39" t="s">
        <v>116</v>
      </c>
      <c r="AU6" s="26" t="s">
        <v>119</v>
      </c>
      <c r="AV6" s="259"/>
      <c r="AW6" s="191"/>
      <c r="AX6" s="241"/>
      <c r="AY6" s="241"/>
      <c r="AZ6" s="241"/>
      <c r="BA6" s="241"/>
      <c r="BB6" s="241">
        <v>843920</v>
      </c>
      <c r="BC6" s="241"/>
      <c r="BD6" s="260"/>
      <c r="BE6" s="232">
        <v>944693</v>
      </c>
      <c r="BF6" s="261"/>
      <c r="BG6" s="234">
        <v>4694800</v>
      </c>
      <c r="BH6" s="232"/>
      <c r="BI6" s="190">
        <v>4707400</v>
      </c>
      <c r="BJ6" s="232">
        <v>4391360</v>
      </c>
    </row>
    <row r="7" spans="2:62" ht="16.5" thickBot="1" x14ac:dyDescent="0.3">
      <c r="B7" s="39" t="s">
        <v>120</v>
      </c>
      <c r="C7" s="249"/>
      <c r="D7" s="249"/>
      <c r="E7" s="262"/>
      <c r="F7" s="263"/>
      <c r="G7" s="264"/>
      <c r="H7" s="233"/>
      <c r="I7" s="233"/>
      <c r="J7" s="233"/>
      <c r="K7" s="233"/>
      <c r="L7" s="233"/>
      <c r="M7" s="262"/>
      <c r="N7" s="265"/>
      <c r="O7" s="234"/>
      <c r="P7" s="232"/>
      <c r="Q7" s="258"/>
      <c r="R7" s="241"/>
      <c r="S7" s="232"/>
      <c r="T7" s="232"/>
      <c r="U7" s="232"/>
      <c r="V7" s="232"/>
      <c r="W7" s="258"/>
      <c r="X7" s="241"/>
      <c r="Y7" s="241"/>
      <c r="Z7" s="232"/>
      <c r="AA7" s="232"/>
      <c r="AB7" s="232"/>
      <c r="AC7" s="258"/>
      <c r="AD7" s="241"/>
      <c r="AE7" s="241"/>
      <c r="AF7" s="232"/>
      <c r="AG7" s="232"/>
      <c r="AH7" s="258"/>
      <c r="AI7" s="241"/>
      <c r="AJ7" s="241"/>
      <c r="AK7" s="232"/>
      <c r="AL7" s="266"/>
      <c r="AM7" s="258"/>
      <c r="AN7" s="241"/>
      <c r="AO7" s="241"/>
      <c r="AP7" s="232"/>
      <c r="AQ7" s="191"/>
      <c r="AR7" s="39" t="s">
        <v>120</v>
      </c>
      <c r="AS7" s="231"/>
      <c r="AT7" s="231"/>
      <c r="AU7" s="232"/>
      <c r="AV7" s="259"/>
      <c r="AW7" s="191"/>
      <c r="AX7" s="241"/>
      <c r="AY7" s="241"/>
      <c r="AZ7" s="241"/>
      <c r="BA7" s="241"/>
      <c r="BB7" s="241" t="s">
        <v>121</v>
      </c>
      <c r="BC7" s="241"/>
      <c r="BD7" s="260"/>
      <c r="BE7" s="232"/>
      <c r="BF7" s="261"/>
      <c r="BG7" s="266"/>
      <c r="BH7" s="232"/>
      <c r="BI7" s="191"/>
      <c r="BJ7" s="232"/>
    </row>
    <row r="8" spans="2:62" ht="16.5" thickBot="1" x14ac:dyDescent="0.3">
      <c r="B8" s="267" t="s">
        <v>122</v>
      </c>
      <c r="C8" s="249"/>
      <c r="D8" s="248" t="s">
        <v>123</v>
      </c>
      <c r="E8" s="250">
        <v>27024</v>
      </c>
      <c r="F8" s="251"/>
      <c r="G8" s="268" t="s">
        <v>124</v>
      </c>
      <c r="H8" s="269">
        <v>668</v>
      </c>
      <c r="I8" s="270"/>
      <c r="J8" s="270"/>
      <c r="K8" s="270"/>
      <c r="L8" s="270"/>
      <c r="M8" s="357"/>
      <c r="N8" s="254"/>
      <c r="O8" s="271"/>
      <c r="P8" s="272" t="s">
        <v>124</v>
      </c>
      <c r="Q8" s="273">
        <v>742</v>
      </c>
      <c r="R8" s="274"/>
      <c r="S8" s="274">
        <v>6500</v>
      </c>
      <c r="T8" s="274"/>
      <c r="U8" s="26"/>
      <c r="V8" s="272" t="s">
        <v>124</v>
      </c>
      <c r="W8" s="273">
        <v>742</v>
      </c>
      <c r="X8" s="274"/>
      <c r="Y8" s="194" t="s">
        <v>125</v>
      </c>
      <c r="Z8" s="274">
        <v>6548</v>
      </c>
      <c r="AA8" s="274" t="s">
        <v>126</v>
      </c>
      <c r="AB8" s="26">
        <v>243664</v>
      </c>
      <c r="AC8" s="273">
        <v>1941</v>
      </c>
      <c r="AD8" s="274"/>
      <c r="AE8" s="194">
        <v>11417</v>
      </c>
      <c r="AF8" s="274"/>
      <c r="AG8" s="26">
        <v>252588</v>
      </c>
      <c r="AH8" s="273">
        <v>1500</v>
      </c>
      <c r="AI8" s="275"/>
      <c r="AJ8" s="275">
        <v>509</v>
      </c>
      <c r="AK8" s="274"/>
      <c r="AL8" s="276">
        <v>244896.674</v>
      </c>
      <c r="AM8" s="273">
        <v>1596</v>
      </c>
      <c r="AN8" s="275"/>
      <c r="AO8" s="275">
        <v>11461</v>
      </c>
      <c r="AP8" s="274"/>
      <c r="AQ8" s="191"/>
      <c r="AR8" s="267" t="s">
        <v>122</v>
      </c>
      <c r="AS8" s="277"/>
      <c r="AT8" s="21" t="s">
        <v>123</v>
      </c>
      <c r="AU8" s="26">
        <v>23000</v>
      </c>
      <c r="AV8" s="278">
        <v>1800</v>
      </c>
      <c r="AW8" s="279"/>
      <c r="AX8" s="279"/>
      <c r="AY8" s="279"/>
      <c r="AZ8" s="279">
        <v>1688</v>
      </c>
      <c r="BA8" s="279"/>
      <c r="BB8" s="279">
        <v>21376</v>
      </c>
      <c r="BC8" s="279"/>
      <c r="BD8" s="280"/>
      <c r="BE8" s="274">
        <v>23929</v>
      </c>
      <c r="BF8" s="281"/>
      <c r="BG8" s="40"/>
      <c r="BH8" s="274">
        <v>211057</v>
      </c>
      <c r="BI8" s="279">
        <v>214369</v>
      </c>
      <c r="BJ8" s="279"/>
    </row>
    <row r="9" spans="2:62" x14ac:dyDescent="0.25">
      <c r="B9" s="282" t="s">
        <v>127</v>
      </c>
      <c r="C9" s="249"/>
      <c r="D9" s="248" t="s">
        <v>123</v>
      </c>
      <c r="E9" s="250">
        <v>24058</v>
      </c>
      <c r="F9" s="251"/>
      <c r="G9" s="252"/>
      <c r="H9" s="253"/>
      <c r="I9" s="253"/>
      <c r="J9" s="253"/>
      <c r="K9" s="253"/>
      <c r="L9" s="253"/>
      <c r="M9" s="250"/>
      <c r="N9" s="254"/>
      <c r="O9" s="60"/>
      <c r="P9" s="22"/>
      <c r="Q9" s="258" t="s">
        <v>128</v>
      </c>
      <c r="R9" s="232"/>
      <c r="S9" s="232">
        <v>2000</v>
      </c>
      <c r="T9" s="232"/>
      <c r="U9" s="22"/>
      <c r="V9" s="22"/>
      <c r="W9" s="258" t="s">
        <v>128</v>
      </c>
      <c r="X9" s="232"/>
      <c r="Y9" s="191" t="s">
        <v>129</v>
      </c>
      <c r="Z9" s="232">
        <v>2065</v>
      </c>
      <c r="AA9" s="232" t="s">
        <v>130</v>
      </c>
      <c r="AB9" s="22">
        <v>275444</v>
      </c>
      <c r="AC9" s="258" t="s">
        <v>128</v>
      </c>
      <c r="AD9" s="232"/>
      <c r="AE9" s="191">
        <v>12906</v>
      </c>
      <c r="AF9" s="232"/>
      <c r="AG9" s="22">
        <v>285535</v>
      </c>
      <c r="AH9" s="258" t="s">
        <v>128</v>
      </c>
      <c r="AI9" s="241"/>
      <c r="AJ9" s="241">
        <v>575</v>
      </c>
      <c r="AK9" s="232"/>
      <c r="AL9" s="283">
        <v>276839.71899999998</v>
      </c>
      <c r="AM9" s="258" t="s">
        <v>128</v>
      </c>
      <c r="AN9" s="241"/>
      <c r="AO9" s="241">
        <v>12956</v>
      </c>
      <c r="AP9" s="232"/>
      <c r="AQ9" s="191"/>
      <c r="AR9" s="282" t="s">
        <v>127</v>
      </c>
      <c r="AS9" s="231"/>
      <c r="AT9" s="39" t="s">
        <v>123</v>
      </c>
      <c r="AU9" s="22">
        <v>26000</v>
      </c>
      <c r="AV9" s="259"/>
      <c r="AW9" s="234"/>
      <c r="AX9" s="234"/>
      <c r="AY9" s="234"/>
      <c r="AZ9" s="234"/>
      <c r="BA9" s="234"/>
      <c r="BB9" s="234">
        <v>24164</v>
      </c>
      <c r="BC9" s="234"/>
      <c r="BD9" s="284"/>
      <c r="BE9" s="232">
        <v>27050</v>
      </c>
      <c r="BF9" s="285"/>
      <c r="BG9" s="191">
        <v>94320</v>
      </c>
      <c r="BH9" s="232">
        <v>94320</v>
      </c>
      <c r="BI9" s="234">
        <v>91960</v>
      </c>
      <c r="BJ9" s="234"/>
    </row>
    <row r="10" spans="2:62" x14ac:dyDescent="0.25">
      <c r="B10" s="282" t="s">
        <v>131</v>
      </c>
      <c r="C10" s="249"/>
      <c r="D10" s="248" t="s">
        <v>123</v>
      </c>
      <c r="E10" s="250">
        <v>53865</v>
      </c>
      <c r="F10" s="251"/>
      <c r="G10" s="252"/>
      <c r="H10" s="253"/>
      <c r="I10" s="253"/>
      <c r="J10" s="253"/>
      <c r="K10" s="253"/>
      <c r="L10" s="253"/>
      <c r="M10" s="250"/>
      <c r="N10" s="254"/>
      <c r="O10" s="60"/>
      <c r="P10" s="22"/>
      <c r="Q10" s="258" t="s">
        <v>132</v>
      </c>
      <c r="R10" s="232"/>
      <c r="S10" s="232"/>
      <c r="T10" s="232"/>
      <c r="U10" s="22"/>
      <c r="V10" s="22"/>
      <c r="W10" s="258" t="s">
        <v>132</v>
      </c>
      <c r="X10" s="232"/>
      <c r="Y10" s="191"/>
      <c r="Z10" s="232"/>
      <c r="AA10" s="232"/>
      <c r="AB10" s="22">
        <v>423760</v>
      </c>
      <c r="AC10" s="258" t="s">
        <v>132</v>
      </c>
      <c r="AD10" s="232"/>
      <c r="AE10" s="191">
        <v>19856</v>
      </c>
      <c r="AF10" s="232"/>
      <c r="AG10" s="22">
        <v>439284</v>
      </c>
      <c r="AH10" s="258" t="s">
        <v>133</v>
      </c>
      <c r="AI10" s="241"/>
      <c r="AJ10" s="241">
        <v>885</v>
      </c>
      <c r="AK10" s="232"/>
      <c r="AL10" s="283">
        <v>425907.26</v>
      </c>
      <c r="AM10" s="258" t="s">
        <v>134</v>
      </c>
      <c r="AN10" s="241"/>
      <c r="AO10" s="241">
        <v>19932</v>
      </c>
      <c r="AP10" s="232"/>
      <c r="AQ10" s="191"/>
      <c r="AR10" s="282" t="s">
        <v>131</v>
      </c>
      <c r="AS10" s="231"/>
      <c r="AT10" s="39" t="s">
        <v>123</v>
      </c>
      <c r="AU10" s="22">
        <v>40000</v>
      </c>
      <c r="AV10" s="259"/>
      <c r="AW10" s="234"/>
      <c r="AX10" s="234"/>
      <c r="AY10" s="234"/>
      <c r="AZ10" s="234"/>
      <c r="BA10" s="234"/>
      <c r="BB10" s="234">
        <v>37176</v>
      </c>
      <c r="BC10" s="234"/>
      <c r="BD10" s="284"/>
      <c r="BE10" s="232">
        <v>40616</v>
      </c>
      <c r="BF10" s="285"/>
      <c r="BG10" s="41"/>
      <c r="BH10" s="232">
        <v>529000</v>
      </c>
      <c r="BI10" s="234">
        <v>540634</v>
      </c>
      <c r="BJ10" s="234"/>
    </row>
    <row r="11" spans="2:62" x14ac:dyDescent="0.25">
      <c r="B11" s="282" t="s">
        <v>135</v>
      </c>
      <c r="C11" s="249" t="s">
        <v>136</v>
      </c>
      <c r="D11" s="248" t="s">
        <v>123</v>
      </c>
      <c r="E11" s="250">
        <v>44801</v>
      </c>
      <c r="F11" s="251"/>
      <c r="G11" s="252"/>
      <c r="H11" s="253">
        <v>17750</v>
      </c>
      <c r="I11" s="253"/>
      <c r="J11" s="253"/>
      <c r="K11" s="253"/>
      <c r="L11" s="253"/>
      <c r="M11" s="250"/>
      <c r="N11" s="254"/>
      <c r="O11" s="60"/>
      <c r="P11" s="22"/>
      <c r="Q11" s="255">
        <v>8285</v>
      </c>
      <c r="R11" s="232"/>
      <c r="S11" s="232"/>
      <c r="T11" s="232"/>
      <c r="U11" s="22"/>
      <c r="V11" s="22"/>
      <c r="W11" s="255">
        <v>6221</v>
      </c>
      <c r="X11" s="232"/>
      <c r="Y11" s="191"/>
      <c r="Z11" s="232"/>
      <c r="AA11" s="232"/>
      <c r="AB11" s="22">
        <v>413166</v>
      </c>
      <c r="AC11" s="255">
        <v>5936</v>
      </c>
      <c r="AD11" s="232"/>
      <c r="AE11" s="191">
        <v>19359</v>
      </c>
      <c r="AF11" s="232"/>
      <c r="AG11" s="22">
        <v>428302</v>
      </c>
      <c r="AH11" s="255">
        <v>6588</v>
      </c>
      <c r="AI11" s="241"/>
      <c r="AJ11" s="241">
        <v>863</v>
      </c>
      <c r="AK11" s="232"/>
      <c r="AL11" s="283">
        <v>415259.57799999998</v>
      </c>
      <c r="AM11" s="255">
        <v>7012</v>
      </c>
      <c r="AN11" s="241"/>
      <c r="AO11" s="241">
        <v>19434</v>
      </c>
      <c r="AP11" s="232"/>
      <c r="AQ11" s="191"/>
      <c r="AR11" s="282" t="s">
        <v>135</v>
      </c>
      <c r="AS11" s="231" t="s">
        <v>136</v>
      </c>
      <c r="AT11" s="39" t="s">
        <v>123</v>
      </c>
      <c r="AU11" s="22">
        <v>39000</v>
      </c>
      <c r="AV11" s="259">
        <v>5990</v>
      </c>
      <c r="AW11" s="234"/>
      <c r="AX11" s="234"/>
      <c r="AY11" s="234"/>
      <c r="AZ11" s="234">
        <v>5026</v>
      </c>
      <c r="BA11" s="234"/>
      <c r="BB11" s="234">
        <v>36247</v>
      </c>
      <c r="BC11" s="234"/>
      <c r="BD11" s="284">
        <v>4902</v>
      </c>
      <c r="BE11" s="232">
        <v>40020</v>
      </c>
      <c r="BF11" s="285"/>
      <c r="BG11" s="191">
        <v>208560</v>
      </c>
      <c r="BH11" s="232">
        <v>173105</v>
      </c>
      <c r="BI11" s="234">
        <v>162282</v>
      </c>
      <c r="BJ11" s="234"/>
    </row>
    <row r="12" spans="2:62" x14ac:dyDescent="0.25">
      <c r="B12" s="282" t="s">
        <v>137</v>
      </c>
      <c r="C12" s="249"/>
      <c r="D12" s="248" t="s">
        <v>123</v>
      </c>
      <c r="E12" s="250">
        <v>58716</v>
      </c>
      <c r="F12" s="251"/>
      <c r="G12" s="252"/>
      <c r="H12" s="253"/>
      <c r="I12" s="253"/>
      <c r="J12" s="253"/>
      <c r="K12" s="253"/>
      <c r="L12" s="253"/>
      <c r="M12" s="250"/>
      <c r="N12" s="254"/>
      <c r="O12" s="60"/>
      <c r="P12" s="22"/>
      <c r="Q12" s="258" t="s">
        <v>128</v>
      </c>
      <c r="R12" s="232"/>
      <c r="S12" s="232"/>
      <c r="T12" s="232"/>
      <c r="U12" s="22"/>
      <c r="V12" s="22"/>
      <c r="W12" s="258" t="s">
        <v>128</v>
      </c>
      <c r="X12" s="232"/>
      <c r="Y12" s="191"/>
      <c r="Z12" s="232"/>
      <c r="AA12" s="232"/>
      <c r="AB12" s="22">
        <v>603858</v>
      </c>
      <c r="AC12" s="258" t="s">
        <v>128</v>
      </c>
      <c r="AD12" s="232"/>
      <c r="AE12" s="191">
        <v>28295</v>
      </c>
      <c r="AF12" s="232"/>
      <c r="AG12" s="22">
        <v>625980</v>
      </c>
      <c r="AH12" s="258" t="s">
        <v>128</v>
      </c>
      <c r="AI12" s="241"/>
      <c r="AJ12" s="241">
        <v>1261</v>
      </c>
      <c r="AK12" s="232"/>
      <c r="AL12" s="283">
        <v>606917.84499999997</v>
      </c>
      <c r="AM12" s="258" t="s">
        <v>128</v>
      </c>
      <c r="AN12" s="241"/>
      <c r="AO12" s="241">
        <v>28403</v>
      </c>
      <c r="AP12" s="232"/>
      <c r="AQ12" s="191"/>
      <c r="AR12" s="282" t="s">
        <v>137</v>
      </c>
      <c r="AS12" s="231"/>
      <c r="AT12" s="39" t="s">
        <v>123</v>
      </c>
      <c r="AU12" s="22">
        <v>57000</v>
      </c>
      <c r="AV12" s="259"/>
      <c r="AW12" s="234"/>
      <c r="AX12" s="234"/>
      <c r="AY12" s="234"/>
      <c r="AZ12" s="234"/>
      <c r="BA12" s="234"/>
      <c r="BB12" s="234">
        <v>52976</v>
      </c>
      <c r="BC12" s="234"/>
      <c r="BD12" s="284"/>
      <c r="BE12" s="232">
        <v>55303</v>
      </c>
      <c r="BF12" s="285"/>
      <c r="BG12" s="41"/>
      <c r="BH12" s="232">
        <v>524074</v>
      </c>
      <c r="BI12" s="234">
        <v>532298</v>
      </c>
      <c r="BJ12" s="234"/>
    </row>
    <row r="13" spans="2:62" x14ac:dyDescent="0.25">
      <c r="B13" s="282" t="s">
        <v>138</v>
      </c>
      <c r="C13" s="249"/>
      <c r="D13" s="248" t="s">
        <v>123</v>
      </c>
      <c r="E13" s="250">
        <v>26314</v>
      </c>
      <c r="F13" s="251"/>
      <c r="G13" s="252"/>
      <c r="H13" s="253"/>
      <c r="I13" s="253"/>
      <c r="J13" s="253"/>
      <c r="K13" s="253"/>
      <c r="L13" s="253"/>
      <c r="M13" s="250"/>
      <c r="N13" s="254"/>
      <c r="O13" s="60"/>
      <c r="P13" s="22"/>
      <c r="Q13" s="258" t="s">
        <v>128</v>
      </c>
      <c r="R13" s="232"/>
      <c r="S13" s="232"/>
      <c r="T13" s="232"/>
      <c r="U13" s="22"/>
      <c r="V13" s="22"/>
      <c r="W13" s="258" t="s">
        <v>128</v>
      </c>
      <c r="X13" s="232"/>
      <c r="Y13" s="191"/>
      <c r="Z13" s="232"/>
      <c r="AA13" s="232"/>
      <c r="AB13" s="22">
        <v>296632</v>
      </c>
      <c r="AC13" s="258" t="s">
        <v>128</v>
      </c>
      <c r="AD13" s="232"/>
      <c r="AE13" s="191">
        <v>13899</v>
      </c>
      <c r="AF13" s="232"/>
      <c r="AG13" s="22">
        <v>307499</v>
      </c>
      <c r="AH13" s="258" t="s">
        <v>128</v>
      </c>
      <c r="AI13" s="241"/>
      <c r="AJ13" s="241">
        <v>619</v>
      </c>
      <c r="AK13" s="232"/>
      <c r="AL13" s="283">
        <v>298135.08199999999</v>
      </c>
      <c r="AM13" s="258" t="s">
        <v>128</v>
      </c>
      <c r="AN13" s="241"/>
      <c r="AO13" s="241">
        <v>13952</v>
      </c>
      <c r="AP13" s="232"/>
      <c r="AQ13" s="191"/>
      <c r="AR13" s="282" t="s">
        <v>138</v>
      </c>
      <c r="AS13" s="231"/>
      <c r="AT13" s="39" t="s">
        <v>123</v>
      </c>
      <c r="AU13" s="22">
        <v>28000</v>
      </c>
      <c r="AV13" s="259"/>
      <c r="AW13" s="234"/>
      <c r="AX13" s="234"/>
      <c r="AY13" s="234"/>
      <c r="AZ13" s="234"/>
      <c r="BA13" s="234"/>
      <c r="BB13" s="234">
        <v>26023</v>
      </c>
      <c r="BC13" s="234"/>
      <c r="BD13" s="284"/>
      <c r="BE13" s="232">
        <v>29131</v>
      </c>
      <c r="BF13" s="285"/>
      <c r="BG13" s="191">
        <v>255680</v>
      </c>
      <c r="BH13" s="232">
        <v>255680</v>
      </c>
      <c r="BI13" s="234">
        <v>241440</v>
      </c>
      <c r="BJ13" s="234"/>
    </row>
    <row r="14" spans="2:62" x14ac:dyDescent="0.25">
      <c r="B14" s="282" t="s">
        <v>139</v>
      </c>
      <c r="C14" s="249"/>
      <c r="D14" s="248" t="s">
        <v>123</v>
      </c>
      <c r="E14" s="250">
        <v>36439</v>
      </c>
      <c r="F14" s="251"/>
      <c r="G14" s="252"/>
      <c r="H14" s="253"/>
      <c r="I14" s="253"/>
      <c r="J14" s="253"/>
      <c r="K14" s="253"/>
      <c r="L14" s="253"/>
      <c r="M14" s="250"/>
      <c r="N14" s="254"/>
      <c r="O14" s="60"/>
      <c r="P14" s="22"/>
      <c r="Q14" s="258" t="s">
        <v>140</v>
      </c>
      <c r="R14" s="232"/>
      <c r="S14" s="232"/>
      <c r="T14" s="232"/>
      <c r="U14" s="22"/>
      <c r="V14" s="22"/>
      <c r="W14" s="258" t="s">
        <v>140</v>
      </c>
      <c r="X14" s="232"/>
      <c r="Y14" s="191"/>
      <c r="Z14" s="232"/>
      <c r="AA14" s="232"/>
      <c r="AB14" s="22">
        <v>328414</v>
      </c>
      <c r="AC14" s="258" t="s">
        <v>140</v>
      </c>
      <c r="AD14" s="232"/>
      <c r="AE14" s="191">
        <v>15388</v>
      </c>
      <c r="AF14" s="232"/>
      <c r="AG14" s="22">
        <v>340445</v>
      </c>
      <c r="AH14" s="258" t="s">
        <v>140</v>
      </c>
      <c r="AI14" s="241"/>
      <c r="AJ14" s="241">
        <v>686</v>
      </c>
      <c r="AK14" s="232"/>
      <c r="AL14" s="283">
        <v>330078.12599999999</v>
      </c>
      <c r="AM14" s="258" t="s">
        <v>140</v>
      </c>
      <c r="AN14" s="241"/>
      <c r="AO14" s="241">
        <v>15447</v>
      </c>
      <c r="AP14" s="232"/>
      <c r="AQ14" s="191"/>
      <c r="AR14" s="282" t="s">
        <v>139</v>
      </c>
      <c r="AS14" s="231"/>
      <c r="AT14" s="39" t="s">
        <v>123</v>
      </c>
      <c r="AU14" s="22">
        <v>31000</v>
      </c>
      <c r="AV14" s="259"/>
      <c r="AW14" s="234"/>
      <c r="AX14" s="234"/>
      <c r="AY14" s="234"/>
      <c r="AZ14" s="234"/>
      <c r="BA14" s="234"/>
      <c r="BB14" s="234">
        <v>28811</v>
      </c>
      <c r="BC14" s="234"/>
      <c r="BD14" s="284"/>
      <c r="BE14" s="232">
        <v>32252</v>
      </c>
      <c r="BF14" s="285"/>
      <c r="BG14" s="191">
        <v>1019600</v>
      </c>
      <c r="BH14" s="232">
        <v>284468</v>
      </c>
      <c r="BI14" s="234">
        <v>288932</v>
      </c>
      <c r="BJ14" s="234"/>
    </row>
    <row r="15" spans="2:62" x14ac:dyDescent="0.25">
      <c r="B15" s="282" t="s">
        <v>141</v>
      </c>
      <c r="C15" s="249"/>
      <c r="D15" s="248" t="s">
        <v>123</v>
      </c>
      <c r="E15" s="250">
        <v>52880</v>
      </c>
      <c r="F15" s="251"/>
      <c r="G15" s="252"/>
      <c r="H15" s="253"/>
      <c r="I15" s="253"/>
      <c r="J15" s="253"/>
      <c r="K15" s="253"/>
      <c r="L15" s="253"/>
      <c r="M15" s="250"/>
      <c r="N15" s="254"/>
      <c r="O15" s="60"/>
      <c r="P15" s="22"/>
      <c r="Q15" s="255" t="s">
        <v>128</v>
      </c>
      <c r="R15" s="232"/>
      <c r="S15" s="232"/>
      <c r="T15" s="232"/>
      <c r="U15" s="22"/>
      <c r="V15" s="22"/>
      <c r="W15" s="255" t="s">
        <v>128</v>
      </c>
      <c r="X15" s="232"/>
      <c r="Y15" s="191"/>
      <c r="Z15" s="232"/>
      <c r="AA15" s="232"/>
      <c r="AB15" s="22">
        <v>455542</v>
      </c>
      <c r="AC15" s="255" t="s">
        <v>128</v>
      </c>
      <c r="AD15" s="232"/>
      <c r="AE15" s="191">
        <v>21345</v>
      </c>
      <c r="AF15" s="232"/>
      <c r="AG15" s="22">
        <v>472231</v>
      </c>
      <c r="AH15" s="255" t="s">
        <v>128</v>
      </c>
      <c r="AI15" s="241"/>
      <c r="AJ15" s="241">
        <v>951</v>
      </c>
      <c r="AK15" s="232"/>
      <c r="AL15" s="283">
        <v>457850.304</v>
      </c>
      <c r="AM15" s="258" t="s">
        <v>128</v>
      </c>
      <c r="AN15" s="241"/>
      <c r="AO15" s="241">
        <v>21427</v>
      </c>
      <c r="AP15" s="232"/>
      <c r="AQ15" s="191"/>
      <c r="AR15" s="282" t="s">
        <v>141</v>
      </c>
      <c r="AS15" s="231"/>
      <c r="AT15" s="39" t="s">
        <v>123</v>
      </c>
      <c r="AU15" s="22">
        <v>43000</v>
      </c>
      <c r="AV15" s="259"/>
      <c r="AW15" s="234"/>
      <c r="AX15" s="191"/>
      <c r="AY15" s="191"/>
      <c r="AZ15" s="191"/>
      <c r="BA15" s="191"/>
      <c r="BB15" s="191">
        <v>39964</v>
      </c>
      <c r="BC15" s="191"/>
      <c r="BD15" s="286"/>
      <c r="BE15" s="232">
        <v>43737</v>
      </c>
      <c r="BF15" s="285"/>
      <c r="BG15" s="41"/>
      <c r="BH15" s="232">
        <v>570000</v>
      </c>
      <c r="BI15" s="234">
        <v>582221</v>
      </c>
      <c r="BJ15" s="234"/>
    </row>
    <row r="16" spans="2:62" x14ac:dyDescent="0.25">
      <c r="B16" s="282" t="s">
        <v>142</v>
      </c>
      <c r="C16" s="249"/>
      <c r="D16" s="248" t="s">
        <v>123</v>
      </c>
      <c r="E16" s="250">
        <v>18524</v>
      </c>
      <c r="F16" s="251"/>
      <c r="G16" s="252"/>
      <c r="H16" s="253"/>
      <c r="I16" s="253"/>
      <c r="J16" s="253"/>
      <c r="K16" s="253"/>
      <c r="L16" s="253"/>
      <c r="M16" s="250"/>
      <c r="N16" s="254"/>
      <c r="O16" s="60"/>
      <c r="P16" s="22"/>
      <c r="Q16" s="258" t="s">
        <v>128</v>
      </c>
      <c r="R16" s="232"/>
      <c r="S16" s="232"/>
      <c r="T16" s="232"/>
      <c r="U16" s="22"/>
      <c r="V16" s="22"/>
      <c r="W16" s="258" t="s">
        <v>128</v>
      </c>
      <c r="X16" s="232"/>
      <c r="Y16" s="191"/>
      <c r="Z16" s="232"/>
      <c r="AA16" s="232"/>
      <c r="AB16" s="22">
        <v>180098</v>
      </c>
      <c r="AC16" s="258" t="s">
        <v>128</v>
      </c>
      <c r="AD16" s="232"/>
      <c r="AE16" s="191">
        <v>8439</v>
      </c>
      <c r="AF16" s="232"/>
      <c r="AG16" s="22">
        <v>186696</v>
      </c>
      <c r="AH16" s="258" t="s">
        <v>128</v>
      </c>
      <c r="AI16" s="241"/>
      <c r="AJ16" s="241">
        <v>376</v>
      </c>
      <c r="AK16" s="232"/>
      <c r="AL16" s="283">
        <v>181010.58499999999</v>
      </c>
      <c r="AM16" s="258" t="s">
        <v>128</v>
      </c>
      <c r="AN16" s="241"/>
      <c r="AO16" s="241">
        <v>8471</v>
      </c>
      <c r="AP16" s="232"/>
      <c r="AQ16" s="191"/>
      <c r="AR16" s="282" t="s">
        <v>142</v>
      </c>
      <c r="AS16" s="231"/>
      <c r="AT16" s="39" t="s">
        <v>123</v>
      </c>
      <c r="AU16" s="22">
        <v>17000</v>
      </c>
      <c r="AV16" s="259"/>
      <c r="AW16" s="234"/>
      <c r="AX16" s="234"/>
      <c r="AY16" s="234"/>
      <c r="AZ16" s="234"/>
      <c r="BA16" s="234"/>
      <c r="BB16" s="234">
        <v>15800</v>
      </c>
      <c r="BC16" s="234"/>
      <c r="BD16" s="284"/>
      <c r="BE16" s="232">
        <v>17687</v>
      </c>
      <c r="BF16" s="285"/>
      <c r="BG16" s="41"/>
      <c r="BH16" s="232">
        <v>223000</v>
      </c>
      <c r="BI16" s="234">
        <v>228730</v>
      </c>
      <c r="BJ16" s="234"/>
    </row>
    <row r="17" spans="2:62" x14ac:dyDescent="0.25">
      <c r="B17" s="282" t="s">
        <v>143</v>
      </c>
      <c r="C17" s="249"/>
      <c r="D17" s="248" t="s">
        <v>123</v>
      </c>
      <c r="E17" s="250">
        <v>56839</v>
      </c>
      <c r="F17" s="251"/>
      <c r="G17" s="252"/>
      <c r="H17" s="253"/>
      <c r="I17" s="253"/>
      <c r="J17" s="253"/>
      <c r="K17" s="253"/>
      <c r="L17" s="253"/>
      <c r="M17" s="250"/>
      <c r="N17" s="254"/>
      <c r="O17" s="60"/>
      <c r="P17" s="22"/>
      <c r="Q17" s="258" t="s">
        <v>128</v>
      </c>
      <c r="R17" s="232"/>
      <c r="S17" s="232"/>
      <c r="T17" s="232"/>
      <c r="U17" s="22"/>
      <c r="V17" s="22"/>
      <c r="W17" s="258" t="s">
        <v>128</v>
      </c>
      <c r="X17" s="232"/>
      <c r="Y17" s="191"/>
      <c r="Z17" s="232"/>
      <c r="AA17" s="232">
        <v>37206</v>
      </c>
      <c r="AB17" s="22">
        <v>466136</v>
      </c>
      <c r="AC17" s="258" t="s">
        <v>128</v>
      </c>
      <c r="AD17" s="232"/>
      <c r="AE17" s="191">
        <v>21841</v>
      </c>
      <c r="AF17" s="232"/>
      <c r="AG17" s="22">
        <v>483213</v>
      </c>
      <c r="AH17" s="258" t="s">
        <v>128</v>
      </c>
      <c r="AI17" s="241"/>
      <c r="AJ17" s="241">
        <v>973</v>
      </c>
      <c r="AK17" s="232"/>
      <c r="AL17" s="283">
        <v>468497.98599999998</v>
      </c>
      <c r="AM17" s="258" t="s">
        <v>128</v>
      </c>
      <c r="AN17" s="241"/>
      <c r="AO17" s="241">
        <v>21925</v>
      </c>
      <c r="AP17" s="232"/>
      <c r="AQ17" s="191"/>
      <c r="AR17" s="282" t="s">
        <v>143</v>
      </c>
      <c r="AS17" s="231"/>
      <c r="AT17" s="39" t="s">
        <v>123</v>
      </c>
      <c r="AU17" s="22">
        <v>44000</v>
      </c>
      <c r="AV17" s="259"/>
      <c r="AW17" s="234"/>
      <c r="AX17" s="234"/>
      <c r="AY17" s="234"/>
      <c r="AZ17" s="234"/>
      <c r="BA17" s="234"/>
      <c r="BB17" s="234">
        <v>40894</v>
      </c>
      <c r="BC17" s="234"/>
      <c r="BD17" s="284"/>
      <c r="BE17" s="232">
        <v>45778</v>
      </c>
      <c r="BF17" s="285"/>
      <c r="BG17" s="191">
        <v>854240</v>
      </c>
      <c r="BH17" s="232">
        <v>854240</v>
      </c>
      <c r="BI17" s="234">
        <v>832480</v>
      </c>
      <c r="BJ17" s="234"/>
    </row>
    <row r="18" spans="2:62" ht="16.5" thickBot="1" x14ac:dyDescent="0.3">
      <c r="B18" s="282" t="s">
        <v>144</v>
      </c>
      <c r="C18" s="249"/>
      <c r="D18" s="248" t="s">
        <v>123</v>
      </c>
      <c r="E18" s="250">
        <v>67026</v>
      </c>
      <c r="F18" s="251"/>
      <c r="G18" s="268" t="s">
        <v>145</v>
      </c>
      <c r="H18" s="269"/>
      <c r="I18" s="270"/>
      <c r="J18" s="270"/>
      <c r="K18" s="270"/>
      <c r="L18" s="270"/>
      <c r="M18" s="357"/>
      <c r="N18" s="254"/>
      <c r="O18" s="60"/>
      <c r="P18" s="272" t="s">
        <v>145</v>
      </c>
      <c r="Q18" s="255">
        <v>12990</v>
      </c>
      <c r="R18" s="232"/>
      <c r="S18" s="232"/>
      <c r="T18" s="232"/>
      <c r="U18" s="22"/>
      <c r="V18" s="272" t="s">
        <v>145</v>
      </c>
      <c r="W18" s="255">
        <v>11911</v>
      </c>
      <c r="X18" s="232"/>
      <c r="Y18" s="191"/>
      <c r="Z18" s="232"/>
      <c r="AA18" s="232">
        <v>41400</v>
      </c>
      <c r="AB18" s="22">
        <v>497918</v>
      </c>
      <c r="AC18" s="255">
        <v>11904</v>
      </c>
      <c r="AD18" s="232"/>
      <c r="AE18" s="191">
        <v>24821</v>
      </c>
      <c r="AF18" s="232"/>
      <c r="AG18" s="22">
        <v>516169</v>
      </c>
      <c r="AH18" s="255">
        <v>11640</v>
      </c>
      <c r="AI18" s="241"/>
      <c r="AJ18" s="241">
        <v>1040</v>
      </c>
      <c r="AK18" s="232"/>
      <c r="AL18" s="283">
        <v>500441.03</v>
      </c>
      <c r="AM18" s="255">
        <v>10799</v>
      </c>
      <c r="AN18" s="241"/>
      <c r="AO18" s="241">
        <v>23420</v>
      </c>
      <c r="AP18" s="232"/>
      <c r="AQ18" s="191"/>
      <c r="AR18" s="282" t="s">
        <v>144</v>
      </c>
      <c r="AS18" s="231"/>
      <c r="AT18" s="39" t="s">
        <v>123</v>
      </c>
      <c r="AU18" s="22">
        <v>47000</v>
      </c>
      <c r="AV18" s="259">
        <v>11223</v>
      </c>
      <c r="AW18" s="234"/>
      <c r="AX18" s="234"/>
      <c r="AY18" s="234"/>
      <c r="AZ18" s="234">
        <v>11593</v>
      </c>
      <c r="BA18" s="234"/>
      <c r="BB18" s="234">
        <v>43682</v>
      </c>
      <c r="BC18" s="234"/>
      <c r="BD18" s="284">
        <v>11535</v>
      </c>
      <c r="BE18" s="232">
        <v>47899</v>
      </c>
      <c r="BF18" s="285"/>
      <c r="BG18" s="191">
        <v>2262400</v>
      </c>
      <c r="BH18" s="232">
        <v>622000</v>
      </c>
      <c r="BI18" s="287">
        <v>635360</v>
      </c>
      <c r="BJ18" s="287"/>
    </row>
    <row r="19" spans="2:62" x14ac:dyDescent="0.25">
      <c r="B19" s="282" t="s">
        <v>146</v>
      </c>
      <c r="C19" s="249"/>
      <c r="D19" s="248" t="s">
        <v>123</v>
      </c>
      <c r="E19" s="250">
        <v>16021</v>
      </c>
      <c r="F19" s="251"/>
      <c r="G19" s="252"/>
      <c r="H19" s="253"/>
      <c r="I19" s="253"/>
      <c r="J19" s="253"/>
      <c r="K19" s="253"/>
      <c r="L19" s="253"/>
      <c r="M19" s="250"/>
      <c r="N19" s="254"/>
      <c r="O19" s="60"/>
      <c r="P19" s="22"/>
      <c r="Q19" s="258" t="s">
        <v>128</v>
      </c>
      <c r="R19" s="232"/>
      <c r="S19" s="232"/>
      <c r="T19" s="232"/>
      <c r="U19" s="22"/>
      <c r="V19" s="22"/>
      <c r="W19" s="258" t="s">
        <v>128</v>
      </c>
      <c r="X19" s="232"/>
      <c r="Y19" s="191"/>
      <c r="Z19" s="232"/>
      <c r="AA19" s="232">
        <v>1080</v>
      </c>
      <c r="AB19" s="22">
        <v>148316</v>
      </c>
      <c r="AC19" s="258" t="s">
        <v>128</v>
      </c>
      <c r="AD19" s="232"/>
      <c r="AE19" s="191">
        <v>6950</v>
      </c>
      <c r="AF19" s="232"/>
      <c r="AG19" s="22">
        <v>153750</v>
      </c>
      <c r="AH19" s="258" t="s">
        <v>128</v>
      </c>
      <c r="AI19" s="241"/>
      <c r="AJ19" s="241">
        <v>310</v>
      </c>
      <c r="AK19" s="232"/>
      <c r="AL19" s="283">
        <v>149067.541</v>
      </c>
      <c r="AM19" s="258" t="s">
        <v>128</v>
      </c>
      <c r="AN19" s="241"/>
      <c r="AO19" s="241">
        <v>6976</v>
      </c>
      <c r="AP19" s="232"/>
      <c r="AQ19" s="191"/>
      <c r="AR19" s="282" t="s">
        <v>146</v>
      </c>
      <c r="AS19" s="231"/>
      <c r="AT19" s="39" t="s">
        <v>123</v>
      </c>
      <c r="AU19" s="22">
        <v>14000</v>
      </c>
      <c r="AV19" s="259"/>
      <c r="AW19" s="234"/>
      <c r="AX19" s="234"/>
      <c r="AY19" s="234"/>
      <c r="AZ19" s="234"/>
      <c r="BA19" s="234"/>
      <c r="BB19" s="234">
        <v>13012</v>
      </c>
      <c r="BC19" s="234"/>
      <c r="BD19" s="284"/>
      <c r="BE19" s="232">
        <v>14566</v>
      </c>
      <c r="BF19" s="285"/>
      <c r="BG19" s="41"/>
      <c r="BH19" s="232">
        <v>185000</v>
      </c>
      <c r="BI19" s="234">
        <v>189453</v>
      </c>
      <c r="BJ19" s="234"/>
    </row>
    <row r="20" spans="2:62" x14ac:dyDescent="0.25">
      <c r="B20" s="282" t="s">
        <v>147</v>
      </c>
      <c r="C20" s="249"/>
      <c r="D20" s="248" t="s">
        <v>123</v>
      </c>
      <c r="E20" s="250">
        <v>11729</v>
      </c>
      <c r="F20" s="251"/>
      <c r="G20" s="252"/>
      <c r="H20" s="253"/>
      <c r="I20" s="253"/>
      <c r="J20" s="253"/>
      <c r="K20" s="253"/>
      <c r="L20" s="253"/>
      <c r="M20" s="250"/>
      <c r="N20" s="254"/>
      <c r="O20" s="60"/>
      <c r="P20" s="22"/>
      <c r="Q20" s="258" t="s">
        <v>148</v>
      </c>
      <c r="R20" s="232"/>
      <c r="S20" s="232"/>
      <c r="T20" s="232"/>
      <c r="U20" s="22"/>
      <c r="V20" s="22"/>
      <c r="W20" s="258" t="s">
        <v>149</v>
      </c>
      <c r="X20" s="232"/>
      <c r="Y20" s="191"/>
      <c r="Z20" s="232"/>
      <c r="AA20" s="232">
        <f>SUM(AA17:AA19)</f>
        <v>79686</v>
      </c>
      <c r="AB20" s="22">
        <v>105940</v>
      </c>
      <c r="AC20" s="258" t="s">
        <v>149</v>
      </c>
      <c r="AD20" s="232"/>
      <c r="AE20" s="191">
        <v>4964</v>
      </c>
      <c r="AF20" s="232"/>
      <c r="AG20" s="22">
        <v>109821</v>
      </c>
      <c r="AH20" s="258" t="s">
        <v>128</v>
      </c>
      <c r="AI20" s="241"/>
      <c r="AJ20" s="241">
        <v>221</v>
      </c>
      <c r="AK20" s="232"/>
      <c r="AL20" s="283">
        <v>106476.815</v>
      </c>
      <c r="AM20" s="258" t="s">
        <v>149</v>
      </c>
      <c r="AN20" s="241"/>
      <c r="AO20" s="241">
        <v>4983</v>
      </c>
      <c r="AP20" s="232"/>
      <c r="AQ20" s="191"/>
      <c r="AR20" s="282" t="s">
        <v>147</v>
      </c>
      <c r="AS20" s="231"/>
      <c r="AT20" s="39" t="s">
        <v>123</v>
      </c>
      <c r="AU20" s="22">
        <v>10000</v>
      </c>
      <c r="AV20" s="259"/>
      <c r="AW20" s="234"/>
      <c r="AX20" s="234"/>
      <c r="AY20" s="234"/>
      <c r="AZ20" s="234"/>
      <c r="BA20" s="234"/>
      <c r="BB20" s="234">
        <v>9294</v>
      </c>
      <c r="BC20" s="234"/>
      <c r="BD20" s="284"/>
      <c r="BE20" s="232">
        <v>10404</v>
      </c>
      <c r="BF20" s="285"/>
      <c r="BG20" s="41"/>
      <c r="BH20" s="232">
        <v>133400</v>
      </c>
      <c r="BI20" s="234">
        <v>134002</v>
      </c>
      <c r="BJ20" s="234"/>
    </row>
    <row r="21" spans="2:62" ht="16.5" thickBot="1" x14ac:dyDescent="0.3">
      <c r="B21" s="288" t="s">
        <v>150</v>
      </c>
      <c r="C21" s="242"/>
      <c r="D21" s="43" t="s">
        <v>123</v>
      </c>
      <c r="E21" s="58">
        <v>9110</v>
      </c>
      <c r="F21" s="44"/>
      <c r="G21" s="59"/>
      <c r="H21" s="44"/>
      <c r="I21" s="44"/>
      <c r="J21" s="44"/>
      <c r="K21" s="44"/>
      <c r="L21" s="44"/>
      <c r="M21" s="44"/>
      <c r="N21" s="44"/>
      <c r="O21" s="59"/>
      <c r="P21" s="44"/>
      <c r="Q21" s="247" t="s">
        <v>128</v>
      </c>
      <c r="R21" s="236"/>
      <c r="S21" s="236"/>
      <c r="T21" s="236"/>
      <c r="U21" s="44"/>
      <c r="V21" s="44"/>
      <c r="W21" s="247" t="s">
        <v>128</v>
      </c>
      <c r="X21" s="236"/>
      <c r="Y21" s="243"/>
      <c r="Z21" s="236"/>
      <c r="AA21" s="236"/>
      <c r="AB21" s="44">
        <v>84752</v>
      </c>
      <c r="AC21" s="247" t="s">
        <v>128</v>
      </c>
      <c r="AD21" s="236"/>
      <c r="AE21" s="243">
        <v>3971</v>
      </c>
      <c r="AF21" s="236"/>
      <c r="AG21" s="44">
        <v>87857</v>
      </c>
      <c r="AH21" s="247" t="s">
        <v>128</v>
      </c>
      <c r="AI21" s="289"/>
      <c r="AJ21" s="289">
        <v>177</v>
      </c>
      <c r="AK21" s="236"/>
      <c r="AL21" s="290">
        <v>85181.452000000005</v>
      </c>
      <c r="AM21" s="247">
        <v>0</v>
      </c>
      <c r="AN21" s="289"/>
      <c r="AO21" s="289">
        <v>3986</v>
      </c>
      <c r="AP21" s="236"/>
      <c r="AQ21" s="191"/>
      <c r="AR21" s="288" t="s">
        <v>150</v>
      </c>
      <c r="AS21" s="242"/>
      <c r="AT21" s="43" t="s">
        <v>123</v>
      </c>
      <c r="AU21" s="44">
        <v>8000</v>
      </c>
      <c r="AV21" s="244">
        <v>0</v>
      </c>
      <c r="AW21" s="235"/>
      <c r="AX21" s="235"/>
      <c r="AY21" s="235"/>
      <c r="AZ21" s="235">
        <v>0</v>
      </c>
      <c r="BA21" s="235"/>
      <c r="BB21" s="235">
        <v>7458</v>
      </c>
      <c r="BC21" s="235"/>
      <c r="BD21" s="291">
        <v>0</v>
      </c>
      <c r="BE21" s="236">
        <v>8323</v>
      </c>
      <c r="BF21" s="292"/>
      <c r="BG21" s="45"/>
      <c r="BH21" s="236">
        <v>35455</v>
      </c>
      <c r="BI21" s="235">
        <v>33238</v>
      </c>
      <c r="BJ21" s="235"/>
    </row>
    <row r="22" spans="2:62" x14ac:dyDescent="0.25">
      <c r="B22" s="282" t="s">
        <v>151</v>
      </c>
      <c r="C22" s="231" t="s">
        <v>152</v>
      </c>
      <c r="D22" s="231" t="s">
        <v>153</v>
      </c>
      <c r="E22" s="241">
        <v>114452</v>
      </c>
      <c r="F22" s="232">
        <v>1895200</v>
      </c>
      <c r="G22" s="234"/>
      <c r="H22" s="232">
        <v>10273</v>
      </c>
      <c r="I22" s="232" t="s">
        <v>128</v>
      </c>
      <c r="J22" s="232"/>
      <c r="K22" s="232"/>
      <c r="L22" s="232"/>
      <c r="M22" s="232"/>
      <c r="N22" s="232"/>
      <c r="O22" s="234">
        <v>1929600</v>
      </c>
      <c r="P22" s="232"/>
      <c r="Q22" s="255">
        <v>9168</v>
      </c>
      <c r="R22" s="232"/>
      <c r="S22" s="232"/>
      <c r="T22" s="232"/>
      <c r="U22" s="232">
        <v>2016000</v>
      </c>
      <c r="V22" s="232" t="s">
        <v>154</v>
      </c>
      <c r="W22" s="255">
        <v>6992</v>
      </c>
      <c r="X22" s="232"/>
      <c r="Y22" s="191"/>
      <c r="Z22" s="232"/>
      <c r="AA22" s="232"/>
      <c r="AB22" s="232">
        <v>2003200</v>
      </c>
      <c r="AC22" s="255">
        <v>7586</v>
      </c>
      <c r="AD22" s="232"/>
      <c r="AE22" s="191">
        <v>54107</v>
      </c>
      <c r="AF22" s="232"/>
      <c r="AG22" s="232">
        <v>1940000</v>
      </c>
      <c r="AH22" s="255">
        <v>7197</v>
      </c>
      <c r="AI22" s="241"/>
      <c r="AJ22" s="241">
        <v>2411</v>
      </c>
      <c r="AK22" s="232"/>
      <c r="AL22" s="293">
        <v>2089600</v>
      </c>
      <c r="AM22" s="255">
        <v>10342</v>
      </c>
      <c r="AN22" s="241"/>
      <c r="AO22" s="241">
        <v>54315</v>
      </c>
      <c r="AP22" s="232"/>
      <c r="AQ22" s="191"/>
      <c r="AR22" s="282" t="s">
        <v>151</v>
      </c>
      <c r="AS22" s="231" t="s">
        <v>152</v>
      </c>
      <c r="AT22" s="231" t="s">
        <v>153</v>
      </c>
      <c r="AU22" s="232">
        <v>109000</v>
      </c>
      <c r="AV22" s="259">
        <v>7877</v>
      </c>
      <c r="AW22" s="234"/>
      <c r="AX22" s="234"/>
      <c r="AY22" s="234"/>
      <c r="AZ22" s="234">
        <v>5957</v>
      </c>
      <c r="BA22" s="234"/>
      <c r="BB22" s="234">
        <v>101305</v>
      </c>
      <c r="BC22" s="234"/>
      <c r="BD22" s="284">
        <v>5960</v>
      </c>
      <c r="BE22" s="232">
        <v>111403</v>
      </c>
      <c r="BF22" s="285"/>
      <c r="BG22" s="294"/>
      <c r="BH22" s="232">
        <v>1880000</v>
      </c>
      <c r="BI22" s="232">
        <v>2016000</v>
      </c>
      <c r="BJ22" s="232">
        <v>2208800</v>
      </c>
    </row>
    <row r="23" spans="2:62" x14ac:dyDescent="0.25">
      <c r="B23" s="282" t="s">
        <v>155</v>
      </c>
      <c r="C23" s="249" t="s">
        <v>156</v>
      </c>
      <c r="D23" s="249" t="s">
        <v>157</v>
      </c>
      <c r="E23" s="262">
        <v>29259</v>
      </c>
      <c r="F23" s="263">
        <v>262000</v>
      </c>
      <c r="G23" s="264"/>
      <c r="H23" s="233">
        <v>11211</v>
      </c>
      <c r="I23" s="233" t="s">
        <v>128</v>
      </c>
      <c r="J23" s="233"/>
      <c r="K23" s="233"/>
      <c r="L23" s="233"/>
      <c r="M23" s="262"/>
      <c r="N23" s="265"/>
      <c r="O23" s="234">
        <v>280500</v>
      </c>
      <c r="P23" s="232"/>
      <c r="Q23" s="255">
        <v>12000</v>
      </c>
      <c r="R23" s="232"/>
      <c r="S23" s="232"/>
      <c r="T23" s="232"/>
      <c r="U23" s="232">
        <v>315240</v>
      </c>
      <c r="V23" s="232" t="s">
        <v>158</v>
      </c>
      <c r="W23" s="255">
        <v>12343</v>
      </c>
      <c r="X23" s="232"/>
      <c r="Y23" s="191"/>
      <c r="Z23" s="232"/>
      <c r="AA23" s="255"/>
      <c r="AB23" s="232">
        <v>320880</v>
      </c>
      <c r="AC23" s="255">
        <v>11961</v>
      </c>
      <c r="AD23" s="232"/>
      <c r="AE23" s="191"/>
      <c r="AF23" s="232"/>
      <c r="AG23" s="232">
        <v>322200</v>
      </c>
      <c r="AH23" s="255">
        <v>15184</v>
      </c>
      <c r="AI23" s="241"/>
      <c r="AJ23" s="241"/>
      <c r="AK23" s="232"/>
      <c r="AL23" s="293">
        <v>288360</v>
      </c>
      <c r="AM23" s="255">
        <v>13863</v>
      </c>
      <c r="AN23" s="241"/>
      <c r="AO23" s="241" t="s">
        <v>128</v>
      </c>
      <c r="AP23" s="232"/>
      <c r="AQ23" s="191"/>
      <c r="AR23" s="282" t="s">
        <v>155</v>
      </c>
      <c r="AS23" s="231" t="s">
        <v>156</v>
      </c>
      <c r="AT23" s="231" t="s">
        <v>157</v>
      </c>
      <c r="AU23" s="232">
        <v>29000</v>
      </c>
      <c r="AV23" s="259">
        <v>11923</v>
      </c>
      <c r="AW23" s="234"/>
      <c r="AX23" s="234"/>
      <c r="AY23" s="234"/>
      <c r="AZ23" s="234">
        <v>9670</v>
      </c>
      <c r="BA23" s="234"/>
      <c r="BB23" s="234">
        <v>0</v>
      </c>
      <c r="BC23" s="234"/>
      <c r="BD23" s="284">
        <v>13226</v>
      </c>
      <c r="BE23" s="295" t="s">
        <v>159</v>
      </c>
      <c r="BF23" s="285"/>
      <c r="BG23" s="294"/>
      <c r="BH23" s="232">
        <v>291840</v>
      </c>
      <c r="BI23" s="232">
        <v>306480</v>
      </c>
      <c r="BJ23" s="232">
        <v>297720</v>
      </c>
    </row>
    <row r="24" spans="2:62" x14ac:dyDescent="0.25">
      <c r="B24" s="282" t="s">
        <v>382</v>
      </c>
      <c r="C24" s="249" t="s">
        <v>383</v>
      </c>
      <c r="D24" s="249"/>
      <c r="E24" s="262">
        <v>75000</v>
      </c>
      <c r="F24" s="263">
        <v>448320</v>
      </c>
      <c r="G24" s="264"/>
      <c r="H24" s="233"/>
      <c r="I24" s="296">
        <v>718</v>
      </c>
      <c r="J24" s="233"/>
      <c r="K24" s="233"/>
      <c r="L24" s="233"/>
      <c r="M24" s="262"/>
      <c r="N24" s="265"/>
      <c r="O24" s="234" t="s">
        <v>384</v>
      </c>
      <c r="P24" s="232"/>
      <c r="Q24" s="255"/>
      <c r="R24" s="232"/>
      <c r="S24" s="232"/>
      <c r="T24" s="232"/>
      <c r="U24" s="232"/>
      <c r="V24" s="232"/>
      <c r="W24" s="255"/>
      <c r="X24" s="232"/>
      <c r="Y24" s="191"/>
      <c r="Z24" s="232"/>
      <c r="AA24" s="255"/>
      <c r="AB24" s="232"/>
      <c r="AC24" s="255"/>
      <c r="AD24" s="232"/>
      <c r="AE24" s="191"/>
      <c r="AF24" s="232"/>
      <c r="AG24" s="232"/>
      <c r="AH24" s="255"/>
      <c r="AI24" s="241"/>
      <c r="AJ24" s="241"/>
      <c r="AK24" s="232"/>
      <c r="AL24" s="293"/>
      <c r="AM24" s="255"/>
      <c r="AN24" s="241"/>
      <c r="AO24" s="241"/>
      <c r="AP24" s="232"/>
      <c r="AQ24" s="191"/>
      <c r="AR24" s="282"/>
      <c r="AS24" s="231"/>
      <c r="AT24" s="231"/>
      <c r="AU24" s="232"/>
      <c r="AV24" s="259"/>
      <c r="AW24" s="234"/>
      <c r="AX24" s="234"/>
      <c r="AY24" s="234"/>
      <c r="AZ24" s="234"/>
      <c r="BA24" s="234"/>
      <c r="BB24" s="234"/>
      <c r="BC24" s="234"/>
      <c r="BD24" s="284"/>
      <c r="BE24" s="295"/>
      <c r="BF24" s="285"/>
      <c r="BG24" s="294"/>
      <c r="BH24" s="232"/>
      <c r="BI24" s="232"/>
      <c r="BJ24" s="232"/>
    </row>
    <row r="25" spans="2:62" x14ac:dyDescent="0.25">
      <c r="B25" s="297" t="s">
        <v>160</v>
      </c>
      <c r="C25" s="249" t="s">
        <v>161</v>
      </c>
      <c r="D25" s="249" t="s">
        <v>162</v>
      </c>
      <c r="E25" s="262"/>
      <c r="F25" s="263">
        <v>0</v>
      </c>
      <c r="G25" s="264"/>
      <c r="H25" s="233"/>
      <c r="I25" s="233">
        <v>0</v>
      </c>
      <c r="J25" s="233"/>
      <c r="K25" s="233"/>
      <c r="L25" s="233"/>
      <c r="M25" s="262"/>
      <c r="N25" s="265"/>
      <c r="O25" s="234"/>
      <c r="P25" s="232"/>
      <c r="Q25" s="255">
        <v>5367</v>
      </c>
      <c r="R25" s="232"/>
      <c r="S25" s="232"/>
      <c r="T25" s="232"/>
      <c r="U25" s="232"/>
      <c r="V25" s="232">
        <v>5112</v>
      </c>
      <c r="W25" s="255">
        <v>10966</v>
      </c>
      <c r="X25" s="232"/>
      <c r="Y25" s="191"/>
      <c r="Z25" s="232"/>
      <c r="AA25" s="255"/>
      <c r="AB25" s="232"/>
      <c r="AC25" s="255">
        <v>11836</v>
      </c>
      <c r="AD25" s="232">
        <v>668</v>
      </c>
      <c r="AE25" s="191"/>
      <c r="AF25" s="232"/>
      <c r="AG25" s="232"/>
      <c r="AH25" s="255">
        <v>10000</v>
      </c>
      <c r="AI25" s="241">
        <v>750</v>
      </c>
      <c r="AJ25" s="241"/>
      <c r="AK25" s="232"/>
      <c r="AL25" s="294" t="s">
        <v>159</v>
      </c>
      <c r="AM25" s="255">
        <v>10000</v>
      </c>
      <c r="AN25" s="241">
        <v>750</v>
      </c>
      <c r="AO25" s="241" t="s">
        <v>128</v>
      </c>
      <c r="AP25" s="232"/>
      <c r="AQ25" s="191"/>
      <c r="AR25" s="298" t="s">
        <v>160</v>
      </c>
      <c r="AS25" s="231" t="s">
        <v>161</v>
      </c>
      <c r="AT25" s="231" t="s">
        <v>163</v>
      </c>
      <c r="AU25" s="232"/>
      <c r="AV25" s="259">
        <v>7500</v>
      </c>
      <c r="AW25" s="234"/>
      <c r="AX25" s="234"/>
      <c r="AY25" s="234"/>
      <c r="AZ25" s="234">
        <v>7451</v>
      </c>
      <c r="BA25" s="234"/>
      <c r="BB25" s="234">
        <v>0</v>
      </c>
      <c r="BC25" s="234"/>
      <c r="BD25" s="284">
        <v>7716</v>
      </c>
      <c r="BE25" s="295" t="s">
        <v>159</v>
      </c>
      <c r="BF25" s="285"/>
      <c r="BG25" s="294"/>
      <c r="BH25" s="232">
        <v>68077</v>
      </c>
      <c r="BI25" s="232">
        <v>83256</v>
      </c>
      <c r="BJ25" s="232">
        <v>80000</v>
      </c>
    </row>
    <row r="26" spans="2:62" ht="16.5" thickBot="1" x14ac:dyDescent="0.3">
      <c r="B26" s="241"/>
      <c r="C26" s="249" t="s">
        <v>164</v>
      </c>
      <c r="D26" s="249" t="s">
        <v>165</v>
      </c>
      <c r="E26" s="262"/>
      <c r="F26" s="263">
        <v>0</v>
      </c>
      <c r="G26" s="268" t="s">
        <v>166</v>
      </c>
      <c r="H26" s="269"/>
      <c r="I26" s="270">
        <v>0</v>
      </c>
      <c r="J26" s="270"/>
      <c r="K26" s="270"/>
      <c r="L26" s="270"/>
      <c r="M26" s="357"/>
      <c r="N26" s="265"/>
      <c r="O26" s="234"/>
      <c r="P26" s="272" t="s">
        <v>166</v>
      </c>
      <c r="Q26" s="255"/>
      <c r="R26" s="232"/>
      <c r="S26" s="232"/>
      <c r="T26" s="232"/>
      <c r="U26" s="232"/>
      <c r="V26" s="272" t="s">
        <v>166</v>
      </c>
      <c r="W26" s="255">
        <v>6719</v>
      </c>
      <c r="X26" s="232"/>
      <c r="Y26" s="191"/>
      <c r="Z26" s="232"/>
      <c r="AA26" s="232"/>
      <c r="AB26" s="232"/>
      <c r="AC26" s="255">
        <v>6802</v>
      </c>
      <c r="AD26" s="232"/>
      <c r="AE26" s="191"/>
      <c r="AF26" s="232"/>
      <c r="AG26" s="232"/>
      <c r="AH26" s="258">
        <v>6600</v>
      </c>
      <c r="AI26" s="241"/>
      <c r="AJ26" s="241"/>
      <c r="AK26" s="232"/>
      <c r="AL26" s="294"/>
      <c r="AM26" s="255">
        <v>7000</v>
      </c>
      <c r="AN26" s="241"/>
      <c r="AO26" s="241"/>
      <c r="AP26" s="232"/>
      <c r="AQ26" s="191"/>
      <c r="AR26" s="232"/>
      <c r="AS26" s="231" t="s">
        <v>164</v>
      </c>
      <c r="AT26" s="231" t="s">
        <v>165</v>
      </c>
      <c r="AU26" s="232"/>
      <c r="AV26" s="259"/>
      <c r="AW26" s="234"/>
      <c r="AX26" s="234"/>
      <c r="AY26" s="234"/>
      <c r="AZ26" s="234"/>
      <c r="BA26" s="234"/>
      <c r="BB26" s="234"/>
      <c r="BC26" s="234"/>
      <c r="BD26" s="284"/>
      <c r="BE26" s="295"/>
      <c r="BF26" s="285"/>
      <c r="BG26" s="294"/>
      <c r="BH26" s="232"/>
      <c r="BI26" s="232"/>
      <c r="BJ26" s="232"/>
    </row>
    <row r="27" spans="2:62" x14ac:dyDescent="0.25">
      <c r="B27" s="241"/>
      <c r="C27" s="249"/>
      <c r="D27" s="249" t="s">
        <v>167</v>
      </c>
      <c r="E27" s="262"/>
      <c r="F27" s="263">
        <v>0</v>
      </c>
      <c r="G27" s="268"/>
      <c r="H27" s="269"/>
      <c r="I27" s="270">
        <v>0</v>
      </c>
      <c r="J27" s="270"/>
      <c r="K27" s="270"/>
      <c r="L27" s="270"/>
      <c r="M27" s="357"/>
      <c r="N27" s="265"/>
      <c r="O27" s="234"/>
      <c r="P27" s="299"/>
      <c r="Q27" s="255"/>
      <c r="R27" s="232"/>
      <c r="S27" s="232"/>
      <c r="T27" s="232"/>
      <c r="U27" s="232"/>
      <c r="V27" s="299"/>
      <c r="W27" s="255"/>
      <c r="X27" s="232"/>
      <c r="Y27" s="191"/>
      <c r="Z27" s="232"/>
      <c r="AA27" s="232"/>
      <c r="AB27" s="232"/>
      <c r="AC27" s="255"/>
      <c r="AD27" s="232"/>
      <c r="AE27" s="191"/>
      <c r="AF27" s="232"/>
      <c r="AG27" s="232"/>
      <c r="AH27" s="258"/>
      <c r="AI27" s="241"/>
      <c r="AJ27" s="241"/>
      <c r="AK27" s="232"/>
      <c r="AL27" s="294"/>
      <c r="AM27" s="255"/>
      <c r="AN27" s="241"/>
      <c r="AO27" s="241"/>
      <c r="AP27" s="232"/>
      <c r="AQ27" s="191"/>
      <c r="AR27" s="241"/>
      <c r="AS27" s="231"/>
      <c r="AT27" s="231"/>
      <c r="AU27" s="232"/>
      <c r="AV27" s="259"/>
      <c r="AW27" s="234"/>
      <c r="AX27" s="234"/>
      <c r="AY27" s="234"/>
      <c r="AZ27" s="234"/>
      <c r="BA27" s="234"/>
      <c r="BB27" s="234"/>
      <c r="BC27" s="234"/>
      <c r="BD27" s="284"/>
      <c r="BE27" s="295"/>
      <c r="BF27" s="285"/>
      <c r="BG27" s="294"/>
      <c r="BH27" s="232"/>
      <c r="BI27" s="232"/>
      <c r="BJ27" s="232"/>
    </row>
    <row r="28" spans="2:62" x14ac:dyDescent="0.25">
      <c r="B28" s="282" t="s">
        <v>160</v>
      </c>
      <c r="C28" s="249"/>
      <c r="D28" s="249" t="s">
        <v>168</v>
      </c>
      <c r="E28" s="262">
        <v>27053</v>
      </c>
      <c r="F28" s="263">
        <v>132047</v>
      </c>
      <c r="G28" s="264"/>
      <c r="H28" s="233">
        <v>6580</v>
      </c>
      <c r="I28" s="233">
        <v>649</v>
      </c>
      <c r="J28" s="233"/>
      <c r="K28" s="233"/>
      <c r="L28" s="233"/>
      <c r="M28" s="262"/>
      <c r="N28" s="265"/>
      <c r="O28" s="234">
        <v>150455</v>
      </c>
      <c r="P28" s="232"/>
      <c r="Q28" s="255"/>
      <c r="R28" s="232">
        <v>500</v>
      </c>
      <c r="S28" s="232"/>
      <c r="T28" s="232"/>
      <c r="U28" s="232">
        <v>102951</v>
      </c>
      <c r="V28" s="232"/>
      <c r="W28" s="255"/>
      <c r="X28" s="232">
        <v>500</v>
      </c>
      <c r="Y28" s="191"/>
      <c r="Z28" s="232"/>
      <c r="AA28" s="232"/>
      <c r="AB28" s="232">
        <v>145680</v>
      </c>
      <c r="AC28" s="255"/>
      <c r="AD28" s="232"/>
      <c r="AE28" s="191"/>
      <c r="AF28" s="232"/>
      <c r="AG28" s="232">
        <v>145000</v>
      </c>
      <c r="AH28" s="258"/>
      <c r="AI28" s="241"/>
      <c r="AJ28" s="241"/>
      <c r="AK28" s="232"/>
      <c r="AL28" s="293">
        <v>150000</v>
      </c>
      <c r="AM28" s="258"/>
      <c r="AN28" s="241"/>
      <c r="AO28" s="241"/>
      <c r="AP28" s="232"/>
      <c r="AQ28" s="191"/>
      <c r="AR28" s="282" t="s">
        <v>160</v>
      </c>
      <c r="AS28" s="231"/>
      <c r="AT28" s="231" t="s">
        <v>168</v>
      </c>
      <c r="AU28" s="232">
        <v>21000</v>
      </c>
      <c r="AV28" s="259"/>
      <c r="AW28" s="234"/>
      <c r="AX28" s="234"/>
      <c r="AY28" s="234"/>
      <c r="AZ28" s="234"/>
      <c r="BA28" s="234"/>
      <c r="BB28" s="234"/>
      <c r="BC28" s="234"/>
      <c r="BD28" s="284"/>
      <c r="BE28" s="295"/>
      <c r="BF28" s="285"/>
      <c r="BG28" s="294"/>
      <c r="BH28" s="232"/>
      <c r="BI28" s="232"/>
      <c r="BJ28" s="232"/>
    </row>
    <row r="29" spans="2:62" ht="16.5" thickBot="1" x14ac:dyDescent="0.3">
      <c r="B29" s="282" t="s">
        <v>169</v>
      </c>
      <c r="C29" s="249" t="s">
        <v>170</v>
      </c>
      <c r="D29" s="249" t="s">
        <v>171</v>
      </c>
      <c r="E29" s="262">
        <v>138349</v>
      </c>
      <c r="F29" s="263">
        <v>1138400</v>
      </c>
      <c r="G29" s="268" t="s">
        <v>172</v>
      </c>
      <c r="H29" s="269">
        <v>49052</v>
      </c>
      <c r="I29" s="270">
        <v>7901</v>
      </c>
      <c r="J29" s="270"/>
      <c r="K29" s="270"/>
      <c r="L29" s="270"/>
      <c r="M29" s="357"/>
      <c r="N29" s="265"/>
      <c r="O29" s="234">
        <v>1164000</v>
      </c>
      <c r="P29" s="272" t="s">
        <v>172</v>
      </c>
      <c r="Q29" s="255">
        <v>62169</v>
      </c>
      <c r="R29" s="232">
        <v>2500</v>
      </c>
      <c r="S29" s="232"/>
      <c r="T29" s="232"/>
      <c r="U29" s="232">
        <v>1187200</v>
      </c>
      <c r="V29" s="272" t="s">
        <v>172</v>
      </c>
      <c r="W29" s="255">
        <v>73821</v>
      </c>
      <c r="X29" s="232">
        <v>2500</v>
      </c>
      <c r="Y29" s="191"/>
      <c r="Z29" s="232"/>
      <c r="AA29" s="232"/>
      <c r="AB29" s="232">
        <v>1272800</v>
      </c>
      <c r="AC29" s="255">
        <v>67836</v>
      </c>
      <c r="AD29" s="232">
        <v>6547</v>
      </c>
      <c r="AE29" s="191"/>
      <c r="AF29" s="232"/>
      <c r="AG29" s="232">
        <v>1253600</v>
      </c>
      <c r="AH29" s="255">
        <v>70699</v>
      </c>
      <c r="AI29" s="241">
        <v>7000</v>
      </c>
      <c r="AJ29" s="241"/>
      <c r="AK29" s="232"/>
      <c r="AL29" s="293">
        <v>1443200</v>
      </c>
      <c r="AM29" s="255">
        <v>70325</v>
      </c>
      <c r="AN29" s="241">
        <v>4501</v>
      </c>
      <c r="AO29" s="241" t="s">
        <v>128</v>
      </c>
      <c r="AP29" s="232"/>
      <c r="AQ29" s="191"/>
      <c r="AR29" s="282" t="s">
        <v>169</v>
      </c>
      <c r="AS29" s="231" t="s">
        <v>170</v>
      </c>
      <c r="AT29" s="231" t="s">
        <v>171</v>
      </c>
      <c r="AU29" s="232">
        <v>136000</v>
      </c>
      <c r="AV29" s="259">
        <v>50719</v>
      </c>
      <c r="AW29" s="234">
        <v>2000</v>
      </c>
      <c r="AX29" s="234"/>
      <c r="AY29" s="234"/>
      <c r="AZ29" s="234">
        <v>49361</v>
      </c>
      <c r="BA29" s="234"/>
      <c r="BB29" s="234">
        <v>0</v>
      </c>
      <c r="BC29" s="234"/>
      <c r="BD29" s="284">
        <v>49823</v>
      </c>
      <c r="BE29" s="295" t="s">
        <v>159</v>
      </c>
      <c r="BF29" s="285"/>
      <c r="BG29" s="294"/>
      <c r="BH29" s="232">
        <v>1095200</v>
      </c>
      <c r="BI29" s="232">
        <v>1198400</v>
      </c>
      <c r="BJ29" s="232">
        <v>1305600</v>
      </c>
    </row>
    <row r="30" spans="2:62" ht="16.5" thickBot="1" x14ac:dyDescent="0.3">
      <c r="B30" s="282" t="s">
        <v>173</v>
      </c>
      <c r="C30" s="249" t="s">
        <v>174</v>
      </c>
      <c r="D30" s="249" t="s">
        <v>175</v>
      </c>
      <c r="E30" s="262">
        <v>66590</v>
      </c>
      <c r="F30" s="263">
        <v>560000</v>
      </c>
      <c r="G30" s="268" t="s">
        <v>176</v>
      </c>
      <c r="H30" s="269">
        <v>3639</v>
      </c>
      <c r="I30" s="270" t="s">
        <v>128</v>
      </c>
      <c r="J30" s="270"/>
      <c r="K30" s="270"/>
      <c r="L30" s="270"/>
      <c r="M30" s="357"/>
      <c r="N30" s="265"/>
      <c r="O30" s="234">
        <v>571200</v>
      </c>
      <c r="P30" s="272" t="s">
        <v>176</v>
      </c>
      <c r="Q30" s="255">
        <v>4500</v>
      </c>
      <c r="R30" s="232"/>
      <c r="S30" s="232"/>
      <c r="T30" s="232"/>
      <c r="U30" s="232">
        <v>539200</v>
      </c>
      <c r="V30" s="272" t="s">
        <v>176</v>
      </c>
      <c r="W30" s="255">
        <v>8584</v>
      </c>
      <c r="X30" s="232"/>
      <c r="Y30" s="191"/>
      <c r="Z30" s="232"/>
      <c r="AA30" s="232"/>
      <c r="AB30" s="232">
        <v>593280</v>
      </c>
      <c r="AC30" s="255">
        <v>8790</v>
      </c>
      <c r="AD30" s="232"/>
      <c r="AE30" s="191">
        <v>29287</v>
      </c>
      <c r="AF30" s="232"/>
      <c r="AG30" s="232">
        <v>610880</v>
      </c>
      <c r="AH30" s="255">
        <v>9608</v>
      </c>
      <c r="AI30" s="241"/>
      <c r="AJ30" s="241">
        <v>1305</v>
      </c>
      <c r="AK30" s="232"/>
      <c r="AL30" s="293">
        <v>550400</v>
      </c>
      <c r="AM30" s="255">
        <v>10786</v>
      </c>
      <c r="AN30" s="241"/>
      <c r="AO30" s="241">
        <v>29400</v>
      </c>
      <c r="AP30" s="232"/>
      <c r="AQ30" s="191"/>
      <c r="AR30" s="282" t="s">
        <v>173</v>
      </c>
      <c r="AS30" s="231" t="s">
        <v>174</v>
      </c>
      <c r="AT30" s="231" t="s">
        <v>175</v>
      </c>
      <c r="AU30" s="232">
        <v>59000</v>
      </c>
      <c r="AV30" s="259">
        <v>9848</v>
      </c>
      <c r="AW30" s="234"/>
      <c r="AX30" s="234"/>
      <c r="AY30" s="234"/>
      <c r="AZ30" s="234">
        <v>9740</v>
      </c>
      <c r="BA30" s="234"/>
      <c r="BB30" s="234">
        <v>54835</v>
      </c>
      <c r="BC30" s="234"/>
      <c r="BD30" s="284">
        <v>10036</v>
      </c>
      <c r="BE30" s="232">
        <v>60384</v>
      </c>
      <c r="BF30" s="285"/>
      <c r="BG30" s="294"/>
      <c r="BH30" s="232">
        <v>601280</v>
      </c>
      <c r="BI30" s="232">
        <v>578560</v>
      </c>
      <c r="BJ30" s="232">
        <v>588160</v>
      </c>
    </row>
    <row r="31" spans="2:62" x14ac:dyDescent="0.25">
      <c r="B31" s="282" t="s">
        <v>177</v>
      </c>
      <c r="C31" s="249" t="s">
        <v>177</v>
      </c>
      <c r="D31" s="249" t="s">
        <v>178</v>
      </c>
      <c r="E31" s="262" t="s">
        <v>128</v>
      </c>
      <c r="F31" s="263" t="s">
        <v>159</v>
      </c>
      <c r="G31" s="264" t="s">
        <v>128</v>
      </c>
      <c r="H31" s="233"/>
      <c r="I31" s="233" t="s">
        <v>128</v>
      </c>
      <c r="J31" s="233"/>
      <c r="K31" s="233"/>
      <c r="L31" s="233"/>
      <c r="M31" s="262"/>
      <c r="N31" s="265"/>
      <c r="O31" s="234" t="s">
        <v>128</v>
      </c>
      <c r="P31" s="232" t="s">
        <v>128</v>
      </c>
      <c r="Q31" s="258" t="s">
        <v>128</v>
      </c>
      <c r="R31" s="232"/>
      <c r="S31" s="232"/>
      <c r="T31" s="232"/>
      <c r="U31" s="232" t="s">
        <v>128</v>
      </c>
      <c r="V31" s="232" t="s">
        <v>128</v>
      </c>
      <c r="W31" s="258" t="s">
        <v>128</v>
      </c>
      <c r="X31" s="232"/>
      <c r="Y31" s="191"/>
      <c r="Z31" s="232"/>
      <c r="AA31" s="232"/>
      <c r="AB31" s="232" t="s">
        <v>128</v>
      </c>
      <c r="AC31" s="258" t="s">
        <v>179</v>
      </c>
      <c r="AD31" s="232"/>
      <c r="AE31" s="191"/>
      <c r="AF31" s="232"/>
      <c r="AG31" s="232" t="s">
        <v>128</v>
      </c>
      <c r="AH31" s="258" t="s">
        <v>128</v>
      </c>
      <c r="AI31" s="241"/>
      <c r="AJ31" s="241"/>
      <c r="AK31" s="232"/>
      <c r="AL31" s="294" t="s">
        <v>159</v>
      </c>
      <c r="AM31" s="258" t="s">
        <v>159</v>
      </c>
      <c r="AN31" s="241"/>
      <c r="AO31" s="241" t="s">
        <v>128</v>
      </c>
      <c r="AP31" s="232"/>
      <c r="AQ31" s="191"/>
      <c r="AR31" s="282" t="s">
        <v>177</v>
      </c>
      <c r="AS31" s="231" t="s">
        <v>177</v>
      </c>
      <c r="AT31" s="231" t="s">
        <v>178</v>
      </c>
      <c r="AU31" s="232"/>
      <c r="AV31" s="259"/>
      <c r="AW31" s="234"/>
      <c r="AX31" s="234"/>
      <c r="AY31" s="234"/>
      <c r="AZ31" s="234"/>
      <c r="BA31" s="234"/>
      <c r="BB31" s="234">
        <v>0</v>
      </c>
      <c r="BC31" s="234"/>
      <c r="BD31" s="284"/>
      <c r="BE31" s="295" t="s">
        <v>159</v>
      </c>
      <c r="BF31" s="285"/>
      <c r="BG31" s="294"/>
      <c r="BH31" s="232">
        <v>59</v>
      </c>
      <c r="BI31" s="232">
        <v>2648</v>
      </c>
      <c r="BJ31" s="232">
        <v>2500</v>
      </c>
    </row>
    <row r="32" spans="2:62" ht="16.5" thickBot="1" x14ac:dyDescent="0.3">
      <c r="B32" s="282" t="s">
        <v>180</v>
      </c>
      <c r="C32" s="249" t="s">
        <v>181</v>
      </c>
      <c r="D32" s="300" t="s">
        <v>182</v>
      </c>
      <c r="E32" s="301">
        <v>133424</v>
      </c>
      <c r="F32" s="302">
        <v>2104000</v>
      </c>
      <c r="G32" s="303"/>
      <c r="H32" s="304"/>
      <c r="I32" s="304"/>
      <c r="J32" s="304"/>
      <c r="K32" s="304"/>
      <c r="L32" s="304"/>
      <c r="M32" s="301"/>
      <c r="N32" s="305"/>
      <c r="O32" s="287">
        <v>2053600</v>
      </c>
      <c r="P32" s="306"/>
      <c r="Q32" s="255">
        <v>75064</v>
      </c>
      <c r="R32" s="232"/>
      <c r="S32" s="232"/>
      <c r="T32" s="232"/>
      <c r="U32" s="306">
        <v>2065600</v>
      </c>
      <c r="V32" s="306"/>
      <c r="W32" s="255">
        <v>78052</v>
      </c>
      <c r="X32" s="232"/>
      <c r="Y32" s="191"/>
      <c r="Z32" s="232"/>
      <c r="AA32" s="232"/>
      <c r="AB32" s="306">
        <v>2085600</v>
      </c>
      <c r="AC32" s="255">
        <v>67194</v>
      </c>
      <c r="AD32" s="232"/>
      <c r="AE32" s="191"/>
      <c r="AF32" s="232"/>
      <c r="AG32" s="306">
        <v>1932000</v>
      </c>
      <c r="AH32" s="255">
        <v>70000</v>
      </c>
      <c r="AI32" s="241"/>
      <c r="AJ32" s="241"/>
      <c r="AK32" s="232"/>
      <c r="AL32" s="307">
        <v>2044800</v>
      </c>
      <c r="AM32" s="255">
        <v>67427</v>
      </c>
      <c r="AN32" s="241"/>
      <c r="AO32" s="241" t="s">
        <v>128</v>
      </c>
      <c r="AP32" s="232"/>
      <c r="AQ32" s="191"/>
      <c r="AR32" s="282" t="s">
        <v>180</v>
      </c>
      <c r="AS32" s="231" t="s">
        <v>181</v>
      </c>
      <c r="AT32" s="308" t="s">
        <v>182</v>
      </c>
      <c r="AU32" s="306">
        <v>120000</v>
      </c>
      <c r="AV32" s="259" t="s">
        <v>183</v>
      </c>
      <c r="AW32" s="234"/>
      <c r="AX32" s="234"/>
      <c r="AY32" s="234"/>
      <c r="AZ32" s="234">
        <v>44855</v>
      </c>
      <c r="BA32" s="234"/>
      <c r="BB32" s="234">
        <v>0</v>
      </c>
      <c r="BC32" s="234"/>
      <c r="BD32" s="284">
        <v>68568</v>
      </c>
      <c r="BE32" s="295" t="s">
        <v>159</v>
      </c>
      <c r="BF32" s="285"/>
      <c r="BG32" s="309"/>
      <c r="BH32" s="232">
        <v>2298720</v>
      </c>
      <c r="BI32" s="310">
        <v>2068800</v>
      </c>
      <c r="BJ32" s="311">
        <v>2210000</v>
      </c>
    </row>
    <row r="33" spans="2:62" ht="16.5" thickBot="1" x14ac:dyDescent="0.3">
      <c r="B33" s="282" t="s">
        <v>184</v>
      </c>
      <c r="C33" s="249" t="s">
        <v>185</v>
      </c>
      <c r="D33" s="249" t="s">
        <v>186</v>
      </c>
      <c r="E33" s="262">
        <v>19784</v>
      </c>
      <c r="F33" s="263">
        <v>42264</v>
      </c>
      <c r="G33" s="268" t="s">
        <v>187</v>
      </c>
      <c r="H33" s="269">
        <v>9068</v>
      </c>
      <c r="I33" s="270" t="s">
        <v>128</v>
      </c>
      <c r="J33" s="270"/>
      <c r="K33" s="270"/>
      <c r="L33" s="270"/>
      <c r="M33" s="357"/>
      <c r="N33" s="265"/>
      <c r="O33" s="234">
        <v>37296</v>
      </c>
      <c r="P33" s="272" t="s">
        <v>187</v>
      </c>
      <c r="Q33" s="255">
        <v>12568</v>
      </c>
      <c r="R33" s="232"/>
      <c r="S33" s="232"/>
      <c r="T33" s="232"/>
      <c r="U33" s="232">
        <v>26694</v>
      </c>
      <c r="V33" s="272" t="s">
        <v>187</v>
      </c>
      <c r="W33" s="255">
        <v>14753</v>
      </c>
      <c r="X33" s="232"/>
      <c r="Y33" s="191"/>
      <c r="Z33" s="232"/>
      <c r="AA33" s="232"/>
      <c r="AB33" s="232">
        <v>30726</v>
      </c>
      <c r="AC33" s="255">
        <v>11749</v>
      </c>
      <c r="AD33" s="232"/>
      <c r="AE33" s="191"/>
      <c r="AF33" s="232"/>
      <c r="AG33" s="232"/>
      <c r="AH33" s="255">
        <v>13868</v>
      </c>
      <c r="AI33" s="241"/>
      <c r="AJ33" s="241"/>
      <c r="AK33" s="232"/>
      <c r="AL33" s="293">
        <v>12000</v>
      </c>
      <c r="AM33" s="255">
        <v>13472</v>
      </c>
      <c r="AN33" s="241"/>
      <c r="AO33" s="241" t="s">
        <v>128</v>
      </c>
      <c r="AP33" s="232"/>
      <c r="AQ33" s="191"/>
      <c r="AR33" s="282" t="s">
        <v>184</v>
      </c>
      <c r="AS33" s="231" t="s">
        <v>185</v>
      </c>
      <c r="AT33" s="231" t="s">
        <v>186</v>
      </c>
      <c r="AU33" s="232">
        <v>16000</v>
      </c>
      <c r="AV33" s="259">
        <v>10000</v>
      </c>
      <c r="AW33" s="234"/>
      <c r="AX33" s="234"/>
      <c r="AY33" s="234"/>
      <c r="AZ33" s="234">
        <v>9371</v>
      </c>
      <c r="BA33" s="234"/>
      <c r="BB33" s="234">
        <v>0</v>
      </c>
      <c r="BC33" s="234"/>
      <c r="BD33" s="284">
        <v>10419</v>
      </c>
      <c r="BE33" s="295" t="s">
        <v>159</v>
      </c>
      <c r="BF33" s="285"/>
      <c r="BG33" s="294"/>
      <c r="BH33" s="232">
        <v>39708</v>
      </c>
      <c r="BI33" s="232">
        <v>36081</v>
      </c>
      <c r="BJ33" s="232">
        <v>30141</v>
      </c>
    </row>
    <row r="34" spans="2:62" x14ac:dyDescent="0.25">
      <c r="B34" s="282" t="s">
        <v>188</v>
      </c>
      <c r="C34" s="249" t="s">
        <v>189</v>
      </c>
      <c r="D34" s="249" t="s">
        <v>190</v>
      </c>
      <c r="E34" s="262">
        <v>96382</v>
      </c>
      <c r="F34" s="263">
        <v>0</v>
      </c>
      <c r="G34" s="264"/>
      <c r="H34" s="233"/>
      <c r="I34" s="233">
        <v>0</v>
      </c>
      <c r="J34" s="233"/>
      <c r="K34" s="233"/>
      <c r="L34" s="233"/>
      <c r="M34" s="262"/>
      <c r="N34" s="265"/>
      <c r="O34" s="234" t="s">
        <v>191</v>
      </c>
      <c r="P34" s="232"/>
      <c r="Q34" s="255" t="s">
        <v>191</v>
      </c>
      <c r="R34" s="232"/>
      <c r="S34" s="232"/>
      <c r="T34" s="232"/>
      <c r="U34" s="232">
        <v>1250800</v>
      </c>
      <c r="V34" s="232"/>
      <c r="W34" s="255"/>
      <c r="X34" s="232"/>
      <c r="Y34" s="191"/>
      <c r="Z34" s="232"/>
      <c r="AA34" s="232"/>
      <c r="AB34" s="232">
        <v>1339200</v>
      </c>
      <c r="AC34" s="255">
        <v>21999</v>
      </c>
      <c r="AD34" s="232">
        <v>0</v>
      </c>
      <c r="AE34" s="191"/>
      <c r="AF34" s="232"/>
      <c r="AG34" s="232">
        <v>1485600</v>
      </c>
      <c r="AH34" s="258">
        <v>26575</v>
      </c>
      <c r="AI34" s="241"/>
      <c r="AJ34" s="241"/>
      <c r="AK34" s="232"/>
      <c r="AL34" s="293">
        <v>1403600</v>
      </c>
      <c r="AM34" s="258" t="s">
        <v>149</v>
      </c>
      <c r="AN34" s="241"/>
      <c r="AO34" s="241" t="s">
        <v>128</v>
      </c>
      <c r="AP34" s="232"/>
      <c r="AQ34" s="191"/>
      <c r="AR34" s="282" t="s">
        <v>192</v>
      </c>
      <c r="AS34" s="231" t="s">
        <v>189</v>
      </c>
      <c r="AT34" s="231" t="s">
        <v>190</v>
      </c>
      <c r="AU34" s="232">
        <v>75000</v>
      </c>
      <c r="AV34" s="259">
        <v>23876</v>
      </c>
      <c r="AW34" s="234">
        <v>500</v>
      </c>
      <c r="AX34" s="234"/>
      <c r="AY34" s="234"/>
      <c r="AZ34" s="234">
        <v>31080</v>
      </c>
      <c r="BA34" s="234"/>
      <c r="BB34" s="234">
        <v>0</v>
      </c>
      <c r="BC34" s="234"/>
      <c r="BD34" s="234">
        <v>15997</v>
      </c>
      <c r="BE34" s="295" t="s">
        <v>159</v>
      </c>
      <c r="BF34" s="285"/>
      <c r="BG34" s="294"/>
      <c r="BH34" s="232">
        <v>1342400</v>
      </c>
      <c r="BI34" s="232">
        <v>1467600</v>
      </c>
      <c r="BJ34" s="232">
        <v>1597820</v>
      </c>
    </row>
    <row r="35" spans="2:62" x14ac:dyDescent="0.25">
      <c r="B35" s="282" t="s">
        <v>193</v>
      </c>
      <c r="C35" s="249"/>
      <c r="D35" s="249"/>
      <c r="E35" s="262" t="s">
        <v>191</v>
      </c>
      <c r="F35" s="263">
        <v>0</v>
      </c>
      <c r="G35" s="264"/>
      <c r="H35" s="233"/>
      <c r="I35" s="233"/>
      <c r="J35" s="233"/>
      <c r="K35" s="233"/>
      <c r="L35" s="233"/>
      <c r="M35" s="262"/>
      <c r="N35" s="265"/>
      <c r="O35" s="234" t="s">
        <v>191</v>
      </c>
      <c r="P35" s="232"/>
      <c r="Q35" s="255" t="s">
        <v>191</v>
      </c>
      <c r="R35" s="232"/>
      <c r="S35" s="232"/>
      <c r="T35" s="232"/>
      <c r="U35" s="232">
        <v>24849</v>
      </c>
      <c r="V35" s="232"/>
      <c r="W35" s="255">
        <v>60053</v>
      </c>
      <c r="X35" s="232"/>
      <c r="Y35" s="191"/>
      <c r="Z35" s="232"/>
      <c r="AA35" s="232"/>
      <c r="AB35" s="232">
        <v>32508</v>
      </c>
      <c r="AC35" s="258">
        <v>9698</v>
      </c>
      <c r="AD35" s="232"/>
      <c r="AE35" s="191"/>
      <c r="AF35" s="232"/>
      <c r="AG35" s="232" t="s">
        <v>128</v>
      </c>
      <c r="AH35" s="258" t="s">
        <v>128</v>
      </c>
      <c r="AI35" s="241"/>
      <c r="AJ35" s="241"/>
      <c r="AK35" s="232"/>
      <c r="AL35" s="294"/>
      <c r="AM35" s="258"/>
      <c r="AN35" s="241"/>
      <c r="AO35" s="241" t="s">
        <v>128</v>
      </c>
      <c r="AP35" s="232"/>
      <c r="AQ35" s="191"/>
      <c r="AR35" s="282" t="s">
        <v>193</v>
      </c>
      <c r="AS35" s="231"/>
      <c r="AT35" s="231"/>
      <c r="AU35" s="232"/>
      <c r="AV35" s="259"/>
      <c r="AW35" s="234"/>
      <c r="AX35" s="234"/>
      <c r="AY35" s="234"/>
      <c r="AZ35" s="234"/>
      <c r="BA35" s="234"/>
      <c r="BB35" s="234"/>
      <c r="BC35" s="234"/>
      <c r="BD35" s="284"/>
      <c r="BE35" s="232"/>
      <c r="BF35" s="285"/>
      <c r="BG35" s="294"/>
      <c r="BH35" s="232"/>
      <c r="BI35" s="232"/>
      <c r="BJ35" s="232"/>
    </row>
    <row r="36" spans="2:62" x14ac:dyDescent="0.25">
      <c r="B36" s="282" t="s">
        <v>194</v>
      </c>
      <c r="C36" s="249"/>
      <c r="D36" s="249"/>
      <c r="E36" s="262"/>
      <c r="F36" s="263">
        <v>0</v>
      </c>
      <c r="G36" s="264"/>
      <c r="H36" s="233"/>
      <c r="I36" s="233"/>
      <c r="J36" s="233"/>
      <c r="K36" s="233"/>
      <c r="L36" s="233"/>
      <c r="M36" s="262"/>
      <c r="N36" s="265"/>
      <c r="O36" s="234" t="s">
        <v>191</v>
      </c>
      <c r="P36" s="232"/>
      <c r="Q36" s="258" t="s">
        <v>191</v>
      </c>
      <c r="R36" s="232"/>
      <c r="S36" s="232"/>
      <c r="T36" s="232"/>
      <c r="U36" s="232">
        <v>35520</v>
      </c>
      <c r="V36" s="232"/>
      <c r="W36" s="258"/>
      <c r="X36" s="232"/>
      <c r="Y36" s="191"/>
      <c r="Z36" s="232"/>
      <c r="AA36" s="232"/>
      <c r="AB36" s="232"/>
      <c r="AC36" s="258"/>
      <c r="AD36" s="232"/>
      <c r="AE36" s="191"/>
      <c r="AF36" s="232"/>
      <c r="AG36" s="232"/>
      <c r="AH36" s="258"/>
      <c r="AI36" s="241"/>
      <c r="AJ36" s="241"/>
      <c r="AK36" s="232"/>
      <c r="AL36" s="294"/>
      <c r="AM36" s="258"/>
      <c r="AN36" s="241"/>
      <c r="AO36" s="241"/>
      <c r="AP36" s="232"/>
      <c r="AQ36" s="191"/>
      <c r="AR36" s="282"/>
      <c r="AS36" s="231"/>
      <c r="AT36" s="231"/>
      <c r="AU36" s="232"/>
      <c r="AV36" s="259"/>
      <c r="AW36" s="234"/>
      <c r="AX36" s="234"/>
      <c r="AY36" s="234"/>
      <c r="AZ36" s="234"/>
      <c r="BA36" s="234"/>
      <c r="BB36" s="234"/>
      <c r="BC36" s="234"/>
      <c r="BD36" s="284"/>
      <c r="BE36" s="232"/>
      <c r="BF36" s="285"/>
      <c r="BG36" s="294"/>
      <c r="BH36" s="232"/>
      <c r="BI36" s="232"/>
      <c r="BJ36" s="232"/>
    </row>
    <row r="37" spans="2:62" x14ac:dyDescent="0.25">
      <c r="B37" s="282" t="s">
        <v>195</v>
      </c>
      <c r="C37" s="249"/>
      <c r="D37" s="249"/>
      <c r="E37" s="262"/>
      <c r="F37" s="263">
        <v>1303642</v>
      </c>
      <c r="G37" s="264"/>
      <c r="H37" s="233">
        <v>28770</v>
      </c>
      <c r="I37" s="233">
        <v>250</v>
      </c>
      <c r="J37" s="233"/>
      <c r="K37" s="233"/>
      <c r="L37" s="233"/>
      <c r="M37" s="262"/>
      <c r="N37" s="265"/>
      <c r="O37" s="234">
        <v>1284570</v>
      </c>
      <c r="P37" s="232"/>
      <c r="Q37" s="255">
        <v>50000</v>
      </c>
      <c r="R37" s="232"/>
      <c r="S37" s="232"/>
      <c r="T37" s="232"/>
      <c r="U37" s="232"/>
      <c r="V37" s="232"/>
      <c r="W37" s="258"/>
      <c r="X37" s="232"/>
      <c r="Y37" s="191"/>
      <c r="Z37" s="232"/>
      <c r="AA37" s="232"/>
      <c r="AB37" s="232"/>
      <c r="AC37" s="258"/>
      <c r="AD37" s="232"/>
      <c r="AE37" s="191"/>
      <c r="AF37" s="232"/>
      <c r="AG37" s="232"/>
      <c r="AH37" s="258"/>
      <c r="AI37" s="241"/>
      <c r="AJ37" s="241"/>
      <c r="AK37" s="232"/>
      <c r="AL37" s="294"/>
      <c r="AM37" s="258"/>
      <c r="AN37" s="241"/>
      <c r="AO37" s="241"/>
      <c r="AP37" s="232"/>
      <c r="AQ37" s="191"/>
      <c r="AR37" s="282"/>
      <c r="AS37" s="231"/>
      <c r="AT37" s="231"/>
      <c r="AU37" s="232"/>
      <c r="AV37" s="259"/>
      <c r="AW37" s="234"/>
      <c r="AX37" s="234"/>
      <c r="AY37" s="234"/>
      <c r="AZ37" s="234"/>
      <c r="BA37" s="234"/>
      <c r="BB37" s="234"/>
      <c r="BC37" s="234"/>
      <c r="BD37" s="284"/>
      <c r="BE37" s="232"/>
      <c r="BF37" s="285"/>
      <c r="BG37" s="294"/>
      <c r="BH37" s="232"/>
      <c r="BI37" s="232"/>
      <c r="BJ37" s="232"/>
    </row>
    <row r="38" spans="2:62" x14ac:dyDescent="0.25">
      <c r="B38" s="282" t="s">
        <v>196</v>
      </c>
      <c r="C38" s="249" t="s">
        <v>197</v>
      </c>
      <c r="D38" s="249" t="s">
        <v>198</v>
      </c>
      <c r="E38" s="262">
        <v>74532</v>
      </c>
      <c r="F38" s="263">
        <v>512000</v>
      </c>
      <c r="G38" s="264"/>
      <c r="H38" s="233"/>
      <c r="I38" s="233" t="s">
        <v>128</v>
      </c>
      <c r="J38" s="233"/>
      <c r="K38" s="233"/>
      <c r="L38" s="233"/>
      <c r="M38" s="262"/>
      <c r="N38" s="265"/>
      <c r="O38" s="234">
        <v>479840</v>
      </c>
      <c r="P38" s="232"/>
      <c r="Q38" s="258">
        <v>1748</v>
      </c>
      <c r="R38" s="232"/>
      <c r="S38" s="232"/>
      <c r="T38" s="232"/>
      <c r="U38" s="232">
        <v>489280</v>
      </c>
      <c r="V38" s="232"/>
      <c r="W38" s="258">
        <v>1748</v>
      </c>
      <c r="X38" s="232"/>
      <c r="Y38" s="191"/>
      <c r="Z38" s="232"/>
      <c r="AA38" s="232"/>
      <c r="AB38" s="232">
        <v>531840</v>
      </c>
      <c r="AC38" s="258">
        <v>1105</v>
      </c>
      <c r="AD38" s="232"/>
      <c r="AE38" s="191">
        <v>34251</v>
      </c>
      <c r="AF38" s="232"/>
      <c r="AG38" s="232">
        <v>563200</v>
      </c>
      <c r="AH38" s="255">
        <v>1500</v>
      </c>
      <c r="AI38" s="241"/>
      <c r="AJ38" s="241">
        <v>1526</v>
      </c>
      <c r="AK38" s="232"/>
      <c r="AL38" s="293">
        <v>556480</v>
      </c>
      <c r="AM38" s="258">
        <v>1573</v>
      </c>
      <c r="AN38" s="241"/>
      <c r="AO38" s="241">
        <v>34383</v>
      </c>
      <c r="AP38" s="232"/>
      <c r="AQ38" s="191"/>
      <c r="AR38" s="282" t="s">
        <v>196</v>
      </c>
      <c r="AS38" s="231" t="s">
        <v>197</v>
      </c>
      <c r="AT38" s="231" t="s">
        <v>198</v>
      </c>
      <c r="AU38" s="232">
        <v>66000</v>
      </c>
      <c r="AV38" s="259">
        <v>1686</v>
      </c>
      <c r="AW38" s="234"/>
      <c r="AX38" s="234"/>
      <c r="AY38" s="234"/>
      <c r="AZ38" s="234">
        <v>1591</v>
      </c>
      <c r="BA38" s="234"/>
      <c r="BB38" s="234">
        <v>64129</v>
      </c>
      <c r="BC38" s="234"/>
      <c r="BD38" s="284">
        <v>1540</v>
      </c>
      <c r="BE38" s="232">
        <v>70788</v>
      </c>
      <c r="BF38" s="285"/>
      <c r="BG38" s="294"/>
      <c r="BH38" s="232">
        <v>533600</v>
      </c>
      <c r="BI38" s="232">
        <v>558880</v>
      </c>
      <c r="BJ38" s="232">
        <v>586560</v>
      </c>
    </row>
    <row r="39" spans="2:62" x14ac:dyDescent="0.25">
      <c r="B39" s="282" t="s">
        <v>199</v>
      </c>
      <c r="C39" s="249"/>
      <c r="D39" s="249"/>
      <c r="E39" s="262">
        <v>5000</v>
      </c>
      <c r="F39" s="263" t="s">
        <v>128</v>
      </c>
      <c r="G39" s="264"/>
      <c r="H39" s="233"/>
      <c r="I39" s="233" t="s">
        <v>128</v>
      </c>
      <c r="J39" s="233"/>
      <c r="K39" s="233"/>
      <c r="L39" s="233"/>
      <c r="M39" s="262"/>
      <c r="N39" s="265"/>
      <c r="O39" s="234"/>
      <c r="P39" s="232"/>
      <c r="Q39" s="258" t="s">
        <v>128</v>
      </c>
      <c r="R39" s="232"/>
      <c r="S39" s="232"/>
      <c r="T39" s="232"/>
      <c r="U39" s="232"/>
      <c r="V39" s="232"/>
      <c r="W39" s="258" t="s">
        <v>128</v>
      </c>
      <c r="X39" s="232"/>
      <c r="Y39" s="191"/>
      <c r="Z39" s="232"/>
      <c r="AA39" s="232"/>
      <c r="AB39" s="232"/>
      <c r="AC39" s="258" t="s">
        <v>128</v>
      </c>
      <c r="AD39" s="232"/>
      <c r="AE39" s="191"/>
      <c r="AF39" s="232"/>
      <c r="AG39" s="232"/>
      <c r="AH39" s="258"/>
      <c r="AI39" s="241"/>
      <c r="AJ39" s="241"/>
      <c r="AK39" s="232"/>
      <c r="AL39" s="294"/>
      <c r="AM39" s="258" t="s">
        <v>128</v>
      </c>
      <c r="AN39" s="241"/>
      <c r="AO39" s="241"/>
      <c r="AP39" s="232"/>
      <c r="AQ39" s="191"/>
      <c r="AR39" s="282" t="s">
        <v>199</v>
      </c>
      <c r="AS39" s="231"/>
      <c r="AT39" s="231"/>
      <c r="AU39" s="232">
        <v>3000</v>
      </c>
      <c r="AV39" s="259"/>
      <c r="AW39" s="234"/>
      <c r="AX39" s="234"/>
      <c r="AY39" s="234"/>
      <c r="AZ39" s="234"/>
      <c r="BA39" s="234"/>
      <c r="BB39" s="234"/>
      <c r="BC39" s="234"/>
      <c r="BD39" s="284"/>
      <c r="BE39" s="232"/>
      <c r="BF39" s="285"/>
      <c r="BG39" s="294"/>
      <c r="BH39" s="232"/>
      <c r="BI39" s="232"/>
      <c r="BJ39" s="232"/>
    </row>
    <row r="40" spans="2:62" x14ac:dyDescent="0.25">
      <c r="B40" s="282" t="s">
        <v>200</v>
      </c>
      <c r="C40" s="249" t="s">
        <v>201</v>
      </c>
      <c r="D40" s="249" t="s">
        <v>202</v>
      </c>
      <c r="E40" s="262">
        <v>15479</v>
      </c>
      <c r="F40" s="263">
        <v>339200</v>
      </c>
      <c r="G40" s="264"/>
      <c r="H40" s="233"/>
      <c r="I40" s="233" t="s">
        <v>128</v>
      </c>
      <c r="J40" s="233"/>
      <c r="K40" s="233"/>
      <c r="L40" s="233"/>
      <c r="M40" s="262"/>
      <c r="N40" s="265"/>
      <c r="O40" s="234">
        <v>314720</v>
      </c>
      <c r="P40" s="232"/>
      <c r="Q40" s="255">
        <v>10700</v>
      </c>
      <c r="R40" s="232"/>
      <c r="S40" s="232"/>
      <c r="T40" s="232"/>
      <c r="U40" s="232">
        <v>302400</v>
      </c>
      <c r="V40" s="232"/>
      <c r="W40" s="255">
        <v>8341</v>
      </c>
      <c r="X40" s="232"/>
      <c r="Y40" s="191"/>
      <c r="Z40" s="232"/>
      <c r="AA40" s="232"/>
      <c r="AB40" s="232">
        <v>269280</v>
      </c>
      <c r="AC40" s="255">
        <v>7851</v>
      </c>
      <c r="AD40" s="232"/>
      <c r="AE40" s="191"/>
      <c r="AF40" s="232"/>
      <c r="AG40" s="232">
        <v>261280</v>
      </c>
      <c r="AH40" s="255">
        <v>7000</v>
      </c>
      <c r="AI40" s="241"/>
      <c r="AJ40" s="241"/>
      <c r="AK40" s="232"/>
      <c r="AL40" s="293">
        <v>71920</v>
      </c>
      <c r="AM40" s="255">
        <v>6467</v>
      </c>
      <c r="AN40" s="241"/>
      <c r="AO40" s="241"/>
      <c r="AP40" s="232"/>
      <c r="AQ40" s="191"/>
      <c r="AR40" s="282" t="s">
        <v>200</v>
      </c>
      <c r="AS40" s="231" t="s">
        <v>201</v>
      </c>
      <c r="AT40" s="231" t="s">
        <v>202</v>
      </c>
      <c r="AU40" s="232">
        <v>15000</v>
      </c>
      <c r="AV40" s="259">
        <v>3207</v>
      </c>
      <c r="AW40" s="234"/>
      <c r="AX40" s="234"/>
      <c r="AY40" s="234"/>
      <c r="AZ40" s="234">
        <v>2659</v>
      </c>
      <c r="BA40" s="234"/>
      <c r="BB40" s="234">
        <v>0</v>
      </c>
      <c r="BC40" s="234"/>
      <c r="BD40" s="284">
        <v>3510</v>
      </c>
      <c r="BE40" s="232" t="s">
        <v>159</v>
      </c>
      <c r="BF40" s="285"/>
      <c r="BG40" s="294"/>
      <c r="BH40" s="232">
        <v>164960</v>
      </c>
      <c r="BI40" s="232">
        <v>146400</v>
      </c>
      <c r="BJ40" s="232">
        <v>109760</v>
      </c>
    </row>
    <row r="41" spans="2:62" ht="16.5" thickBot="1" x14ac:dyDescent="0.3">
      <c r="B41" s="282" t="s">
        <v>203</v>
      </c>
      <c r="C41" s="300" t="s">
        <v>204</v>
      </c>
      <c r="D41" s="312" t="s">
        <v>205</v>
      </c>
      <c r="E41" s="262">
        <v>79756</v>
      </c>
      <c r="F41" s="263">
        <v>746800</v>
      </c>
      <c r="G41" s="268" t="s">
        <v>206</v>
      </c>
      <c r="H41" s="269">
        <v>4561</v>
      </c>
      <c r="I41" s="270" t="s">
        <v>385</v>
      </c>
      <c r="J41" s="270"/>
      <c r="K41" s="270"/>
      <c r="L41" s="270"/>
      <c r="M41" s="357"/>
      <c r="N41" s="265"/>
      <c r="O41" s="234">
        <v>832400</v>
      </c>
      <c r="P41" s="272" t="s">
        <v>206</v>
      </c>
      <c r="Q41" s="255">
        <v>4537</v>
      </c>
      <c r="R41" s="232"/>
      <c r="S41" s="232"/>
      <c r="T41" s="232"/>
      <c r="U41" s="232">
        <v>876000</v>
      </c>
      <c r="V41" s="272" t="s">
        <v>206</v>
      </c>
      <c r="W41" s="255">
        <v>4429</v>
      </c>
      <c r="X41" s="232"/>
      <c r="Z41" s="232"/>
      <c r="AA41" s="232"/>
      <c r="AB41" s="232">
        <v>925600</v>
      </c>
      <c r="AC41" s="255">
        <v>4919</v>
      </c>
      <c r="AD41" s="232"/>
      <c r="AE41" s="190">
        <v>37230</v>
      </c>
      <c r="AF41" s="232"/>
      <c r="AG41" s="232">
        <v>944800</v>
      </c>
      <c r="AH41" s="255">
        <v>6906</v>
      </c>
      <c r="AI41" s="241"/>
      <c r="AJ41" s="241">
        <v>1659</v>
      </c>
      <c r="AK41" s="232"/>
      <c r="AL41" s="313">
        <v>926400</v>
      </c>
      <c r="AM41" s="255">
        <v>7373</v>
      </c>
      <c r="AN41" s="241"/>
      <c r="AO41" s="241">
        <v>37373</v>
      </c>
      <c r="AP41" s="232"/>
      <c r="AQ41" s="191"/>
      <c r="AR41" s="282" t="s">
        <v>203</v>
      </c>
      <c r="AS41" s="308" t="s">
        <v>204</v>
      </c>
      <c r="AT41" s="314" t="s">
        <v>205</v>
      </c>
      <c r="AU41" s="232">
        <v>75000</v>
      </c>
      <c r="AV41" s="259">
        <v>7394</v>
      </c>
      <c r="AW41" s="234"/>
      <c r="AZ41" s="234">
        <v>6479</v>
      </c>
      <c r="BA41" s="234"/>
      <c r="BB41" s="234">
        <v>69705</v>
      </c>
      <c r="BC41" s="234"/>
      <c r="BD41" s="284">
        <v>7262</v>
      </c>
      <c r="BE41" s="232">
        <v>77030</v>
      </c>
      <c r="BF41" s="285"/>
      <c r="BG41" s="315"/>
      <c r="BH41" s="232">
        <v>1003200</v>
      </c>
      <c r="BI41" s="191">
        <v>1030800</v>
      </c>
      <c r="BJ41" s="191">
        <v>989200</v>
      </c>
    </row>
    <row r="42" spans="2:62" x14ac:dyDescent="0.25">
      <c r="B42" s="282" t="s">
        <v>207</v>
      </c>
      <c r="C42" s="249" t="s">
        <v>208</v>
      </c>
      <c r="D42" s="249" t="s">
        <v>209</v>
      </c>
      <c r="E42" s="262">
        <v>114000</v>
      </c>
      <c r="F42" s="263">
        <v>992800</v>
      </c>
      <c r="G42" s="264"/>
      <c r="H42" s="233"/>
      <c r="I42" s="233" t="s">
        <v>128</v>
      </c>
      <c r="J42" s="233"/>
      <c r="K42" s="233"/>
      <c r="L42" s="233"/>
      <c r="M42" s="262"/>
      <c r="N42" s="265"/>
      <c r="O42" s="234">
        <v>958000</v>
      </c>
      <c r="P42" s="232"/>
      <c r="Q42" s="258" t="s">
        <v>128</v>
      </c>
      <c r="R42" s="232"/>
      <c r="S42" s="232"/>
      <c r="T42" s="232"/>
      <c r="U42" s="232">
        <v>900400</v>
      </c>
      <c r="V42" s="232"/>
      <c r="W42" s="258" t="s">
        <v>128</v>
      </c>
      <c r="X42" s="232"/>
      <c r="Y42" s="191"/>
      <c r="Z42" s="232"/>
      <c r="AA42" s="232"/>
      <c r="AB42" s="232">
        <v>952800</v>
      </c>
      <c r="AC42" s="258" t="s">
        <v>128</v>
      </c>
      <c r="AD42" s="232"/>
      <c r="AE42" s="191">
        <v>56589</v>
      </c>
      <c r="AF42" s="232"/>
      <c r="AG42" s="232">
        <v>938400</v>
      </c>
      <c r="AH42" s="258" t="s">
        <v>128</v>
      </c>
      <c r="AI42" s="241"/>
      <c r="AJ42" s="241">
        <v>2521</v>
      </c>
      <c r="AK42" s="232"/>
      <c r="AL42" s="293">
        <v>932000</v>
      </c>
      <c r="AM42" s="258">
        <v>0</v>
      </c>
      <c r="AN42" s="241"/>
      <c r="AO42" s="241">
        <v>56806</v>
      </c>
      <c r="AP42" s="232"/>
      <c r="AQ42" s="191"/>
      <c r="AR42" s="282" t="s">
        <v>207</v>
      </c>
      <c r="AS42" s="231" t="s">
        <v>208</v>
      </c>
      <c r="AT42" s="231" t="s">
        <v>209</v>
      </c>
      <c r="AU42" s="232">
        <v>114000</v>
      </c>
      <c r="AV42" s="259"/>
      <c r="AW42" s="234"/>
      <c r="AX42" s="234"/>
      <c r="AY42" s="234"/>
      <c r="AZ42" s="234"/>
      <c r="BA42" s="234"/>
      <c r="BB42" s="234">
        <v>105952</v>
      </c>
      <c r="BC42" s="234"/>
      <c r="BD42" s="284"/>
      <c r="BE42" s="232">
        <v>116605</v>
      </c>
      <c r="BF42" s="285"/>
      <c r="BG42" s="294"/>
      <c r="BH42" s="232">
        <v>754800</v>
      </c>
      <c r="BI42" s="232">
        <v>881600</v>
      </c>
      <c r="BJ42" s="232">
        <v>886000</v>
      </c>
    </row>
    <row r="43" spans="2:62" ht="16.5" thickBot="1" x14ac:dyDescent="0.3">
      <c r="B43" s="282" t="s">
        <v>210</v>
      </c>
      <c r="C43" s="249"/>
      <c r="D43" s="248"/>
      <c r="E43" s="250">
        <v>28048</v>
      </c>
      <c r="F43" s="251">
        <v>57760</v>
      </c>
      <c r="G43" s="252"/>
      <c r="H43" s="253"/>
      <c r="I43" s="253" t="s">
        <v>128</v>
      </c>
      <c r="J43" s="253"/>
      <c r="K43" s="253"/>
      <c r="L43" s="253"/>
      <c r="M43" s="250"/>
      <c r="N43" s="254"/>
      <c r="O43" s="316">
        <v>57640</v>
      </c>
      <c r="P43" s="22"/>
      <c r="Q43" s="255">
        <v>2226</v>
      </c>
      <c r="R43" s="232"/>
      <c r="S43" s="232"/>
      <c r="T43" s="232"/>
      <c r="U43" s="22">
        <v>54880</v>
      </c>
      <c r="V43" s="22"/>
      <c r="W43" s="255">
        <v>2166</v>
      </c>
      <c r="X43" s="232"/>
      <c r="Y43" s="191"/>
      <c r="Z43" s="232"/>
      <c r="AA43" s="232"/>
      <c r="AB43" s="22">
        <v>71640</v>
      </c>
      <c r="AC43" s="255">
        <v>1801</v>
      </c>
      <c r="AD43" s="232"/>
      <c r="AE43" s="191">
        <v>8089</v>
      </c>
      <c r="AF43" s="232"/>
      <c r="AG43" s="22">
        <v>96000</v>
      </c>
      <c r="AH43" s="255">
        <v>2400</v>
      </c>
      <c r="AI43" s="241"/>
      <c r="AJ43" s="241">
        <v>360</v>
      </c>
      <c r="AK43" s="232"/>
      <c r="AL43" s="51">
        <v>62960</v>
      </c>
      <c r="AM43" s="255">
        <v>2493</v>
      </c>
      <c r="AN43" s="241"/>
      <c r="AO43" s="241">
        <v>8120</v>
      </c>
      <c r="AP43" s="232"/>
      <c r="AQ43" s="191"/>
      <c r="AR43" s="282" t="s">
        <v>210</v>
      </c>
      <c r="AS43" s="231"/>
      <c r="AT43" s="39"/>
      <c r="AU43" s="22">
        <v>55000</v>
      </c>
      <c r="AV43" s="259">
        <v>515</v>
      </c>
      <c r="AW43" s="234"/>
      <c r="AX43" s="234"/>
      <c r="AY43" s="234"/>
      <c r="AZ43" s="234">
        <v>458</v>
      </c>
      <c r="BA43" s="234"/>
      <c r="BB43" s="234">
        <v>15146</v>
      </c>
      <c r="BC43" s="234"/>
      <c r="BD43" s="284"/>
      <c r="BE43" s="232"/>
      <c r="BF43" s="285"/>
      <c r="BG43" s="41"/>
      <c r="BH43" s="317"/>
      <c r="BI43" s="260">
        <v>61240</v>
      </c>
      <c r="BJ43" s="260">
        <v>36240</v>
      </c>
    </row>
    <row r="44" spans="2:62" ht="16.5" thickBot="1" x14ac:dyDescent="0.3">
      <c r="B44" s="282" t="s">
        <v>211</v>
      </c>
      <c r="C44" s="249"/>
      <c r="D44" s="358">
        <v>622110033200010</v>
      </c>
      <c r="E44" s="318">
        <v>28048</v>
      </c>
      <c r="F44" s="251">
        <v>56480</v>
      </c>
      <c r="G44" s="252"/>
      <c r="H44" s="253"/>
      <c r="I44" s="253" t="s">
        <v>128</v>
      </c>
      <c r="J44" s="253"/>
      <c r="K44" s="253"/>
      <c r="L44" s="253"/>
      <c r="M44" s="250"/>
      <c r="N44" s="319"/>
      <c r="O44" s="53">
        <v>59440</v>
      </c>
      <c r="P44" s="29"/>
      <c r="Q44" s="258">
        <v>1024</v>
      </c>
      <c r="R44" s="232"/>
      <c r="S44" s="241"/>
      <c r="T44" s="191"/>
      <c r="U44" s="29">
        <v>49080</v>
      </c>
      <c r="V44" s="29"/>
      <c r="W44" s="258">
        <v>2166</v>
      </c>
      <c r="X44" s="232"/>
      <c r="Y44" s="191"/>
      <c r="Z44" s="241"/>
      <c r="AA44" s="191"/>
      <c r="AB44" s="29">
        <v>50800</v>
      </c>
      <c r="AC44" s="258">
        <v>982</v>
      </c>
      <c r="AD44" s="232"/>
      <c r="AE44" s="191">
        <v>8089</v>
      </c>
      <c r="AF44" s="241"/>
      <c r="AG44" s="320">
        <v>95000</v>
      </c>
      <c r="AH44" s="258">
        <v>2400</v>
      </c>
      <c r="AI44" s="241"/>
      <c r="AJ44" s="241">
        <v>360</v>
      </c>
      <c r="AK44" s="232"/>
      <c r="AL44" s="54">
        <v>42043</v>
      </c>
      <c r="AM44" s="258">
        <v>1256</v>
      </c>
      <c r="AN44" s="241"/>
      <c r="AO44" s="241">
        <v>8120</v>
      </c>
      <c r="AP44" s="232"/>
      <c r="AQ44" s="191"/>
      <c r="AR44" s="282" t="s">
        <v>211</v>
      </c>
      <c r="AS44" s="231"/>
      <c r="AT44" s="52">
        <v>622110033200010</v>
      </c>
      <c r="AU44" s="320"/>
      <c r="AV44" s="259">
        <v>44</v>
      </c>
      <c r="AW44" s="234"/>
      <c r="AX44" s="234"/>
      <c r="AY44" s="234"/>
      <c r="AZ44" s="234">
        <v>44</v>
      </c>
      <c r="BA44" s="234"/>
      <c r="BB44" s="234">
        <v>15146</v>
      </c>
      <c r="BC44" s="234"/>
      <c r="BD44" s="284"/>
      <c r="BE44" s="232"/>
      <c r="BF44" s="285"/>
      <c r="BG44" s="55" t="s">
        <v>212</v>
      </c>
      <c r="BH44" s="232"/>
      <c r="BI44" s="232">
        <v>4051</v>
      </c>
      <c r="BJ44" s="232">
        <v>18786</v>
      </c>
    </row>
    <row r="45" spans="2:62" ht="16.5" thickBot="1" x14ac:dyDescent="0.3">
      <c r="B45" s="282" t="s">
        <v>213</v>
      </c>
      <c r="C45" s="249"/>
      <c r="D45" s="248"/>
      <c r="E45" s="250">
        <v>28048</v>
      </c>
      <c r="F45" s="251">
        <v>36720</v>
      </c>
      <c r="G45" s="252"/>
      <c r="H45" s="253"/>
      <c r="I45" s="253" t="s">
        <v>128</v>
      </c>
      <c r="J45" s="253"/>
      <c r="K45" s="253"/>
      <c r="L45" s="253"/>
      <c r="M45" s="250"/>
      <c r="N45" s="254"/>
      <c r="O45" s="53">
        <v>37360</v>
      </c>
      <c r="P45" s="29"/>
      <c r="Q45" s="266">
        <v>216</v>
      </c>
      <c r="R45" s="232"/>
      <c r="S45" s="241"/>
      <c r="T45" s="191"/>
      <c r="U45" s="29">
        <v>33612</v>
      </c>
      <c r="V45" s="29"/>
      <c r="W45" s="266">
        <v>2166</v>
      </c>
      <c r="X45" s="232"/>
      <c r="Y45" s="191"/>
      <c r="Z45" s="241"/>
      <c r="AA45" s="191"/>
      <c r="AB45" s="29">
        <v>10570</v>
      </c>
      <c r="AC45" s="266">
        <v>1142</v>
      </c>
      <c r="AD45" s="232"/>
      <c r="AE45" s="191">
        <v>11123</v>
      </c>
      <c r="AF45" s="241"/>
      <c r="AG45" s="29">
        <v>105000</v>
      </c>
      <c r="AH45" s="258">
        <v>2400</v>
      </c>
      <c r="AI45" s="241"/>
      <c r="AJ45" s="241">
        <v>495</v>
      </c>
      <c r="AK45" s="232"/>
      <c r="AL45" s="54">
        <v>0</v>
      </c>
      <c r="AM45" s="258">
        <v>1636</v>
      </c>
      <c r="AN45" s="241"/>
      <c r="AO45" s="241">
        <v>11165</v>
      </c>
      <c r="AP45" s="232"/>
      <c r="AQ45" s="191"/>
      <c r="AR45" s="282" t="s">
        <v>213</v>
      </c>
      <c r="AS45" s="231"/>
      <c r="AT45" s="39"/>
      <c r="AU45" s="29"/>
      <c r="AV45" s="259">
        <v>100</v>
      </c>
      <c r="AW45" s="234"/>
      <c r="AX45" s="234"/>
      <c r="AY45" s="234"/>
      <c r="AZ45" s="234">
        <v>250</v>
      </c>
      <c r="BA45" s="234"/>
      <c r="BB45" s="234">
        <v>20825</v>
      </c>
      <c r="BC45" s="234"/>
      <c r="BD45" s="284"/>
      <c r="BE45" s="232"/>
      <c r="BF45" s="321"/>
      <c r="BG45" s="54" t="s">
        <v>214</v>
      </c>
      <c r="BH45" s="232"/>
      <c r="BI45" s="232">
        <v>8830</v>
      </c>
      <c r="BJ45" s="232">
        <v>9470</v>
      </c>
    </row>
    <row r="46" spans="2:62" ht="16.5" thickBot="1" x14ac:dyDescent="0.3">
      <c r="B46" s="282" t="s">
        <v>386</v>
      </c>
      <c r="C46" s="249" t="s">
        <v>216</v>
      </c>
      <c r="D46" s="249" t="s">
        <v>217</v>
      </c>
      <c r="E46" s="262">
        <v>289258</v>
      </c>
      <c r="F46" s="263">
        <v>1194400</v>
      </c>
      <c r="G46" s="268" t="s">
        <v>218</v>
      </c>
      <c r="H46" s="269">
        <v>220127</v>
      </c>
      <c r="I46" s="270" t="s">
        <v>387</v>
      </c>
      <c r="J46" s="270"/>
      <c r="K46" s="270"/>
      <c r="L46" s="270"/>
      <c r="M46" s="357"/>
      <c r="N46" s="265"/>
      <c r="O46" s="234">
        <v>1290000</v>
      </c>
      <c r="P46" s="272" t="s">
        <v>218</v>
      </c>
      <c r="Q46" s="255">
        <v>226356</v>
      </c>
      <c r="R46" s="232"/>
      <c r="S46" s="232"/>
      <c r="T46" s="232"/>
      <c r="U46" s="232">
        <v>1398800</v>
      </c>
      <c r="V46" s="272" t="s">
        <v>218</v>
      </c>
      <c r="W46" s="255">
        <v>175868</v>
      </c>
      <c r="X46" s="232"/>
      <c r="Y46" s="191"/>
      <c r="Z46" s="232"/>
      <c r="AA46" s="232"/>
      <c r="AB46" s="232">
        <v>1373200</v>
      </c>
      <c r="AC46" s="255">
        <v>182536</v>
      </c>
      <c r="AD46" s="232"/>
      <c r="AE46" s="191"/>
      <c r="AF46" s="232"/>
      <c r="AG46" s="232">
        <v>1335200</v>
      </c>
      <c r="AH46" s="255">
        <v>210677</v>
      </c>
      <c r="AI46" s="241"/>
      <c r="AJ46" s="241"/>
      <c r="AK46" s="232"/>
      <c r="AL46" s="293">
        <v>1302400</v>
      </c>
      <c r="AM46" s="255">
        <v>182469</v>
      </c>
      <c r="AN46" s="241"/>
      <c r="AO46" s="241" t="s">
        <v>128</v>
      </c>
      <c r="AP46" s="232"/>
      <c r="AQ46" s="191"/>
      <c r="AR46" s="282" t="s">
        <v>215</v>
      </c>
      <c r="AS46" s="231" t="s">
        <v>216</v>
      </c>
      <c r="AT46" s="231" t="s">
        <v>217</v>
      </c>
      <c r="AU46" s="232">
        <v>283000</v>
      </c>
      <c r="AV46" s="259">
        <v>196312</v>
      </c>
      <c r="AW46" s="234"/>
      <c r="AX46" s="234"/>
      <c r="AY46" s="234"/>
      <c r="AZ46" s="234">
        <v>175699</v>
      </c>
      <c r="BA46" s="234"/>
      <c r="BB46" s="234" t="s">
        <v>128</v>
      </c>
      <c r="BC46" s="234"/>
      <c r="BD46" s="284">
        <v>185870</v>
      </c>
      <c r="BE46" s="295" t="s">
        <v>159</v>
      </c>
      <c r="BF46" s="266"/>
      <c r="BG46" s="294"/>
      <c r="BH46" s="232">
        <v>1414400</v>
      </c>
      <c r="BI46" s="232">
        <v>1320800</v>
      </c>
      <c r="BJ46" s="232">
        <v>1368400</v>
      </c>
    </row>
    <row r="47" spans="2:62" ht="16.5" thickBot="1" x14ac:dyDescent="0.3">
      <c r="B47" s="282" t="s">
        <v>219</v>
      </c>
      <c r="C47" s="249" t="s">
        <v>220</v>
      </c>
      <c r="D47" s="249"/>
      <c r="E47" s="262"/>
      <c r="F47" s="263" t="s">
        <v>128</v>
      </c>
      <c r="G47" s="268" t="s">
        <v>221</v>
      </c>
      <c r="H47" s="269"/>
      <c r="I47" s="270" t="s">
        <v>128</v>
      </c>
      <c r="J47" s="270"/>
      <c r="K47" s="270"/>
      <c r="L47" s="270"/>
      <c r="M47" s="357"/>
      <c r="N47" s="265"/>
      <c r="O47" s="234" t="s">
        <v>128</v>
      </c>
      <c r="P47" s="272" t="s">
        <v>221</v>
      </c>
      <c r="Q47" s="255" t="s">
        <v>191</v>
      </c>
      <c r="R47" s="232"/>
      <c r="S47" s="232"/>
      <c r="T47" s="232"/>
      <c r="U47" s="232" t="s">
        <v>128</v>
      </c>
      <c r="V47" s="272" t="s">
        <v>221</v>
      </c>
      <c r="W47" s="255">
        <v>5671</v>
      </c>
      <c r="X47" s="232"/>
      <c r="Y47" s="191"/>
      <c r="Z47" s="232"/>
      <c r="AA47" s="232"/>
      <c r="AB47" s="232"/>
      <c r="AC47" s="255"/>
      <c r="AD47" s="232"/>
      <c r="AE47" s="191"/>
      <c r="AF47" s="232"/>
      <c r="AG47" s="232"/>
      <c r="AH47" s="255"/>
      <c r="AI47" s="241"/>
      <c r="AJ47" s="241"/>
      <c r="AK47" s="232"/>
      <c r="AL47" s="293"/>
      <c r="AM47" s="255"/>
      <c r="AN47" s="241"/>
      <c r="AO47" s="241"/>
      <c r="AP47" s="232"/>
      <c r="AQ47" s="191"/>
      <c r="AR47" s="282"/>
      <c r="AS47" s="231"/>
      <c r="AT47" s="231"/>
      <c r="AU47" s="232"/>
      <c r="AV47" s="259"/>
      <c r="AW47" s="234"/>
      <c r="AX47" s="234"/>
      <c r="AY47" s="234"/>
      <c r="AZ47" s="234"/>
      <c r="BA47" s="234"/>
      <c r="BB47" s="234"/>
      <c r="BC47" s="234"/>
      <c r="BD47" s="284"/>
      <c r="BE47" s="295"/>
      <c r="BF47" s="266"/>
      <c r="BG47" s="294"/>
      <c r="BH47" s="232"/>
      <c r="BI47" s="232"/>
      <c r="BJ47" s="232"/>
    </row>
    <row r="48" spans="2:62" x14ac:dyDescent="0.25">
      <c r="B48" s="282" t="s">
        <v>222</v>
      </c>
      <c r="C48" s="249"/>
      <c r="D48" s="249" t="s">
        <v>223</v>
      </c>
      <c r="E48" s="262">
        <v>0</v>
      </c>
      <c r="F48" s="263" t="s">
        <v>128</v>
      </c>
      <c r="G48" s="264" t="s">
        <v>128</v>
      </c>
      <c r="H48" s="233"/>
      <c r="I48" s="233" t="s">
        <v>128</v>
      </c>
      <c r="J48" s="233"/>
      <c r="K48" s="233"/>
      <c r="L48" s="233"/>
      <c r="M48" s="262"/>
      <c r="N48" s="265"/>
      <c r="O48" s="234" t="s">
        <v>128</v>
      </c>
      <c r="P48" s="232" t="s">
        <v>128</v>
      </c>
      <c r="Q48" s="258" t="s">
        <v>128</v>
      </c>
      <c r="R48" s="232"/>
      <c r="S48" s="232"/>
      <c r="T48" s="232"/>
      <c r="U48" s="232" t="s">
        <v>128</v>
      </c>
      <c r="V48" s="232" t="s">
        <v>128</v>
      </c>
      <c r="W48" s="258" t="s">
        <v>128</v>
      </c>
      <c r="X48" s="232"/>
      <c r="Y48" s="191"/>
      <c r="Z48" s="232"/>
      <c r="AA48" s="232"/>
      <c r="AB48" s="232">
        <v>21852</v>
      </c>
      <c r="AC48" s="258">
        <v>2146</v>
      </c>
      <c r="AD48" s="232"/>
      <c r="AE48" s="191"/>
      <c r="AF48" s="232"/>
      <c r="AG48" s="232">
        <v>29000</v>
      </c>
      <c r="AH48" s="258">
        <v>2150</v>
      </c>
      <c r="AI48" s="241"/>
      <c r="AJ48" s="241"/>
      <c r="AK48" s="232"/>
      <c r="AL48" s="293">
        <v>25000</v>
      </c>
      <c r="AM48" s="258">
        <v>2150</v>
      </c>
      <c r="AN48" s="241"/>
      <c r="AO48" s="241" t="s">
        <v>128</v>
      </c>
      <c r="AP48" s="232"/>
      <c r="AQ48" s="191"/>
      <c r="AR48" s="282" t="s">
        <v>222</v>
      </c>
      <c r="AS48" s="231"/>
      <c r="AT48" s="231" t="s">
        <v>223</v>
      </c>
      <c r="AU48" s="232">
        <v>11000</v>
      </c>
      <c r="AV48" s="259">
        <v>14000</v>
      </c>
      <c r="AW48" s="234"/>
      <c r="AX48" s="234"/>
      <c r="AY48" s="234"/>
      <c r="AZ48" s="234">
        <v>2177</v>
      </c>
      <c r="BA48" s="234"/>
      <c r="BB48" s="234" t="s">
        <v>128</v>
      </c>
      <c r="BC48" s="234"/>
      <c r="BD48" s="284">
        <v>11444</v>
      </c>
      <c r="BE48" s="295" t="s">
        <v>159</v>
      </c>
      <c r="BF48" s="266"/>
      <c r="BG48" s="294">
        <v>11000</v>
      </c>
      <c r="BH48" s="232">
        <v>45240</v>
      </c>
      <c r="BI48" s="232">
        <v>44800</v>
      </c>
      <c r="BJ48" s="232">
        <v>43360</v>
      </c>
    </row>
    <row r="49" spans="2:62" ht="16.5" thickBot="1" x14ac:dyDescent="0.3">
      <c r="B49" s="38" t="s">
        <v>224</v>
      </c>
      <c r="C49" s="248"/>
      <c r="D49" s="248" t="s">
        <v>225</v>
      </c>
      <c r="E49" s="250">
        <v>10430</v>
      </c>
      <c r="F49" s="251">
        <v>94160</v>
      </c>
      <c r="G49" s="252" t="s">
        <v>128</v>
      </c>
      <c r="H49" s="253"/>
      <c r="I49" s="253" t="s">
        <v>128</v>
      </c>
      <c r="J49" s="253"/>
      <c r="K49" s="253"/>
      <c r="L49" s="253"/>
      <c r="M49" s="250"/>
      <c r="N49" s="254"/>
      <c r="O49" s="60">
        <v>54120</v>
      </c>
      <c r="P49" s="22" t="s">
        <v>128</v>
      </c>
      <c r="Q49" s="57">
        <v>6500</v>
      </c>
      <c r="R49" s="44"/>
      <c r="S49" s="22"/>
      <c r="T49" s="22"/>
      <c r="U49" s="22">
        <v>107920</v>
      </c>
      <c r="V49" s="22" t="s">
        <v>128</v>
      </c>
      <c r="W49" s="57">
        <v>6571</v>
      </c>
      <c r="X49" s="44"/>
      <c r="Y49" s="29"/>
      <c r="Z49" s="22"/>
      <c r="AA49" s="22"/>
      <c r="AB49" s="22">
        <v>154120</v>
      </c>
      <c r="AC49" s="57" t="s">
        <v>128</v>
      </c>
      <c r="AD49" s="44"/>
      <c r="AE49" s="29"/>
      <c r="AF49" s="22"/>
      <c r="AG49" s="22">
        <v>150000</v>
      </c>
      <c r="AH49" s="57"/>
      <c r="AI49" s="58"/>
      <c r="AJ49" s="24"/>
      <c r="AK49" s="22"/>
      <c r="AL49" s="45"/>
      <c r="AM49" s="57"/>
      <c r="AN49" s="58"/>
      <c r="AO49" s="24"/>
      <c r="AP49" s="22"/>
      <c r="AQ49" s="29"/>
      <c r="AR49" s="38" t="s">
        <v>224</v>
      </c>
      <c r="AS49" s="39"/>
      <c r="AT49" s="39" t="s">
        <v>225</v>
      </c>
      <c r="AU49" s="22">
        <v>12000</v>
      </c>
      <c r="AV49" s="30">
        <v>11000</v>
      </c>
      <c r="AW49" s="59"/>
      <c r="AX49" s="60"/>
      <c r="AY49" s="60"/>
      <c r="AZ49" s="60"/>
      <c r="BA49" s="60"/>
      <c r="BB49" s="60" t="s">
        <v>128</v>
      </c>
      <c r="BC49" s="60"/>
      <c r="BD49" s="60"/>
      <c r="BE49" s="61" t="s">
        <v>159</v>
      </c>
      <c r="BF49" s="321"/>
      <c r="BG49" s="45">
        <v>12000</v>
      </c>
      <c r="BH49" s="44">
        <v>151280</v>
      </c>
      <c r="BI49" s="44">
        <v>165000</v>
      </c>
      <c r="BJ49" s="44">
        <v>165040</v>
      </c>
    </row>
    <row r="50" spans="2:62" ht="16.5" thickBot="1" x14ac:dyDescent="0.3">
      <c r="B50" s="38" t="s">
        <v>226</v>
      </c>
      <c r="C50" s="39"/>
      <c r="D50" s="39"/>
      <c r="E50" s="24">
        <v>26000</v>
      </c>
      <c r="F50" s="44">
        <v>310500</v>
      </c>
      <c r="G50" s="59"/>
      <c r="H50" s="44"/>
      <c r="I50" s="44" t="s">
        <v>128</v>
      </c>
      <c r="J50" s="44"/>
      <c r="K50" s="44"/>
      <c r="L50" s="44"/>
      <c r="M50" s="44"/>
      <c r="N50" s="44"/>
      <c r="O50" s="60">
        <v>344705</v>
      </c>
      <c r="P50" s="22"/>
      <c r="Q50" s="62">
        <v>10209</v>
      </c>
      <c r="R50" s="58"/>
      <c r="S50" s="22"/>
      <c r="T50" s="22"/>
      <c r="U50" s="22">
        <v>338000</v>
      </c>
      <c r="V50" s="22"/>
      <c r="W50" s="62">
        <v>16380</v>
      </c>
      <c r="X50" s="58"/>
      <c r="Y50" s="29"/>
      <c r="Z50" s="22"/>
      <c r="AA50" s="22"/>
      <c r="AB50" s="22"/>
      <c r="AC50" s="57"/>
      <c r="AD50" s="58"/>
      <c r="AE50" s="29"/>
      <c r="AF50" s="22"/>
      <c r="AG50" s="22"/>
      <c r="AH50" s="57"/>
      <c r="AI50" s="58"/>
      <c r="AJ50" s="24"/>
      <c r="AK50" s="22"/>
      <c r="AL50" s="45"/>
      <c r="AM50" s="57"/>
      <c r="AN50" s="58"/>
      <c r="AO50" s="24"/>
      <c r="AP50" s="22"/>
      <c r="AQ50" s="29"/>
      <c r="AR50" s="38" t="s">
        <v>226</v>
      </c>
      <c r="AS50" s="39"/>
      <c r="AT50" s="39"/>
      <c r="AU50" s="22">
        <v>26000</v>
      </c>
      <c r="AV50" s="30"/>
      <c r="AW50" s="63"/>
      <c r="AX50" s="29"/>
      <c r="AY50" s="29"/>
      <c r="AZ50" s="29"/>
      <c r="BA50" s="29"/>
      <c r="BB50" s="29"/>
      <c r="BC50" s="29"/>
      <c r="BD50" s="60"/>
      <c r="BE50" s="61"/>
      <c r="BF50" s="321"/>
      <c r="BG50" s="45"/>
      <c r="BH50" s="44"/>
      <c r="BI50" s="58"/>
      <c r="BJ50" s="58"/>
    </row>
    <row r="51" spans="2:62" s="205" customFormat="1" ht="16.5" thickBot="1" x14ac:dyDescent="0.3">
      <c r="B51" s="322" t="s">
        <v>388</v>
      </c>
      <c r="C51" s="202"/>
      <c r="D51" s="202"/>
      <c r="E51" s="199">
        <f>SUM(E8:E50)</f>
        <v>1902238</v>
      </c>
      <c r="F51" s="200">
        <f>SUM(F6:F50)</f>
        <v>17041133</v>
      </c>
      <c r="G51" s="198"/>
      <c r="H51" s="200">
        <f>SUM(H5:H50)</f>
        <v>1204643</v>
      </c>
      <c r="I51" s="323">
        <f>SUM(I4:I50)</f>
        <v>76872</v>
      </c>
      <c r="J51" s="200">
        <v>8250</v>
      </c>
      <c r="K51" s="200"/>
      <c r="L51" s="200">
        <v>1245</v>
      </c>
      <c r="M51" s="200"/>
      <c r="N51" s="200"/>
      <c r="O51" s="198">
        <f>SUM(O6:O50)</f>
        <v>16788006</v>
      </c>
      <c r="P51" s="200"/>
      <c r="Q51" s="324">
        <f>SUM(Q5:Q50)</f>
        <v>1019875</v>
      </c>
      <c r="R51" s="199">
        <f>SUM(R5:R50)</f>
        <v>197258</v>
      </c>
      <c r="S51" s="200">
        <f>SUM(S8:S50)</f>
        <v>8500</v>
      </c>
      <c r="T51" s="200"/>
      <c r="U51" s="200">
        <f>SUM(U6:U50)</f>
        <v>16601666</v>
      </c>
      <c r="V51" s="200"/>
      <c r="W51" s="324">
        <f>SUM(W5:W50)</f>
        <v>1364250</v>
      </c>
      <c r="X51" s="199">
        <f>SUM(X5:X50)</f>
        <v>57800</v>
      </c>
      <c r="Y51" s="199" t="s">
        <v>228</v>
      </c>
      <c r="Z51" s="200">
        <f>SUM(Z8:Z50)</f>
        <v>8613</v>
      </c>
      <c r="AA51" s="200"/>
      <c r="AB51" s="200">
        <f>SUM(AB8:AB49)</f>
        <v>16709216</v>
      </c>
      <c r="AC51" s="324">
        <f>SUM(AC5:AC49)</f>
        <v>881930</v>
      </c>
      <c r="AD51" s="199">
        <f>SUM(AD6:AD49)</f>
        <v>25215</v>
      </c>
      <c r="AE51" s="199"/>
      <c r="AF51" s="200">
        <v>6548</v>
      </c>
      <c r="AG51" s="200">
        <f>SUM(AG8:AG49)</f>
        <v>16896530</v>
      </c>
      <c r="AH51" s="324">
        <f>SUM(AH5:AH49)</f>
        <v>504974</v>
      </c>
      <c r="AI51" s="199">
        <f>SUM(AI6:AI49)</f>
        <v>7750</v>
      </c>
      <c r="AJ51" s="199"/>
      <c r="AK51" s="200">
        <v>5750</v>
      </c>
      <c r="AL51" s="325">
        <f>SUM(AL8:AL49)</f>
        <v>16447722.997000001</v>
      </c>
      <c r="AM51" s="324">
        <f>SUM(AM5:AM49)</f>
        <v>843459</v>
      </c>
      <c r="AN51" s="199">
        <f>SUM(AN5:AN49)</f>
        <v>36111</v>
      </c>
      <c r="AO51" s="199"/>
      <c r="AP51" s="200">
        <v>5000</v>
      </c>
      <c r="AQ51" s="191"/>
      <c r="AR51" s="322" t="s">
        <v>227</v>
      </c>
      <c r="AS51" s="202"/>
      <c r="AT51" s="202"/>
      <c r="AU51" s="200">
        <f>SUM(AU8:AU50)</f>
        <v>1652000</v>
      </c>
      <c r="AV51" s="326">
        <f>SUM(AV5:AV49)</f>
        <v>1227058</v>
      </c>
      <c r="AW51" s="197">
        <f>SUM(AW5:AW49)</f>
        <v>56526</v>
      </c>
      <c r="AX51" s="199"/>
      <c r="AY51" s="199">
        <v>5000</v>
      </c>
      <c r="AZ51" s="199"/>
      <c r="BA51" s="199"/>
      <c r="BB51" s="199">
        <f>SUM(BB8:BB49)</f>
        <v>843920</v>
      </c>
      <c r="BC51" s="199"/>
      <c r="BD51" s="200">
        <f>SUM(BD5:BD49)</f>
        <v>1333951</v>
      </c>
      <c r="BE51" s="200">
        <f>SUM(BE8:BE49)</f>
        <v>872905</v>
      </c>
      <c r="BF51" s="200">
        <v>15458</v>
      </c>
      <c r="BG51" s="325"/>
      <c r="BH51" s="200">
        <f>SUM(BH8:BH49)</f>
        <v>16379563</v>
      </c>
      <c r="BI51" s="199">
        <f>SUM(BI8:BI49)</f>
        <v>16687625</v>
      </c>
      <c r="BJ51" s="199">
        <f>SUM(BJ6:BJ49)</f>
        <v>16924917</v>
      </c>
    </row>
    <row r="52" spans="2:62" s="205" customFormat="1" ht="16.5" thickBot="1" x14ac:dyDescent="0.3">
      <c r="B52" s="327" t="s">
        <v>389</v>
      </c>
      <c r="C52" s="328"/>
      <c r="D52" s="329"/>
      <c r="E52" s="330"/>
      <c r="F52" s="331">
        <f>SUM(F51*0.18)</f>
        <v>3067403.94</v>
      </c>
      <c r="G52" s="332"/>
      <c r="H52" s="331">
        <f>SUM(H51*0.6)</f>
        <v>722785.79999999993</v>
      </c>
      <c r="I52" s="333">
        <f>SUM(I51*2)</f>
        <v>153744</v>
      </c>
      <c r="J52" s="331">
        <f>SUM(J51*2.5)</f>
        <v>20625</v>
      </c>
      <c r="K52" s="331">
        <f>SUM(F52:J52)</f>
        <v>3964558.7399999998</v>
      </c>
      <c r="L52" s="200"/>
      <c r="M52" s="200"/>
      <c r="N52" s="200"/>
      <c r="O52" s="197"/>
      <c r="P52" s="200"/>
      <c r="Q52" s="324"/>
      <c r="R52" s="197"/>
      <c r="S52" s="200"/>
      <c r="T52" s="194"/>
      <c r="U52" s="199"/>
      <c r="V52" s="200"/>
      <c r="W52" s="324"/>
      <c r="X52" s="197"/>
      <c r="Y52" s="197"/>
      <c r="Z52" s="200"/>
      <c r="AA52" s="194"/>
      <c r="AB52" s="199"/>
      <c r="AC52" s="334"/>
      <c r="AD52" s="197"/>
      <c r="AE52" s="197"/>
      <c r="AF52" s="198"/>
      <c r="AG52" s="191"/>
      <c r="AH52" s="293"/>
      <c r="AI52" s="191"/>
      <c r="AJ52" s="191"/>
      <c r="AK52" s="191"/>
      <c r="AL52" s="335"/>
      <c r="AM52" s="293"/>
      <c r="AN52" s="191"/>
      <c r="AO52" s="191"/>
      <c r="AP52" s="191"/>
      <c r="AQ52" s="191"/>
      <c r="AR52" s="336"/>
      <c r="AS52" s="294"/>
      <c r="AT52" s="294"/>
      <c r="AU52" s="191"/>
      <c r="AV52" s="337"/>
      <c r="AW52" s="191"/>
      <c r="AX52" s="191"/>
      <c r="AY52" s="191"/>
      <c r="AZ52" s="191"/>
      <c r="BA52" s="191"/>
      <c r="BB52" s="191"/>
      <c r="BC52" s="191"/>
      <c r="BD52" s="191"/>
      <c r="BE52" s="191"/>
      <c r="BF52" s="191"/>
      <c r="BG52" s="335"/>
      <c r="BH52" s="191"/>
      <c r="BI52" s="191"/>
      <c r="BJ52" s="191"/>
    </row>
    <row r="53" spans="2:62" s="352" customFormat="1" ht="19.5" customHeight="1" thickBot="1" x14ac:dyDescent="0.3">
      <c r="B53" s="359"/>
      <c r="C53" s="348"/>
      <c r="D53" s="360"/>
      <c r="E53" s="341" t="s">
        <v>390</v>
      </c>
      <c r="F53" s="342" t="s">
        <v>392</v>
      </c>
      <c r="G53" s="343" t="s">
        <v>230</v>
      </c>
      <c r="H53" s="342" t="s">
        <v>393</v>
      </c>
      <c r="I53" s="342" t="s">
        <v>378</v>
      </c>
      <c r="J53" s="361" t="s">
        <v>14</v>
      </c>
      <c r="K53" s="342" t="s">
        <v>394</v>
      </c>
      <c r="L53" s="342" t="s">
        <v>395</v>
      </c>
      <c r="M53" s="342"/>
      <c r="N53" s="342"/>
      <c r="O53" s="344" t="s">
        <v>229</v>
      </c>
      <c r="P53" s="342" t="s">
        <v>230</v>
      </c>
      <c r="Q53" s="345" t="s">
        <v>93</v>
      </c>
      <c r="R53" s="346" t="s">
        <v>231</v>
      </c>
      <c r="S53" s="347" t="s">
        <v>232</v>
      </c>
      <c r="T53" s="348"/>
      <c r="U53" s="341" t="s">
        <v>229</v>
      </c>
      <c r="V53" s="342" t="s">
        <v>230</v>
      </c>
      <c r="W53" s="345" t="s">
        <v>93</v>
      </c>
      <c r="X53" s="346" t="s">
        <v>233</v>
      </c>
      <c r="Y53" s="344" t="s">
        <v>84</v>
      </c>
      <c r="Z53" s="347" t="s">
        <v>232</v>
      </c>
      <c r="AA53" s="348"/>
      <c r="AB53" s="341" t="s">
        <v>229</v>
      </c>
      <c r="AC53" s="349" t="s">
        <v>93</v>
      </c>
      <c r="AD53" s="344" t="s">
        <v>234</v>
      </c>
      <c r="AE53" s="344" t="s">
        <v>84</v>
      </c>
      <c r="AF53" s="343" t="s">
        <v>232</v>
      </c>
      <c r="AG53" s="340" t="s">
        <v>235</v>
      </c>
      <c r="AH53" s="350" t="s">
        <v>93</v>
      </c>
      <c r="AI53" s="340" t="s">
        <v>236</v>
      </c>
      <c r="AJ53" s="340"/>
      <c r="AK53" s="340" t="s">
        <v>232</v>
      </c>
      <c r="AL53" s="351" t="s">
        <v>95</v>
      </c>
      <c r="AM53" s="350" t="s">
        <v>93</v>
      </c>
      <c r="AN53" s="340" t="s">
        <v>237</v>
      </c>
      <c r="AO53" s="340"/>
      <c r="AP53" s="340" t="s">
        <v>238</v>
      </c>
      <c r="AQ53" s="340"/>
      <c r="AR53" s="338"/>
      <c r="AS53" s="339"/>
      <c r="AT53" s="340"/>
      <c r="AU53" s="340" t="s">
        <v>7</v>
      </c>
      <c r="AV53" s="339"/>
      <c r="AW53" s="340"/>
      <c r="AX53" s="340"/>
      <c r="AY53" s="340"/>
      <c r="AZ53" s="340"/>
      <c r="BA53" s="340"/>
      <c r="BB53" s="340"/>
      <c r="BC53" s="340"/>
      <c r="BD53" s="340"/>
      <c r="BE53" s="340"/>
      <c r="BF53" s="350"/>
      <c r="BG53" s="351"/>
      <c r="BH53" s="340"/>
      <c r="BI53" s="340"/>
      <c r="BJ53" s="340"/>
    </row>
    <row r="54" spans="2:62" s="352" customFormat="1" ht="19.5" customHeight="1" thickBot="1" x14ac:dyDescent="0.35">
      <c r="B54" s="956" t="s">
        <v>396</v>
      </c>
      <c r="C54" s="957"/>
      <c r="D54" s="958"/>
      <c r="E54" s="340"/>
      <c r="F54" s="340"/>
      <c r="G54" s="340"/>
      <c r="H54" s="340"/>
      <c r="I54" s="340"/>
      <c r="J54" s="362"/>
      <c r="K54" s="340"/>
      <c r="L54" s="340"/>
      <c r="M54" s="363" t="s">
        <v>598</v>
      </c>
      <c r="N54" s="364"/>
      <c r="O54" s="340"/>
      <c r="P54" s="340"/>
      <c r="Q54" s="350"/>
      <c r="R54" s="339"/>
      <c r="S54" s="339"/>
      <c r="T54" s="339"/>
      <c r="U54" s="340"/>
      <c r="V54" s="340"/>
      <c r="W54" s="350"/>
      <c r="X54" s="339"/>
      <c r="Y54" s="340"/>
      <c r="Z54" s="339"/>
      <c r="AA54" s="339"/>
      <c r="AB54" s="344"/>
      <c r="AC54" s="349"/>
      <c r="AD54" s="344"/>
      <c r="AE54" s="344"/>
      <c r="AF54" s="343"/>
      <c r="AG54" s="340"/>
      <c r="AH54" s="350"/>
      <c r="AI54" s="340"/>
      <c r="AJ54" s="340"/>
      <c r="AK54" s="340"/>
      <c r="AL54" s="351"/>
      <c r="AM54" s="350"/>
      <c r="AN54" s="340"/>
      <c r="AO54" s="340"/>
      <c r="AP54" s="340"/>
      <c r="AQ54" s="340"/>
      <c r="AR54" s="338"/>
      <c r="AS54" s="339"/>
      <c r="AT54" s="340"/>
      <c r="AU54" s="340"/>
      <c r="AV54" s="339"/>
      <c r="AW54" s="340"/>
      <c r="AX54" s="340"/>
      <c r="AY54" s="340"/>
      <c r="AZ54" s="340"/>
      <c r="BA54" s="340"/>
      <c r="BB54" s="340"/>
      <c r="BC54" s="340"/>
      <c r="BD54" s="340"/>
      <c r="BE54" s="340"/>
      <c r="BF54" s="350"/>
      <c r="BG54" s="351"/>
      <c r="BH54" s="340"/>
      <c r="BI54" s="340"/>
      <c r="BJ54" s="340"/>
    </row>
    <row r="55" spans="2:62" s="352" customFormat="1" ht="16.5" thickBot="1" x14ac:dyDescent="0.3">
      <c r="B55" s="365" t="s">
        <v>397</v>
      </c>
      <c r="C55" s="366"/>
      <c r="D55" s="367" t="s">
        <v>398</v>
      </c>
      <c r="E55" s="368">
        <f>SUM(K55/E51)</f>
        <v>0</v>
      </c>
      <c r="F55" s="369">
        <v>7203</v>
      </c>
      <c r="G55" s="369"/>
      <c r="H55" s="369">
        <v>6405</v>
      </c>
      <c r="I55" s="369">
        <v>791</v>
      </c>
      <c r="J55" s="370">
        <v>70</v>
      </c>
      <c r="K55" s="369"/>
      <c r="L55" s="369">
        <v>1020</v>
      </c>
      <c r="M55" s="369">
        <f>SUM(F55:L55)</f>
        <v>15489</v>
      </c>
      <c r="N55" s="371"/>
      <c r="O55" s="340"/>
      <c r="P55" s="340"/>
      <c r="Q55" s="350"/>
      <c r="R55" s="339"/>
      <c r="S55" s="339"/>
      <c r="T55" s="339"/>
      <c r="U55" s="340"/>
      <c r="V55" s="340"/>
      <c r="W55" s="350"/>
      <c r="X55" s="339"/>
      <c r="Y55" s="340"/>
      <c r="Z55" s="339"/>
      <c r="AA55" s="339"/>
      <c r="AB55" s="344"/>
      <c r="AC55" s="349"/>
      <c r="AD55" s="344"/>
      <c r="AE55" s="344"/>
      <c r="AF55" s="343"/>
      <c r="AG55" s="340"/>
      <c r="AH55" s="350"/>
      <c r="AI55" s="340"/>
      <c r="AJ55" s="340"/>
      <c r="AK55" s="340"/>
      <c r="AL55" s="351"/>
      <c r="AM55" s="350"/>
      <c r="AN55" s="340"/>
      <c r="AO55" s="340"/>
      <c r="AP55" s="340"/>
      <c r="AQ55" s="340"/>
      <c r="AR55" s="338"/>
      <c r="AS55" s="339"/>
      <c r="AT55" s="340"/>
      <c r="AU55" s="340"/>
      <c r="AV55" s="339"/>
      <c r="AW55" s="340"/>
      <c r="AX55" s="340"/>
      <c r="AY55" s="340"/>
      <c r="AZ55" s="340"/>
      <c r="BA55" s="340"/>
      <c r="BB55" s="340"/>
      <c r="BC55" s="340"/>
      <c r="BD55" s="340"/>
      <c r="BE55" s="340"/>
      <c r="BF55" s="350"/>
      <c r="BG55" s="351"/>
      <c r="BH55" s="340"/>
      <c r="BI55" s="340"/>
      <c r="BJ55" s="340"/>
    </row>
    <row r="56" spans="2:62" s="205" customFormat="1" ht="16.5" thickBot="1" x14ac:dyDescent="0.3">
      <c r="B56" s="372" t="s">
        <v>399</v>
      </c>
      <c r="C56" s="373"/>
      <c r="D56" s="520" t="s">
        <v>400</v>
      </c>
      <c r="E56" s="521"/>
      <c r="F56" s="374">
        <v>162675</v>
      </c>
      <c r="G56" s="375"/>
      <c r="H56" s="375">
        <v>120464</v>
      </c>
      <c r="I56" s="374">
        <v>10608</v>
      </c>
      <c r="J56" s="375"/>
      <c r="K56" s="375">
        <f>SUM(F56:J56)</f>
        <v>293747</v>
      </c>
      <c r="L56" s="376"/>
      <c r="M56" s="376"/>
      <c r="N56" s="235"/>
      <c r="O56" s="354"/>
      <c r="P56" s="354"/>
      <c r="Q56" s="354"/>
      <c r="R56" s="354"/>
      <c r="S56" s="354"/>
      <c r="T56" s="354"/>
      <c r="U56" s="354"/>
      <c r="V56" s="354"/>
      <c r="W56" s="354"/>
      <c r="X56" s="354"/>
      <c r="Y56" s="354"/>
      <c r="Z56" s="354"/>
      <c r="AA56" s="354"/>
      <c r="AB56" s="355">
        <v>2016</v>
      </c>
      <c r="AC56" s="355"/>
      <c r="AD56" s="355"/>
      <c r="AE56" s="355"/>
      <c r="AF56" s="356"/>
      <c r="AG56" s="191"/>
      <c r="AH56" s="294"/>
      <c r="AI56" s="191"/>
      <c r="AJ56" s="191"/>
      <c r="AK56" s="191"/>
      <c r="AL56" s="335"/>
      <c r="AM56" s="294"/>
      <c r="AN56" s="191"/>
      <c r="AO56" s="191"/>
      <c r="AP56" s="191"/>
      <c r="AQ56" s="191"/>
      <c r="AR56" s="353"/>
      <c r="AS56" s="337"/>
      <c r="AT56" s="191"/>
      <c r="AU56" s="191"/>
      <c r="AV56" s="337"/>
      <c r="AW56" s="191"/>
      <c r="AX56" s="191"/>
      <c r="AY56" s="191"/>
      <c r="AZ56" s="191"/>
      <c r="BA56" s="191"/>
      <c r="BB56" s="191"/>
      <c r="BC56" s="191"/>
      <c r="BD56" s="191"/>
      <c r="BE56" s="191"/>
      <c r="BF56" s="294"/>
      <c r="BG56" s="335"/>
      <c r="BH56" s="191"/>
      <c r="BI56" s="191"/>
      <c r="BJ56" s="191"/>
    </row>
    <row r="57" spans="2:62" s="205" customFormat="1" ht="16.5" thickBot="1" x14ac:dyDescent="0.3">
      <c r="B57" s="377" t="s">
        <v>356</v>
      </c>
      <c r="C57" s="378"/>
      <c r="D57" s="379"/>
      <c r="E57" s="380"/>
      <c r="F57" s="381"/>
      <c r="G57" s="382"/>
      <c r="H57" s="382"/>
      <c r="I57" s="381"/>
      <c r="J57" s="382"/>
      <c r="K57" s="382"/>
      <c r="L57" s="354"/>
      <c r="M57" s="354"/>
      <c r="N57" s="234"/>
      <c r="O57" s="354"/>
      <c r="P57" s="354"/>
      <c r="Q57" s="354"/>
      <c r="R57" s="354"/>
      <c r="S57" s="354"/>
      <c r="T57" s="354"/>
      <c r="U57" s="354"/>
      <c r="V57" s="354"/>
      <c r="W57" s="354"/>
      <c r="X57" s="354"/>
      <c r="Y57" s="354"/>
      <c r="Z57" s="354"/>
      <c r="AA57" s="354"/>
      <c r="AB57" s="383"/>
      <c r="AC57" s="383"/>
      <c r="AD57" s="383"/>
      <c r="AE57" s="383"/>
      <c r="AF57" s="383"/>
      <c r="AG57" s="191"/>
      <c r="AH57" s="294"/>
      <c r="AI57" s="191"/>
      <c r="AJ57" s="191"/>
      <c r="AK57" s="191"/>
      <c r="AL57" s="335"/>
      <c r="AM57" s="294"/>
      <c r="AN57" s="191"/>
      <c r="AO57" s="191"/>
      <c r="AP57" s="191"/>
      <c r="AQ57" s="191"/>
      <c r="AR57" s="353"/>
      <c r="AS57" s="337"/>
      <c r="AT57" s="191"/>
      <c r="AU57" s="191"/>
      <c r="AV57" s="337"/>
      <c r="AW57" s="191"/>
      <c r="AX57" s="191"/>
      <c r="AY57" s="191"/>
      <c r="AZ57" s="191"/>
      <c r="BA57" s="191"/>
      <c r="BB57" s="191"/>
      <c r="BC57" s="191"/>
      <c r="BD57" s="191"/>
      <c r="BE57" s="191"/>
      <c r="BF57" s="294"/>
      <c r="BG57" s="335"/>
      <c r="BH57" s="191"/>
      <c r="BI57" s="191"/>
      <c r="BJ57" s="191"/>
    </row>
    <row r="58" spans="2:62" s="205" customFormat="1" x14ac:dyDescent="0.25">
      <c r="B58" s="267" t="s">
        <v>401</v>
      </c>
      <c r="C58" s="192"/>
      <c r="D58" s="194" t="s">
        <v>402</v>
      </c>
      <c r="E58" s="384">
        <v>154.41999999999999</v>
      </c>
      <c r="F58" s="194"/>
      <c r="G58" s="385"/>
      <c r="H58" s="385"/>
      <c r="I58" s="194"/>
      <c r="J58" s="385"/>
      <c r="K58" s="385"/>
      <c r="L58" s="385"/>
      <c r="M58" s="385"/>
      <c r="N58" s="279"/>
      <c r="O58" s="354"/>
      <c r="P58" s="354"/>
      <c r="Q58" s="354"/>
      <c r="R58" s="354"/>
      <c r="S58" s="354"/>
      <c r="T58" s="354"/>
      <c r="U58" s="354"/>
      <c r="V58" s="354"/>
      <c r="W58" s="354"/>
      <c r="X58" s="354"/>
      <c r="Y58" s="354"/>
      <c r="Z58" s="354"/>
      <c r="AA58" s="354"/>
      <c r="AB58" s="383"/>
      <c r="AC58" s="383"/>
      <c r="AD58" s="383"/>
      <c r="AE58" s="383"/>
      <c r="AF58" s="383"/>
      <c r="AG58" s="191"/>
      <c r="AH58" s="294"/>
      <c r="AI58" s="191"/>
      <c r="AJ58" s="191"/>
      <c r="AK58" s="191"/>
      <c r="AL58" s="335"/>
      <c r="AM58" s="294"/>
      <c r="AN58" s="191"/>
      <c r="AO58" s="191"/>
      <c r="AP58" s="191"/>
      <c r="AQ58" s="191"/>
      <c r="AR58" s="353"/>
      <c r="AS58" s="337"/>
      <c r="AT58" s="191"/>
      <c r="AU58" s="191"/>
      <c r="AV58" s="337"/>
      <c r="AW58" s="191"/>
      <c r="AX58" s="191"/>
      <c r="AY58" s="191"/>
      <c r="AZ58" s="191"/>
      <c r="BA58" s="191"/>
      <c r="BB58" s="191"/>
      <c r="BC58" s="191"/>
      <c r="BD58" s="191"/>
      <c r="BE58" s="191"/>
      <c r="BF58" s="294"/>
      <c r="BG58" s="335"/>
      <c r="BH58" s="191"/>
      <c r="BI58" s="191"/>
      <c r="BJ58" s="191"/>
    </row>
    <row r="59" spans="2:62" s="205" customFormat="1" x14ac:dyDescent="0.25">
      <c r="B59" s="282" t="s">
        <v>403</v>
      </c>
      <c r="C59" s="337"/>
      <c r="D59" s="191" t="s">
        <v>404</v>
      </c>
      <c r="E59" s="386">
        <v>17.95</v>
      </c>
      <c r="F59" s="191"/>
      <c r="G59" s="354"/>
      <c r="H59" s="354"/>
      <c r="I59" s="191"/>
      <c r="J59" s="354"/>
      <c r="K59" s="354"/>
      <c r="L59" s="354"/>
      <c r="M59" s="354"/>
      <c r="N59" s="234"/>
      <c r="O59" s="354"/>
      <c r="P59" s="354"/>
      <c r="Q59" s="354"/>
      <c r="R59" s="354"/>
      <c r="S59" s="354"/>
      <c r="T59" s="354"/>
      <c r="U59" s="354"/>
      <c r="V59" s="354"/>
      <c r="W59" s="354"/>
      <c r="X59" s="354"/>
      <c r="Y59" s="354"/>
      <c r="Z59" s="354"/>
      <c r="AA59" s="354"/>
      <c r="AB59" s="383"/>
      <c r="AC59" s="383"/>
      <c r="AD59" s="383"/>
      <c r="AE59" s="383"/>
      <c r="AF59" s="383"/>
      <c r="AG59" s="191"/>
      <c r="AH59" s="294"/>
      <c r="AI59" s="191"/>
      <c r="AJ59" s="191"/>
      <c r="AK59" s="191"/>
      <c r="AL59" s="335"/>
      <c r="AM59" s="294"/>
      <c r="AN59" s="191"/>
      <c r="AO59" s="191"/>
      <c r="AP59" s="191"/>
      <c r="AQ59" s="191"/>
      <c r="AR59" s="353"/>
      <c r="AS59" s="337"/>
      <c r="AT59" s="191"/>
      <c r="AU59" s="191"/>
      <c r="AV59" s="337"/>
      <c r="AW59" s="191"/>
      <c r="AX59" s="191"/>
      <c r="AY59" s="191"/>
      <c r="AZ59" s="191"/>
      <c r="BA59" s="191"/>
      <c r="BB59" s="191"/>
      <c r="BC59" s="191"/>
      <c r="BD59" s="191"/>
      <c r="BE59" s="191"/>
      <c r="BF59" s="294"/>
      <c r="BG59" s="335"/>
      <c r="BH59" s="191"/>
      <c r="BI59" s="191"/>
      <c r="BJ59" s="191"/>
    </row>
    <row r="60" spans="2:62" s="205" customFormat="1" ht="16.5" thickBot="1" x14ac:dyDescent="0.3">
      <c r="B60" s="288"/>
      <c r="C60" s="387"/>
      <c r="D60" s="243"/>
      <c r="E60" s="243"/>
      <c r="F60" s="243"/>
      <c r="G60" s="376"/>
      <c r="H60" s="376"/>
      <c r="I60" s="243"/>
      <c r="J60" s="376"/>
      <c r="K60" s="376"/>
      <c r="L60" s="376"/>
      <c r="M60" s="376"/>
      <c r="N60" s="235"/>
      <c r="O60" s="354"/>
      <c r="P60" s="354"/>
      <c r="Q60" s="354"/>
      <c r="R60" s="354"/>
      <c r="S60" s="354"/>
      <c r="T60" s="354"/>
      <c r="U60" s="354"/>
      <c r="V60" s="354"/>
      <c r="W60" s="354"/>
      <c r="X60" s="354"/>
      <c r="Y60" s="354"/>
      <c r="Z60" s="354"/>
      <c r="AA60" s="354"/>
      <c r="AB60" s="383"/>
      <c r="AC60" s="383"/>
      <c r="AD60" s="383"/>
      <c r="AE60" s="383"/>
      <c r="AF60" s="383"/>
      <c r="AG60" s="191"/>
      <c r="AH60" s="294"/>
      <c r="AI60" s="191"/>
      <c r="AJ60" s="191"/>
      <c r="AK60" s="191"/>
      <c r="AL60" s="335"/>
      <c r="AM60" s="294"/>
      <c r="AN60" s="191"/>
      <c r="AO60" s="191"/>
      <c r="AP60" s="191"/>
      <c r="AQ60" s="191"/>
      <c r="AR60" s="353"/>
      <c r="AS60" s="337"/>
      <c r="AT60" s="191"/>
      <c r="AU60" s="191"/>
      <c r="AV60" s="337"/>
      <c r="AW60" s="191"/>
      <c r="AX60" s="191"/>
      <c r="AY60" s="191"/>
      <c r="AZ60" s="191"/>
      <c r="BA60" s="191"/>
      <c r="BB60" s="191"/>
      <c r="BC60" s="191"/>
      <c r="BD60" s="191"/>
      <c r="BE60" s="191"/>
      <c r="BF60" s="294"/>
      <c r="BG60" s="335"/>
      <c r="BH60" s="191"/>
      <c r="BI60" s="191"/>
      <c r="BJ60" s="191"/>
    </row>
    <row r="61" spans="2:62" s="205" customFormat="1" x14ac:dyDescent="0.25">
      <c r="B61" s="388"/>
      <c r="C61" s="337"/>
      <c r="D61" s="191"/>
      <c r="E61" s="191"/>
      <c r="F61" s="191"/>
      <c r="G61" s="354"/>
      <c r="H61" s="354"/>
      <c r="I61" s="191"/>
      <c r="J61" s="354"/>
      <c r="K61" s="354"/>
      <c r="L61" s="354"/>
      <c r="M61" s="354"/>
      <c r="N61" s="191"/>
      <c r="O61" s="354"/>
      <c r="P61" s="354"/>
      <c r="Q61" s="354"/>
      <c r="R61" s="354"/>
      <c r="S61" s="354"/>
      <c r="T61" s="354"/>
      <c r="U61" s="354"/>
      <c r="V61" s="354"/>
      <c r="W61" s="354"/>
      <c r="X61" s="354"/>
      <c r="Y61" s="354"/>
      <c r="Z61" s="354"/>
      <c r="AA61" s="354"/>
      <c r="AB61" s="383"/>
      <c r="AC61" s="383"/>
      <c r="AD61" s="383"/>
      <c r="AE61" s="383"/>
      <c r="AF61" s="383"/>
      <c r="AG61" s="191"/>
      <c r="AH61" s="294"/>
      <c r="AI61" s="191"/>
      <c r="AJ61" s="191"/>
      <c r="AK61" s="191"/>
      <c r="AL61" s="335"/>
      <c r="AM61" s="294"/>
      <c r="AN61" s="191"/>
      <c r="AO61" s="191"/>
      <c r="AP61" s="191"/>
      <c r="AQ61" s="191"/>
      <c r="AR61" s="353"/>
      <c r="AS61" s="337"/>
      <c r="AT61" s="191"/>
      <c r="AU61" s="191"/>
      <c r="AV61" s="337"/>
      <c r="AW61" s="191"/>
      <c r="AX61" s="191"/>
      <c r="AY61" s="191"/>
      <c r="AZ61" s="191"/>
      <c r="BA61" s="191"/>
      <c r="BB61" s="191"/>
      <c r="BC61" s="191"/>
      <c r="BD61" s="191"/>
      <c r="BE61" s="191"/>
      <c r="BF61" s="294"/>
      <c r="BG61" s="335"/>
      <c r="BH61" s="191"/>
      <c r="BI61" s="191"/>
      <c r="BJ61" s="191"/>
    </row>
    <row r="62" spans="2:62" s="205" customFormat="1" x14ac:dyDescent="0.25">
      <c r="B62" s="388"/>
      <c r="C62" s="337"/>
      <c r="D62" s="191"/>
      <c r="E62" s="191"/>
      <c r="F62" s="191"/>
      <c r="G62" s="354"/>
      <c r="H62" s="354"/>
      <c r="I62" s="191"/>
      <c r="J62" s="354"/>
      <c r="K62" s="354"/>
      <c r="L62" s="354"/>
      <c r="M62" s="354"/>
      <c r="N62" s="191"/>
      <c r="O62" s="354"/>
      <c r="P62" s="354"/>
      <c r="Q62" s="354"/>
      <c r="R62" s="354"/>
      <c r="S62" s="354"/>
      <c r="T62" s="354"/>
      <c r="U62" s="354"/>
      <c r="V62" s="354"/>
      <c r="W62" s="354"/>
      <c r="X62" s="354"/>
      <c r="Y62" s="354"/>
      <c r="Z62" s="354"/>
      <c r="AA62" s="354"/>
      <c r="AB62" s="383"/>
      <c r="AC62" s="383"/>
      <c r="AD62" s="383"/>
      <c r="AE62" s="383"/>
      <c r="AF62" s="383"/>
      <c r="AG62" s="191"/>
      <c r="AH62" s="294"/>
      <c r="AI62" s="191"/>
      <c r="AJ62" s="191"/>
      <c r="AK62" s="191"/>
      <c r="AL62" s="335"/>
      <c r="AM62" s="294"/>
      <c r="AN62" s="191"/>
      <c r="AO62" s="191"/>
      <c r="AP62" s="191"/>
      <c r="AQ62" s="191"/>
      <c r="AR62" s="353"/>
      <c r="AS62" s="337"/>
      <c r="AT62" s="191"/>
      <c r="AU62" s="191"/>
      <c r="AV62" s="337"/>
      <c r="AW62" s="191"/>
      <c r="AX62" s="191"/>
      <c r="AY62" s="191"/>
      <c r="AZ62" s="191"/>
      <c r="BA62" s="191"/>
      <c r="BB62" s="191"/>
      <c r="BC62" s="191"/>
      <c r="BD62" s="191"/>
      <c r="BE62" s="191"/>
      <c r="BF62" s="294"/>
      <c r="BG62" s="335"/>
      <c r="BH62" s="191"/>
      <c r="BI62" s="191"/>
      <c r="BJ62" s="191"/>
    </row>
    <row r="63" spans="2:62" s="205" customFormat="1" x14ac:dyDescent="0.25">
      <c r="B63" s="353" t="s">
        <v>239</v>
      </c>
      <c r="C63" s="337"/>
      <c r="D63" s="191"/>
      <c r="E63" s="191"/>
      <c r="F63" s="191"/>
      <c r="G63" s="191"/>
      <c r="H63" s="191"/>
      <c r="I63" s="191"/>
      <c r="J63" s="191"/>
      <c r="K63" s="191"/>
      <c r="L63" s="191"/>
      <c r="M63" s="191"/>
      <c r="N63" s="191"/>
      <c r="O63" s="191"/>
      <c r="P63" s="191"/>
      <c r="Q63" s="294"/>
      <c r="R63" s="191"/>
      <c r="S63" s="191"/>
      <c r="T63" s="191"/>
      <c r="U63" s="191"/>
      <c r="V63" s="191"/>
      <c r="W63" s="294"/>
      <c r="X63" s="191"/>
      <c r="Y63" s="191"/>
      <c r="Z63" s="191"/>
      <c r="AA63" s="191"/>
      <c r="AB63" s="191"/>
      <c r="AC63" s="294"/>
      <c r="AD63" s="191"/>
      <c r="AE63" s="191"/>
      <c r="AF63" s="191"/>
      <c r="AG63" s="191"/>
      <c r="AH63" s="294"/>
      <c r="AI63" s="191"/>
      <c r="AJ63" s="191"/>
      <c r="AK63" s="191"/>
      <c r="AL63" s="335"/>
      <c r="AM63" s="294"/>
      <c r="AN63" s="191"/>
      <c r="AO63" s="191"/>
      <c r="AP63" s="191"/>
      <c r="AQ63" s="191"/>
      <c r="AR63" s="353"/>
      <c r="AS63" s="337"/>
      <c r="AT63" s="191"/>
      <c r="AU63" s="191"/>
      <c r="AV63" s="337"/>
      <c r="AW63" s="191"/>
      <c r="AX63" s="191"/>
      <c r="AY63" s="191"/>
      <c r="AZ63" s="191"/>
      <c r="BA63" s="191"/>
      <c r="BB63" s="191"/>
      <c r="BC63" s="191"/>
      <c r="BD63" s="191"/>
      <c r="BE63" s="191"/>
      <c r="BF63" s="294"/>
      <c r="BG63" s="335"/>
      <c r="BH63" s="191"/>
      <c r="BI63" s="191"/>
      <c r="BJ63" s="191"/>
    </row>
    <row r="64" spans="2:62" s="205" customFormat="1" x14ac:dyDescent="0.25">
      <c r="B64" s="353" t="s">
        <v>240</v>
      </c>
      <c r="C64" s="337"/>
      <c r="D64" s="191"/>
      <c r="E64" s="191"/>
      <c r="F64" s="191"/>
      <c r="G64" s="191" t="s">
        <v>241</v>
      </c>
      <c r="H64" s="191"/>
      <c r="I64" s="191"/>
      <c r="J64" s="191"/>
      <c r="K64" s="191"/>
      <c r="L64" s="191"/>
      <c r="M64" s="191"/>
      <c r="N64" s="191"/>
      <c r="O64" s="191"/>
      <c r="P64" s="191" t="s">
        <v>241</v>
      </c>
      <c r="Q64" s="294"/>
      <c r="R64" s="191"/>
      <c r="S64" s="191"/>
      <c r="T64" s="191"/>
      <c r="U64" s="191"/>
      <c r="V64" s="191" t="s">
        <v>241</v>
      </c>
      <c r="W64" s="294"/>
      <c r="X64" s="191"/>
      <c r="Y64" s="191"/>
      <c r="Z64" s="191"/>
      <c r="AA64" s="191"/>
      <c r="AB64" s="191"/>
      <c r="AC64" s="294"/>
      <c r="AD64" s="191"/>
      <c r="AE64" s="191"/>
      <c r="AF64" s="191"/>
      <c r="AG64" s="191"/>
      <c r="AH64" s="294"/>
      <c r="AI64" s="191"/>
      <c r="AJ64" s="191"/>
      <c r="AK64" s="191"/>
      <c r="AL64" s="335"/>
      <c r="AM64" s="294"/>
      <c r="AN64" s="191"/>
      <c r="AO64" s="191"/>
      <c r="AP64" s="191"/>
      <c r="AQ64" s="191"/>
      <c r="AR64" s="353"/>
      <c r="AS64" s="337"/>
      <c r="AT64" s="191"/>
      <c r="AU64" s="191"/>
      <c r="AV64" s="337"/>
      <c r="AW64" s="191"/>
      <c r="AX64" s="191"/>
      <c r="AY64" s="191"/>
      <c r="AZ64" s="191"/>
      <c r="BA64" s="191"/>
      <c r="BB64" s="191"/>
      <c r="BC64" s="191"/>
      <c r="BD64" s="191"/>
      <c r="BE64" s="191"/>
      <c r="BF64" s="294"/>
      <c r="BG64" s="335"/>
      <c r="BH64" s="191"/>
      <c r="BI64" s="191"/>
      <c r="BJ64" s="191"/>
    </row>
    <row r="65" spans="2:62" s="205" customFormat="1" x14ac:dyDescent="0.25">
      <c r="B65" s="353" t="s">
        <v>242</v>
      </c>
      <c r="C65" s="337"/>
      <c r="D65" s="191"/>
      <c r="E65" s="191"/>
      <c r="F65" s="191"/>
      <c r="G65" s="191"/>
      <c r="H65" s="191"/>
      <c r="I65" s="191"/>
      <c r="J65" s="191"/>
      <c r="K65" s="191"/>
      <c r="L65" s="191"/>
      <c r="M65" s="191"/>
      <c r="N65" s="191"/>
      <c r="O65" s="191"/>
      <c r="P65" s="191"/>
      <c r="Q65" s="294"/>
      <c r="R65" s="191"/>
      <c r="S65" s="191"/>
      <c r="T65" s="191"/>
      <c r="U65" s="191"/>
      <c r="V65" s="191"/>
      <c r="W65" s="294"/>
      <c r="X65" s="191"/>
      <c r="Y65" s="191"/>
      <c r="Z65" s="191"/>
      <c r="AA65" s="191"/>
      <c r="AB65" s="191"/>
      <c r="AC65" s="294"/>
      <c r="AD65" s="191"/>
      <c r="AE65" s="191"/>
      <c r="AF65" s="191"/>
      <c r="AG65" s="191"/>
      <c r="AH65" s="294"/>
      <c r="AI65" s="191"/>
      <c r="AJ65" s="191"/>
      <c r="AK65" s="191"/>
      <c r="AL65" s="335"/>
      <c r="AM65" s="294"/>
      <c r="AN65" s="191"/>
      <c r="AO65" s="191"/>
      <c r="AP65" s="191"/>
      <c r="AQ65" s="191"/>
      <c r="AR65" s="353"/>
      <c r="AS65" s="337"/>
      <c r="AT65" s="191"/>
      <c r="AU65" s="191"/>
      <c r="AV65" s="337"/>
      <c r="AW65" s="191"/>
      <c r="AX65" s="191"/>
      <c r="AY65" s="191"/>
      <c r="AZ65" s="191"/>
      <c r="BA65" s="191"/>
      <c r="BB65" s="191"/>
      <c r="BC65" s="191"/>
      <c r="BD65" s="191"/>
      <c r="BE65" s="191"/>
      <c r="BF65" s="294"/>
      <c r="BG65" s="335"/>
      <c r="BH65" s="191"/>
      <c r="BI65" s="191"/>
      <c r="BJ65" s="191"/>
    </row>
    <row r="66" spans="2:62" s="205" customFormat="1" x14ac:dyDescent="0.25">
      <c r="B66" s="353" t="s">
        <v>243</v>
      </c>
      <c r="C66" s="337"/>
      <c r="D66" s="191"/>
      <c r="E66" s="191"/>
      <c r="F66" s="191"/>
      <c r="G66" s="191"/>
      <c r="H66" s="191"/>
      <c r="I66" s="191"/>
      <c r="J66" s="191"/>
      <c r="K66" s="191"/>
      <c r="L66" s="191"/>
      <c r="M66" s="191"/>
      <c r="N66" s="191"/>
      <c r="O66" s="191"/>
      <c r="P66" s="191"/>
      <c r="Q66" s="294"/>
      <c r="R66" s="191"/>
      <c r="S66" s="191"/>
      <c r="T66" s="191"/>
      <c r="U66" s="191"/>
      <c r="V66" s="191"/>
      <c r="W66" s="294"/>
      <c r="X66" s="191"/>
      <c r="Y66" s="191"/>
      <c r="Z66" s="191"/>
      <c r="AA66" s="191"/>
      <c r="AB66" s="191"/>
      <c r="AC66" s="294"/>
      <c r="AD66" s="191"/>
      <c r="AE66" s="191"/>
      <c r="AF66" s="191"/>
      <c r="AG66" s="191"/>
      <c r="AH66" s="294"/>
      <c r="AI66" s="191"/>
      <c r="AJ66" s="191"/>
      <c r="AK66" s="191"/>
      <c r="AL66" s="335"/>
      <c r="AM66" s="294"/>
      <c r="AN66" s="191"/>
      <c r="AO66" s="191"/>
      <c r="AP66" s="191"/>
      <c r="AQ66" s="191"/>
      <c r="AR66" s="353"/>
      <c r="AS66" s="337"/>
      <c r="AT66" s="191"/>
      <c r="AU66" s="191"/>
      <c r="AV66" s="337"/>
      <c r="AW66" s="191"/>
      <c r="AX66" s="191"/>
      <c r="AY66" s="191"/>
      <c r="AZ66" s="191"/>
      <c r="BA66" s="191"/>
      <c r="BB66" s="191"/>
      <c r="BC66" s="191"/>
      <c r="BD66" s="191"/>
      <c r="BE66" s="191"/>
      <c r="BF66" s="294"/>
      <c r="BG66" s="335"/>
      <c r="BH66" s="191"/>
      <c r="BI66" s="191"/>
      <c r="BJ66" s="191"/>
    </row>
    <row r="67" spans="2:62" x14ac:dyDescent="0.25">
      <c r="B67" s="353" t="s">
        <v>244</v>
      </c>
      <c r="E67" s="920" t="s">
        <v>245</v>
      </c>
      <c r="F67" s="920"/>
      <c r="G67" s="920"/>
      <c r="H67" s="920"/>
      <c r="I67" s="920"/>
      <c r="J67" s="920"/>
      <c r="K67" s="920"/>
      <c r="L67" s="920"/>
      <c r="M67" s="920"/>
      <c r="N67" s="920"/>
      <c r="O67" s="920"/>
      <c r="P67" s="920"/>
      <c r="Q67" s="920"/>
      <c r="R67" s="920"/>
      <c r="S67" s="920"/>
    </row>
    <row r="68" spans="2:62" x14ac:dyDescent="0.25">
      <c r="B68" s="353" t="s">
        <v>246</v>
      </c>
    </row>
    <row r="69" spans="2:62" x14ac:dyDescent="0.25">
      <c r="B69" s="353" t="s">
        <v>247</v>
      </c>
      <c r="E69" s="920" t="s">
        <v>248</v>
      </c>
      <c r="F69" s="920"/>
      <c r="G69" s="920"/>
      <c r="H69" s="920"/>
      <c r="I69" s="920"/>
      <c r="J69" s="920"/>
      <c r="K69" s="920"/>
      <c r="L69" s="920"/>
      <c r="M69" s="920"/>
      <c r="N69" s="920"/>
      <c r="O69" s="920"/>
      <c r="P69" s="920"/>
      <c r="Q69" s="920"/>
      <c r="R69" s="920"/>
      <c r="S69" s="920"/>
    </row>
    <row r="71" spans="2:62" x14ac:dyDescent="0.25">
      <c r="E71" s="920" t="s">
        <v>249</v>
      </c>
      <c r="F71" s="920"/>
      <c r="G71" s="920"/>
      <c r="H71" s="920"/>
      <c r="I71" s="920"/>
      <c r="J71" s="920"/>
      <c r="K71" s="920"/>
      <c r="L71" s="920"/>
      <c r="M71" s="920"/>
      <c r="N71" s="920"/>
      <c r="O71" s="920"/>
      <c r="P71" s="920"/>
      <c r="Q71" s="920"/>
      <c r="R71" s="920"/>
      <c r="S71" s="920"/>
      <c r="T71" s="920"/>
    </row>
  </sheetData>
  <mergeCells count="13">
    <mergeCell ref="B54:D54"/>
    <mergeCell ref="E67:S67"/>
    <mergeCell ref="E69:S69"/>
    <mergeCell ref="E71:T71"/>
    <mergeCell ref="F2:N2"/>
    <mergeCell ref="O2:T2"/>
    <mergeCell ref="U2:Z2"/>
    <mergeCell ref="AB2:AE2"/>
    <mergeCell ref="G3:G4"/>
    <mergeCell ref="K3:K4"/>
    <mergeCell ref="N3:N4"/>
    <mergeCell ref="H3:H4"/>
    <mergeCell ref="L3:L4"/>
  </mergeCells>
  <pageMargins left="0.7" right="0.7" top="0.75" bottom="0.75" header="0.3" footer="0.3"/>
  <pageSetup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3BE60-237A-45BB-99FB-1E8BD6490381}">
  <dimension ref="B2:R170"/>
  <sheetViews>
    <sheetView topLeftCell="A46" zoomScaleNormal="100" workbookViewId="0">
      <selection activeCell="A56" sqref="A56:XFD56"/>
    </sheetView>
  </sheetViews>
  <sheetFormatPr defaultColWidth="8.7109375" defaultRowHeight="15.75" x14ac:dyDescent="0.25"/>
  <cols>
    <col min="1" max="1" width="8.7109375" style="168"/>
    <col min="2" max="2" width="4.7109375" style="168" customWidth="1"/>
    <col min="3" max="3" width="12.140625" style="168" customWidth="1"/>
    <col min="4" max="4" width="11.85546875" style="168" customWidth="1"/>
    <col min="5" max="6" width="8.7109375" style="168"/>
    <col min="7" max="7" width="11.5703125" style="168" customWidth="1"/>
    <col min="8" max="8" width="13.42578125" style="168" customWidth="1"/>
    <col min="9" max="9" width="11" style="168" customWidth="1"/>
    <col min="10" max="11" width="11.5703125" style="168" customWidth="1"/>
    <col min="12" max="12" width="12.7109375" style="168" customWidth="1"/>
    <col min="13" max="13" width="16.7109375" style="168" customWidth="1"/>
    <col min="14" max="14" width="8.42578125" style="168" customWidth="1"/>
    <col min="15" max="15" width="9.42578125" style="168" customWidth="1"/>
    <col min="16" max="16" width="11.7109375" style="168" customWidth="1"/>
    <col min="17" max="16384" width="8.7109375" style="168"/>
  </cols>
  <sheetData>
    <row r="2" spans="2:14" x14ac:dyDescent="0.25">
      <c r="C2" s="168" t="s">
        <v>361</v>
      </c>
      <c r="K2" s="533" t="s">
        <v>616</v>
      </c>
      <c r="N2" s="168" t="s">
        <v>617</v>
      </c>
    </row>
    <row r="3" spans="2:14" ht="16.5" thickBot="1" x14ac:dyDescent="0.3"/>
    <row r="4" spans="2:14" x14ac:dyDescent="0.25">
      <c r="B4" s="169"/>
      <c r="C4" s="170" t="s">
        <v>362</v>
      </c>
      <c r="D4" s="170" t="s">
        <v>363</v>
      </c>
      <c r="E4" s="170" t="s">
        <v>364</v>
      </c>
      <c r="F4" s="170" t="s">
        <v>365</v>
      </c>
      <c r="G4" s="171" t="s">
        <v>366</v>
      </c>
      <c r="H4" s="170" t="s">
        <v>273</v>
      </c>
      <c r="I4" s="171" t="s">
        <v>367</v>
      </c>
      <c r="J4" s="170" t="s">
        <v>468</v>
      </c>
      <c r="K4" s="171" t="s">
        <v>475</v>
      </c>
      <c r="L4" s="172"/>
    </row>
    <row r="5" spans="2:14" ht="16.5" thickBot="1" x14ac:dyDescent="0.3">
      <c r="B5" s="173"/>
      <c r="C5" s="36"/>
      <c r="D5" s="36"/>
      <c r="E5" s="36"/>
      <c r="F5" s="36"/>
      <c r="G5" s="174"/>
      <c r="H5" s="36"/>
      <c r="I5" s="174"/>
      <c r="J5" s="36"/>
      <c r="K5" s="174"/>
      <c r="L5" s="175"/>
    </row>
    <row r="6" spans="2:14" x14ac:dyDescent="0.25">
      <c r="B6" s="176"/>
      <c r="C6" s="42" t="s">
        <v>260</v>
      </c>
      <c r="D6" s="42" t="s">
        <v>368</v>
      </c>
      <c r="E6" s="42">
        <v>0.9</v>
      </c>
      <c r="F6" s="42">
        <v>31.4</v>
      </c>
      <c r="G6" s="177">
        <f t="shared" ref="G6:G13" si="0">SUM(E6:F6)</f>
        <v>32.299999999999997</v>
      </c>
      <c r="H6" s="48">
        <f>SUM(G6+G7)</f>
        <v>93.5</v>
      </c>
      <c r="I6" s="178">
        <f>SUM(G6/H6)</f>
        <v>0.3454545454545454</v>
      </c>
      <c r="J6" s="42"/>
      <c r="K6" s="177"/>
      <c r="L6" s="179"/>
    </row>
    <row r="7" spans="2:14" ht="16.5" thickBot="1" x14ac:dyDescent="0.3">
      <c r="B7" s="173"/>
      <c r="C7" s="36"/>
      <c r="D7" s="36" t="s">
        <v>62</v>
      </c>
      <c r="E7" s="36">
        <v>3.1</v>
      </c>
      <c r="F7" s="36">
        <v>58.1</v>
      </c>
      <c r="G7" s="174">
        <f t="shared" si="0"/>
        <v>61.2</v>
      </c>
      <c r="H7" s="36"/>
      <c r="I7" s="180"/>
      <c r="J7" s="36"/>
      <c r="K7" s="174"/>
      <c r="L7" s="175"/>
    </row>
    <row r="8" spans="2:14" x14ac:dyDescent="0.25">
      <c r="B8" s="176"/>
      <c r="C8" s="42" t="s">
        <v>261</v>
      </c>
      <c r="D8" s="42" t="s">
        <v>368</v>
      </c>
      <c r="E8" s="42">
        <v>0.7</v>
      </c>
      <c r="F8" s="42">
        <v>30.6</v>
      </c>
      <c r="G8" s="177">
        <f t="shared" si="0"/>
        <v>31.3</v>
      </c>
      <c r="H8" s="48">
        <f>SUM(G8+G9)</f>
        <v>85.7</v>
      </c>
      <c r="I8" s="178">
        <f>SUM(G8/H8)</f>
        <v>0.36522753792298718</v>
      </c>
      <c r="J8" s="42"/>
      <c r="K8" s="177"/>
      <c r="L8" s="179"/>
    </row>
    <row r="9" spans="2:14" x14ac:dyDescent="0.25">
      <c r="B9" s="181"/>
      <c r="C9" s="182"/>
      <c r="D9" s="182" t="s">
        <v>62</v>
      </c>
      <c r="E9" s="182">
        <v>2.9</v>
      </c>
      <c r="F9" s="182">
        <v>51.5</v>
      </c>
      <c r="G9" s="183">
        <f t="shared" si="0"/>
        <v>54.4</v>
      </c>
      <c r="H9" s="182"/>
      <c r="I9" s="184"/>
      <c r="J9" s="182"/>
      <c r="K9" s="183"/>
      <c r="L9" s="185"/>
    </row>
    <row r="10" spans="2:14" x14ac:dyDescent="0.25">
      <c r="B10" s="176"/>
      <c r="C10" s="42" t="s">
        <v>369</v>
      </c>
      <c r="D10" s="42" t="s">
        <v>368</v>
      </c>
      <c r="E10" s="42">
        <v>1.6</v>
      </c>
      <c r="F10" s="42">
        <v>26</v>
      </c>
      <c r="G10" s="177">
        <f t="shared" si="0"/>
        <v>27.6</v>
      </c>
      <c r="H10" s="48">
        <f>SUM(G10+G11)</f>
        <v>86.2</v>
      </c>
      <c r="I10" s="178">
        <f>SUM(G10/H10)</f>
        <v>0.32018561484918795</v>
      </c>
      <c r="J10" s="42"/>
      <c r="K10" s="177"/>
      <c r="L10" s="179"/>
    </row>
    <row r="11" spans="2:14" x14ac:dyDescent="0.25">
      <c r="B11" s="181"/>
      <c r="C11" s="182"/>
      <c r="D11" s="182" t="s">
        <v>62</v>
      </c>
      <c r="E11" s="182">
        <v>3</v>
      </c>
      <c r="F11" s="182">
        <v>55.6</v>
      </c>
      <c r="G11" s="183">
        <f t="shared" si="0"/>
        <v>58.6</v>
      </c>
      <c r="H11" s="182"/>
      <c r="I11" s="184"/>
      <c r="J11" s="182"/>
      <c r="K11" s="183"/>
      <c r="L11" s="185"/>
    </row>
    <row r="12" spans="2:14" x14ac:dyDescent="0.25">
      <c r="B12" s="176"/>
      <c r="C12" s="42" t="s">
        <v>263</v>
      </c>
      <c r="D12" s="42" t="s">
        <v>368</v>
      </c>
      <c r="E12" s="42">
        <v>0.8</v>
      </c>
      <c r="F12" s="42">
        <v>27.8</v>
      </c>
      <c r="G12" s="177">
        <f t="shared" si="0"/>
        <v>28.6</v>
      </c>
      <c r="H12" s="48">
        <f>SUM(G12+G13)</f>
        <v>100.29999999999998</v>
      </c>
      <c r="I12" s="178">
        <f>SUM(G12/H12)</f>
        <v>0.28514456630109675</v>
      </c>
      <c r="J12" s="42"/>
      <c r="K12" s="177"/>
      <c r="L12" s="179"/>
    </row>
    <row r="13" spans="2:14" x14ac:dyDescent="0.25">
      <c r="B13" s="181"/>
      <c r="C13" s="182"/>
      <c r="D13" s="182" t="s">
        <v>62</v>
      </c>
      <c r="E13" s="182">
        <v>3.1</v>
      </c>
      <c r="F13" s="182">
        <v>68.599999999999994</v>
      </c>
      <c r="G13" s="183">
        <f t="shared" si="0"/>
        <v>71.699999999999989</v>
      </c>
      <c r="H13" s="182"/>
      <c r="I13" s="184"/>
      <c r="J13" s="182"/>
      <c r="K13" s="183"/>
      <c r="L13" s="185"/>
    </row>
    <row r="14" spans="2:14" x14ac:dyDescent="0.25">
      <c r="B14" s="176"/>
      <c r="C14" s="42" t="s">
        <v>264</v>
      </c>
      <c r="D14" s="42" t="s">
        <v>368</v>
      </c>
      <c r="E14" s="42">
        <v>2.5</v>
      </c>
      <c r="F14" s="42">
        <v>38.299999999999997</v>
      </c>
      <c r="G14" s="177">
        <f t="shared" ref="G14:G29" si="1">SUM(E14:F14)</f>
        <v>40.799999999999997</v>
      </c>
      <c r="H14" s="48">
        <f>SUM(G14+G15)</f>
        <v>158.4</v>
      </c>
      <c r="I14" s="178">
        <f>SUM(G14/H14)</f>
        <v>0.25757575757575757</v>
      </c>
      <c r="J14" s="42"/>
      <c r="K14" s="177"/>
      <c r="L14" s="179"/>
    </row>
    <row r="15" spans="2:14" x14ac:dyDescent="0.25">
      <c r="B15" s="181"/>
      <c r="C15" s="182"/>
      <c r="D15" s="182" t="s">
        <v>62</v>
      </c>
      <c r="E15" s="182">
        <v>3.2</v>
      </c>
      <c r="F15" s="182">
        <v>114.4</v>
      </c>
      <c r="G15" s="183">
        <f t="shared" si="1"/>
        <v>117.60000000000001</v>
      </c>
      <c r="H15" s="182"/>
      <c r="I15" s="184"/>
      <c r="J15" s="182"/>
      <c r="K15" s="183"/>
      <c r="L15" s="185"/>
    </row>
    <row r="16" spans="2:14" x14ac:dyDescent="0.25">
      <c r="B16" s="176"/>
      <c r="C16" s="42" t="s">
        <v>265</v>
      </c>
      <c r="D16" s="42" t="s">
        <v>368</v>
      </c>
      <c r="E16" s="42">
        <v>0.8</v>
      </c>
      <c r="F16" s="42">
        <v>32.1</v>
      </c>
      <c r="G16" s="177">
        <f t="shared" si="1"/>
        <v>32.9</v>
      </c>
      <c r="H16" s="48">
        <f>SUM(G16+G17)</f>
        <v>111.1</v>
      </c>
      <c r="I16" s="178">
        <f>SUM(G16/H16)</f>
        <v>0.29612961296129614</v>
      </c>
      <c r="J16" s="42"/>
      <c r="K16" s="177"/>
      <c r="L16" s="179"/>
    </row>
    <row r="17" spans="2:12" x14ac:dyDescent="0.25">
      <c r="B17" s="181"/>
      <c r="C17" s="182"/>
      <c r="D17" s="182" t="s">
        <v>62</v>
      </c>
      <c r="E17" s="182">
        <v>3</v>
      </c>
      <c r="F17" s="182">
        <v>75.2</v>
      </c>
      <c r="G17" s="183">
        <f t="shared" si="1"/>
        <v>78.2</v>
      </c>
      <c r="H17" s="182"/>
      <c r="I17" s="184"/>
      <c r="J17" s="182"/>
      <c r="K17" s="183"/>
      <c r="L17" s="185"/>
    </row>
    <row r="18" spans="2:12" x14ac:dyDescent="0.25">
      <c r="B18" s="176"/>
      <c r="C18" s="42" t="s">
        <v>266</v>
      </c>
      <c r="D18" s="42" t="s">
        <v>368</v>
      </c>
      <c r="E18" s="42">
        <v>0.8</v>
      </c>
      <c r="F18" s="42">
        <v>30.6</v>
      </c>
      <c r="G18" s="177">
        <f t="shared" si="1"/>
        <v>31.400000000000002</v>
      </c>
      <c r="H18" s="48">
        <f>SUM(G18+G19)</f>
        <v>95.100000000000009</v>
      </c>
      <c r="I18" s="178">
        <f>SUM(G18/H18)</f>
        <v>0.33017875920084122</v>
      </c>
      <c r="J18" s="42"/>
      <c r="K18" s="177"/>
      <c r="L18" s="179"/>
    </row>
    <row r="19" spans="2:12" x14ac:dyDescent="0.25">
      <c r="B19" s="181"/>
      <c r="C19" s="182"/>
      <c r="D19" s="182" t="s">
        <v>62</v>
      </c>
      <c r="E19" s="182">
        <v>3.1</v>
      </c>
      <c r="F19" s="182">
        <v>60.6</v>
      </c>
      <c r="G19" s="183">
        <f t="shared" si="1"/>
        <v>63.7</v>
      </c>
      <c r="H19" s="182"/>
      <c r="I19" s="184"/>
      <c r="J19" s="182"/>
      <c r="K19" s="183"/>
      <c r="L19" s="185"/>
    </row>
    <row r="20" spans="2:12" x14ac:dyDescent="0.25">
      <c r="B20" s="176"/>
      <c r="C20" s="42" t="s">
        <v>267</v>
      </c>
      <c r="D20" s="42" t="s">
        <v>368</v>
      </c>
      <c r="E20" s="42">
        <v>0.8</v>
      </c>
      <c r="F20" s="42">
        <v>30.2</v>
      </c>
      <c r="G20" s="177">
        <f t="shared" si="1"/>
        <v>31</v>
      </c>
      <c r="H20" s="48">
        <f>SUM(G20+G21)</f>
        <v>106.4</v>
      </c>
      <c r="I20" s="178">
        <f>SUM(G20/H20)</f>
        <v>0.29135338345864659</v>
      </c>
      <c r="J20" s="42"/>
      <c r="K20" s="177"/>
      <c r="L20" s="179"/>
    </row>
    <row r="21" spans="2:12" x14ac:dyDescent="0.25">
      <c r="B21" s="181"/>
      <c r="C21" s="182"/>
      <c r="D21" s="182" t="s">
        <v>62</v>
      </c>
      <c r="E21" s="182">
        <v>3.2</v>
      </c>
      <c r="F21" s="182">
        <v>72.2</v>
      </c>
      <c r="G21" s="183">
        <f t="shared" si="1"/>
        <v>75.400000000000006</v>
      </c>
      <c r="H21" s="182"/>
      <c r="I21" s="184"/>
      <c r="J21" s="182"/>
      <c r="K21" s="183"/>
      <c r="L21" s="185"/>
    </row>
    <row r="22" spans="2:12" x14ac:dyDescent="0.25">
      <c r="B22" s="176"/>
      <c r="C22" s="42" t="s">
        <v>268</v>
      </c>
      <c r="D22" s="42" t="s">
        <v>368</v>
      </c>
      <c r="E22" s="42">
        <v>0.7</v>
      </c>
      <c r="F22" s="42">
        <v>24.7</v>
      </c>
      <c r="G22" s="177">
        <f t="shared" si="1"/>
        <v>25.4</v>
      </c>
      <c r="H22" s="48">
        <f>SUM(G22+G23)</f>
        <v>105.1</v>
      </c>
      <c r="I22" s="178">
        <f>SUM(G22/H22)</f>
        <v>0.24167459562321597</v>
      </c>
      <c r="J22" s="42"/>
      <c r="K22" s="177"/>
      <c r="L22" s="179"/>
    </row>
    <row r="23" spans="2:12" x14ac:dyDescent="0.25">
      <c r="B23" s="181"/>
      <c r="C23" s="182"/>
      <c r="D23" s="182" t="s">
        <v>62</v>
      </c>
      <c r="E23" s="182">
        <v>2.9</v>
      </c>
      <c r="F23" s="182">
        <v>76.8</v>
      </c>
      <c r="G23" s="183">
        <f t="shared" si="1"/>
        <v>79.7</v>
      </c>
      <c r="H23" s="182"/>
      <c r="I23" s="184"/>
      <c r="J23" s="182"/>
      <c r="K23" s="183"/>
      <c r="L23" s="185"/>
    </row>
    <row r="24" spans="2:12" x14ac:dyDescent="0.25">
      <c r="B24" s="176"/>
      <c r="C24" s="42" t="s">
        <v>269</v>
      </c>
      <c r="D24" s="42" t="s">
        <v>368</v>
      </c>
      <c r="E24" s="42">
        <v>6.7</v>
      </c>
      <c r="F24" s="42">
        <v>28.4</v>
      </c>
      <c r="G24" s="177">
        <f t="shared" si="1"/>
        <v>35.1</v>
      </c>
      <c r="H24" s="48">
        <f>SUM(G24+G25)</f>
        <v>119</v>
      </c>
      <c r="I24" s="178">
        <f>SUM(G24/H24)</f>
        <v>0.29495798319327732</v>
      </c>
      <c r="J24" s="42"/>
      <c r="K24" s="177"/>
      <c r="L24" s="179"/>
    </row>
    <row r="25" spans="2:12" x14ac:dyDescent="0.25">
      <c r="B25" s="181"/>
      <c r="C25" s="182"/>
      <c r="D25" s="182" t="s">
        <v>62</v>
      </c>
      <c r="E25" s="182">
        <v>13.7</v>
      </c>
      <c r="F25" s="182">
        <v>70.2</v>
      </c>
      <c r="G25" s="183">
        <f t="shared" si="1"/>
        <v>83.9</v>
      </c>
      <c r="H25" s="182"/>
      <c r="I25" s="184"/>
      <c r="J25" s="182"/>
      <c r="K25" s="183"/>
      <c r="L25" s="185"/>
    </row>
    <row r="26" spans="2:12" x14ac:dyDescent="0.25">
      <c r="B26" s="176"/>
      <c r="C26" s="42" t="s">
        <v>270</v>
      </c>
      <c r="D26" s="42" t="s">
        <v>368</v>
      </c>
      <c r="E26" s="42">
        <v>0.4</v>
      </c>
      <c r="F26" s="42">
        <v>23.5</v>
      </c>
      <c r="G26" s="177">
        <f t="shared" si="1"/>
        <v>23.9</v>
      </c>
      <c r="H26" s="48">
        <f>SUM(G26+G27)</f>
        <v>89.1</v>
      </c>
      <c r="I26" s="178">
        <f>SUM(G26/H26)</f>
        <v>0.26823793490460157</v>
      </c>
      <c r="J26" s="42"/>
      <c r="K26" s="177"/>
      <c r="L26" s="179"/>
    </row>
    <row r="27" spans="2:12" x14ac:dyDescent="0.25">
      <c r="B27" s="181"/>
      <c r="C27" s="182"/>
      <c r="D27" s="182" t="s">
        <v>62</v>
      </c>
      <c r="E27" s="182">
        <v>2.9</v>
      </c>
      <c r="F27" s="182">
        <v>62.3</v>
      </c>
      <c r="G27" s="183">
        <f t="shared" si="1"/>
        <v>65.2</v>
      </c>
      <c r="H27" s="182"/>
      <c r="I27" s="184"/>
      <c r="J27" s="182"/>
      <c r="K27" s="183"/>
      <c r="L27" s="185"/>
    </row>
    <row r="28" spans="2:12" x14ac:dyDescent="0.25">
      <c r="B28" s="176"/>
      <c r="C28" s="42" t="s">
        <v>271</v>
      </c>
      <c r="D28" s="42" t="s">
        <v>368</v>
      </c>
      <c r="E28" s="42">
        <v>0.4</v>
      </c>
      <c r="F28" s="42">
        <v>28</v>
      </c>
      <c r="G28" s="177">
        <f t="shared" si="1"/>
        <v>28.4</v>
      </c>
      <c r="H28" s="48">
        <f>SUM(G28+G29)</f>
        <v>94.9</v>
      </c>
      <c r="I28" s="178">
        <f>SUM(G28/H28)</f>
        <v>0.29926238145416223</v>
      </c>
      <c r="J28" s="42"/>
      <c r="K28" s="177"/>
      <c r="L28" s="179"/>
    </row>
    <row r="29" spans="2:12" x14ac:dyDescent="0.25">
      <c r="B29" s="181"/>
      <c r="C29" s="182"/>
      <c r="D29" s="182" t="s">
        <v>62</v>
      </c>
      <c r="E29" s="182">
        <v>3</v>
      </c>
      <c r="F29" s="182">
        <v>63.5</v>
      </c>
      <c r="G29" s="183">
        <f t="shared" si="1"/>
        <v>66.5</v>
      </c>
      <c r="H29" s="182"/>
      <c r="I29" s="184"/>
      <c r="J29" s="182"/>
      <c r="K29" s="183"/>
      <c r="L29" s="185"/>
    </row>
    <row r="30" spans="2:12" x14ac:dyDescent="0.25">
      <c r="B30" s="176"/>
      <c r="C30" s="42" t="s">
        <v>370</v>
      </c>
      <c r="D30" s="42"/>
      <c r="E30" s="42"/>
      <c r="F30" s="42"/>
      <c r="G30" s="177"/>
      <c r="H30" s="48">
        <f>SUM(H6:H29)</f>
        <v>1244.8</v>
      </c>
      <c r="I30" s="178"/>
      <c r="J30" s="42"/>
      <c r="K30" s="938" t="s">
        <v>476</v>
      </c>
      <c r="L30" s="179"/>
    </row>
    <row r="31" spans="2:12" x14ac:dyDescent="0.25">
      <c r="B31" s="176"/>
      <c r="C31" s="42" t="s">
        <v>371</v>
      </c>
      <c r="D31" s="42"/>
      <c r="E31" s="42"/>
      <c r="F31" s="42"/>
      <c r="G31" s="177">
        <f>SUM(G6+G8+G10+G12+G14+G16+G18+G20+G22+G24+G26+G28)</f>
        <v>368.69999999999993</v>
      </c>
      <c r="H31" s="42"/>
      <c r="I31" s="178"/>
      <c r="J31" s="42"/>
      <c r="K31" s="939"/>
      <c r="L31" s="179"/>
    </row>
    <row r="32" spans="2:12" ht="16.5" thickBot="1" x14ac:dyDescent="0.3">
      <c r="B32" s="173"/>
      <c r="C32" s="36" t="s">
        <v>372</v>
      </c>
      <c r="D32" s="36"/>
      <c r="E32" s="36"/>
      <c r="F32" s="36"/>
      <c r="G32" s="174"/>
      <c r="H32" s="36"/>
      <c r="I32" s="180">
        <f>SUM(G31/H30)</f>
        <v>0.29619215938303339</v>
      </c>
      <c r="J32" s="394">
        <f>SUM(H30-G31)</f>
        <v>876.1</v>
      </c>
      <c r="K32" s="940"/>
      <c r="L32" s="175"/>
    </row>
    <row r="33" spans="2:12" ht="16.5" thickBot="1" x14ac:dyDescent="0.3"/>
    <row r="34" spans="2:12" ht="12.6" customHeight="1" x14ac:dyDescent="0.25">
      <c r="B34" s="169"/>
      <c r="C34" s="170"/>
      <c r="D34" s="170"/>
      <c r="E34" s="170"/>
      <c r="F34" s="170"/>
      <c r="G34" s="170"/>
      <c r="H34" s="170"/>
      <c r="I34" s="170"/>
      <c r="J34" s="170"/>
      <c r="K34" s="170"/>
      <c r="L34" s="172"/>
    </row>
    <row r="35" spans="2:12" ht="12.6" customHeight="1" x14ac:dyDescent="0.25">
      <c r="B35" s="176"/>
      <c r="C35" s="42">
        <v>2019</v>
      </c>
      <c r="D35" s="42"/>
      <c r="E35" s="42"/>
      <c r="F35" s="42"/>
      <c r="G35" s="42"/>
      <c r="H35" s="42"/>
      <c r="I35" s="42"/>
      <c r="J35" s="42"/>
      <c r="K35" s="42"/>
      <c r="L35" s="179"/>
    </row>
    <row r="36" spans="2:12" ht="12.6" customHeight="1" x14ac:dyDescent="0.25">
      <c r="B36" s="176"/>
      <c r="C36" s="42" t="s">
        <v>461</v>
      </c>
      <c r="D36" s="42"/>
      <c r="E36" s="42"/>
      <c r="F36" s="42"/>
      <c r="G36" s="42"/>
      <c r="H36" s="42"/>
      <c r="I36" s="42"/>
      <c r="J36" s="42"/>
      <c r="K36" s="42"/>
      <c r="L36" s="179"/>
    </row>
    <row r="37" spans="2:12" ht="12.6" customHeight="1" x14ac:dyDescent="0.25">
      <c r="B37" s="176"/>
      <c r="C37" s="42"/>
      <c r="D37" s="42"/>
      <c r="E37" s="42"/>
      <c r="F37" s="42"/>
      <c r="G37" s="42"/>
      <c r="H37" s="42"/>
      <c r="I37" s="42"/>
      <c r="J37" s="42"/>
      <c r="K37" s="42"/>
      <c r="L37" s="179"/>
    </row>
    <row r="38" spans="2:12" ht="12.6" customHeight="1" x14ac:dyDescent="0.25">
      <c r="B38" s="176"/>
      <c r="C38" s="2" t="s">
        <v>464</v>
      </c>
      <c r="D38" s="2"/>
      <c r="E38" s="2"/>
      <c r="F38" s="154">
        <v>26000</v>
      </c>
      <c r="G38" s="154">
        <v>26000</v>
      </c>
      <c r="H38" s="2"/>
      <c r="I38" s="2"/>
      <c r="J38" s="42"/>
      <c r="K38" s="42"/>
      <c r="L38" s="179"/>
    </row>
    <row r="39" spans="2:12" ht="12.6" customHeight="1" x14ac:dyDescent="0.25">
      <c r="B39" s="176"/>
      <c r="C39" s="2" t="s">
        <v>465</v>
      </c>
      <c r="D39" s="2"/>
      <c r="E39" s="2"/>
      <c r="F39" s="2"/>
      <c r="G39" s="2">
        <v>7500</v>
      </c>
      <c r="H39" s="2"/>
      <c r="I39" s="2"/>
      <c r="J39" s="42"/>
      <c r="K39" s="42"/>
      <c r="L39" s="179"/>
    </row>
    <row r="40" spans="2:12" ht="12.6" customHeight="1" x14ac:dyDescent="0.25">
      <c r="B40" s="176"/>
      <c r="C40" s="2" t="s">
        <v>466</v>
      </c>
      <c r="D40" s="2"/>
      <c r="E40" s="2"/>
      <c r="F40" s="2"/>
      <c r="G40" s="154">
        <v>10000</v>
      </c>
      <c r="H40" s="2"/>
      <c r="I40" s="2"/>
      <c r="J40" s="42"/>
      <c r="K40" s="42"/>
      <c r="L40" s="179"/>
    </row>
    <row r="41" spans="2:12" ht="12.6" customHeight="1" x14ac:dyDescent="0.25">
      <c r="B41" s="176"/>
      <c r="C41" s="2"/>
      <c r="D41" s="2"/>
      <c r="E41" s="2"/>
      <c r="F41" s="2"/>
      <c r="G41" s="154">
        <f>SUM(G38:G40)</f>
        <v>43500</v>
      </c>
      <c r="H41" s="2">
        <f>SUM(G41/2000)</f>
        <v>21.75</v>
      </c>
      <c r="I41" s="2" t="s">
        <v>467</v>
      </c>
      <c r="J41" s="42"/>
      <c r="K41" s="42"/>
      <c r="L41" s="179"/>
    </row>
    <row r="42" spans="2:12" ht="12.6" customHeight="1" x14ac:dyDescent="0.25">
      <c r="B42" s="176"/>
      <c r="C42" s="2"/>
      <c r="D42" s="2"/>
      <c r="E42" s="2"/>
      <c r="F42" s="2"/>
      <c r="G42" s="154"/>
      <c r="H42" s="2"/>
      <c r="I42" s="2"/>
      <c r="J42" s="42"/>
      <c r="K42" s="42"/>
      <c r="L42" s="179"/>
    </row>
    <row r="43" spans="2:12" ht="12.6" customHeight="1" x14ac:dyDescent="0.25">
      <c r="B43" s="176"/>
      <c r="C43" s="2"/>
      <c r="D43" s="2"/>
      <c r="E43" s="2"/>
      <c r="F43" s="2"/>
      <c r="G43" s="154"/>
      <c r="H43" s="2"/>
      <c r="I43" s="2"/>
      <c r="J43" s="42"/>
      <c r="K43" s="42"/>
      <c r="L43" s="179"/>
    </row>
    <row r="44" spans="2:12" ht="12.6" customHeight="1" x14ac:dyDescent="0.25">
      <c r="B44" s="176"/>
      <c r="C44" s="2" t="s">
        <v>477</v>
      </c>
      <c r="D44" s="2" t="s">
        <v>478</v>
      </c>
      <c r="E44" s="2"/>
      <c r="F44" s="2"/>
      <c r="G44" s="154"/>
      <c r="H44" s="2"/>
      <c r="I44" s="2"/>
      <c r="J44" s="42"/>
      <c r="K44" s="42"/>
      <c r="L44" s="179"/>
    </row>
    <row r="45" spans="2:12" ht="12.6" customHeight="1" x14ac:dyDescent="0.25">
      <c r="B45" s="176"/>
      <c r="C45" s="2"/>
      <c r="D45" s="2"/>
      <c r="E45" s="2"/>
      <c r="F45" s="2"/>
      <c r="G45" s="154"/>
      <c r="H45" s="2"/>
      <c r="I45" s="2"/>
      <c r="J45" s="42"/>
      <c r="K45" s="42"/>
      <c r="L45" s="179"/>
    </row>
    <row r="46" spans="2:12" ht="12.6" customHeight="1" x14ac:dyDescent="0.25">
      <c r="B46" s="176"/>
      <c r="C46" s="2"/>
      <c r="D46" s="2" t="s">
        <v>481</v>
      </c>
      <c r="E46" s="2"/>
      <c r="F46" s="2"/>
      <c r="G46" s="154"/>
      <c r="H46" s="2"/>
      <c r="I46" s="2"/>
      <c r="J46" s="42"/>
      <c r="K46" s="42"/>
      <c r="L46" s="179"/>
    </row>
    <row r="47" spans="2:12" ht="12.6" customHeight="1" x14ac:dyDescent="0.25">
      <c r="B47" s="176"/>
      <c r="C47" s="2"/>
      <c r="D47" s="2"/>
      <c r="E47" s="2"/>
      <c r="F47" s="2"/>
      <c r="G47" s="154"/>
      <c r="H47" s="2"/>
      <c r="I47" s="2"/>
      <c r="J47" s="42"/>
      <c r="K47" s="42"/>
      <c r="L47" s="179"/>
    </row>
    <row r="48" spans="2:12" ht="12.6" customHeight="1" x14ac:dyDescent="0.25">
      <c r="B48" s="176"/>
      <c r="C48" s="2"/>
      <c r="D48" s="2" t="s">
        <v>479</v>
      </c>
      <c r="E48" s="2"/>
      <c r="F48" s="2">
        <f>SUM(25*300)</f>
        <v>7500</v>
      </c>
      <c r="G48" s="154" t="s">
        <v>480</v>
      </c>
      <c r="H48" s="2">
        <f>SUM(F48/2000)</f>
        <v>3.75</v>
      </c>
      <c r="I48" s="2" t="s">
        <v>482</v>
      </c>
      <c r="J48" s="42"/>
      <c r="K48" s="42"/>
      <c r="L48" s="179"/>
    </row>
    <row r="49" spans="2:13" ht="12.6" customHeight="1" x14ac:dyDescent="0.25">
      <c r="B49" s="176"/>
      <c r="C49" s="2"/>
      <c r="D49" s="2"/>
      <c r="E49" s="2"/>
      <c r="F49" s="2"/>
      <c r="G49" s="154"/>
      <c r="H49" s="2"/>
      <c r="I49" s="2"/>
      <c r="J49" s="42"/>
      <c r="K49" s="42"/>
      <c r="L49" s="179"/>
    </row>
    <row r="50" spans="2:13" ht="12.6" customHeight="1" x14ac:dyDescent="0.25">
      <c r="B50" s="176"/>
      <c r="C50" s="2"/>
      <c r="D50" s="2"/>
      <c r="E50" s="2"/>
      <c r="F50" s="2" t="s">
        <v>483</v>
      </c>
      <c r="G50" s="154"/>
      <c r="H50" s="2"/>
      <c r="I50" s="2"/>
      <c r="J50" s="42"/>
      <c r="K50" s="42"/>
      <c r="L50" s="179"/>
    </row>
    <row r="51" spans="2:13" ht="12.6" customHeight="1" x14ac:dyDescent="0.25">
      <c r="B51" s="176"/>
      <c r="C51" s="2"/>
      <c r="D51" s="2"/>
      <c r="E51" s="2"/>
      <c r="F51" s="2"/>
      <c r="G51" s="154"/>
      <c r="H51" s="2"/>
      <c r="I51" s="2"/>
      <c r="J51" s="42"/>
      <c r="K51" s="42"/>
      <c r="L51" s="179"/>
    </row>
    <row r="52" spans="2:13" ht="12.6" customHeight="1" x14ac:dyDescent="0.25">
      <c r="B52" s="176"/>
      <c r="C52" s="2" t="s">
        <v>599</v>
      </c>
      <c r="D52" s="2" t="s">
        <v>600</v>
      </c>
      <c r="E52" s="2"/>
      <c r="F52" s="2"/>
      <c r="G52" s="154"/>
      <c r="H52" s="2"/>
      <c r="I52" s="2"/>
      <c r="J52" s="42"/>
      <c r="K52" s="42"/>
      <c r="L52" s="179"/>
    </row>
    <row r="53" spans="2:13" ht="12.6" customHeight="1" x14ac:dyDescent="0.25">
      <c r="B53" s="176"/>
      <c r="C53" s="42"/>
      <c r="D53" s="42"/>
      <c r="E53" s="42"/>
      <c r="F53" s="42"/>
      <c r="G53" s="42"/>
      <c r="H53" s="42"/>
      <c r="I53" s="42"/>
      <c r="J53" s="42"/>
      <c r="K53" s="42"/>
      <c r="L53" s="179"/>
    </row>
    <row r="54" spans="2:13" ht="12.6" customHeight="1" thickBot="1" x14ac:dyDescent="0.3">
      <c r="B54" s="173"/>
      <c r="C54" s="36"/>
      <c r="D54" s="36"/>
      <c r="E54" s="36"/>
      <c r="F54" s="36"/>
      <c r="G54" s="36"/>
      <c r="H54" s="36"/>
      <c r="I54" s="36"/>
      <c r="J54" s="36"/>
      <c r="K54" s="36"/>
      <c r="L54" s="175"/>
    </row>
    <row r="55" spans="2:13" ht="12.6" customHeight="1" x14ac:dyDescent="0.25">
      <c r="B55" s="42"/>
      <c r="C55" s="42"/>
      <c r="D55" s="42"/>
      <c r="E55" s="42"/>
      <c r="F55" s="42"/>
      <c r="G55" s="42"/>
      <c r="H55" s="42"/>
      <c r="I55" s="42"/>
      <c r="J55" s="42"/>
      <c r="K55" s="42"/>
      <c r="L55" s="42"/>
    </row>
    <row r="56" spans="2:13" ht="12.6" customHeight="1" x14ac:dyDescent="0.25">
      <c r="B56" s="42"/>
      <c r="C56" s="42"/>
      <c r="D56" s="42"/>
      <c r="E56" s="42"/>
      <c r="F56" s="42"/>
      <c r="G56" s="42"/>
      <c r="H56" s="42"/>
      <c r="I56" s="42"/>
      <c r="J56" s="42"/>
      <c r="K56" s="42"/>
      <c r="L56" s="42"/>
    </row>
    <row r="57" spans="2:13" ht="12.6" customHeight="1" x14ac:dyDescent="0.25">
      <c r="B57" s="42"/>
      <c r="C57" s="42"/>
      <c r="D57" s="42"/>
      <c r="E57" s="42"/>
      <c r="F57" s="42"/>
      <c r="G57" s="42"/>
      <c r="H57" s="42"/>
      <c r="I57" s="42"/>
      <c r="J57" s="42"/>
      <c r="K57" s="42"/>
      <c r="L57" s="42"/>
    </row>
    <row r="58" spans="2:13" ht="12.6" customHeight="1" x14ac:dyDescent="0.25">
      <c r="B58" s="42"/>
      <c r="C58" s="42"/>
      <c r="D58" s="42"/>
      <c r="E58" s="42"/>
      <c r="F58" s="42"/>
      <c r="G58" s="42"/>
      <c r="H58" s="42"/>
      <c r="I58" s="42"/>
      <c r="J58" s="42"/>
      <c r="K58" s="42"/>
      <c r="L58" s="42"/>
    </row>
    <row r="59" spans="2:13" s="65" customFormat="1" ht="18.75" x14ac:dyDescent="0.3">
      <c r="B59" s="65" t="s">
        <v>250</v>
      </c>
    </row>
    <row r="60" spans="2:13" s="65" customFormat="1" ht="12.6" customHeight="1" thickBot="1" x14ac:dyDescent="0.35"/>
    <row r="61" spans="2:13" s="66" customFormat="1" ht="39.75" customHeight="1" x14ac:dyDescent="0.25">
      <c r="B61" s="66" t="s">
        <v>251</v>
      </c>
      <c r="C61" s="67" t="s">
        <v>252</v>
      </c>
      <c r="D61" s="67" t="s">
        <v>253</v>
      </c>
      <c r="E61" s="67" t="s">
        <v>254</v>
      </c>
      <c r="F61" s="67" t="s">
        <v>255</v>
      </c>
      <c r="G61" s="67" t="s">
        <v>256</v>
      </c>
      <c r="H61" s="67" t="s">
        <v>257</v>
      </c>
      <c r="I61" s="67" t="s">
        <v>258</v>
      </c>
      <c r="J61" s="67" t="s">
        <v>373</v>
      </c>
      <c r="K61" s="67"/>
      <c r="L61" s="67" t="s">
        <v>374</v>
      </c>
      <c r="M61" s="156" t="s">
        <v>323</v>
      </c>
    </row>
    <row r="62" spans="2:13" s="65" customFormat="1" ht="18.75" x14ac:dyDescent="0.3">
      <c r="B62" s="65" t="s">
        <v>260</v>
      </c>
      <c r="C62" s="65">
        <v>90</v>
      </c>
      <c r="D62" s="65">
        <v>22</v>
      </c>
      <c r="E62" s="65">
        <v>22</v>
      </c>
      <c r="F62" s="65">
        <f t="shared" ref="F62:F68" si="2">SUM(D62:E62)</f>
        <v>44</v>
      </c>
      <c r="G62" s="65">
        <f t="shared" ref="G62:G75" si="3">SUM(F62/C62)</f>
        <v>0.48888888888888887</v>
      </c>
      <c r="H62" s="65">
        <f t="shared" ref="H62:H68" si="4">SUM(C62-F62--I62)</f>
        <v>55</v>
      </c>
      <c r="I62" s="65">
        <v>9</v>
      </c>
      <c r="J62" s="65">
        <v>17</v>
      </c>
      <c r="M62" s="157"/>
    </row>
    <row r="63" spans="2:13" s="65" customFormat="1" ht="18.75" x14ac:dyDescent="0.3">
      <c r="B63" s="65" t="s">
        <v>261</v>
      </c>
      <c r="C63" s="65">
        <v>89</v>
      </c>
      <c r="D63" s="65">
        <v>20</v>
      </c>
      <c r="E63" s="65">
        <v>16</v>
      </c>
      <c r="F63" s="65">
        <f t="shared" si="2"/>
        <v>36</v>
      </c>
      <c r="G63" s="65">
        <f t="shared" si="3"/>
        <v>0.4044943820224719</v>
      </c>
      <c r="H63" s="65">
        <f t="shared" si="4"/>
        <v>62</v>
      </c>
      <c r="I63" s="65">
        <v>9</v>
      </c>
      <c r="J63" s="65">
        <v>18</v>
      </c>
      <c r="M63" s="157"/>
    </row>
    <row r="64" spans="2:13" s="65" customFormat="1" ht="18.75" x14ac:dyDescent="0.3">
      <c r="B64" s="65" t="s">
        <v>262</v>
      </c>
      <c r="C64" s="65">
        <v>93</v>
      </c>
      <c r="D64" s="65">
        <v>21</v>
      </c>
      <c r="E64" s="65">
        <v>15</v>
      </c>
      <c r="F64" s="65">
        <f t="shared" si="2"/>
        <v>36</v>
      </c>
      <c r="G64" s="65">
        <f t="shared" si="3"/>
        <v>0.38709677419354838</v>
      </c>
      <c r="H64" s="65">
        <f t="shared" si="4"/>
        <v>66</v>
      </c>
      <c r="I64" s="65">
        <v>9</v>
      </c>
      <c r="J64" s="65">
        <v>14</v>
      </c>
      <c r="M64" s="157"/>
    </row>
    <row r="65" spans="2:16" s="65" customFormat="1" ht="18.75" x14ac:dyDescent="0.3">
      <c r="B65" s="65" t="s">
        <v>263</v>
      </c>
      <c r="C65" s="65">
        <v>83</v>
      </c>
      <c r="D65" s="65">
        <v>19</v>
      </c>
      <c r="E65" s="65">
        <v>12</v>
      </c>
      <c r="F65" s="65">
        <f t="shared" si="2"/>
        <v>31</v>
      </c>
      <c r="G65" s="65">
        <f t="shared" si="3"/>
        <v>0.37349397590361444</v>
      </c>
      <c r="H65" s="65">
        <f t="shared" si="4"/>
        <v>61</v>
      </c>
      <c r="I65" s="65">
        <v>9</v>
      </c>
      <c r="J65" s="65">
        <v>12</v>
      </c>
      <c r="M65" s="157"/>
    </row>
    <row r="66" spans="2:16" s="65" customFormat="1" ht="18.75" x14ac:dyDescent="0.3">
      <c r="B66" s="65" t="s">
        <v>264</v>
      </c>
      <c r="C66" s="65">
        <v>77</v>
      </c>
      <c r="D66" s="65">
        <v>17</v>
      </c>
      <c r="E66" s="65">
        <v>15</v>
      </c>
      <c r="F66" s="65">
        <f t="shared" si="2"/>
        <v>32</v>
      </c>
      <c r="G66" s="65">
        <f t="shared" si="3"/>
        <v>0.41558441558441561</v>
      </c>
      <c r="H66" s="65">
        <f t="shared" si="4"/>
        <v>52.5</v>
      </c>
      <c r="I66" s="65">
        <v>7.5</v>
      </c>
      <c r="J66" s="65">
        <v>103</v>
      </c>
      <c r="M66" s="157"/>
    </row>
    <row r="67" spans="2:16" s="65" customFormat="1" ht="18.75" x14ac:dyDescent="0.3">
      <c r="B67" s="65" t="s">
        <v>265</v>
      </c>
      <c r="C67" s="65">
        <v>58</v>
      </c>
      <c r="D67" s="65">
        <v>9</v>
      </c>
      <c r="E67" s="65">
        <v>9</v>
      </c>
      <c r="F67" s="65">
        <f t="shared" si="2"/>
        <v>18</v>
      </c>
      <c r="G67" s="65">
        <f t="shared" si="3"/>
        <v>0.31034482758620691</v>
      </c>
      <c r="H67" s="65">
        <f t="shared" si="4"/>
        <v>46</v>
      </c>
      <c r="I67" s="65">
        <v>6</v>
      </c>
      <c r="J67" s="65">
        <v>9</v>
      </c>
      <c r="M67" s="157"/>
    </row>
    <row r="68" spans="2:16" s="65" customFormat="1" ht="18.75" x14ac:dyDescent="0.3">
      <c r="B68" s="65" t="s">
        <v>266</v>
      </c>
      <c r="C68" s="65">
        <v>58</v>
      </c>
      <c r="D68" s="65">
        <v>9</v>
      </c>
      <c r="E68" s="65">
        <v>7</v>
      </c>
      <c r="F68" s="65">
        <f t="shared" si="2"/>
        <v>16</v>
      </c>
      <c r="G68" s="65">
        <f t="shared" si="3"/>
        <v>0.27586206896551724</v>
      </c>
      <c r="H68" s="65">
        <f t="shared" si="4"/>
        <v>48</v>
      </c>
      <c r="I68" s="65">
        <v>6</v>
      </c>
      <c r="J68" s="65">
        <v>31</v>
      </c>
      <c r="M68" s="157"/>
    </row>
    <row r="69" spans="2:16" s="65" customFormat="1" ht="18.75" x14ac:dyDescent="0.3">
      <c r="M69" s="157"/>
    </row>
    <row r="70" spans="2:16" s="65" customFormat="1" ht="18.75" x14ac:dyDescent="0.3">
      <c r="B70" s="65" t="s">
        <v>267</v>
      </c>
      <c r="C70" s="65">
        <v>118</v>
      </c>
      <c r="F70" s="65">
        <v>39</v>
      </c>
      <c r="G70" s="65">
        <f t="shared" si="3"/>
        <v>0.33050847457627119</v>
      </c>
      <c r="H70" s="65">
        <v>0</v>
      </c>
      <c r="I70" s="65">
        <v>79</v>
      </c>
      <c r="J70" s="65">
        <v>8</v>
      </c>
      <c r="M70" s="157"/>
    </row>
    <row r="71" spans="2:16" s="65" customFormat="1" ht="18.75" x14ac:dyDescent="0.3">
      <c r="B71" s="65" t="s">
        <v>268</v>
      </c>
      <c r="C71" s="65">
        <v>83</v>
      </c>
      <c r="F71" s="65">
        <v>29</v>
      </c>
      <c r="G71" s="65">
        <f t="shared" si="3"/>
        <v>0.3493975903614458</v>
      </c>
      <c r="H71" s="65">
        <v>0</v>
      </c>
      <c r="I71" s="65">
        <v>54</v>
      </c>
      <c r="J71" s="65">
        <v>7</v>
      </c>
      <c r="M71" s="157"/>
    </row>
    <row r="72" spans="2:16" s="65" customFormat="1" ht="18.75" x14ac:dyDescent="0.3">
      <c r="B72" s="65" t="s">
        <v>269</v>
      </c>
      <c r="C72" s="65">
        <v>100</v>
      </c>
      <c r="F72" s="65">
        <v>28</v>
      </c>
      <c r="G72" s="65">
        <f t="shared" si="3"/>
        <v>0.28000000000000003</v>
      </c>
      <c r="H72" s="65">
        <v>0</v>
      </c>
      <c r="I72" s="65">
        <v>72</v>
      </c>
      <c r="J72" s="65">
        <v>7</v>
      </c>
      <c r="M72" s="157"/>
    </row>
    <row r="73" spans="2:16" s="65" customFormat="1" ht="18.75" x14ac:dyDescent="0.3">
      <c r="B73" s="65" t="s">
        <v>270</v>
      </c>
      <c r="C73" s="65">
        <v>102</v>
      </c>
      <c r="F73" s="65">
        <v>29</v>
      </c>
      <c r="G73" s="65">
        <f t="shared" si="3"/>
        <v>0.28431372549019607</v>
      </c>
      <c r="H73" s="65">
        <v>0</v>
      </c>
      <c r="I73" s="65">
        <v>73</v>
      </c>
      <c r="J73" s="65">
        <v>8</v>
      </c>
      <c r="M73" s="157"/>
    </row>
    <row r="74" spans="2:16" s="65" customFormat="1" ht="18.75" x14ac:dyDescent="0.3">
      <c r="B74" s="65" t="s">
        <v>271</v>
      </c>
      <c r="C74" s="65">
        <v>105</v>
      </c>
      <c r="F74" s="65">
        <v>29</v>
      </c>
      <c r="G74" s="65">
        <f t="shared" si="3"/>
        <v>0.27619047619047621</v>
      </c>
      <c r="H74" s="65">
        <v>0</v>
      </c>
      <c r="I74" s="65">
        <v>76</v>
      </c>
      <c r="J74" s="65">
        <v>9</v>
      </c>
      <c r="M74" s="157"/>
    </row>
    <row r="75" spans="2:16" s="65" customFormat="1" ht="18.75" x14ac:dyDescent="0.3">
      <c r="B75" s="159" t="s">
        <v>324</v>
      </c>
      <c r="C75" s="160">
        <f>SUM(C62:C74)</f>
        <v>1056</v>
      </c>
      <c r="D75" s="160"/>
      <c r="E75" s="160"/>
      <c r="F75" s="160">
        <f>SUM(F62:F74)</f>
        <v>367</v>
      </c>
      <c r="G75" s="160">
        <f t="shared" si="3"/>
        <v>0.34753787878787878</v>
      </c>
      <c r="H75" s="160">
        <f>SUM(H62:H74)</f>
        <v>390.5</v>
      </c>
      <c r="I75" s="160">
        <f>SUM(I62:I74)</f>
        <v>409.5</v>
      </c>
      <c r="J75" s="65">
        <f>SUM(J62:J74)</f>
        <v>243</v>
      </c>
      <c r="L75" s="65">
        <f>SUM(J75*0.75)</f>
        <v>182.25</v>
      </c>
      <c r="M75" s="161"/>
      <c r="N75" s="160"/>
      <c r="O75" s="160"/>
      <c r="P75" s="162"/>
    </row>
    <row r="76" spans="2:16" s="65" customFormat="1" ht="19.5" thickBot="1" x14ac:dyDescent="0.35">
      <c r="B76" s="65" t="s">
        <v>325</v>
      </c>
      <c r="C76" s="65">
        <v>30</v>
      </c>
      <c r="M76" s="158">
        <v>30</v>
      </c>
    </row>
    <row r="77" spans="2:16" s="65" customFormat="1" ht="18.75" x14ac:dyDescent="0.3">
      <c r="C77" s="65">
        <f>SUM(C75:C76)</f>
        <v>1086</v>
      </c>
      <c r="M77" s="163"/>
    </row>
    <row r="78" spans="2:16" s="65" customFormat="1" ht="18.75" x14ac:dyDescent="0.3">
      <c r="B78" s="65" t="s">
        <v>326</v>
      </c>
      <c r="C78" s="65">
        <v>8</v>
      </c>
      <c r="G78" s="65">
        <v>8</v>
      </c>
      <c r="M78" s="163"/>
    </row>
    <row r="79" spans="2:16" s="65" customFormat="1" ht="18.75" x14ac:dyDescent="0.3">
      <c r="B79" s="65" t="s">
        <v>375</v>
      </c>
    </row>
    <row r="80" spans="2:16" ht="16.5" thickBot="1" x14ac:dyDescent="0.3"/>
    <row r="81" spans="3:18" ht="16.5" thickBot="1" x14ac:dyDescent="0.3">
      <c r="C81" s="64"/>
      <c r="D81" s="941" t="s">
        <v>272</v>
      </c>
      <c r="E81" s="942"/>
      <c r="F81" s="942"/>
      <c r="G81" s="942"/>
      <c r="H81" s="942"/>
      <c r="I81" s="943"/>
      <c r="J81" s="64"/>
      <c r="K81" s="64"/>
      <c r="L81" s="64"/>
      <c r="M81" s="64"/>
      <c r="N81" s="64"/>
      <c r="O81" s="64"/>
      <c r="P81" s="64"/>
      <c r="Q81" s="64"/>
      <c r="R81" s="64"/>
    </row>
    <row r="82" spans="3:18" x14ac:dyDescent="0.25">
      <c r="C82" s="64"/>
      <c r="D82" s="164" t="s">
        <v>273</v>
      </c>
      <c r="E82" s="164"/>
      <c r="F82" s="164"/>
      <c r="G82" s="64" t="s">
        <v>274</v>
      </c>
      <c r="H82" s="64" t="s">
        <v>275</v>
      </c>
      <c r="I82" s="64"/>
      <c r="J82" s="64"/>
      <c r="K82" s="64"/>
      <c r="L82" s="64"/>
      <c r="M82" s="64"/>
      <c r="N82" s="64"/>
      <c r="O82" s="64"/>
      <c r="P82" s="64"/>
      <c r="Q82" s="64"/>
      <c r="R82" s="64"/>
    </row>
    <row r="83" spans="3:18" x14ac:dyDescent="0.25">
      <c r="C83" s="64"/>
      <c r="D83" s="164">
        <v>548</v>
      </c>
      <c r="E83" s="164"/>
      <c r="F83" s="164"/>
      <c r="G83" s="64">
        <v>405</v>
      </c>
      <c r="H83" s="64"/>
      <c r="I83" s="64"/>
      <c r="J83" s="64"/>
      <c r="K83" s="64"/>
      <c r="L83" s="64"/>
      <c r="M83" s="64"/>
      <c r="N83" s="64"/>
      <c r="O83" s="64"/>
      <c r="P83" s="64"/>
      <c r="Q83" s="64"/>
      <c r="R83" s="64"/>
    </row>
    <row r="84" spans="3:18" x14ac:dyDescent="0.25">
      <c r="C84" s="64"/>
      <c r="D84" s="164">
        <v>508</v>
      </c>
      <c r="E84" s="164"/>
      <c r="F84" s="164"/>
      <c r="G84" s="64">
        <v>152</v>
      </c>
      <c r="H84" s="64"/>
      <c r="I84" s="64"/>
      <c r="J84" s="64"/>
      <c r="K84" s="64"/>
      <c r="L84" s="64"/>
      <c r="M84" s="64"/>
      <c r="N84" s="64"/>
      <c r="O84" s="64"/>
      <c r="P84" s="64"/>
      <c r="Q84" s="64"/>
      <c r="R84" s="64"/>
    </row>
    <row r="85" spans="3:18" x14ac:dyDescent="0.25">
      <c r="C85" s="64"/>
      <c r="D85" s="164">
        <f>SUM(D83:D84)</f>
        <v>1056</v>
      </c>
      <c r="E85" s="164"/>
      <c r="F85" s="164"/>
      <c r="G85" s="64">
        <f>SUM(G83:G84)</f>
        <v>557</v>
      </c>
      <c r="H85" s="187">
        <v>0.53</v>
      </c>
      <c r="I85" s="64"/>
      <c r="J85" s="64"/>
      <c r="K85" s="64"/>
      <c r="L85" s="64"/>
      <c r="M85" s="64"/>
      <c r="N85" s="64"/>
      <c r="O85" s="64"/>
      <c r="P85" s="64"/>
      <c r="Q85" s="64"/>
      <c r="R85" s="64"/>
    </row>
    <row r="86" spans="3:18" x14ac:dyDescent="0.25">
      <c r="C86" s="164" t="s">
        <v>276</v>
      </c>
      <c r="D86" s="64"/>
      <c r="E86" s="64"/>
      <c r="F86" s="64"/>
      <c r="G86" s="64"/>
      <c r="H86" s="64"/>
      <c r="I86" s="64"/>
      <c r="J86" s="64"/>
      <c r="K86" s="64"/>
      <c r="L86" s="64"/>
      <c r="M86" s="64"/>
      <c r="N86" s="64"/>
      <c r="O86" s="64"/>
      <c r="P86" s="64"/>
      <c r="Q86" s="64"/>
      <c r="R86" s="64"/>
    </row>
    <row r="87" spans="3:18" x14ac:dyDescent="0.25">
      <c r="C87" s="164" t="s">
        <v>277</v>
      </c>
      <c r="D87" s="64"/>
      <c r="E87" s="64"/>
      <c r="F87" s="64"/>
      <c r="G87" s="64"/>
      <c r="H87" s="64"/>
      <c r="I87" s="64"/>
      <c r="J87" s="64"/>
      <c r="K87" s="64"/>
      <c r="L87" s="64"/>
      <c r="M87" s="64"/>
      <c r="N87" s="64"/>
      <c r="O87" s="64"/>
      <c r="P87" s="64"/>
      <c r="Q87" s="64"/>
      <c r="R87" s="64"/>
    </row>
    <row r="88" spans="3:18" ht="12.6" customHeight="1" x14ac:dyDescent="0.25"/>
    <row r="89" spans="3:18" s="104" customFormat="1" ht="39" customHeight="1" x14ac:dyDescent="0.25">
      <c r="C89" s="104" t="s">
        <v>251</v>
      </c>
      <c r="D89" s="186" t="s">
        <v>252</v>
      </c>
      <c r="E89" s="186"/>
      <c r="F89" s="186"/>
      <c r="G89" s="186" t="s">
        <v>253</v>
      </c>
      <c r="H89" s="186" t="s">
        <v>254</v>
      </c>
      <c r="I89" s="186" t="s">
        <v>255</v>
      </c>
      <c r="J89" s="186" t="s">
        <v>256</v>
      </c>
      <c r="K89" s="186"/>
      <c r="L89" s="186" t="s">
        <v>257</v>
      </c>
      <c r="M89" s="186" t="s">
        <v>258</v>
      </c>
      <c r="N89" s="104" t="s">
        <v>259</v>
      </c>
    </row>
    <row r="90" spans="3:18" x14ac:dyDescent="0.25">
      <c r="C90" s="168" t="s">
        <v>260</v>
      </c>
      <c r="D90" s="168">
        <v>90</v>
      </c>
      <c r="G90" s="168">
        <v>22</v>
      </c>
      <c r="H90" s="168">
        <v>22</v>
      </c>
      <c r="I90" s="168">
        <f>SUM(G90:H90)</f>
        <v>44</v>
      </c>
      <c r="J90" s="168">
        <f>SUM(I90/D90)</f>
        <v>0.48888888888888887</v>
      </c>
      <c r="L90" s="168">
        <f>SUM(D90-I90--M90)</f>
        <v>55</v>
      </c>
      <c r="M90" s="168">
        <v>9</v>
      </c>
      <c r="N90" s="168">
        <v>17</v>
      </c>
    </row>
    <row r="91" spans="3:18" x14ac:dyDescent="0.25">
      <c r="C91" s="168" t="s">
        <v>261</v>
      </c>
      <c r="D91" s="168">
        <v>89</v>
      </c>
      <c r="G91" s="168">
        <v>20</v>
      </c>
      <c r="H91" s="168">
        <v>16</v>
      </c>
      <c r="I91" s="168">
        <f>SUM(G91:H91)</f>
        <v>36</v>
      </c>
      <c r="J91" s="168">
        <f>SUM(I91/D91)</f>
        <v>0.4044943820224719</v>
      </c>
      <c r="L91" s="168">
        <f>SUM(D91-I91--M91)</f>
        <v>62</v>
      </c>
      <c r="M91" s="168">
        <v>9</v>
      </c>
      <c r="N91" s="168">
        <v>18</v>
      </c>
    </row>
    <row r="92" spans="3:18" x14ac:dyDescent="0.25">
      <c r="C92" s="168" t="s">
        <v>262</v>
      </c>
      <c r="D92" s="168">
        <v>93</v>
      </c>
      <c r="G92" s="168">
        <v>21</v>
      </c>
      <c r="H92" s="168">
        <v>15</v>
      </c>
      <c r="I92" s="168">
        <f>SUM(G92:H92)</f>
        <v>36</v>
      </c>
      <c r="J92" s="168">
        <f>SUM(I92/D92)</f>
        <v>0.38709677419354838</v>
      </c>
      <c r="L92" s="168">
        <f>SUM(D92-I92--M92)</f>
        <v>66</v>
      </c>
      <c r="M92" s="168">
        <v>9</v>
      </c>
      <c r="N92" s="168">
        <v>14</v>
      </c>
    </row>
    <row r="94" spans="3:18" x14ac:dyDescent="0.25">
      <c r="C94" s="168" t="s">
        <v>263</v>
      </c>
      <c r="D94" s="168">
        <v>83</v>
      </c>
      <c r="G94" s="168">
        <v>19</v>
      </c>
      <c r="H94" s="168">
        <v>12</v>
      </c>
      <c r="I94" s="168">
        <f>SUM(G94:H94)</f>
        <v>31</v>
      </c>
      <c r="J94" s="168">
        <f>SUM(I94/D94)</f>
        <v>0.37349397590361444</v>
      </c>
      <c r="L94" s="168">
        <f>SUM(D94-I94--M94)</f>
        <v>61</v>
      </c>
      <c r="M94" s="168">
        <v>9</v>
      </c>
      <c r="N94" s="168">
        <v>12</v>
      </c>
    </row>
    <row r="95" spans="3:18" x14ac:dyDescent="0.25">
      <c r="C95" s="168" t="s">
        <v>264</v>
      </c>
      <c r="D95" s="168">
        <v>77</v>
      </c>
      <c r="G95" s="168">
        <v>17</v>
      </c>
      <c r="H95" s="168">
        <v>15</v>
      </c>
      <c r="I95" s="168">
        <f>SUM(G95:H95)</f>
        <v>32</v>
      </c>
      <c r="J95" s="168">
        <f>SUM(I95/D95)</f>
        <v>0.41558441558441561</v>
      </c>
      <c r="L95" s="168">
        <f>SUM(D95-I95--M95)</f>
        <v>52.5</v>
      </c>
      <c r="M95" s="168">
        <v>7.5</v>
      </c>
      <c r="N95" s="168">
        <v>103</v>
      </c>
    </row>
    <row r="96" spans="3:18" x14ac:dyDescent="0.25">
      <c r="C96" s="168" t="s">
        <v>265</v>
      </c>
      <c r="D96" s="168">
        <v>58</v>
      </c>
      <c r="G96" s="168">
        <v>9</v>
      </c>
      <c r="H96" s="168">
        <v>9</v>
      </c>
      <c r="I96" s="168">
        <f>SUM(G96:H96)</f>
        <v>18</v>
      </c>
      <c r="J96" s="168">
        <f>SUM(I96/D96)</f>
        <v>0.31034482758620691</v>
      </c>
      <c r="L96" s="168">
        <f>SUM(D96-I96--M96)</f>
        <v>46</v>
      </c>
      <c r="M96" s="168">
        <v>6</v>
      </c>
      <c r="N96" s="168">
        <v>9</v>
      </c>
    </row>
    <row r="98" spans="2:14" x14ac:dyDescent="0.25">
      <c r="C98" s="168" t="s">
        <v>266</v>
      </c>
      <c r="D98" s="168">
        <v>58</v>
      </c>
      <c r="G98" s="168">
        <v>9</v>
      </c>
      <c r="H98" s="168">
        <v>7</v>
      </c>
      <c r="I98" s="168">
        <f>SUM(G98:H98)</f>
        <v>16</v>
      </c>
      <c r="J98" s="168">
        <f>SUM(I98/D98)</f>
        <v>0.27586206896551724</v>
      </c>
      <c r="L98" s="168">
        <f>SUM(D98-I98--M98)</f>
        <v>48</v>
      </c>
      <c r="M98" s="168">
        <v>6</v>
      </c>
      <c r="N98" s="168">
        <v>31</v>
      </c>
    </row>
    <row r="99" spans="2:14" x14ac:dyDescent="0.25">
      <c r="C99" s="168" t="s">
        <v>267</v>
      </c>
      <c r="D99" s="168">
        <v>80</v>
      </c>
      <c r="G99" s="168">
        <v>16</v>
      </c>
      <c r="H99" s="168">
        <v>19</v>
      </c>
      <c r="I99" s="168">
        <f>SUM(G99:H99)</f>
        <v>35</v>
      </c>
      <c r="J99" s="168">
        <f>SUM(I99/D99)</f>
        <v>0.4375</v>
      </c>
      <c r="L99" s="168">
        <f>SUM(D99-I99--M99)</f>
        <v>53</v>
      </c>
      <c r="M99" s="168">
        <v>8</v>
      </c>
      <c r="N99" s="168">
        <v>99</v>
      </c>
    </row>
    <row r="100" spans="2:14" x14ac:dyDescent="0.25">
      <c r="C100" s="168" t="s">
        <v>268</v>
      </c>
      <c r="D100" s="168">
        <v>74</v>
      </c>
      <c r="G100" s="168">
        <v>15</v>
      </c>
      <c r="H100" s="168">
        <v>14</v>
      </c>
      <c r="I100" s="168">
        <f>SUM(G100:H100)</f>
        <v>29</v>
      </c>
      <c r="J100" s="168">
        <f>SUM(I100/D100)</f>
        <v>0.39189189189189189</v>
      </c>
      <c r="L100" s="168">
        <f>SUM(D100-I100--M100)</f>
        <v>52</v>
      </c>
      <c r="M100" s="168">
        <v>7</v>
      </c>
      <c r="N100" s="168">
        <v>16</v>
      </c>
    </row>
    <row r="102" spans="2:14" x14ac:dyDescent="0.25">
      <c r="C102" s="168" t="s">
        <v>269</v>
      </c>
      <c r="D102" s="168">
        <v>67</v>
      </c>
      <c r="G102" s="168">
        <v>11</v>
      </c>
      <c r="H102" s="168">
        <v>12</v>
      </c>
      <c r="I102" s="168">
        <f>SUM(G102:H102)</f>
        <v>23</v>
      </c>
      <c r="J102" s="168">
        <f>SUM(I102/D102)</f>
        <v>0.34328358208955223</v>
      </c>
      <c r="L102" s="168">
        <f>SUM(D102-I102--M102)</f>
        <v>51</v>
      </c>
      <c r="M102" s="168">
        <v>7</v>
      </c>
      <c r="N102" s="168">
        <v>11</v>
      </c>
    </row>
    <row r="103" spans="2:14" x14ac:dyDescent="0.25">
      <c r="C103" s="168" t="s">
        <v>270</v>
      </c>
      <c r="D103" s="168">
        <v>81</v>
      </c>
      <c r="G103" s="168">
        <v>12</v>
      </c>
      <c r="H103" s="168">
        <v>6</v>
      </c>
      <c r="I103" s="168">
        <f>SUM(G103:H103)</f>
        <v>18</v>
      </c>
      <c r="J103" s="168">
        <f>SUM(I103/D103)</f>
        <v>0.22222222222222221</v>
      </c>
      <c r="L103" s="168">
        <f>SUM(D103-I103--M103)</f>
        <v>71</v>
      </c>
      <c r="M103" s="168">
        <v>8</v>
      </c>
      <c r="N103" s="168">
        <v>15</v>
      </c>
    </row>
    <row r="104" spans="2:14" x14ac:dyDescent="0.25">
      <c r="C104" s="168" t="s">
        <v>271</v>
      </c>
      <c r="D104" s="168">
        <v>93</v>
      </c>
      <c r="G104" s="168">
        <v>12</v>
      </c>
      <c r="H104" s="168">
        <v>13</v>
      </c>
      <c r="I104" s="168">
        <f>SUM(G104:H104)</f>
        <v>25</v>
      </c>
      <c r="J104" s="168">
        <f>SUM(I104/D104)</f>
        <v>0.26881720430107525</v>
      </c>
      <c r="L104" s="168">
        <f>SUM(D104-I104--M104)</f>
        <v>77</v>
      </c>
      <c r="M104" s="168">
        <v>9</v>
      </c>
      <c r="N104" s="168">
        <v>9</v>
      </c>
    </row>
    <row r="105" spans="2:14" x14ac:dyDescent="0.25">
      <c r="C105" s="168" t="s">
        <v>168</v>
      </c>
      <c r="D105" s="168">
        <f>SUM(D90:D104)</f>
        <v>943</v>
      </c>
      <c r="G105" s="168">
        <f>SUM(G90:G104)</f>
        <v>183</v>
      </c>
      <c r="H105" s="168">
        <f>SUM(H90:H104)</f>
        <v>160</v>
      </c>
      <c r="I105" s="168">
        <f>SUM(G105:H105)</f>
        <v>343</v>
      </c>
      <c r="J105" s="168">
        <f>SUM(I105/D105)</f>
        <v>0.36373276776246022</v>
      </c>
      <c r="L105" s="168">
        <f>SUM(D105-I105--M105)</f>
        <v>694.5</v>
      </c>
      <c r="M105" s="168">
        <f>SUM(M90:M104)</f>
        <v>94.5</v>
      </c>
      <c r="N105" s="168">
        <f>SUM(N90:N104)</f>
        <v>354</v>
      </c>
    </row>
    <row r="106" spans="2:14" x14ac:dyDescent="0.25">
      <c r="C106" s="168" t="s">
        <v>278</v>
      </c>
    </row>
    <row r="107" spans="2:14" x14ac:dyDescent="0.25">
      <c r="C107" s="168" t="s">
        <v>279</v>
      </c>
    </row>
    <row r="108" spans="2:14" x14ac:dyDescent="0.25">
      <c r="C108" s="168" t="s">
        <v>280</v>
      </c>
    </row>
    <row r="109" spans="2:14" x14ac:dyDescent="0.25">
      <c r="C109" s="168" t="s">
        <v>281</v>
      </c>
    </row>
    <row r="110" spans="2:14" x14ac:dyDescent="0.25">
      <c r="C110" s="168" t="s">
        <v>282</v>
      </c>
    </row>
    <row r="112" spans="2:14" s="65" customFormat="1" ht="18.75" x14ac:dyDescent="0.3">
      <c r="B112" s="65" t="s">
        <v>250</v>
      </c>
    </row>
    <row r="113" spans="2:15" s="65" customFormat="1" ht="12.6" customHeight="1" thickBot="1" x14ac:dyDescent="0.35"/>
    <row r="114" spans="2:15" s="66" customFormat="1" ht="39.75" customHeight="1" x14ac:dyDescent="0.25">
      <c r="B114" s="66" t="s">
        <v>251</v>
      </c>
      <c r="C114" s="67" t="s">
        <v>252</v>
      </c>
      <c r="D114" s="67" t="s">
        <v>253</v>
      </c>
      <c r="E114" s="67" t="s">
        <v>254</v>
      </c>
      <c r="F114" s="67" t="s">
        <v>255</v>
      </c>
      <c r="G114" s="67" t="s">
        <v>256</v>
      </c>
      <c r="H114" s="67" t="s">
        <v>257</v>
      </c>
      <c r="I114" s="67" t="s">
        <v>258</v>
      </c>
      <c r="J114" s="66" t="s">
        <v>259</v>
      </c>
      <c r="L114" s="156" t="s">
        <v>323</v>
      </c>
    </row>
    <row r="115" spans="2:15" s="65" customFormat="1" ht="18.75" x14ac:dyDescent="0.3">
      <c r="B115" s="65" t="s">
        <v>260</v>
      </c>
      <c r="C115" s="65">
        <v>90</v>
      </c>
      <c r="D115" s="65">
        <v>22</v>
      </c>
      <c r="E115" s="65">
        <v>22</v>
      </c>
      <c r="F115" s="65">
        <f t="shared" ref="F115:F121" si="5">SUM(D115:E115)</f>
        <v>44</v>
      </c>
      <c r="G115" s="65">
        <f t="shared" ref="G115:G128" si="6">SUM(F115/C115)</f>
        <v>0.48888888888888887</v>
      </c>
      <c r="H115" s="65">
        <f t="shared" ref="H115:H121" si="7">SUM(C115-F115--I115)</f>
        <v>55</v>
      </c>
      <c r="I115" s="65">
        <v>9</v>
      </c>
      <c r="J115" s="65">
        <v>17</v>
      </c>
      <c r="L115" s="157"/>
    </row>
    <row r="116" spans="2:15" s="65" customFormat="1" ht="18.75" x14ac:dyDescent="0.3">
      <c r="B116" s="65" t="s">
        <v>261</v>
      </c>
      <c r="C116" s="65">
        <v>89</v>
      </c>
      <c r="D116" s="65">
        <v>20</v>
      </c>
      <c r="E116" s="65">
        <v>16</v>
      </c>
      <c r="F116" s="65">
        <f t="shared" si="5"/>
        <v>36</v>
      </c>
      <c r="G116" s="65">
        <f t="shared" si="6"/>
        <v>0.4044943820224719</v>
      </c>
      <c r="H116" s="65">
        <f t="shared" si="7"/>
        <v>62</v>
      </c>
      <c r="I116" s="65">
        <v>9</v>
      </c>
      <c r="J116" s="65">
        <v>18</v>
      </c>
      <c r="L116" s="157"/>
    </row>
    <row r="117" spans="2:15" s="65" customFormat="1" ht="18.75" x14ac:dyDescent="0.3">
      <c r="B117" s="65" t="s">
        <v>262</v>
      </c>
      <c r="C117" s="65">
        <v>93</v>
      </c>
      <c r="D117" s="65">
        <v>21</v>
      </c>
      <c r="E117" s="65">
        <v>15</v>
      </c>
      <c r="F117" s="65">
        <f t="shared" si="5"/>
        <v>36</v>
      </c>
      <c r="G117" s="65">
        <f t="shared" si="6"/>
        <v>0.38709677419354838</v>
      </c>
      <c r="H117" s="65">
        <f t="shared" si="7"/>
        <v>66</v>
      </c>
      <c r="I117" s="65">
        <v>9</v>
      </c>
      <c r="J117" s="65">
        <v>14</v>
      </c>
      <c r="L117" s="157"/>
    </row>
    <row r="118" spans="2:15" s="65" customFormat="1" ht="18.75" x14ac:dyDescent="0.3">
      <c r="B118" s="65" t="s">
        <v>263</v>
      </c>
      <c r="C118" s="65">
        <v>83</v>
      </c>
      <c r="D118" s="65">
        <v>19</v>
      </c>
      <c r="E118" s="65">
        <v>12</v>
      </c>
      <c r="F118" s="65">
        <f t="shared" si="5"/>
        <v>31</v>
      </c>
      <c r="G118" s="65">
        <f t="shared" si="6"/>
        <v>0.37349397590361444</v>
      </c>
      <c r="H118" s="65">
        <f t="shared" si="7"/>
        <v>61</v>
      </c>
      <c r="I118" s="65">
        <v>9</v>
      </c>
      <c r="J118" s="65">
        <v>12</v>
      </c>
      <c r="L118" s="157"/>
    </row>
    <row r="119" spans="2:15" s="65" customFormat="1" ht="18.75" x14ac:dyDescent="0.3">
      <c r="B119" s="65" t="s">
        <v>264</v>
      </c>
      <c r="C119" s="65">
        <v>77</v>
      </c>
      <c r="D119" s="65">
        <v>17</v>
      </c>
      <c r="E119" s="65">
        <v>15</v>
      </c>
      <c r="F119" s="65">
        <f t="shared" si="5"/>
        <v>32</v>
      </c>
      <c r="G119" s="65">
        <f t="shared" si="6"/>
        <v>0.41558441558441561</v>
      </c>
      <c r="H119" s="65">
        <f t="shared" si="7"/>
        <v>52.5</v>
      </c>
      <c r="I119" s="65">
        <v>7.5</v>
      </c>
      <c r="J119" s="65">
        <v>103</v>
      </c>
      <c r="L119" s="157"/>
    </row>
    <row r="120" spans="2:15" s="65" customFormat="1" ht="18.75" x14ac:dyDescent="0.3">
      <c r="B120" s="65" t="s">
        <v>265</v>
      </c>
      <c r="C120" s="65">
        <v>58</v>
      </c>
      <c r="D120" s="65">
        <v>9</v>
      </c>
      <c r="E120" s="65">
        <v>9</v>
      </c>
      <c r="F120" s="65">
        <f t="shared" si="5"/>
        <v>18</v>
      </c>
      <c r="G120" s="65">
        <f t="shared" si="6"/>
        <v>0.31034482758620691</v>
      </c>
      <c r="H120" s="65">
        <f t="shared" si="7"/>
        <v>46</v>
      </c>
      <c r="I120" s="65">
        <v>6</v>
      </c>
      <c r="J120" s="65">
        <v>9</v>
      </c>
      <c r="L120" s="157"/>
    </row>
    <row r="121" spans="2:15" s="65" customFormat="1" ht="18.75" x14ac:dyDescent="0.3">
      <c r="B121" s="65" t="s">
        <v>266</v>
      </c>
      <c r="C121" s="65">
        <v>58</v>
      </c>
      <c r="D121" s="65">
        <v>9</v>
      </c>
      <c r="E121" s="65">
        <v>7</v>
      </c>
      <c r="F121" s="65">
        <f t="shared" si="5"/>
        <v>16</v>
      </c>
      <c r="G121" s="65">
        <f t="shared" si="6"/>
        <v>0.27586206896551724</v>
      </c>
      <c r="H121" s="65">
        <f t="shared" si="7"/>
        <v>48</v>
      </c>
      <c r="I121" s="65">
        <v>6</v>
      </c>
      <c r="J121" s="65">
        <v>31</v>
      </c>
      <c r="L121" s="157"/>
    </row>
    <row r="122" spans="2:15" s="65" customFormat="1" ht="18.75" x14ac:dyDescent="0.3">
      <c r="L122" s="157"/>
    </row>
    <row r="123" spans="2:15" s="65" customFormat="1" ht="18.75" x14ac:dyDescent="0.3">
      <c r="B123" s="65" t="s">
        <v>267</v>
      </c>
      <c r="C123" s="65">
        <v>118</v>
      </c>
      <c r="F123" s="65">
        <v>39</v>
      </c>
      <c r="G123" s="65">
        <f t="shared" si="6"/>
        <v>0.33050847457627119</v>
      </c>
      <c r="H123" s="65">
        <v>0</v>
      </c>
      <c r="I123" s="65">
        <v>79</v>
      </c>
      <c r="L123" s="157"/>
    </row>
    <row r="124" spans="2:15" s="65" customFormat="1" ht="18.75" x14ac:dyDescent="0.3">
      <c r="B124" s="65" t="s">
        <v>268</v>
      </c>
      <c r="C124" s="65">
        <v>83</v>
      </c>
      <c r="F124" s="65">
        <v>29</v>
      </c>
      <c r="G124" s="65">
        <f t="shared" si="6"/>
        <v>0.3493975903614458</v>
      </c>
      <c r="H124" s="65">
        <v>0</v>
      </c>
      <c r="I124" s="65">
        <v>54</v>
      </c>
      <c r="L124" s="157"/>
    </row>
    <row r="125" spans="2:15" s="65" customFormat="1" ht="18.75" x14ac:dyDescent="0.3">
      <c r="B125" s="65" t="s">
        <v>269</v>
      </c>
      <c r="C125" s="65">
        <v>100</v>
      </c>
      <c r="F125" s="65">
        <v>28</v>
      </c>
      <c r="G125" s="65">
        <f t="shared" si="6"/>
        <v>0.28000000000000003</v>
      </c>
      <c r="H125" s="65">
        <v>0</v>
      </c>
      <c r="I125" s="65">
        <v>72</v>
      </c>
      <c r="L125" s="157"/>
    </row>
    <row r="126" spans="2:15" s="65" customFormat="1" ht="18.75" x14ac:dyDescent="0.3">
      <c r="B126" s="65" t="s">
        <v>270</v>
      </c>
      <c r="C126" s="65">
        <v>102</v>
      </c>
      <c r="F126" s="65">
        <v>29</v>
      </c>
      <c r="G126" s="65">
        <f t="shared" si="6"/>
        <v>0.28431372549019607</v>
      </c>
      <c r="H126" s="65">
        <v>0</v>
      </c>
      <c r="I126" s="65">
        <v>73</v>
      </c>
      <c r="L126" s="157"/>
    </row>
    <row r="127" spans="2:15" s="65" customFormat="1" ht="18.75" x14ac:dyDescent="0.3">
      <c r="B127" s="65" t="s">
        <v>271</v>
      </c>
      <c r="C127" s="65">
        <v>105</v>
      </c>
      <c r="F127" s="65">
        <v>29</v>
      </c>
      <c r="G127" s="65">
        <f t="shared" si="6"/>
        <v>0.27619047619047621</v>
      </c>
      <c r="H127" s="65">
        <v>0</v>
      </c>
      <c r="I127" s="65">
        <v>76</v>
      </c>
      <c r="L127" s="157"/>
    </row>
    <row r="128" spans="2:15" s="65" customFormat="1" ht="18.75" x14ac:dyDescent="0.3">
      <c r="B128" s="159" t="s">
        <v>324</v>
      </c>
      <c r="C128" s="160">
        <f>SUM(C115:C127)</f>
        <v>1056</v>
      </c>
      <c r="D128" s="160"/>
      <c r="E128" s="160"/>
      <c r="F128" s="160">
        <f>SUM(F115:F127)</f>
        <v>367</v>
      </c>
      <c r="G128" s="160">
        <f t="shared" si="6"/>
        <v>0.34753787878787878</v>
      </c>
      <c r="H128" s="160">
        <f>SUM(H115:H127)</f>
        <v>390.5</v>
      </c>
      <c r="I128" s="160">
        <f>SUM(I115:I127)</f>
        <v>409.5</v>
      </c>
      <c r="J128" s="160"/>
      <c r="K128" s="160"/>
      <c r="L128" s="161"/>
      <c r="M128" s="160"/>
      <c r="N128" s="160"/>
      <c r="O128" s="162"/>
    </row>
    <row r="129" spans="2:14" s="65" customFormat="1" ht="19.5" thickBot="1" x14ac:dyDescent="0.35">
      <c r="B129" s="65" t="s">
        <v>325</v>
      </c>
      <c r="C129" s="65">
        <v>30</v>
      </c>
      <c r="L129" s="158">
        <v>30</v>
      </c>
    </row>
    <row r="130" spans="2:14" s="65" customFormat="1" ht="18.75" x14ac:dyDescent="0.3">
      <c r="C130" s="65">
        <f>SUM(C128:C129)</f>
        <v>1086</v>
      </c>
      <c r="L130" s="163"/>
    </row>
    <row r="131" spans="2:14" s="65" customFormat="1" ht="18.75" x14ac:dyDescent="0.3">
      <c r="B131" s="65" t="s">
        <v>326</v>
      </c>
      <c r="C131" s="65">
        <v>8</v>
      </c>
      <c r="G131" s="65">
        <v>8</v>
      </c>
      <c r="L131" s="163"/>
    </row>
    <row r="132" spans="2:14" s="65" customFormat="1" ht="18.75" x14ac:dyDescent="0.3"/>
    <row r="133" spans="2:14" s="65" customFormat="1" ht="19.5" thickBot="1" x14ac:dyDescent="0.35"/>
    <row r="134" spans="2:14" s="65" customFormat="1" ht="19.5" thickBot="1" x14ac:dyDescent="0.35">
      <c r="B134" s="68"/>
      <c r="C134" s="944" t="s">
        <v>272</v>
      </c>
      <c r="D134" s="945"/>
      <c r="E134" s="945"/>
      <c r="F134" s="946"/>
      <c r="G134" s="68"/>
      <c r="H134" s="68"/>
      <c r="I134" s="68"/>
      <c r="J134" s="68"/>
      <c r="K134" s="397"/>
      <c r="L134" s="68"/>
      <c r="M134" s="68"/>
      <c r="N134" s="68"/>
    </row>
    <row r="135" spans="2:14" s="65" customFormat="1" ht="18.75" x14ac:dyDescent="0.3">
      <c r="B135" s="68"/>
      <c r="C135" s="69" t="s">
        <v>273</v>
      </c>
      <c r="D135" s="68" t="s">
        <v>274</v>
      </c>
      <c r="E135" s="68" t="s">
        <v>275</v>
      </c>
      <c r="F135" s="68"/>
      <c r="G135" s="68"/>
      <c r="H135" s="68"/>
      <c r="I135" s="68"/>
      <c r="J135" s="68"/>
      <c r="K135" s="397"/>
      <c r="L135" s="68"/>
      <c r="M135" s="68"/>
      <c r="N135" s="68"/>
    </row>
    <row r="136" spans="2:14" s="65" customFormat="1" ht="18.75" x14ac:dyDescent="0.3">
      <c r="B136" s="68"/>
      <c r="C136" s="69">
        <v>548</v>
      </c>
      <c r="D136" s="68">
        <v>405</v>
      </c>
      <c r="E136" s="68"/>
      <c r="F136" s="68"/>
      <c r="G136" s="68"/>
      <c r="H136" s="68"/>
      <c r="I136" s="68"/>
      <c r="J136" s="68"/>
      <c r="K136" s="397"/>
      <c r="L136" s="68"/>
      <c r="M136" s="68"/>
      <c r="N136" s="68"/>
    </row>
    <row r="137" spans="2:14" s="65" customFormat="1" ht="18.75" x14ac:dyDescent="0.3">
      <c r="B137" s="68"/>
      <c r="C137" s="69">
        <v>508</v>
      </c>
      <c r="D137" s="68">
        <v>152</v>
      </c>
      <c r="E137" s="68"/>
      <c r="F137" s="68"/>
      <c r="G137" s="68"/>
      <c r="H137" s="68"/>
      <c r="I137" s="68"/>
      <c r="J137" s="68"/>
      <c r="K137" s="397"/>
      <c r="L137" s="68"/>
      <c r="M137" s="68"/>
      <c r="N137" s="68"/>
    </row>
    <row r="138" spans="2:14" s="65" customFormat="1" ht="18.75" x14ac:dyDescent="0.3">
      <c r="B138" s="68"/>
      <c r="C138" s="69">
        <f>SUM(C136:C137)</f>
        <v>1056</v>
      </c>
      <c r="D138" s="68">
        <f>SUM(D136:D137)</f>
        <v>557</v>
      </c>
      <c r="E138" s="70">
        <v>0.53</v>
      </c>
      <c r="F138" s="68"/>
      <c r="G138" s="68"/>
      <c r="H138" s="68"/>
      <c r="I138" s="68"/>
      <c r="J138" s="68"/>
      <c r="K138" s="397"/>
      <c r="L138" s="68"/>
      <c r="M138" s="68"/>
      <c r="N138" s="68"/>
    </row>
    <row r="139" spans="2:14" s="65" customFormat="1" ht="18.75" x14ac:dyDescent="0.3">
      <c r="B139" s="69" t="s">
        <v>276</v>
      </c>
      <c r="C139" s="68"/>
      <c r="D139" s="68"/>
      <c r="E139" s="68"/>
      <c r="F139" s="68"/>
      <c r="G139" s="68"/>
      <c r="H139" s="68"/>
      <c r="I139" s="68"/>
      <c r="J139" s="68"/>
      <c r="K139" s="397"/>
      <c r="L139" s="68"/>
      <c r="M139" s="68"/>
      <c r="N139" s="68"/>
    </row>
    <row r="140" spans="2:14" s="65" customFormat="1" ht="18.75" x14ac:dyDescent="0.3">
      <c r="B140" s="69" t="s">
        <v>277</v>
      </c>
      <c r="C140" s="68"/>
      <c r="D140" s="68"/>
      <c r="E140" s="68"/>
      <c r="F140" s="68"/>
      <c r="G140" s="68"/>
      <c r="H140" s="68"/>
      <c r="I140" s="68"/>
      <c r="J140" s="68"/>
      <c r="K140" s="397"/>
      <c r="L140" s="68"/>
      <c r="M140" s="68"/>
      <c r="N140" s="68"/>
    </row>
    <row r="141" spans="2:14" s="65" customFormat="1" ht="12.6" customHeight="1" x14ac:dyDescent="0.3"/>
    <row r="142" spans="2:14" s="66" customFormat="1" ht="39" customHeight="1" x14ac:dyDescent="0.25">
      <c r="B142" s="66" t="s">
        <v>251</v>
      </c>
      <c r="C142" s="67" t="s">
        <v>252</v>
      </c>
      <c r="D142" s="67" t="s">
        <v>253</v>
      </c>
      <c r="E142" s="67" t="s">
        <v>254</v>
      </c>
      <c r="F142" s="67" t="s">
        <v>255</v>
      </c>
      <c r="G142" s="67" t="s">
        <v>256</v>
      </c>
      <c r="H142" s="67" t="s">
        <v>257</v>
      </c>
      <c r="I142" s="67" t="s">
        <v>258</v>
      </c>
      <c r="J142" s="66" t="s">
        <v>259</v>
      </c>
    </row>
    <row r="143" spans="2:14" s="65" customFormat="1" ht="18.75" x14ac:dyDescent="0.3">
      <c r="B143" s="65" t="s">
        <v>260</v>
      </c>
      <c r="C143" s="65">
        <v>90</v>
      </c>
      <c r="D143" s="65">
        <v>22</v>
      </c>
      <c r="E143" s="65">
        <v>22</v>
      </c>
      <c r="F143" s="65">
        <f>SUM(D143:E143)</f>
        <v>44</v>
      </c>
      <c r="G143" s="65">
        <f>SUM(F143/C143)</f>
        <v>0.48888888888888887</v>
      </c>
      <c r="H143" s="65">
        <f>SUM(C143-F143--I143)</f>
        <v>55</v>
      </c>
      <c r="I143" s="65">
        <v>9</v>
      </c>
      <c r="J143" s="65">
        <v>17</v>
      </c>
    </row>
    <row r="144" spans="2:14" s="65" customFormat="1" ht="18.75" x14ac:dyDescent="0.3">
      <c r="B144" s="65" t="s">
        <v>261</v>
      </c>
      <c r="C144" s="65">
        <v>89</v>
      </c>
      <c r="D144" s="65">
        <v>20</v>
      </c>
      <c r="E144" s="65">
        <v>16</v>
      </c>
      <c r="F144" s="65">
        <f>SUM(D144:E144)</f>
        <v>36</v>
      </c>
      <c r="G144" s="65">
        <f>SUM(F144/C144)</f>
        <v>0.4044943820224719</v>
      </c>
      <c r="H144" s="65">
        <f>SUM(C144-F144--I144)</f>
        <v>62</v>
      </c>
      <c r="I144" s="65">
        <v>9</v>
      </c>
      <c r="J144" s="65">
        <v>18</v>
      </c>
    </row>
    <row r="145" spans="2:10" s="65" customFormat="1" ht="18.75" x14ac:dyDescent="0.3">
      <c r="B145" s="65" t="s">
        <v>262</v>
      </c>
      <c r="C145" s="65">
        <v>93</v>
      </c>
      <c r="D145" s="65">
        <v>21</v>
      </c>
      <c r="E145" s="65">
        <v>15</v>
      </c>
      <c r="F145" s="65">
        <f>SUM(D145:E145)</f>
        <v>36</v>
      </c>
      <c r="G145" s="65">
        <f>SUM(F145/C145)</f>
        <v>0.38709677419354838</v>
      </c>
      <c r="H145" s="65">
        <f>SUM(C145-F145--I145)</f>
        <v>66</v>
      </c>
      <c r="I145" s="65">
        <v>9</v>
      </c>
      <c r="J145" s="65">
        <v>14</v>
      </c>
    </row>
    <row r="146" spans="2:10" s="65" customFormat="1" ht="18.75" x14ac:dyDescent="0.3"/>
    <row r="147" spans="2:10" s="65" customFormat="1" ht="18.75" x14ac:dyDescent="0.3">
      <c r="B147" s="65" t="s">
        <v>263</v>
      </c>
      <c r="C147" s="65">
        <v>83</v>
      </c>
      <c r="D147" s="65">
        <v>19</v>
      </c>
      <c r="E147" s="65">
        <v>12</v>
      </c>
      <c r="F147" s="65">
        <f>SUM(D147:E147)</f>
        <v>31</v>
      </c>
      <c r="G147" s="65">
        <f>SUM(F147/C147)</f>
        <v>0.37349397590361444</v>
      </c>
      <c r="H147" s="65">
        <f>SUM(C147-F147--I147)</f>
        <v>61</v>
      </c>
      <c r="I147" s="65">
        <v>9</v>
      </c>
      <c r="J147" s="65">
        <v>12</v>
      </c>
    </row>
    <row r="148" spans="2:10" s="65" customFormat="1" ht="18.75" x14ac:dyDescent="0.3">
      <c r="B148" s="65" t="s">
        <v>264</v>
      </c>
      <c r="C148" s="65">
        <v>77</v>
      </c>
      <c r="D148" s="65">
        <v>17</v>
      </c>
      <c r="E148" s="65">
        <v>15</v>
      </c>
      <c r="F148" s="65">
        <f>SUM(D148:E148)</f>
        <v>32</v>
      </c>
      <c r="G148" s="65">
        <f>SUM(F148/C148)</f>
        <v>0.41558441558441561</v>
      </c>
      <c r="H148" s="65">
        <f>SUM(C148-F148--I148)</f>
        <v>52.5</v>
      </c>
      <c r="I148" s="65">
        <v>7.5</v>
      </c>
      <c r="J148" s="65">
        <v>103</v>
      </c>
    </row>
    <row r="149" spans="2:10" s="65" customFormat="1" ht="18.75" x14ac:dyDescent="0.3">
      <c r="B149" s="65" t="s">
        <v>265</v>
      </c>
      <c r="C149" s="65">
        <v>58</v>
      </c>
      <c r="D149" s="65">
        <v>9</v>
      </c>
      <c r="E149" s="65">
        <v>9</v>
      </c>
      <c r="F149" s="65">
        <f>SUM(D149:E149)</f>
        <v>18</v>
      </c>
      <c r="G149" s="65">
        <f>SUM(F149/C149)</f>
        <v>0.31034482758620691</v>
      </c>
      <c r="H149" s="65">
        <f>SUM(C149-F149--I149)</f>
        <v>46</v>
      </c>
      <c r="I149" s="65">
        <v>6</v>
      </c>
      <c r="J149" s="65">
        <v>9</v>
      </c>
    </row>
    <row r="150" spans="2:10" s="65" customFormat="1" ht="18.75" x14ac:dyDescent="0.3"/>
    <row r="151" spans="2:10" s="65" customFormat="1" ht="18.75" x14ac:dyDescent="0.3">
      <c r="B151" s="65" t="s">
        <v>266</v>
      </c>
      <c r="C151" s="65">
        <v>58</v>
      </c>
      <c r="D151" s="65">
        <v>9</v>
      </c>
      <c r="E151" s="65">
        <v>7</v>
      </c>
      <c r="F151" s="65">
        <f>SUM(D151:E151)</f>
        <v>16</v>
      </c>
      <c r="G151" s="65">
        <f>SUM(F151/C151)</f>
        <v>0.27586206896551724</v>
      </c>
      <c r="H151" s="65">
        <f>SUM(C151-F151--I151)</f>
        <v>48</v>
      </c>
      <c r="I151" s="65">
        <v>6</v>
      </c>
      <c r="J151" s="65">
        <v>31</v>
      </c>
    </row>
    <row r="152" spans="2:10" s="65" customFormat="1" ht="18.75" x14ac:dyDescent="0.3">
      <c r="B152" s="65" t="s">
        <v>267</v>
      </c>
      <c r="C152" s="65">
        <v>80</v>
      </c>
      <c r="D152" s="65">
        <v>16</v>
      </c>
      <c r="E152" s="65">
        <v>19</v>
      </c>
      <c r="F152" s="65">
        <f>SUM(D152:E152)</f>
        <v>35</v>
      </c>
      <c r="G152" s="65">
        <f>SUM(F152/C152)</f>
        <v>0.4375</v>
      </c>
      <c r="H152" s="65">
        <f>SUM(C152-F152--I152)</f>
        <v>53</v>
      </c>
      <c r="I152" s="65">
        <v>8</v>
      </c>
      <c r="J152" s="65">
        <v>99</v>
      </c>
    </row>
    <row r="153" spans="2:10" s="65" customFormat="1" ht="18.75" x14ac:dyDescent="0.3">
      <c r="B153" s="65" t="s">
        <v>268</v>
      </c>
      <c r="C153" s="65">
        <v>74</v>
      </c>
      <c r="D153" s="65">
        <v>15</v>
      </c>
      <c r="E153" s="65">
        <v>14</v>
      </c>
      <c r="F153" s="65">
        <f>SUM(D153:E153)</f>
        <v>29</v>
      </c>
      <c r="G153" s="65">
        <f>SUM(F153/C153)</f>
        <v>0.39189189189189189</v>
      </c>
      <c r="H153" s="65">
        <f>SUM(C153-F153--I153)</f>
        <v>52</v>
      </c>
      <c r="I153" s="65">
        <v>7</v>
      </c>
      <c r="J153" s="65">
        <v>16</v>
      </c>
    </row>
    <row r="154" spans="2:10" s="65" customFormat="1" ht="18.75" x14ac:dyDescent="0.3"/>
    <row r="155" spans="2:10" s="65" customFormat="1" ht="18.75" x14ac:dyDescent="0.3">
      <c r="B155" s="65" t="s">
        <v>269</v>
      </c>
      <c r="C155" s="65">
        <v>67</v>
      </c>
      <c r="D155" s="65">
        <v>11</v>
      </c>
      <c r="E155" s="65">
        <v>12</v>
      </c>
      <c r="F155" s="65">
        <f>SUM(D155:E155)</f>
        <v>23</v>
      </c>
      <c r="G155" s="65">
        <f>SUM(F155/C155)</f>
        <v>0.34328358208955223</v>
      </c>
      <c r="H155" s="65">
        <f>SUM(C155-F155--I155)</f>
        <v>51</v>
      </c>
      <c r="I155" s="65">
        <v>7</v>
      </c>
      <c r="J155" s="65">
        <v>11</v>
      </c>
    </row>
    <row r="156" spans="2:10" s="65" customFormat="1" ht="18.75" x14ac:dyDescent="0.3">
      <c r="B156" s="65" t="s">
        <v>270</v>
      </c>
      <c r="C156" s="65">
        <v>81</v>
      </c>
      <c r="D156" s="65">
        <v>12</v>
      </c>
      <c r="E156" s="65">
        <v>6</v>
      </c>
      <c r="F156" s="65">
        <f>SUM(D156:E156)</f>
        <v>18</v>
      </c>
      <c r="G156" s="65">
        <f>SUM(F156/C156)</f>
        <v>0.22222222222222221</v>
      </c>
      <c r="H156" s="65">
        <f>SUM(C156-F156--I156)</f>
        <v>71</v>
      </c>
      <c r="I156" s="65">
        <v>8</v>
      </c>
      <c r="J156" s="65">
        <v>15</v>
      </c>
    </row>
    <row r="157" spans="2:10" s="65" customFormat="1" ht="18.75" x14ac:dyDescent="0.3">
      <c r="B157" s="65" t="s">
        <v>271</v>
      </c>
      <c r="C157" s="65">
        <v>93</v>
      </c>
      <c r="D157" s="65">
        <v>12</v>
      </c>
      <c r="E157" s="65">
        <v>13</v>
      </c>
      <c r="F157" s="65">
        <f>SUM(D157:E157)</f>
        <v>25</v>
      </c>
      <c r="G157" s="65">
        <f>SUM(F157/C157)</f>
        <v>0.26881720430107525</v>
      </c>
      <c r="H157" s="65">
        <f>SUM(C157-F157--I157)</f>
        <v>77</v>
      </c>
      <c r="I157" s="65">
        <v>9</v>
      </c>
      <c r="J157" s="65">
        <v>9</v>
      </c>
    </row>
    <row r="158" spans="2:10" s="65" customFormat="1" ht="18.75" x14ac:dyDescent="0.3">
      <c r="B158" s="65" t="s">
        <v>168</v>
      </c>
      <c r="C158" s="65">
        <f>SUM(C143:C157)</f>
        <v>943</v>
      </c>
      <c r="D158" s="65">
        <f>SUM(D143:D157)</f>
        <v>183</v>
      </c>
      <c r="E158" s="65">
        <f>SUM(E143:E157)</f>
        <v>160</v>
      </c>
      <c r="F158" s="65">
        <f>SUM(D158:E158)</f>
        <v>343</v>
      </c>
      <c r="G158" s="65">
        <f>SUM(F158/C158)</f>
        <v>0.36373276776246022</v>
      </c>
      <c r="H158" s="65">
        <f>SUM(C158-F158--I158)</f>
        <v>694.5</v>
      </c>
      <c r="I158" s="65">
        <f>SUM(I143:I157)</f>
        <v>94.5</v>
      </c>
      <c r="J158" s="65">
        <f>SUM(J143:J157)</f>
        <v>354</v>
      </c>
    </row>
    <row r="159" spans="2:10" s="65" customFormat="1" ht="18.75" x14ac:dyDescent="0.3">
      <c r="B159" s="65" t="s">
        <v>278</v>
      </c>
    </row>
    <row r="160" spans="2:10" s="65" customFormat="1" ht="18.75" x14ac:dyDescent="0.3">
      <c r="B160" s="65" t="s">
        <v>279</v>
      </c>
    </row>
    <row r="161" spans="2:8" s="65" customFormat="1" ht="18.75" x14ac:dyDescent="0.3">
      <c r="B161" s="65" t="s">
        <v>280</v>
      </c>
    </row>
    <row r="162" spans="2:8" s="65" customFormat="1" ht="18.75" x14ac:dyDescent="0.3">
      <c r="B162" s="65" t="s">
        <v>281</v>
      </c>
    </row>
    <row r="163" spans="2:8" s="65" customFormat="1" ht="18.75" x14ac:dyDescent="0.3">
      <c r="B163" s="65" t="s">
        <v>282</v>
      </c>
    </row>
    <row r="164" spans="2:8" s="65" customFormat="1" ht="18.75" x14ac:dyDescent="0.3"/>
    <row r="165" spans="2:8" s="65" customFormat="1" ht="18.75" x14ac:dyDescent="0.3">
      <c r="H165" s="71"/>
    </row>
    <row r="166" spans="2:8" s="65" customFormat="1" ht="18.75" x14ac:dyDescent="0.3"/>
    <row r="167" spans="2:8" s="65" customFormat="1" ht="18.75" x14ac:dyDescent="0.3"/>
    <row r="168" spans="2:8" s="65" customFormat="1" ht="18.75" x14ac:dyDescent="0.3"/>
    <row r="169" spans="2:8" s="65" customFormat="1" ht="18.75" x14ac:dyDescent="0.3"/>
    <row r="170" spans="2:8" s="65" customFormat="1" ht="18.75" x14ac:dyDescent="0.3"/>
  </sheetData>
  <mergeCells count="3">
    <mergeCell ref="D81:I81"/>
    <mergeCell ref="C134:F134"/>
    <mergeCell ref="K30:K32"/>
  </mergeCells>
  <pageMargins left="0.7" right="0.7" top="0.75" bottom="0.75" header="0.3" footer="0.3"/>
  <pageSetup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74381-D4F5-431F-9647-22C1B614F8FA}">
  <dimension ref="A2:AJ37"/>
  <sheetViews>
    <sheetView workbookViewId="0">
      <selection activeCell="X26" sqref="X26"/>
    </sheetView>
  </sheetViews>
  <sheetFormatPr defaultColWidth="8.7109375" defaultRowHeight="15" x14ac:dyDescent="0.25"/>
  <cols>
    <col min="1" max="1" width="5.140625" style="398" customWidth="1"/>
    <col min="2" max="2" width="8.7109375" style="398"/>
    <col min="3" max="4" width="12.5703125" style="398" bestFit="1" customWidth="1"/>
    <col min="5" max="5" width="11.140625" style="398" bestFit="1" customWidth="1"/>
    <col min="6" max="6" width="12.5703125" style="398" bestFit="1" customWidth="1"/>
    <col min="7" max="7" width="11.140625" style="398" bestFit="1" customWidth="1"/>
    <col min="8" max="8" width="8.7109375" style="398"/>
    <col min="9" max="9" width="12.5703125" style="398" bestFit="1" customWidth="1"/>
    <col min="10" max="10" width="13.7109375" style="398" bestFit="1" customWidth="1"/>
    <col min="11" max="11" width="12.5703125" style="398" bestFit="1" customWidth="1"/>
    <col min="12" max="12" width="11.140625" style="398" bestFit="1" customWidth="1"/>
    <col min="13" max="14" width="10.140625" style="398" bestFit="1" customWidth="1"/>
    <col min="15" max="15" width="11.140625" style="398" bestFit="1" customWidth="1"/>
    <col min="16" max="16" width="12.5703125" style="398" bestFit="1" customWidth="1"/>
    <col min="17" max="17" width="10.140625" style="398" bestFit="1" customWidth="1"/>
    <col min="18" max="18" width="11.140625" style="398" bestFit="1" customWidth="1"/>
    <col min="19" max="20" width="10.140625" style="398" bestFit="1" customWidth="1"/>
    <col min="21" max="21" width="11.140625" style="398" bestFit="1" customWidth="1"/>
    <col min="22" max="23" width="10.140625" style="398" bestFit="1" customWidth="1"/>
    <col min="24" max="25" width="11.140625" style="398" bestFit="1" customWidth="1"/>
    <col min="26" max="27" width="10.140625" style="398" bestFit="1" customWidth="1"/>
    <col min="28" max="29" width="11.140625" style="398" bestFit="1" customWidth="1"/>
    <col min="30" max="30" width="10.140625" style="398" bestFit="1" customWidth="1"/>
    <col min="31" max="31" width="10.42578125" style="398" customWidth="1"/>
    <col min="32" max="32" width="9.7109375" style="398" customWidth="1"/>
    <col min="33" max="33" width="10.42578125" style="398" customWidth="1"/>
    <col min="34" max="34" width="13.7109375" style="398" bestFit="1" customWidth="1"/>
    <col min="35" max="35" width="15" style="398" customWidth="1"/>
    <col min="36" max="16384" width="8.7109375" style="398"/>
  </cols>
  <sheetData>
    <row r="2" spans="1:36" ht="20.25" x14ac:dyDescent="0.3">
      <c r="B2" s="399" t="s">
        <v>596</v>
      </c>
    </row>
    <row r="3" spans="1:36" ht="20.25" x14ac:dyDescent="0.3">
      <c r="B3" s="399"/>
    </row>
    <row r="4" spans="1:36" s="168" customFormat="1" ht="15.75" x14ac:dyDescent="0.25">
      <c r="A4" s="64"/>
      <c r="B4" s="6" t="s">
        <v>588</v>
      </c>
      <c r="E4" s="64"/>
      <c r="F4" s="64"/>
      <c r="G4" s="491"/>
      <c r="H4" s="492"/>
      <c r="I4" s="492"/>
      <c r="J4" s="492"/>
      <c r="K4" s="492"/>
      <c r="L4" s="492"/>
      <c r="M4" s="493"/>
      <c r="N4" s="492"/>
      <c r="O4" s="39"/>
      <c r="P4" s="493"/>
      <c r="Q4" s="42"/>
      <c r="R4" s="42"/>
      <c r="T4" s="64"/>
    </row>
    <row r="5" spans="1:36" s="168" customFormat="1" ht="15.75" x14ac:dyDescent="0.25">
      <c r="A5" s="64"/>
      <c r="B5" s="6"/>
      <c r="E5" s="64"/>
      <c r="F5" s="64"/>
      <c r="G5" s="491"/>
      <c r="H5" s="492"/>
      <c r="I5" s="492" t="s">
        <v>589</v>
      </c>
      <c r="J5" s="492"/>
      <c r="K5" s="492"/>
      <c r="L5" s="492"/>
      <c r="M5" s="493"/>
      <c r="N5" s="492"/>
      <c r="O5" s="39"/>
      <c r="P5" s="493"/>
      <c r="Q5" s="42"/>
      <c r="R5" s="42"/>
      <c r="T5" s="64"/>
    </row>
    <row r="6" spans="1:36" s="168" customFormat="1" ht="32.25" thickBot="1" x14ac:dyDescent="0.3">
      <c r="A6" s="64"/>
      <c r="B6" s="6"/>
      <c r="D6" s="294" t="s">
        <v>151</v>
      </c>
      <c r="E6" s="205" t="s">
        <v>155</v>
      </c>
      <c r="F6" s="205" t="s">
        <v>180</v>
      </c>
      <c r="G6" s="205" t="s">
        <v>484</v>
      </c>
      <c r="H6" s="205" t="s">
        <v>485</v>
      </c>
      <c r="I6" s="352" t="s">
        <v>590</v>
      </c>
      <c r="J6" s="205" t="s">
        <v>486</v>
      </c>
      <c r="K6" s="205" t="s">
        <v>487</v>
      </c>
      <c r="L6" s="205" t="s">
        <v>488</v>
      </c>
      <c r="M6" s="205" t="s">
        <v>489</v>
      </c>
      <c r="N6" s="205" t="s">
        <v>490</v>
      </c>
      <c r="O6" s="205" t="s">
        <v>491</v>
      </c>
      <c r="P6" s="294" t="s">
        <v>492</v>
      </c>
      <c r="Q6" s="205" t="s">
        <v>493</v>
      </c>
      <c r="R6" s="205" t="s">
        <v>494</v>
      </c>
      <c r="S6" s="205" t="s">
        <v>495</v>
      </c>
      <c r="T6" s="205" t="s">
        <v>496</v>
      </c>
      <c r="U6" s="205" t="s">
        <v>497</v>
      </c>
      <c r="V6" s="205" t="s">
        <v>498</v>
      </c>
      <c r="W6" s="205" t="s">
        <v>499</v>
      </c>
      <c r="X6" s="205" t="s">
        <v>500</v>
      </c>
      <c r="Y6" s="205" t="s">
        <v>501</v>
      </c>
      <c r="Z6" s="205" t="s">
        <v>502</v>
      </c>
      <c r="AA6" s="205" t="s">
        <v>503</v>
      </c>
      <c r="AB6" s="205" t="s">
        <v>504</v>
      </c>
      <c r="AC6" s="494" t="s">
        <v>164</v>
      </c>
      <c r="AD6" s="205" t="s">
        <v>364</v>
      </c>
      <c r="AE6" s="205" t="s">
        <v>226</v>
      </c>
      <c r="AF6" s="205" t="s">
        <v>505</v>
      </c>
      <c r="AG6" s="205" t="s">
        <v>591</v>
      </c>
      <c r="AH6" s="205" t="s">
        <v>592</v>
      </c>
      <c r="AI6" s="205"/>
      <c r="AJ6" s="205"/>
    </row>
    <row r="7" spans="1:36" s="504" customFormat="1" ht="15.75" x14ac:dyDescent="0.25">
      <c r="A7" s="107"/>
      <c r="B7" s="495"/>
      <c r="C7" s="496"/>
      <c r="D7" s="497" t="s">
        <v>509</v>
      </c>
      <c r="E7" s="498" t="s">
        <v>509</v>
      </c>
      <c r="F7" s="498" t="s">
        <v>509</v>
      </c>
      <c r="G7" s="499" t="s">
        <v>509</v>
      </c>
      <c r="H7" s="499" t="s">
        <v>509</v>
      </c>
      <c r="I7" s="499" t="s">
        <v>509</v>
      </c>
      <c r="J7" s="499" t="s">
        <v>509</v>
      </c>
      <c r="K7" s="497" t="s">
        <v>509</v>
      </c>
      <c r="L7" s="499" t="s">
        <v>509</v>
      </c>
      <c r="M7" s="500" t="s">
        <v>509</v>
      </c>
      <c r="N7" s="499" t="s">
        <v>509</v>
      </c>
      <c r="O7" s="501"/>
      <c r="P7" s="500" t="s">
        <v>509</v>
      </c>
      <c r="Q7" s="497" t="s">
        <v>509</v>
      </c>
      <c r="R7" s="502" t="s">
        <v>509</v>
      </c>
      <c r="S7" s="497" t="s">
        <v>509</v>
      </c>
      <c r="T7" s="497" t="s">
        <v>509</v>
      </c>
      <c r="U7" s="497" t="s">
        <v>509</v>
      </c>
      <c r="V7" s="497" t="s">
        <v>509</v>
      </c>
      <c r="W7" s="497" t="s">
        <v>509</v>
      </c>
      <c r="X7" s="502" t="s">
        <v>509</v>
      </c>
      <c r="Y7" s="502" t="s">
        <v>509</v>
      </c>
      <c r="Z7" s="502" t="s">
        <v>509</v>
      </c>
      <c r="AA7" s="502" t="s">
        <v>509</v>
      </c>
      <c r="AB7" s="502" t="s">
        <v>509</v>
      </c>
      <c r="AC7" s="502" t="s">
        <v>509</v>
      </c>
      <c r="AD7" s="497" t="s">
        <v>509</v>
      </c>
      <c r="AE7" s="497" t="s">
        <v>509</v>
      </c>
      <c r="AF7" s="497" t="s">
        <v>509</v>
      </c>
      <c r="AG7" s="497" t="s">
        <v>509</v>
      </c>
      <c r="AH7" s="497" t="s">
        <v>509</v>
      </c>
      <c r="AI7" s="503"/>
      <c r="AJ7" s="503"/>
    </row>
    <row r="8" spans="1:36" s="504" customFormat="1" ht="32.25" thickBot="1" x14ac:dyDescent="0.3">
      <c r="A8" s="107"/>
      <c r="B8" s="495"/>
      <c r="C8" s="505" t="s">
        <v>593</v>
      </c>
      <c r="D8" s="506" t="s">
        <v>512</v>
      </c>
      <c r="E8" s="506" t="s">
        <v>513</v>
      </c>
      <c r="F8" s="506" t="s">
        <v>514</v>
      </c>
      <c r="G8" s="506" t="s">
        <v>515</v>
      </c>
      <c r="H8" s="506" t="s">
        <v>516</v>
      </c>
      <c r="I8" s="506" t="s">
        <v>594</v>
      </c>
      <c r="J8" s="506" t="s">
        <v>517</v>
      </c>
      <c r="K8" s="506" t="s">
        <v>518</v>
      </c>
      <c r="L8" s="506" t="s">
        <v>519</v>
      </c>
      <c r="M8" s="506" t="s">
        <v>520</v>
      </c>
      <c r="N8" s="506" t="s">
        <v>521</v>
      </c>
      <c r="O8" s="506" t="s">
        <v>522</v>
      </c>
      <c r="P8" s="506" t="s">
        <v>523</v>
      </c>
      <c r="Q8" s="506" t="s">
        <v>524</v>
      </c>
      <c r="R8" s="506" t="s">
        <v>525</v>
      </c>
      <c r="S8" s="506" t="s">
        <v>526</v>
      </c>
      <c r="T8" s="506" t="s">
        <v>527</v>
      </c>
      <c r="U8" s="506" t="s">
        <v>528</v>
      </c>
      <c r="V8" s="506" t="s">
        <v>529</v>
      </c>
      <c r="W8" s="506" t="s">
        <v>530</v>
      </c>
      <c r="X8" s="506" t="s">
        <v>531</v>
      </c>
      <c r="Y8" s="506" t="s">
        <v>532</v>
      </c>
      <c r="Z8" s="506" t="s">
        <v>533</v>
      </c>
      <c r="AA8" s="506" t="s">
        <v>534</v>
      </c>
      <c r="AB8" s="506" t="s">
        <v>535</v>
      </c>
      <c r="AC8" s="506" t="s">
        <v>536</v>
      </c>
      <c r="AD8" s="506" t="s">
        <v>537</v>
      </c>
      <c r="AE8" s="506"/>
      <c r="AF8" s="507">
        <v>48000</v>
      </c>
      <c r="AG8" s="507">
        <v>48000</v>
      </c>
      <c r="AH8" s="508">
        <v>49000</v>
      </c>
      <c r="AI8" s="503"/>
      <c r="AJ8" s="503"/>
    </row>
    <row r="9" spans="1:36" s="64" customFormat="1" ht="15.75" x14ac:dyDescent="0.25">
      <c r="B9" s="19"/>
      <c r="D9" s="64" t="s">
        <v>595</v>
      </c>
      <c r="E9" s="64" t="s">
        <v>595</v>
      </c>
      <c r="F9" s="64" t="s">
        <v>595</v>
      </c>
      <c r="G9" s="64" t="s">
        <v>595</v>
      </c>
      <c r="H9" s="64" t="s">
        <v>595</v>
      </c>
      <c r="J9" s="64" t="s">
        <v>595</v>
      </c>
      <c r="L9" s="64" t="s">
        <v>595</v>
      </c>
      <c r="M9" s="64" t="s">
        <v>595</v>
      </c>
      <c r="N9" s="64" t="s">
        <v>595</v>
      </c>
      <c r="O9" s="64" t="s">
        <v>595</v>
      </c>
      <c r="P9" s="64" t="s">
        <v>595</v>
      </c>
      <c r="Q9" s="64" t="s">
        <v>595</v>
      </c>
      <c r="R9" s="64" t="s">
        <v>595</v>
      </c>
      <c r="S9" s="64" t="s">
        <v>595</v>
      </c>
      <c r="T9" s="64" t="s">
        <v>595</v>
      </c>
      <c r="U9" s="64" t="s">
        <v>595</v>
      </c>
      <c r="V9" s="64" t="s">
        <v>595</v>
      </c>
    </row>
    <row r="10" spans="1:36" s="509" customFormat="1" ht="15.75" x14ac:dyDescent="0.25">
      <c r="B10" s="510"/>
      <c r="C10" s="509" t="s">
        <v>260</v>
      </c>
      <c r="D10" s="511">
        <v>103000</v>
      </c>
      <c r="E10" s="509">
        <v>64000</v>
      </c>
      <c r="F10" s="509">
        <v>40000</v>
      </c>
      <c r="G10" s="512">
        <v>122000</v>
      </c>
      <c r="H10" s="513">
        <v>11000</v>
      </c>
      <c r="I10" s="514">
        <v>10000</v>
      </c>
      <c r="J10" s="513">
        <v>211000</v>
      </c>
      <c r="K10" s="513">
        <v>929000</v>
      </c>
      <c r="L10" s="513">
        <v>165500</v>
      </c>
      <c r="M10" s="515">
        <v>46667</v>
      </c>
      <c r="N10" s="513">
        <v>7300</v>
      </c>
      <c r="O10" s="515">
        <v>4300</v>
      </c>
      <c r="P10" s="515">
        <v>22450</v>
      </c>
      <c r="Q10" s="516">
        <v>113400</v>
      </c>
      <c r="R10" s="516">
        <v>1920</v>
      </c>
      <c r="S10" s="511">
        <v>14400</v>
      </c>
      <c r="T10" s="511">
        <v>7750</v>
      </c>
      <c r="U10" s="511">
        <v>5650</v>
      </c>
      <c r="V10" s="511">
        <v>41100</v>
      </c>
      <c r="W10" s="511">
        <v>1870</v>
      </c>
      <c r="X10" s="511">
        <v>2820</v>
      </c>
      <c r="Y10" s="511">
        <v>10640</v>
      </c>
      <c r="Z10" s="511">
        <v>9950</v>
      </c>
      <c r="AA10" s="511">
        <v>2300</v>
      </c>
      <c r="AB10" s="511">
        <v>2170</v>
      </c>
      <c r="AC10" s="511">
        <v>60100</v>
      </c>
      <c r="AD10" s="511">
        <v>71900</v>
      </c>
      <c r="AE10" s="511">
        <v>2330</v>
      </c>
      <c r="AF10" s="511">
        <v>4100</v>
      </c>
      <c r="AG10" s="511">
        <v>3950</v>
      </c>
      <c r="AH10" s="511">
        <v>3985</v>
      </c>
      <c r="AI10" s="511">
        <f t="shared" ref="AI10:AI22" si="0">SUM(D10:AH10)</f>
        <v>2096552</v>
      </c>
      <c r="AJ10" s="511"/>
    </row>
    <row r="11" spans="1:36" s="509" customFormat="1" ht="15.75" x14ac:dyDescent="0.25">
      <c r="B11" s="510"/>
      <c r="C11" s="509" t="s">
        <v>261</v>
      </c>
      <c r="D11" s="511">
        <v>103000</v>
      </c>
      <c r="E11" s="509">
        <v>64000</v>
      </c>
      <c r="F11" s="509">
        <v>40000</v>
      </c>
      <c r="G11" s="512">
        <v>122000</v>
      </c>
      <c r="H11" s="513">
        <v>11000</v>
      </c>
      <c r="I11" s="514">
        <v>10000</v>
      </c>
      <c r="J11" s="513">
        <v>211000</v>
      </c>
      <c r="K11" s="513">
        <v>929000</v>
      </c>
      <c r="L11" s="513">
        <v>165500</v>
      </c>
      <c r="M11" s="515">
        <v>46000</v>
      </c>
      <c r="N11" s="513">
        <v>7300</v>
      </c>
      <c r="O11" s="515">
        <v>4300</v>
      </c>
      <c r="P11" s="515">
        <v>22450</v>
      </c>
      <c r="Q11" s="516">
        <v>113400</v>
      </c>
      <c r="R11" s="516">
        <v>1900</v>
      </c>
      <c r="S11" s="511">
        <v>14400</v>
      </c>
      <c r="T11" s="511">
        <v>7750</v>
      </c>
      <c r="U11" s="511">
        <v>5650</v>
      </c>
      <c r="V11" s="511">
        <v>41100</v>
      </c>
      <c r="W11" s="511">
        <v>1850</v>
      </c>
      <c r="X11" s="511">
        <v>2820</v>
      </c>
      <c r="Y11" s="511">
        <v>10640</v>
      </c>
      <c r="Z11" s="511">
        <v>9950</v>
      </c>
      <c r="AA11" s="511">
        <v>2300</v>
      </c>
      <c r="AB11" s="511">
        <v>2170</v>
      </c>
      <c r="AC11" s="511">
        <v>60100</v>
      </c>
      <c r="AD11" s="511">
        <v>71900</v>
      </c>
      <c r="AE11" s="511">
        <v>2330</v>
      </c>
      <c r="AF11" s="511">
        <v>4100</v>
      </c>
      <c r="AG11" s="511">
        <v>3950</v>
      </c>
      <c r="AH11" s="511">
        <v>3985</v>
      </c>
      <c r="AI11" s="511">
        <f t="shared" si="0"/>
        <v>2095845</v>
      </c>
      <c r="AJ11" s="511"/>
    </row>
    <row r="12" spans="1:36" s="509" customFormat="1" ht="15.75" x14ac:dyDescent="0.25">
      <c r="B12" s="510"/>
      <c r="C12" s="509" t="s">
        <v>369</v>
      </c>
      <c r="D12" s="511">
        <v>103000</v>
      </c>
      <c r="E12" s="509">
        <v>64000</v>
      </c>
      <c r="F12" s="509">
        <v>40000</v>
      </c>
      <c r="G12" s="512">
        <v>122000</v>
      </c>
      <c r="H12" s="513">
        <v>11000</v>
      </c>
      <c r="I12" s="514">
        <v>10000</v>
      </c>
      <c r="J12" s="513">
        <v>211000</v>
      </c>
      <c r="K12" s="513">
        <v>929000</v>
      </c>
      <c r="L12" s="513">
        <v>165500</v>
      </c>
      <c r="M12" s="515">
        <v>46000</v>
      </c>
      <c r="N12" s="513">
        <v>7300</v>
      </c>
      <c r="O12" s="515">
        <v>4300</v>
      </c>
      <c r="P12" s="515">
        <v>22450</v>
      </c>
      <c r="Q12" s="516">
        <v>113400</v>
      </c>
      <c r="R12" s="516">
        <v>1900</v>
      </c>
      <c r="S12" s="511">
        <v>14400</v>
      </c>
      <c r="T12" s="511">
        <v>7750</v>
      </c>
      <c r="U12" s="511">
        <v>5650</v>
      </c>
      <c r="V12" s="511">
        <v>41100</v>
      </c>
      <c r="W12" s="511">
        <v>1850</v>
      </c>
      <c r="X12" s="511">
        <v>2820</v>
      </c>
      <c r="Y12" s="511">
        <v>10640</v>
      </c>
      <c r="Z12" s="511">
        <v>9950</v>
      </c>
      <c r="AA12" s="511">
        <v>2300</v>
      </c>
      <c r="AB12" s="511">
        <v>2170</v>
      </c>
      <c r="AC12" s="511">
        <v>60100</v>
      </c>
      <c r="AD12" s="511">
        <v>71900</v>
      </c>
      <c r="AE12" s="511">
        <v>2330</v>
      </c>
      <c r="AF12" s="511">
        <v>4100</v>
      </c>
      <c r="AG12" s="511">
        <v>3950</v>
      </c>
      <c r="AH12" s="511">
        <v>3985</v>
      </c>
      <c r="AI12" s="511">
        <f t="shared" si="0"/>
        <v>2095845</v>
      </c>
      <c r="AJ12" s="511"/>
    </row>
    <row r="13" spans="1:36" s="509" customFormat="1" ht="15.75" x14ac:dyDescent="0.25">
      <c r="B13" s="510"/>
      <c r="C13" s="509" t="s">
        <v>263</v>
      </c>
      <c r="D13" s="511">
        <v>103000</v>
      </c>
      <c r="E13" s="509">
        <v>64000</v>
      </c>
      <c r="F13" s="509">
        <v>40000</v>
      </c>
      <c r="G13" s="512">
        <v>122000</v>
      </c>
      <c r="H13" s="513">
        <v>11000</v>
      </c>
      <c r="I13" s="514">
        <v>25000</v>
      </c>
      <c r="J13" s="513">
        <v>211000</v>
      </c>
      <c r="K13" s="513">
        <v>929000</v>
      </c>
      <c r="L13" s="513">
        <v>165500</v>
      </c>
      <c r="M13" s="515">
        <v>46000</v>
      </c>
      <c r="N13" s="513">
        <v>7300</v>
      </c>
      <c r="O13" s="515">
        <v>4300</v>
      </c>
      <c r="P13" s="515">
        <v>22450</v>
      </c>
      <c r="Q13" s="516">
        <v>113400</v>
      </c>
      <c r="R13" s="516">
        <v>1900</v>
      </c>
      <c r="S13" s="511">
        <v>14400</v>
      </c>
      <c r="T13" s="511">
        <v>7750</v>
      </c>
      <c r="U13" s="511">
        <v>5650</v>
      </c>
      <c r="V13" s="511">
        <v>41100</v>
      </c>
      <c r="W13" s="511">
        <v>1850</v>
      </c>
      <c r="X13" s="511">
        <v>2820</v>
      </c>
      <c r="Y13" s="511">
        <v>10640</v>
      </c>
      <c r="Z13" s="511">
        <v>9950</v>
      </c>
      <c r="AA13" s="511">
        <v>2300</v>
      </c>
      <c r="AB13" s="511">
        <v>2170</v>
      </c>
      <c r="AC13" s="511">
        <v>60100</v>
      </c>
      <c r="AD13" s="511">
        <v>71900</v>
      </c>
      <c r="AE13" s="511">
        <v>2330</v>
      </c>
      <c r="AF13" s="511">
        <v>4100</v>
      </c>
      <c r="AG13" s="511">
        <v>3950</v>
      </c>
      <c r="AH13" s="511">
        <v>3985</v>
      </c>
      <c r="AI13" s="511">
        <f t="shared" si="0"/>
        <v>2110845</v>
      </c>
      <c r="AJ13" s="511"/>
    </row>
    <row r="14" spans="1:36" s="509" customFormat="1" ht="15.75" x14ac:dyDescent="0.25">
      <c r="B14" s="510"/>
      <c r="C14" s="509" t="s">
        <v>264</v>
      </c>
      <c r="D14" s="511">
        <v>103000</v>
      </c>
      <c r="E14" s="509">
        <v>64000</v>
      </c>
      <c r="F14" s="509">
        <v>40000</v>
      </c>
      <c r="G14" s="512">
        <v>122000</v>
      </c>
      <c r="H14" s="513">
        <v>11000</v>
      </c>
      <c r="I14" s="514">
        <v>25000</v>
      </c>
      <c r="J14" s="513">
        <v>211000</v>
      </c>
      <c r="K14" s="513">
        <v>929000</v>
      </c>
      <c r="L14" s="513">
        <v>165500</v>
      </c>
      <c r="M14" s="515">
        <v>46000</v>
      </c>
      <c r="N14" s="513">
        <v>7300</v>
      </c>
      <c r="O14" s="515">
        <v>4300</v>
      </c>
      <c r="P14" s="515">
        <v>22450</v>
      </c>
      <c r="Q14" s="516">
        <v>113400</v>
      </c>
      <c r="R14" s="516">
        <v>1900</v>
      </c>
      <c r="S14" s="511">
        <v>14400</v>
      </c>
      <c r="T14" s="511">
        <v>7750</v>
      </c>
      <c r="U14" s="511">
        <v>5650</v>
      </c>
      <c r="V14" s="511">
        <v>41100</v>
      </c>
      <c r="W14" s="511">
        <v>1850</v>
      </c>
      <c r="X14" s="511">
        <v>2820</v>
      </c>
      <c r="Y14" s="511">
        <v>10640</v>
      </c>
      <c r="Z14" s="511">
        <v>9950</v>
      </c>
      <c r="AA14" s="511">
        <v>2300</v>
      </c>
      <c r="AB14" s="511">
        <v>2170</v>
      </c>
      <c r="AC14" s="511">
        <v>60100</v>
      </c>
      <c r="AD14" s="511">
        <v>71900</v>
      </c>
      <c r="AE14" s="511">
        <v>2330</v>
      </c>
      <c r="AF14" s="511">
        <v>4100</v>
      </c>
      <c r="AG14" s="511">
        <v>3950</v>
      </c>
      <c r="AH14" s="511">
        <v>3985</v>
      </c>
      <c r="AI14" s="511">
        <f t="shared" si="0"/>
        <v>2110845</v>
      </c>
      <c r="AJ14" s="511"/>
    </row>
    <row r="15" spans="1:36" s="509" customFormat="1" ht="15.75" x14ac:dyDescent="0.25">
      <c r="B15" s="510"/>
      <c r="C15" s="509" t="s">
        <v>265</v>
      </c>
      <c r="D15" s="511">
        <v>103000</v>
      </c>
      <c r="E15" s="509">
        <v>64000</v>
      </c>
      <c r="F15" s="509">
        <v>40000</v>
      </c>
      <c r="G15" s="512">
        <v>122000</v>
      </c>
      <c r="H15" s="513">
        <v>11000</v>
      </c>
      <c r="I15" s="514">
        <v>25000</v>
      </c>
      <c r="J15" s="513">
        <v>211000</v>
      </c>
      <c r="K15" s="513">
        <v>929000</v>
      </c>
      <c r="L15" s="513">
        <v>165500</v>
      </c>
      <c r="M15" s="515">
        <v>46000</v>
      </c>
      <c r="N15" s="513">
        <v>7300</v>
      </c>
      <c r="O15" s="515">
        <v>4300</v>
      </c>
      <c r="P15" s="515">
        <v>22450</v>
      </c>
      <c r="Q15" s="516">
        <v>113400</v>
      </c>
      <c r="R15" s="516">
        <v>1900</v>
      </c>
      <c r="S15" s="511">
        <v>14400</v>
      </c>
      <c r="T15" s="511">
        <v>7750</v>
      </c>
      <c r="U15" s="511">
        <v>5650</v>
      </c>
      <c r="V15" s="511">
        <v>41100</v>
      </c>
      <c r="W15" s="511">
        <v>1850</v>
      </c>
      <c r="X15" s="511">
        <v>2820</v>
      </c>
      <c r="Y15" s="511">
        <v>10640</v>
      </c>
      <c r="Z15" s="511">
        <v>9950</v>
      </c>
      <c r="AA15" s="511">
        <v>2300</v>
      </c>
      <c r="AB15" s="511">
        <v>2170</v>
      </c>
      <c r="AC15" s="511">
        <v>60100</v>
      </c>
      <c r="AD15" s="511">
        <v>71900</v>
      </c>
      <c r="AE15" s="511">
        <v>2330</v>
      </c>
      <c r="AF15" s="511">
        <v>4100</v>
      </c>
      <c r="AG15" s="511">
        <v>3950</v>
      </c>
      <c r="AH15" s="511">
        <v>3985</v>
      </c>
      <c r="AI15" s="511">
        <f t="shared" si="0"/>
        <v>2110845</v>
      </c>
      <c r="AJ15" s="511"/>
    </row>
    <row r="16" spans="1:36" s="509" customFormat="1" ht="15.75" x14ac:dyDescent="0.25">
      <c r="B16" s="510"/>
      <c r="C16" s="509" t="s">
        <v>266</v>
      </c>
      <c r="D16" s="511">
        <v>103000</v>
      </c>
      <c r="E16" s="509">
        <v>64000</v>
      </c>
      <c r="F16" s="509">
        <v>40000</v>
      </c>
      <c r="G16" s="512">
        <v>122000</v>
      </c>
      <c r="H16" s="513">
        <v>11000</v>
      </c>
      <c r="I16" s="514">
        <v>25000</v>
      </c>
      <c r="J16" s="513">
        <v>211000</v>
      </c>
      <c r="K16" s="513">
        <v>929000</v>
      </c>
      <c r="L16" s="513">
        <v>165500</v>
      </c>
      <c r="M16" s="515">
        <v>46000</v>
      </c>
      <c r="N16" s="513">
        <v>7300</v>
      </c>
      <c r="O16" s="515">
        <v>4300</v>
      </c>
      <c r="P16" s="515">
        <v>22450</v>
      </c>
      <c r="Q16" s="516">
        <v>113400</v>
      </c>
      <c r="R16" s="516">
        <v>1900</v>
      </c>
      <c r="S16" s="511">
        <v>14400</v>
      </c>
      <c r="T16" s="511">
        <v>7750</v>
      </c>
      <c r="U16" s="511">
        <v>5650</v>
      </c>
      <c r="V16" s="511">
        <v>41100</v>
      </c>
      <c r="W16" s="511">
        <v>1850</v>
      </c>
      <c r="X16" s="511">
        <v>2820</v>
      </c>
      <c r="Y16" s="511">
        <v>10640</v>
      </c>
      <c r="Z16" s="511">
        <v>9950</v>
      </c>
      <c r="AA16" s="511">
        <v>2300</v>
      </c>
      <c r="AB16" s="511">
        <v>2170</v>
      </c>
      <c r="AC16" s="511">
        <v>60100</v>
      </c>
      <c r="AD16" s="511">
        <v>71900</v>
      </c>
      <c r="AE16" s="511">
        <v>2330</v>
      </c>
      <c r="AF16" s="511">
        <v>4100</v>
      </c>
      <c r="AG16" s="511">
        <v>3950</v>
      </c>
      <c r="AH16" s="511">
        <v>3985</v>
      </c>
      <c r="AI16" s="511">
        <f t="shared" si="0"/>
        <v>2110845</v>
      </c>
      <c r="AJ16" s="511"/>
    </row>
    <row r="17" spans="1:36" s="509" customFormat="1" ht="15.75" x14ac:dyDescent="0.25">
      <c r="B17" s="510"/>
      <c r="C17" s="509" t="s">
        <v>267</v>
      </c>
      <c r="D17" s="511">
        <v>103000</v>
      </c>
      <c r="E17" s="509">
        <v>64000</v>
      </c>
      <c r="F17" s="509">
        <v>40000</v>
      </c>
      <c r="G17" s="512">
        <v>122000</v>
      </c>
      <c r="H17" s="513">
        <v>11000</v>
      </c>
      <c r="I17" s="514">
        <v>25000</v>
      </c>
      <c r="J17" s="513">
        <v>211000</v>
      </c>
      <c r="K17" s="513">
        <v>929000</v>
      </c>
      <c r="L17" s="513">
        <v>165500</v>
      </c>
      <c r="M17" s="515">
        <v>46000</v>
      </c>
      <c r="N17" s="513">
        <v>7300</v>
      </c>
      <c r="O17" s="515">
        <v>4300</v>
      </c>
      <c r="P17" s="515">
        <v>22450</v>
      </c>
      <c r="Q17" s="516">
        <v>113400</v>
      </c>
      <c r="R17" s="516">
        <v>1900</v>
      </c>
      <c r="S17" s="511">
        <v>14400</v>
      </c>
      <c r="T17" s="511">
        <v>7750</v>
      </c>
      <c r="U17" s="511">
        <v>5650</v>
      </c>
      <c r="V17" s="511">
        <v>41100</v>
      </c>
      <c r="W17" s="511">
        <v>1850</v>
      </c>
      <c r="X17" s="511">
        <v>2820</v>
      </c>
      <c r="Y17" s="511">
        <v>10640</v>
      </c>
      <c r="Z17" s="511">
        <v>9950</v>
      </c>
      <c r="AA17" s="511">
        <v>2300</v>
      </c>
      <c r="AB17" s="511">
        <v>2170</v>
      </c>
      <c r="AC17" s="511">
        <v>60100</v>
      </c>
      <c r="AD17" s="511">
        <v>71900</v>
      </c>
      <c r="AE17" s="511">
        <v>2330</v>
      </c>
      <c r="AF17" s="511">
        <v>4100</v>
      </c>
      <c r="AG17" s="511">
        <v>3950</v>
      </c>
      <c r="AH17" s="511">
        <v>3985</v>
      </c>
      <c r="AI17" s="511">
        <f t="shared" si="0"/>
        <v>2110845</v>
      </c>
      <c r="AJ17" s="511"/>
    </row>
    <row r="18" spans="1:36" s="509" customFormat="1" ht="15.75" x14ac:dyDescent="0.25">
      <c r="B18" s="510"/>
      <c r="C18" s="509" t="s">
        <v>268</v>
      </c>
      <c r="D18" s="511">
        <v>103000</v>
      </c>
      <c r="E18" s="509">
        <v>64000</v>
      </c>
      <c r="F18" s="509">
        <v>40000</v>
      </c>
      <c r="G18" s="512">
        <v>122000</v>
      </c>
      <c r="H18" s="513">
        <v>11000</v>
      </c>
      <c r="I18" s="514">
        <v>155000</v>
      </c>
      <c r="J18" s="513">
        <v>211000</v>
      </c>
      <c r="K18" s="513">
        <v>929000</v>
      </c>
      <c r="L18" s="513">
        <v>165500</v>
      </c>
      <c r="M18" s="515">
        <v>46000</v>
      </c>
      <c r="N18" s="513">
        <v>7300</v>
      </c>
      <c r="O18" s="515">
        <v>4300</v>
      </c>
      <c r="P18" s="515">
        <v>22450</v>
      </c>
      <c r="Q18" s="516">
        <v>113400</v>
      </c>
      <c r="R18" s="516">
        <v>1900</v>
      </c>
      <c r="S18" s="511">
        <v>14400</v>
      </c>
      <c r="T18" s="511">
        <v>7750</v>
      </c>
      <c r="U18" s="511">
        <v>5650</v>
      </c>
      <c r="V18" s="511">
        <v>41100</v>
      </c>
      <c r="W18" s="511">
        <v>1850</v>
      </c>
      <c r="X18" s="511">
        <v>2820</v>
      </c>
      <c r="Y18" s="511">
        <v>10640</v>
      </c>
      <c r="Z18" s="511">
        <v>9950</v>
      </c>
      <c r="AA18" s="511">
        <v>2300</v>
      </c>
      <c r="AB18" s="511">
        <v>2170</v>
      </c>
      <c r="AC18" s="511">
        <v>60100</v>
      </c>
      <c r="AD18" s="511">
        <v>71900</v>
      </c>
      <c r="AE18" s="511">
        <v>2330</v>
      </c>
      <c r="AF18" s="511">
        <v>4100</v>
      </c>
      <c r="AG18" s="511">
        <v>3950</v>
      </c>
      <c r="AH18" s="511">
        <v>3985</v>
      </c>
      <c r="AI18" s="511">
        <f t="shared" si="0"/>
        <v>2240845</v>
      </c>
      <c r="AJ18" s="511"/>
    </row>
    <row r="19" spans="1:36" s="509" customFormat="1" ht="15.75" x14ac:dyDescent="0.25">
      <c r="B19" s="510"/>
      <c r="C19" s="509" t="s">
        <v>269</v>
      </c>
      <c r="D19" s="511">
        <v>103000</v>
      </c>
      <c r="E19" s="509">
        <v>64000</v>
      </c>
      <c r="F19" s="509">
        <v>40000</v>
      </c>
      <c r="G19" s="512">
        <v>122000</v>
      </c>
      <c r="H19" s="513">
        <v>11000</v>
      </c>
      <c r="I19" s="514">
        <v>155000</v>
      </c>
      <c r="J19" s="513">
        <v>211000</v>
      </c>
      <c r="K19" s="513">
        <v>929000</v>
      </c>
      <c r="L19" s="513">
        <v>165500</v>
      </c>
      <c r="M19" s="515">
        <v>46000</v>
      </c>
      <c r="N19" s="513">
        <v>7300</v>
      </c>
      <c r="O19" s="515">
        <v>4300</v>
      </c>
      <c r="P19" s="515">
        <v>22450</v>
      </c>
      <c r="Q19" s="516">
        <v>113400</v>
      </c>
      <c r="R19" s="516">
        <v>1900</v>
      </c>
      <c r="S19" s="511">
        <v>14400</v>
      </c>
      <c r="T19" s="511">
        <v>7750</v>
      </c>
      <c r="U19" s="511">
        <v>5650</v>
      </c>
      <c r="V19" s="511">
        <v>41100</v>
      </c>
      <c r="W19" s="511">
        <v>1870</v>
      </c>
      <c r="X19" s="511">
        <v>2820</v>
      </c>
      <c r="Y19" s="511">
        <v>10640</v>
      </c>
      <c r="Z19" s="511">
        <v>9950</v>
      </c>
      <c r="AA19" s="511">
        <v>2300</v>
      </c>
      <c r="AB19" s="511">
        <v>2170</v>
      </c>
      <c r="AC19" s="511">
        <v>60100</v>
      </c>
      <c r="AD19" s="511">
        <v>71900</v>
      </c>
      <c r="AE19" s="511">
        <v>2330</v>
      </c>
      <c r="AF19" s="511">
        <v>4100</v>
      </c>
      <c r="AG19" s="511">
        <v>3950</v>
      </c>
      <c r="AH19" s="511">
        <v>3985</v>
      </c>
      <c r="AI19" s="511">
        <f t="shared" si="0"/>
        <v>2240865</v>
      </c>
      <c r="AJ19" s="511"/>
    </row>
    <row r="20" spans="1:36" s="509" customFormat="1" ht="15.75" x14ac:dyDescent="0.25">
      <c r="B20" s="510"/>
      <c r="C20" s="509" t="s">
        <v>270</v>
      </c>
      <c r="D20" s="511">
        <v>103000</v>
      </c>
      <c r="E20" s="509">
        <v>64000</v>
      </c>
      <c r="F20" s="509">
        <v>40000</v>
      </c>
      <c r="G20" s="512">
        <v>122000</v>
      </c>
      <c r="H20" s="513">
        <v>11000</v>
      </c>
      <c r="I20" s="514">
        <v>155000</v>
      </c>
      <c r="J20" s="513">
        <v>211000</v>
      </c>
      <c r="K20" s="513">
        <v>929000</v>
      </c>
      <c r="L20" s="513">
        <v>165500</v>
      </c>
      <c r="M20" s="515">
        <v>46000</v>
      </c>
      <c r="N20" s="513">
        <v>7300</v>
      </c>
      <c r="O20" s="515">
        <v>4300</v>
      </c>
      <c r="P20" s="515">
        <v>22450</v>
      </c>
      <c r="Q20" s="516">
        <v>113400</v>
      </c>
      <c r="R20" s="516">
        <v>1900</v>
      </c>
      <c r="S20" s="511">
        <v>14400</v>
      </c>
      <c r="T20" s="511">
        <v>7750</v>
      </c>
      <c r="U20" s="511">
        <v>5650</v>
      </c>
      <c r="V20" s="511">
        <v>41100</v>
      </c>
      <c r="W20" s="511">
        <v>1870</v>
      </c>
      <c r="X20" s="511">
        <v>2820</v>
      </c>
      <c r="Y20" s="511">
        <v>10640</v>
      </c>
      <c r="Z20" s="511">
        <v>9950</v>
      </c>
      <c r="AA20" s="511">
        <v>2300</v>
      </c>
      <c r="AB20" s="511">
        <v>2170</v>
      </c>
      <c r="AC20" s="511">
        <v>60100</v>
      </c>
      <c r="AD20" s="511">
        <v>71900</v>
      </c>
      <c r="AE20" s="511">
        <v>2330</v>
      </c>
      <c r="AF20" s="511">
        <v>4100</v>
      </c>
      <c r="AG20" s="511">
        <v>3950</v>
      </c>
      <c r="AH20" s="511">
        <v>3985</v>
      </c>
      <c r="AI20" s="511">
        <f t="shared" si="0"/>
        <v>2240865</v>
      </c>
      <c r="AJ20" s="511"/>
    </row>
    <row r="21" spans="1:36" s="509" customFormat="1" ht="15.75" x14ac:dyDescent="0.25">
      <c r="B21" s="510"/>
      <c r="C21" s="509" t="s">
        <v>271</v>
      </c>
      <c r="D21" s="511">
        <v>103000</v>
      </c>
      <c r="E21" s="509">
        <v>64000</v>
      </c>
      <c r="F21" s="509">
        <v>40000</v>
      </c>
      <c r="G21" s="512">
        <v>122000</v>
      </c>
      <c r="H21" s="513">
        <v>11000</v>
      </c>
      <c r="I21" s="514">
        <v>155000</v>
      </c>
      <c r="J21" s="513">
        <v>211000</v>
      </c>
      <c r="K21" s="513">
        <v>929000</v>
      </c>
      <c r="L21" s="513">
        <v>165500</v>
      </c>
      <c r="M21" s="515">
        <v>46000</v>
      </c>
      <c r="N21" s="513">
        <v>7300</v>
      </c>
      <c r="O21" s="515">
        <v>4300</v>
      </c>
      <c r="P21" s="515">
        <v>22450</v>
      </c>
      <c r="Q21" s="516">
        <v>113400</v>
      </c>
      <c r="R21" s="516">
        <v>1900</v>
      </c>
      <c r="S21" s="511">
        <v>14400</v>
      </c>
      <c r="T21" s="511">
        <v>7750</v>
      </c>
      <c r="U21" s="511">
        <v>5650</v>
      </c>
      <c r="V21" s="511">
        <v>41100</v>
      </c>
      <c r="W21" s="511">
        <v>1850</v>
      </c>
      <c r="X21" s="511">
        <v>2820</v>
      </c>
      <c r="Y21" s="511">
        <v>10640</v>
      </c>
      <c r="Z21" s="511">
        <v>9950</v>
      </c>
      <c r="AA21" s="511">
        <v>2330</v>
      </c>
      <c r="AB21" s="511">
        <v>2170</v>
      </c>
      <c r="AC21" s="511">
        <v>60100</v>
      </c>
      <c r="AD21" s="511">
        <v>71900</v>
      </c>
      <c r="AE21" s="511">
        <v>2330</v>
      </c>
      <c r="AF21" s="511">
        <v>4100</v>
      </c>
      <c r="AG21" s="511">
        <v>3950</v>
      </c>
      <c r="AH21" s="511">
        <v>3985</v>
      </c>
      <c r="AI21" s="511">
        <f t="shared" si="0"/>
        <v>2240875</v>
      </c>
      <c r="AJ21" s="511"/>
    </row>
    <row r="22" spans="1:36" s="509" customFormat="1" ht="15.75" x14ac:dyDescent="0.25">
      <c r="B22" s="510"/>
      <c r="D22" s="509">
        <f t="shared" ref="D22:AH22" si="1">SUM(D10:D21)</f>
        <v>1236000</v>
      </c>
      <c r="E22" s="509">
        <f t="shared" si="1"/>
        <v>768000</v>
      </c>
      <c r="F22" s="509">
        <f t="shared" si="1"/>
        <v>480000</v>
      </c>
      <c r="G22" s="512">
        <f t="shared" si="1"/>
        <v>1464000</v>
      </c>
      <c r="H22" s="514">
        <f t="shared" si="1"/>
        <v>132000</v>
      </c>
      <c r="I22" s="514">
        <f t="shared" si="1"/>
        <v>775000</v>
      </c>
      <c r="J22" s="514">
        <f t="shared" si="1"/>
        <v>2532000</v>
      </c>
      <c r="K22" s="514">
        <f t="shared" si="1"/>
        <v>11148000</v>
      </c>
      <c r="L22" s="514">
        <f t="shared" si="1"/>
        <v>1986000</v>
      </c>
      <c r="M22" s="517">
        <f t="shared" si="1"/>
        <v>552667</v>
      </c>
      <c r="N22" s="514">
        <f t="shared" si="1"/>
        <v>87600</v>
      </c>
      <c r="O22" s="517">
        <f t="shared" si="1"/>
        <v>51600</v>
      </c>
      <c r="P22" s="517">
        <f t="shared" si="1"/>
        <v>269400</v>
      </c>
      <c r="Q22" s="518">
        <f t="shared" si="1"/>
        <v>1360800</v>
      </c>
      <c r="R22" s="518">
        <f t="shared" si="1"/>
        <v>22820</v>
      </c>
      <c r="S22" s="509">
        <f t="shared" si="1"/>
        <v>172800</v>
      </c>
      <c r="T22" s="509">
        <f t="shared" si="1"/>
        <v>93000</v>
      </c>
      <c r="U22" s="509">
        <f t="shared" si="1"/>
        <v>67800</v>
      </c>
      <c r="V22" s="509">
        <f t="shared" si="1"/>
        <v>493200</v>
      </c>
      <c r="W22" s="509">
        <f t="shared" si="1"/>
        <v>22260</v>
      </c>
      <c r="X22" s="509">
        <f t="shared" si="1"/>
        <v>33840</v>
      </c>
      <c r="Y22" s="509">
        <f t="shared" si="1"/>
        <v>127680</v>
      </c>
      <c r="Z22" s="509">
        <f t="shared" si="1"/>
        <v>119400</v>
      </c>
      <c r="AA22" s="509">
        <f t="shared" si="1"/>
        <v>27630</v>
      </c>
      <c r="AB22" s="509">
        <f t="shared" si="1"/>
        <v>26040</v>
      </c>
      <c r="AC22" s="509">
        <f t="shared" si="1"/>
        <v>721200</v>
      </c>
      <c r="AD22" s="509">
        <f t="shared" si="1"/>
        <v>862800</v>
      </c>
      <c r="AE22" s="509">
        <f t="shared" si="1"/>
        <v>27960</v>
      </c>
      <c r="AF22" s="509">
        <f t="shared" si="1"/>
        <v>49200</v>
      </c>
      <c r="AG22" s="509">
        <f t="shared" si="1"/>
        <v>47400</v>
      </c>
      <c r="AH22" s="509">
        <f t="shared" si="1"/>
        <v>47820</v>
      </c>
      <c r="AI22" s="509">
        <f t="shared" si="0"/>
        <v>25805917</v>
      </c>
    </row>
    <row r="23" spans="1:36" s="168" customFormat="1" ht="15.75" x14ac:dyDescent="0.25">
      <c r="A23" s="64"/>
      <c r="B23" s="6"/>
      <c r="E23" s="64"/>
      <c r="F23" s="64"/>
      <c r="G23" s="491"/>
      <c r="H23" s="492"/>
      <c r="I23" s="492"/>
      <c r="J23" s="492"/>
      <c r="K23" s="492"/>
      <c r="L23" s="492"/>
      <c r="M23" s="493"/>
      <c r="N23" s="492"/>
      <c r="O23" s="39"/>
      <c r="P23" s="493"/>
      <c r="Q23" s="42"/>
      <c r="R23" s="42"/>
      <c r="T23" s="64"/>
    </row>
    <row r="24" spans="1:36" s="168" customFormat="1" ht="15.75" x14ac:dyDescent="0.25">
      <c r="A24" s="64"/>
      <c r="E24" s="64"/>
      <c r="F24" s="64"/>
      <c r="G24" s="491"/>
      <c r="H24" s="492"/>
      <c r="I24" s="492"/>
      <c r="J24" s="492"/>
      <c r="K24" s="492"/>
      <c r="L24" s="492"/>
      <c r="M24" s="4"/>
      <c r="N24" s="492"/>
      <c r="O24" s="519"/>
      <c r="P24" s="4"/>
      <c r="Q24" s="42"/>
      <c r="R24" s="42"/>
      <c r="T24" s="64"/>
    </row>
    <row r="25" spans="1:36" s="400" customFormat="1" ht="21" x14ac:dyDescent="0.35">
      <c r="B25" s="6" t="s">
        <v>597</v>
      </c>
      <c r="D25" s="401"/>
      <c r="E25" s="401"/>
      <c r="F25" s="401"/>
      <c r="G25" s="402"/>
      <c r="H25" s="402"/>
      <c r="I25" s="402"/>
      <c r="J25" s="402"/>
      <c r="K25" s="402"/>
      <c r="L25" s="403"/>
      <c r="M25" s="402"/>
      <c r="N25" s="403"/>
      <c r="O25" s="403"/>
      <c r="P25" s="404"/>
      <c r="Q25" s="404"/>
      <c r="S25" s="401"/>
    </row>
    <row r="26" spans="1:36" s="400" customFormat="1" ht="21" x14ac:dyDescent="0.35">
      <c r="A26" s="399"/>
      <c r="D26" s="401"/>
      <c r="E26" s="401"/>
      <c r="F26" s="401"/>
      <c r="G26" s="402"/>
      <c r="H26" s="402"/>
      <c r="I26" s="402"/>
      <c r="J26" s="402"/>
      <c r="K26" s="402"/>
      <c r="L26" s="403"/>
      <c r="M26" s="402"/>
      <c r="N26" s="403"/>
      <c r="O26" s="403"/>
      <c r="P26" s="404"/>
      <c r="Q26" s="404"/>
      <c r="S26" s="401"/>
    </row>
    <row r="27" spans="1:36" s="406" customFormat="1" ht="27" thickBot="1" x14ac:dyDescent="0.45">
      <c r="A27" s="405"/>
      <c r="C27" s="407" t="s">
        <v>151</v>
      </c>
      <c r="D27" s="408" t="s">
        <v>155</v>
      </c>
      <c r="E27" s="408" t="s">
        <v>180</v>
      </c>
      <c r="F27" s="408" t="s">
        <v>484</v>
      </c>
      <c r="G27" s="408" t="s">
        <v>485</v>
      </c>
      <c r="H27" s="408"/>
      <c r="I27" s="408" t="s">
        <v>486</v>
      </c>
      <c r="J27" s="408" t="s">
        <v>487</v>
      </c>
      <c r="K27" s="408" t="s">
        <v>488</v>
      </c>
      <c r="L27" s="408" t="s">
        <v>489</v>
      </c>
      <c r="M27" s="408" t="s">
        <v>490</v>
      </c>
      <c r="N27" s="408" t="s">
        <v>491</v>
      </c>
      <c r="O27" s="407" t="s">
        <v>492</v>
      </c>
      <c r="P27" s="408" t="s">
        <v>493</v>
      </c>
      <c r="Q27" s="408" t="s">
        <v>494</v>
      </c>
      <c r="R27" s="408" t="s">
        <v>495</v>
      </c>
      <c r="S27" s="408" t="s">
        <v>496</v>
      </c>
      <c r="T27" s="408" t="s">
        <v>497</v>
      </c>
      <c r="U27" s="408" t="s">
        <v>498</v>
      </c>
      <c r="V27" s="408" t="s">
        <v>499</v>
      </c>
      <c r="W27" s="408" t="s">
        <v>500</v>
      </c>
      <c r="X27" s="408" t="s">
        <v>501</v>
      </c>
      <c r="Y27" s="408" t="s">
        <v>502</v>
      </c>
      <c r="Z27" s="408" t="s">
        <v>503</v>
      </c>
      <c r="AA27" s="408" t="s">
        <v>504</v>
      </c>
      <c r="AB27" s="409" t="s">
        <v>164</v>
      </c>
      <c r="AC27" s="408" t="s">
        <v>364</v>
      </c>
      <c r="AD27" s="408" t="s">
        <v>226</v>
      </c>
      <c r="AE27" s="408" t="s">
        <v>505</v>
      </c>
      <c r="AF27" s="408" t="s">
        <v>506</v>
      </c>
      <c r="AG27" s="408" t="s">
        <v>507</v>
      </c>
    </row>
    <row r="28" spans="1:36" s="416" customFormat="1" ht="42" x14ac:dyDescent="0.35">
      <c r="A28" s="410"/>
      <c r="B28" s="411"/>
      <c r="C28" s="412" t="s">
        <v>508</v>
      </c>
      <c r="D28" s="413" t="s">
        <v>509</v>
      </c>
      <c r="E28" s="413" t="s">
        <v>508</v>
      </c>
      <c r="F28" s="413" t="s">
        <v>508</v>
      </c>
      <c r="G28" s="413" t="s">
        <v>509</v>
      </c>
      <c r="H28" s="413"/>
      <c r="I28" s="413" t="s">
        <v>509</v>
      </c>
      <c r="J28" s="412" t="s">
        <v>509</v>
      </c>
      <c r="K28" s="413" t="s">
        <v>509</v>
      </c>
      <c r="L28" s="414" t="s">
        <v>509</v>
      </c>
      <c r="M28" s="413" t="s">
        <v>509</v>
      </c>
      <c r="N28" s="414"/>
      <c r="O28" s="414" t="s">
        <v>509</v>
      </c>
      <c r="P28" s="412" t="s">
        <v>509</v>
      </c>
      <c r="Q28" s="412" t="s">
        <v>509</v>
      </c>
      <c r="R28" s="412" t="s">
        <v>509</v>
      </c>
      <c r="S28" s="412" t="s">
        <v>509</v>
      </c>
      <c r="T28" s="412" t="s">
        <v>509</v>
      </c>
      <c r="U28" s="412" t="s">
        <v>509</v>
      </c>
      <c r="V28" s="412" t="s">
        <v>509</v>
      </c>
      <c r="W28" s="412" t="s">
        <v>509</v>
      </c>
      <c r="X28" s="412" t="s">
        <v>509</v>
      </c>
      <c r="Y28" s="412" t="s">
        <v>509</v>
      </c>
      <c r="Z28" s="412" t="s">
        <v>509</v>
      </c>
      <c r="AA28" s="412" t="s">
        <v>509</v>
      </c>
      <c r="AB28" s="412" t="s">
        <v>510</v>
      </c>
      <c r="AC28" s="412" t="s">
        <v>508</v>
      </c>
      <c r="AD28" s="412" t="s">
        <v>509</v>
      </c>
      <c r="AE28" s="412" t="s">
        <v>509</v>
      </c>
      <c r="AF28" s="412" t="s">
        <v>509</v>
      </c>
      <c r="AG28" s="412" t="s">
        <v>509</v>
      </c>
      <c r="AH28" s="412" t="s">
        <v>511</v>
      </c>
      <c r="AI28" s="415"/>
    </row>
    <row r="29" spans="1:36" s="416" customFormat="1" ht="63.75" thickBot="1" x14ac:dyDescent="0.4">
      <c r="A29" s="410"/>
      <c r="B29" s="417"/>
      <c r="C29" s="418" t="s">
        <v>512</v>
      </c>
      <c r="D29" s="418" t="s">
        <v>513</v>
      </c>
      <c r="E29" s="418" t="s">
        <v>514</v>
      </c>
      <c r="F29" s="418" t="s">
        <v>515</v>
      </c>
      <c r="G29" s="418" t="s">
        <v>516</v>
      </c>
      <c r="H29" s="418"/>
      <c r="I29" s="418" t="s">
        <v>517</v>
      </c>
      <c r="J29" s="418" t="s">
        <v>518</v>
      </c>
      <c r="K29" s="418" t="s">
        <v>519</v>
      </c>
      <c r="L29" s="418" t="s">
        <v>520</v>
      </c>
      <c r="M29" s="418" t="s">
        <v>521</v>
      </c>
      <c r="N29" s="418" t="s">
        <v>522</v>
      </c>
      <c r="O29" s="418" t="s">
        <v>523</v>
      </c>
      <c r="P29" s="418" t="s">
        <v>524</v>
      </c>
      <c r="Q29" s="418" t="s">
        <v>525</v>
      </c>
      <c r="R29" s="418" t="s">
        <v>526</v>
      </c>
      <c r="S29" s="418" t="s">
        <v>527</v>
      </c>
      <c r="T29" s="418" t="s">
        <v>528</v>
      </c>
      <c r="U29" s="418" t="s">
        <v>529</v>
      </c>
      <c r="V29" s="418" t="s">
        <v>530</v>
      </c>
      <c r="W29" s="418" t="s">
        <v>531</v>
      </c>
      <c r="X29" s="418" t="s">
        <v>532</v>
      </c>
      <c r="Y29" s="418" t="s">
        <v>533</v>
      </c>
      <c r="Z29" s="418" t="s">
        <v>534</v>
      </c>
      <c r="AA29" s="418" t="s">
        <v>535</v>
      </c>
      <c r="AB29" s="418" t="s">
        <v>536</v>
      </c>
      <c r="AC29" s="418" t="s">
        <v>537</v>
      </c>
      <c r="AD29" s="418"/>
      <c r="AE29" s="418">
        <v>48000</v>
      </c>
      <c r="AF29" s="418">
        <v>48000</v>
      </c>
      <c r="AG29" s="419">
        <v>49000</v>
      </c>
      <c r="AH29" s="420"/>
      <c r="AI29" s="421"/>
    </row>
    <row r="30" spans="1:36" s="400" customFormat="1" ht="21" x14ac:dyDescent="0.35">
      <c r="A30" s="399"/>
      <c r="B30" s="422"/>
      <c r="C30" s="404"/>
      <c r="D30" s="404"/>
      <c r="E30" s="404"/>
      <c r="F30" s="404"/>
      <c r="G30" s="404"/>
      <c r="H30" s="404"/>
      <c r="I30" s="404"/>
      <c r="J30" s="404"/>
      <c r="K30" s="404"/>
      <c r="L30" s="404"/>
      <c r="M30" s="404"/>
      <c r="N30" s="404"/>
      <c r="O30" s="404"/>
      <c r="P30" s="404"/>
      <c r="Q30" s="404"/>
      <c r="R30" s="404"/>
      <c r="S30" s="404"/>
      <c r="T30" s="404"/>
      <c r="U30" s="404"/>
      <c r="V30" s="404"/>
      <c r="W30" s="404"/>
      <c r="X30" s="404"/>
      <c r="Y30" s="404"/>
      <c r="Z30" s="404"/>
      <c r="AA30" s="404"/>
      <c r="AB30" s="404"/>
      <c r="AC30" s="404"/>
      <c r="AD30" s="404"/>
      <c r="AE30" s="404"/>
      <c r="AF30" s="404"/>
      <c r="AG30" s="404"/>
      <c r="AH30" s="404"/>
      <c r="AI30" s="423"/>
    </row>
    <row r="31" spans="1:36" ht="15.75" thickBot="1" x14ac:dyDescent="0.3">
      <c r="B31" s="959" t="s">
        <v>538</v>
      </c>
      <c r="C31" s="424"/>
      <c r="D31" s="424"/>
      <c r="E31" s="424"/>
      <c r="F31" s="424"/>
      <c r="G31" s="424"/>
      <c r="H31" s="424"/>
      <c r="I31" s="424"/>
      <c r="J31" s="424"/>
      <c r="K31" s="424"/>
      <c r="L31" s="424"/>
      <c r="M31" s="424"/>
      <c r="N31" s="424"/>
      <c r="O31" s="424"/>
      <c r="P31" s="424"/>
      <c r="Q31" s="424"/>
      <c r="R31" s="424"/>
      <c r="S31" s="424"/>
      <c r="T31" s="424"/>
      <c r="U31" s="424"/>
      <c r="V31" s="424"/>
      <c r="W31" s="424"/>
      <c r="X31" s="424"/>
      <c r="Y31" s="424"/>
      <c r="Z31" s="424"/>
      <c r="AA31" s="424"/>
      <c r="AB31" s="424"/>
      <c r="AC31" s="424"/>
      <c r="AD31" s="424"/>
      <c r="AE31" s="424"/>
      <c r="AF31" s="424"/>
      <c r="AG31" s="424"/>
      <c r="AH31" s="424"/>
      <c r="AI31" s="425"/>
    </row>
    <row r="32" spans="1:36" ht="15.75" thickBot="1" x14ac:dyDescent="0.3">
      <c r="B32" s="960"/>
      <c r="C32" s="424">
        <v>1260000</v>
      </c>
      <c r="D32" s="424">
        <v>1008000</v>
      </c>
      <c r="E32" s="424">
        <v>540000</v>
      </c>
      <c r="F32" s="424">
        <v>1440000</v>
      </c>
      <c r="G32" s="424">
        <v>135000</v>
      </c>
      <c r="H32" s="424"/>
      <c r="I32" s="424">
        <v>2599992</v>
      </c>
      <c r="J32" s="424">
        <v>11199996</v>
      </c>
      <c r="K32" s="424">
        <v>1999992</v>
      </c>
      <c r="L32" s="424">
        <v>560004</v>
      </c>
      <c r="M32" s="424">
        <v>87900</v>
      </c>
      <c r="N32" s="424">
        <v>52356</v>
      </c>
      <c r="O32" s="424">
        <v>268800</v>
      </c>
      <c r="P32" s="424">
        <v>1361364</v>
      </c>
      <c r="Q32" s="424">
        <v>23040</v>
      </c>
      <c r="R32" s="424">
        <v>170400</v>
      </c>
      <c r="S32" s="424">
        <v>93000</v>
      </c>
      <c r="T32" s="424">
        <v>67200</v>
      </c>
      <c r="U32" s="424">
        <v>493680</v>
      </c>
      <c r="V32" s="424">
        <v>22440</v>
      </c>
      <c r="W32" s="424">
        <v>33600</v>
      </c>
      <c r="X32" s="424">
        <v>127200</v>
      </c>
      <c r="Y32" s="424">
        <v>120000</v>
      </c>
      <c r="Z32" s="424">
        <v>27996</v>
      </c>
      <c r="AA32" s="424">
        <v>26184</v>
      </c>
      <c r="AB32" s="424">
        <v>720000</v>
      </c>
      <c r="AC32" s="424">
        <v>864000</v>
      </c>
      <c r="AD32" s="424">
        <v>27996</v>
      </c>
      <c r="AE32" s="424">
        <v>48000</v>
      </c>
      <c r="AF32" s="424">
        <v>48000</v>
      </c>
      <c r="AG32" s="424">
        <v>48996</v>
      </c>
      <c r="AH32" s="426">
        <v>25475136</v>
      </c>
      <c r="AI32" s="425"/>
    </row>
    <row r="33" spans="2:35" ht="15.75" thickBot="1" x14ac:dyDescent="0.3">
      <c r="B33" s="427" t="s">
        <v>539</v>
      </c>
      <c r="C33" s="428"/>
      <c r="D33" s="428"/>
      <c r="E33" s="428"/>
      <c r="F33" s="428"/>
      <c r="G33" s="428"/>
      <c r="H33" s="428"/>
      <c r="I33" s="428"/>
      <c r="J33" s="428"/>
      <c r="K33" s="428"/>
      <c r="L33" s="428"/>
      <c r="M33" s="428"/>
      <c r="N33" s="428"/>
      <c r="O33" s="428"/>
      <c r="P33" s="428"/>
      <c r="Q33" s="428"/>
      <c r="R33" s="428"/>
      <c r="S33" s="428"/>
      <c r="T33" s="428"/>
      <c r="U33" s="428"/>
      <c r="V33" s="428"/>
      <c r="W33" s="428"/>
      <c r="X33" s="428"/>
      <c r="Y33" s="428"/>
      <c r="Z33" s="428"/>
      <c r="AA33" s="428"/>
      <c r="AB33" s="428"/>
      <c r="AC33" s="428"/>
      <c r="AD33" s="428"/>
      <c r="AE33" s="428"/>
      <c r="AF33" s="428"/>
      <c r="AG33" s="428"/>
      <c r="AH33" s="429">
        <v>2493331</v>
      </c>
      <c r="AI33" s="430"/>
    </row>
    <row r="34" spans="2:35" ht="15.75" thickBot="1" x14ac:dyDescent="0.3">
      <c r="B34" s="427" t="s">
        <v>540</v>
      </c>
      <c r="C34" s="428"/>
      <c r="D34" s="428"/>
      <c r="E34" s="428"/>
      <c r="F34" s="428"/>
      <c r="G34" s="428"/>
      <c r="H34" s="428"/>
      <c r="I34" s="428"/>
      <c r="J34" s="428"/>
      <c r="K34" s="428"/>
      <c r="L34" s="428"/>
      <c r="M34" s="428"/>
      <c r="N34" s="428"/>
      <c r="O34" s="428"/>
      <c r="P34" s="428"/>
      <c r="Q34" s="428"/>
      <c r="R34" s="428"/>
      <c r="S34" s="428"/>
      <c r="T34" s="428"/>
      <c r="U34" s="428"/>
      <c r="V34" s="428"/>
      <c r="W34" s="428"/>
      <c r="X34" s="428"/>
      <c r="Y34" s="428"/>
      <c r="Z34" s="428"/>
      <c r="AA34" s="428"/>
      <c r="AB34" s="428"/>
      <c r="AC34" s="428"/>
      <c r="AD34" s="428"/>
      <c r="AE34" s="428"/>
      <c r="AF34" s="428"/>
      <c r="AG34" s="428"/>
      <c r="AH34" s="429">
        <f>SUM(AH32:AH33)</f>
        <v>27968467</v>
      </c>
      <c r="AI34" s="430"/>
    </row>
    <row r="35" spans="2:35" x14ac:dyDescent="0.25">
      <c r="B35" s="961" t="s">
        <v>541</v>
      </c>
      <c r="C35" s="962"/>
      <c r="D35" s="962"/>
      <c r="E35" s="962"/>
      <c r="F35" s="962"/>
      <c r="G35" s="962"/>
      <c r="H35" s="962"/>
      <c r="I35" s="424"/>
      <c r="J35" s="424"/>
      <c r="K35" s="424"/>
      <c r="L35" s="424"/>
      <c r="M35" s="424"/>
      <c r="N35" s="424"/>
      <c r="O35" s="424"/>
      <c r="P35" s="424"/>
      <c r="Q35" s="424"/>
      <c r="R35" s="424"/>
      <c r="S35" s="424"/>
      <c r="T35" s="424"/>
      <c r="U35" s="424"/>
      <c r="V35" s="424"/>
      <c r="W35" s="424"/>
      <c r="X35" s="424"/>
      <c r="Y35" s="424"/>
      <c r="Z35" s="424"/>
      <c r="AA35" s="424"/>
      <c r="AB35" s="424"/>
      <c r="AC35" s="424"/>
      <c r="AD35" s="424"/>
      <c r="AE35" s="424"/>
      <c r="AF35" s="424"/>
      <c r="AG35" s="424"/>
      <c r="AH35" s="424"/>
      <c r="AI35" s="425"/>
    </row>
    <row r="36" spans="2:35" x14ac:dyDescent="0.25">
      <c r="B36" s="961" t="s">
        <v>542</v>
      </c>
      <c r="C36" s="962"/>
      <c r="D36" s="962"/>
      <c r="E36" s="962"/>
      <c r="F36" s="962"/>
      <c r="G36" s="962"/>
      <c r="H36" s="962"/>
      <c r="I36" s="962"/>
      <c r="J36" s="962"/>
      <c r="K36" s="962"/>
      <c r="L36" s="962"/>
      <c r="M36" s="424"/>
      <c r="N36" s="424"/>
      <c r="O36" s="424"/>
      <c r="P36" s="424"/>
      <c r="Q36" s="424"/>
      <c r="R36" s="424"/>
      <c r="S36" s="424"/>
      <c r="T36" s="424"/>
      <c r="U36" s="424"/>
      <c r="V36" s="424"/>
      <c r="W36" s="424"/>
      <c r="X36" s="424"/>
      <c r="Y36" s="424"/>
      <c r="Z36" s="424"/>
      <c r="AA36" s="424"/>
      <c r="AB36" s="424"/>
      <c r="AC36" s="424"/>
      <c r="AD36" s="424"/>
      <c r="AE36" s="424"/>
      <c r="AF36" s="424"/>
      <c r="AG36" s="424"/>
      <c r="AH36" s="424"/>
      <c r="AI36" s="425"/>
    </row>
    <row r="37" spans="2:35" ht="15.75" thickBot="1" x14ac:dyDescent="0.3">
      <c r="B37" s="431"/>
      <c r="C37" s="432"/>
      <c r="D37" s="432"/>
      <c r="E37" s="432"/>
      <c r="F37" s="432"/>
      <c r="G37" s="432"/>
      <c r="H37" s="432"/>
      <c r="I37" s="432"/>
      <c r="J37" s="432"/>
      <c r="K37" s="432"/>
      <c r="L37" s="432"/>
      <c r="M37" s="432"/>
      <c r="N37" s="432"/>
      <c r="O37" s="432"/>
      <c r="P37" s="432"/>
      <c r="Q37" s="432"/>
      <c r="R37" s="432"/>
      <c r="S37" s="432"/>
      <c r="T37" s="432"/>
      <c r="U37" s="432"/>
      <c r="V37" s="432"/>
      <c r="W37" s="432"/>
      <c r="X37" s="432"/>
      <c r="Y37" s="432"/>
      <c r="Z37" s="432"/>
      <c r="AA37" s="432"/>
      <c r="AB37" s="432"/>
      <c r="AC37" s="432"/>
      <c r="AD37" s="432"/>
      <c r="AE37" s="432"/>
      <c r="AF37" s="432"/>
      <c r="AG37" s="432"/>
      <c r="AH37" s="432"/>
      <c r="AI37" s="433"/>
    </row>
  </sheetData>
  <mergeCells count="3">
    <mergeCell ref="B31:B32"/>
    <mergeCell ref="B35:H35"/>
    <mergeCell ref="B36:L3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FF8EE-6521-42B7-A3BD-DA74412A9A32}">
  <dimension ref="B4:D24"/>
  <sheetViews>
    <sheetView workbookViewId="0">
      <selection activeCell="D25" sqref="D25"/>
    </sheetView>
  </sheetViews>
  <sheetFormatPr defaultColWidth="8.85546875" defaultRowHeight="15" x14ac:dyDescent="0.25"/>
  <cols>
    <col min="1" max="3" width="8.85546875" style="389"/>
    <col min="4" max="4" width="130.85546875" style="390" customWidth="1"/>
    <col min="5" max="16384" width="8.85546875" style="389"/>
  </cols>
  <sheetData>
    <row r="4" spans="2:4" x14ac:dyDescent="0.25">
      <c r="B4" s="389" t="s">
        <v>435</v>
      </c>
      <c r="D4" s="390" t="s">
        <v>436</v>
      </c>
    </row>
    <row r="6" spans="2:4" x14ac:dyDescent="0.25">
      <c r="C6" s="389" t="s">
        <v>437</v>
      </c>
    </row>
    <row r="8" spans="2:4" x14ac:dyDescent="0.25">
      <c r="C8" s="389" t="s">
        <v>438</v>
      </c>
    </row>
    <row r="9" spans="2:4" ht="30" x14ac:dyDescent="0.25">
      <c r="D9" s="390" t="s">
        <v>439</v>
      </c>
    </row>
    <row r="11" spans="2:4" ht="60" x14ac:dyDescent="0.25">
      <c r="D11" s="390" t="s">
        <v>440</v>
      </c>
    </row>
    <row r="13" spans="2:4" ht="45" x14ac:dyDescent="0.25">
      <c r="D13" s="390" t="s">
        <v>441</v>
      </c>
    </row>
    <row r="14" spans="2:4" ht="30" x14ac:dyDescent="0.25">
      <c r="D14" s="390" t="s">
        <v>442</v>
      </c>
    </row>
    <row r="16" spans="2:4" ht="30" x14ac:dyDescent="0.25">
      <c r="D16" s="390" t="s">
        <v>443</v>
      </c>
    </row>
    <row r="19" spans="3:4" customFormat="1" x14ac:dyDescent="0.25">
      <c r="C19" t="s">
        <v>51</v>
      </c>
    </row>
    <row r="20" spans="3:4" customFormat="1" x14ac:dyDescent="0.25"/>
    <row r="21" spans="3:4" customFormat="1" x14ac:dyDescent="0.25">
      <c r="D21" t="s">
        <v>444</v>
      </c>
    </row>
    <row r="22" spans="3:4" customFormat="1" x14ac:dyDescent="0.25">
      <c r="D22" t="s">
        <v>445</v>
      </c>
    </row>
    <row r="23" spans="3:4" customFormat="1" x14ac:dyDescent="0.25"/>
    <row r="24" spans="3:4" customFormat="1"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B64"/>
  <sheetViews>
    <sheetView zoomScale="80" zoomScaleNormal="80" workbookViewId="0">
      <selection activeCell="N27" sqref="N27"/>
    </sheetView>
  </sheetViews>
  <sheetFormatPr defaultColWidth="8.7109375" defaultRowHeight="15.75" x14ac:dyDescent="0.25"/>
  <cols>
    <col min="1" max="1" width="0.140625" style="64" customWidth="1"/>
    <col min="2" max="2" width="6.85546875" style="76" customWidth="1"/>
    <col min="3" max="3" width="9" style="76" customWidth="1"/>
    <col min="4" max="4" width="14.140625" style="64" customWidth="1"/>
    <col min="5" max="5" width="6.42578125" style="64" customWidth="1"/>
    <col min="6" max="6" width="7.5703125" style="64" customWidth="1"/>
    <col min="7" max="7" width="11.5703125" style="64" customWidth="1"/>
    <col min="8" max="8" width="9.42578125" style="64" customWidth="1"/>
    <col min="9" max="9" width="10.85546875" style="64" customWidth="1"/>
    <col min="10" max="10" width="9.85546875" style="64" customWidth="1"/>
    <col min="11" max="11" width="7.140625" style="78" customWidth="1"/>
    <col min="12" max="12" width="8" style="78" customWidth="1"/>
    <col min="13" max="13" width="7.42578125" style="78" customWidth="1"/>
    <col min="14" max="14" width="6.5703125" style="78" customWidth="1"/>
    <col min="15" max="15" width="7.42578125" style="78" customWidth="1"/>
    <col min="16" max="16" width="5.42578125" style="78" customWidth="1"/>
    <col min="17" max="17" width="9.85546875" style="78" customWidth="1"/>
    <col min="18" max="18" width="9.140625" style="78" customWidth="1"/>
    <col min="19" max="19" width="10" style="78" customWidth="1"/>
    <col min="20" max="20" width="13.42578125" style="78" customWidth="1"/>
    <col min="21" max="21" width="9.85546875" style="78" customWidth="1"/>
    <col min="22" max="22" width="8.7109375" style="78" customWidth="1"/>
    <col min="23" max="23" width="9.42578125" style="78" customWidth="1"/>
    <col min="24" max="24" width="1.5703125" style="78" customWidth="1"/>
    <col min="25" max="25" width="10.7109375" style="78" customWidth="1"/>
    <col min="26" max="26" width="11" style="64" customWidth="1"/>
    <col min="27" max="27" width="14.42578125" style="76" customWidth="1"/>
    <col min="28" max="28" width="12.42578125" style="64" customWidth="1"/>
    <col min="29" max="16384" width="8.7109375" style="64"/>
  </cols>
  <sheetData>
    <row r="2" spans="1:28" x14ac:dyDescent="0.25">
      <c r="C2" s="77" t="s">
        <v>300</v>
      </c>
    </row>
    <row r="3" spans="1:28" ht="16.5" thickBot="1" x14ac:dyDescent="0.3"/>
    <row r="4" spans="1:28" ht="16.5" thickBot="1" x14ac:dyDescent="0.3">
      <c r="B4" s="79" t="s">
        <v>0</v>
      </c>
      <c r="C4" s="80" t="s">
        <v>1</v>
      </c>
      <c r="D4" s="81" t="s">
        <v>2</v>
      </c>
      <c r="E4" s="81" t="s">
        <v>3</v>
      </c>
      <c r="F4" s="81" t="s">
        <v>4</v>
      </c>
      <c r="G4" s="81" t="s">
        <v>5</v>
      </c>
      <c r="H4" s="80" t="s">
        <v>6</v>
      </c>
      <c r="I4" s="116" t="s">
        <v>7</v>
      </c>
      <c r="J4" s="116" t="s">
        <v>8</v>
      </c>
      <c r="K4" s="127" t="s">
        <v>9</v>
      </c>
      <c r="L4" s="911" t="s">
        <v>306</v>
      </c>
      <c r="M4" s="912"/>
      <c r="N4" s="912"/>
      <c r="O4" s="913"/>
      <c r="P4" s="149"/>
      <c r="Q4" s="914" t="s">
        <v>37</v>
      </c>
      <c r="R4" s="915"/>
      <c r="S4" s="915"/>
      <c r="T4" s="916"/>
      <c r="U4" s="917" t="s">
        <v>315</v>
      </c>
      <c r="V4" s="144"/>
      <c r="W4" s="144"/>
      <c r="X4" s="145"/>
      <c r="Y4" s="155" t="s">
        <v>316</v>
      </c>
      <c r="Z4" s="114" t="s">
        <v>10</v>
      </c>
      <c r="AA4" s="64"/>
    </row>
    <row r="5" spans="1:28" ht="16.5" thickBot="1" x14ac:dyDescent="0.3">
      <c r="B5" s="82"/>
      <c r="C5" s="83" t="s">
        <v>11</v>
      </c>
      <c r="D5" s="5" t="s">
        <v>12</v>
      </c>
      <c r="E5" s="5"/>
      <c r="F5" s="5"/>
      <c r="G5" s="5" t="s">
        <v>13</v>
      </c>
      <c r="H5" s="83" t="s">
        <v>14</v>
      </c>
      <c r="I5" s="115"/>
      <c r="J5" s="47"/>
      <c r="K5" s="49"/>
      <c r="L5" s="131" t="s">
        <v>302</v>
      </c>
      <c r="M5" s="112" t="s">
        <v>303</v>
      </c>
      <c r="N5" s="112" t="s">
        <v>305</v>
      </c>
      <c r="O5" s="112" t="s">
        <v>304</v>
      </c>
      <c r="P5" s="112"/>
      <c r="Q5" s="131" t="s">
        <v>312</v>
      </c>
      <c r="R5" s="112" t="s">
        <v>314</v>
      </c>
      <c r="S5" s="112" t="s">
        <v>6</v>
      </c>
      <c r="T5" s="151" t="s">
        <v>313</v>
      </c>
      <c r="U5" s="918"/>
      <c r="V5" s="112" t="s">
        <v>307</v>
      </c>
      <c r="W5" s="112" t="s">
        <v>310</v>
      </c>
      <c r="X5" s="112"/>
      <c r="Y5" s="112" t="s">
        <v>95</v>
      </c>
      <c r="Z5" s="56" t="s">
        <v>15</v>
      </c>
      <c r="AA5" s="64"/>
    </row>
    <row r="6" spans="1:28" x14ac:dyDescent="0.25">
      <c r="B6" s="84">
        <v>2007</v>
      </c>
      <c r="C6" s="85" t="s">
        <v>16</v>
      </c>
      <c r="D6" s="46">
        <v>14380326</v>
      </c>
      <c r="E6" s="86">
        <v>1346</v>
      </c>
      <c r="F6" s="47">
        <v>4777</v>
      </c>
      <c r="G6" s="46">
        <v>1087149</v>
      </c>
      <c r="H6" s="87">
        <v>190144</v>
      </c>
      <c r="I6" s="88">
        <v>1595000</v>
      </c>
      <c r="J6" s="89">
        <f>SUM(I6*K6/2200)</f>
        <v>13887.592500000001</v>
      </c>
      <c r="K6" s="128">
        <v>19.1553</v>
      </c>
      <c r="L6" s="132">
        <v>7.9897999999999998</v>
      </c>
      <c r="M6" s="117">
        <v>2.7050000000000001</v>
      </c>
      <c r="N6" s="117">
        <v>5.8599999999999999E-2</v>
      </c>
      <c r="O6" s="117">
        <v>8.4019999999999992</v>
      </c>
      <c r="P6" s="117" t="s">
        <v>311</v>
      </c>
      <c r="Q6" s="146">
        <v>6079</v>
      </c>
      <c r="R6" s="126">
        <v>5780</v>
      </c>
      <c r="S6" s="126">
        <v>1957</v>
      </c>
      <c r="T6" s="126">
        <f>SUM(R6:S6)</f>
        <v>7737</v>
      </c>
      <c r="U6" s="126">
        <f>SUM(Q6+R6+S6)</f>
        <v>13816</v>
      </c>
      <c r="V6" s="142">
        <v>42</v>
      </c>
      <c r="W6" s="117"/>
      <c r="X6" s="113"/>
      <c r="Y6" s="113"/>
      <c r="Z6" s="143">
        <v>170.68</v>
      </c>
      <c r="AA6" s="64"/>
      <c r="AB6"/>
    </row>
    <row r="7" spans="1:28" ht="16.5" thickBot="1" x14ac:dyDescent="0.3">
      <c r="A7" s="78">
        <f>SUM(Q7)</f>
        <v>5526.4188999999997</v>
      </c>
      <c r="B7" s="84" t="s">
        <v>309</v>
      </c>
      <c r="C7" s="85"/>
      <c r="D7" s="47"/>
      <c r="E7" s="90"/>
      <c r="F7" s="47"/>
      <c r="G7" s="47"/>
      <c r="H7" s="85"/>
      <c r="I7" s="84"/>
      <c r="J7" s="89"/>
      <c r="K7" s="97"/>
      <c r="L7" s="133"/>
      <c r="M7" s="91"/>
      <c r="N7" s="91"/>
      <c r="O7" s="91" t="s">
        <v>308</v>
      </c>
      <c r="P7" s="91" t="s">
        <v>308</v>
      </c>
      <c r="Q7" s="102">
        <f t="shared" ref="Q7:V7" si="0">SUM(Q6*0.9091)</f>
        <v>5526.4188999999997</v>
      </c>
      <c r="R7" s="102">
        <f t="shared" si="0"/>
        <v>5254.598</v>
      </c>
      <c r="S7" s="102">
        <f t="shared" si="0"/>
        <v>1779.1087</v>
      </c>
      <c r="T7" s="102">
        <f t="shared" si="0"/>
        <v>7033.7066999999997</v>
      </c>
      <c r="U7" s="148">
        <f t="shared" si="0"/>
        <v>12560.125599999999</v>
      </c>
      <c r="V7" s="102">
        <f t="shared" si="0"/>
        <v>38.182200000000002</v>
      </c>
      <c r="W7" s="102">
        <v>2292</v>
      </c>
      <c r="X7" s="102"/>
      <c r="Y7" s="91"/>
      <c r="Z7" s="119"/>
      <c r="AA7" s="64"/>
      <c r="AB7"/>
    </row>
    <row r="8" spans="1:28" x14ac:dyDescent="0.25">
      <c r="B8" s="84">
        <v>2008</v>
      </c>
      <c r="C8" s="85">
        <v>3.85</v>
      </c>
      <c r="D8" s="46">
        <v>14307089</v>
      </c>
      <c r="E8" s="93">
        <v>1142</v>
      </c>
      <c r="F8" s="47">
        <v>4426</v>
      </c>
      <c r="G8" s="46">
        <v>1280833</v>
      </c>
      <c r="H8" s="87">
        <v>42388</v>
      </c>
      <c r="I8" s="88">
        <v>1595000</v>
      </c>
      <c r="J8" s="89">
        <f t="shared" ref="J8:J20" si="1">SUM(I8*K8/2200)</f>
        <v>14422.57</v>
      </c>
      <c r="K8" s="97">
        <v>19.8932</v>
      </c>
      <c r="L8" s="133"/>
      <c r="M8" s="91"/>
      <c r="N8" s="91"/>
      <c r="O8" s="91"/>
      <c r="P8" s="91"/>
      <c r="Q8" s="91"/>
      <c r="R8" s="91"/>
      <c r="S8" s="91"/>
      <c r="T8" s="91"/>
      <c r="U8" s="91"/>
      <c r="V8" s="91"/>
      <c r="W8" s="91"/>
      <c r="X8" s="91"/>
      <c r="Y8" s="91"/>
      <c r="Z8" s="92">
        <v>183.02</v>
      </c>
      <c r="AA8" s="64"/>
      <c r="AB8"/>
    </row>
    <row r="9" spans="1:28" x14ac:dyDescent="0.25">
      <c r="B9" s="84">
        <v>2009</v>
      </c>
      <c r="C9" s="85" t="s">
        <v>301</v>
      </c>
      <c r="D9" s="46">
        <v>13519178</v>
      </c>
      <c r="E9" s="90">
        <v>1041</v>
      </c>
      <c r="F9" s="47">
        <v>4647</v>
      </c>
      <c r="G9" s="46">
        <v>1243833</v>
      </c>
      <c r="H9" s="87">
        <v>72535</v>
      </c>
      <c r="I9" s="88">
        <v>1595000</v>
      </c>
      <c r="J9" s="89">
        <f t="shared" si="1"/>
        <v>14185.205</v>
      </c>
      <c r="K9" s="97">
        <v>19.565799999999999</v>
      </c>
      <c r="L9" s="133"/>
      <c r="M9" s="91"/>
      <c r="N9" s="91"/>
      <c r="O9" s="91"/>
      <c r="P9" s="91"/>
      <c r="Q9" s="91"/>
      <c r="R9" s="125"/>
      <c r="S9" s="91"/>
      <c r="T9" s="91"/>
      <c r="U9" s="91"/>
      <c r="V9" s="91"/>
      <c r="W9" s="91"/>
      <c r="X9" s="91"/>
      <c r="Y9" s="91"/>
      <c r="Z9" s="92">
        <v>178.25</v>
      </c>
      <c r="AA9" s="64"/>
      <c r="AB9"/>
    </row>
    <row r="10" spans="1:28" x14ac:dyDescent="0.25">
      <c r="B10" s="84"/>
      <c r="C10" s="85"/>
      <c r="D10" s="47"/>
      <c r="E10" s="86"/>
      <c r="F10" s="47"/>
      <c r="G10" s="47"/>
      <c r="H10" s="85"/>
      <c r="I10" s="84"/>
      <c r="J10" s="89"/>
      <c r="K10" s="97"/>
      <c r="L10" s="133"/>
      <c r="M10" s="91"/>
      <c r="N10" s="91"/>
      <c r="O10" s="91"/>
      <c r="P10" s="91"/>
      <c r="Q10" s="91"/>
      <c r="R10" s="91"/>
      <c r="S10" s="91"/>
      <c r="T10" s="91"/>
      <c r="U10" s="91"/>
      <c r="V10" s="91"/>
      <c r="W10" s="91"/>
      <c r="X10" s="91"/>
      <c r="Y10" s="91"/>
      <c r="Z10" s="92"/>
      <c r="AA10" s="64"/>
      <c r="AB10"/>
    </row>
    <row r="11" spans="1:28" x14ac:dyDescent="0.25">
      <c r="B11" s="84">
        <v>2010</v>
      </c>
      <c r="C11" s="85">
        <v>-9.85</v>
      </c>
      <c r="D11" s="46">
        <v>14155738</v>
      </c>
      <c r="E11" s="94">
        <v>1712</v>
      </c>
      <c r="F11" s="47">
        <v>4227</v>
      </c>
      <c r="G11" s="46">
        <v>1164674</v>
      </c>
      <c r="H11" s="85">
        <v>25.946000000000002</v>
      </c>
      <c r="I11" s="88">
        <v>1595000</v>
      </c>
      <c r="J11" s="89">
        <f t="shared" si="1"/>
        <v>12519.807500000001</v>
      </c>
      <c r="K11" s="97">
        <v>17.268699999999999</v>
      </c>
      <c r="L11" s="133"/>
      <c r="M11" s="91"/>
      <c r="N11" s="91"/>
      <c r="O11" s="91"/>
      <c r="P11" s="91"/>
      <c r="Q11" s="91"/>
      <c r="R11" s="91"/>
      <c r="S11" s="91"/>
      <c r="T11" s="91"/>
      <c r="U11" s="91"/>
      <c r="V11" s="91"/>
      <c r="W11" s="91"/>
      <c r="X11" s="91"/>
      <c r="Y11" s="91"/>
      <c r="Z11" s="92">
        <v>160.09</v>
      </c>
      <c r="AA11" s="64"/>
      <c r="AB11"/>
    </row>
    <row r="12" spans="1:28" x14ac:dyDescent="0.25">
      <c r="B12" s="84">
        <v>2011</v>
      </c>
      <c r="C12" s="85">
        <v>1.39</v>
      </c>
      <c r="D12" s="46">
        <v>16590076</v>
      </c>
      <c r="E12" s="94">
        <v>1363</v>
      </c>
      <c r="F12" s="47">
        <v>4288</v>
      </c>
      <c r="G12" s="46">
        <v>1333951</v>
      </c>
      <c r="H12" s="87">
        <v>15458</v>
      </c>
      <c r="I12" s="88">
        <v>1624000</v>
      </c>
      <c r="J12" s="89">
        <f t="shared" si="1"/>
        <v>14336.893454545456</v>
      </c>
      <c r="K12" s="97">
        <v>19.421900000000001</v>
      </c>
      <c r="L12" s="133"/>
      <c r="M12" s="91"/>
      <c r="N12" s="91"/>
      <c r="O12" s="91"/>
      <c r="P12" s="91"/>
      <c r="Q12" s="91"/>
      <c r="R12" s="91"/>
      <c r="S12" s="91"/>
      <c r="T12" s="91"/>
      <c r="U12" s="91"/>
      <c r="V12" s="91"/>
      <c r="W12" s="91"/>
      <c r="X12" s="91"/>
      <c r="Y12" s="91"/>
      <c r="Z12" s="92">
        <v>180.97</v>
      </c>
      <c r="AA12" s="64"/>
      <c r="AB12"/>
    </row>
    <row r="13" spans="1:28" x14ac:dyDescent="0.25">
      <c r="B13" s="84">
        <v>2012</v>
      </c>
      <c r="C13" s="85">
        <v>2.0299999999999998</v>
      </c>
      <c r="D13" s="46">
        <v>16678625</v>
      </c>
      <c r="E13" s="47">
        <v>1503</v>
      </c>
      <c r="F13" s="47">
        <v>3792</v>
      </c>
      <c r="G13" s="46">
        <v>1167874</v>
      </c>
      <c r="H13" s="87">
        <v>50741</v>
      </c>
      <c r="I13" s="88">
        <v>1624000</v>
      </c>
      <c r="J13" s="89">
        <f t="shared" si="1"/>
        <v>13853.458181818181</v>
      </c>
      <c r="K13" s="97">
        <v>18.766999999999999</v>
      </c>
      <c r="L13" s="133"/>
      <c r="M13" s="91"/>
      <c r="N13" s="91"/>
      <c r="O13" s="91"/>
      <c r="P13" s="91"/>
      <c r="Q13" s="91"/>
      <c r="R13" s="91"/>
      <c r="S13" s="91"/>
      <c r="T13" s="91"/>
      <c r="U13" s="91"/>
      <c r="V13" s="91"/>
      <c r="W13" s="91"/>
      <c r="X13" s="91"/>
      <c r="Y13" s="91"/>
      <c r="Z13" s="92">
        <v>174.25</v>
      </c>
      <c r="AA13" s="95"/>
      <c r="AB13"/>
    </row>
    <row r="14" spans="1:28" x14ac:dyDescent="0.25">
      <c r="B14" s="84">
        <v>2013</v>
      </c>
      <c r="C14" s="85">
        <v>0.96</v>
      </c>
      <c r="D14" s="46">
        <v>16924917</v>
      </c>
      <c r="E14" s="47">
        <v>1388</v>
      </c>
      <c r="F14" s="47">
        <v>4609</v>
      </c>
      <c r="G14" s="46">
        <v>1227058</v>
      </c>
      <c r="H14" s="87">
        <v>54026</v>
      </c>
      <c r="I14" s="88">
        <v>1627500</v>
      </c>
      <c r="J14" s="89">
        <f t="shared" si="1"/>
        <v>14306.760681818183</v>
      </c>
      <c r="K14" s="97">
        <v>19.339400000000001</v>
      </c>
      <c r="L14" s="133"/>
      <c r="M14" s="91"/>
      <c r="N14" s="91"/>
      <c r="O14" s="91"/>
      <c r="P14" s="91"/>
      <c r="Q14" s="91"/>
      <c r="R14" s="91"/>
      <c r="S14" s="91"/>
      <c r="T14" s="91"/>
      <c r="U14" s="91"/>
      <c r="V14" s="91"/>
      <c r="W14" s="91"/>
      <c r="X14" s="91"/>
      <c r="Y14" s="91"/>
      <c r="Z14" s="92">
        <v>179.25</v>
      </c>
      <c r="AA14" s="64"/>
    </row>
    <row r="15" spans="1:28" x14ac:dyDescent="0.25">
      <c r="B15" s="84">
        <v>2014</v>
      </c>
      <c r="C15" s="85">
        <v>16.190000000000001</v>
      </c>
      <c r="D15" s="46">
        <v>16447723</v>
      </c>
      <c r="E15" s="47">
        <v>1183</v>
      </c>
      <c r="F15" s="47">
        <v>4938</v>
      </c>
      <c r="G15" s="46">
        <v>843459</v>
      </c>
      <c r="H15" s="87">
        <v>36111</v>
      </c>
      <c r="I15" s="88">
        <v>1627500</v>
      </c>
      <c r="J15" s="89">
        <f t="shared" si="1"/>
        <v>11876.163409090908</v>
      </c>
      <c r="K15" s="97">
        <v>16.053799999999999</v>
      </c>
      <c r="L15" s="133"/>
      <c r="M15" s="91"/>
      <c r="N15" s="91"/>
      <c r="O15" s="91"/>
      <c r="P15" s="91"/>
      <c r="Q15" s="91"/>
      <c r="R15" s="91"/>
      <c r="S15" s="91"/>
      <c r="T15" s="91"/>
      <c r="U15" s="91"/>
      <c r="V15" s="91"/>
      <c r="W15" s="91"/>
      <c r="X15" s="91"/>
      <c r="Y15" s="91"/>
      <c r="Z15" s="96">
        <v>151.36000000000001</v>
      </c>
      <c r="AA15" s="64"/>
    </row>
    <row r="16" spans="1:28" x14ac:dyDescent="0.25">
      <c r="B16" s="84">
        <v>2015</v>
      </c>
      <c r="C16" s="97">
        <v>29.6</v>
      </c>
      <c r="D16" s="46">
        <v>16896530</v>
      </c>
      <c r="E16" s="47">
        <v>1544</v>
      </c>
      <c r="F16" s="47">
        <v>4496</v>
      </c>
      <c r="G16" s="46">
        <v>504974</v>
      </c>
      <c r="H16" s="87">
        <v>7750</v>
      </c>
      <c r="I16" s="88">
        <v>1627500</v>
      </c>
      <c r="J16" s="89">
        <f t="shared" si="1"/>
        <v>9976.6489772727273</v>
      </c>
      <c r="K16" s="97">
        <v>13.4861</v>
      </c>
      <c r="L16" s="133"/>
      <c r="M16" s="91"/>
      <c r="N16" s="91"/>
      <c r="O16" s="91"/>
      <c r="P16" s="91"/>
      <c r="Q16" s="91"/>
      <c r="R16" s="91"/>
      <c r="S16" s="91"/>
      <c r="T16" s="91"/>
      <c r="U16" s="91"/>
      <c r="V16" s="91"/>
      <c r="W16" s="91"/>
      <c r="X16" s="91"/>
      <c r="Y16" s="91"/>
      <c r="Z16" s="96">
        <v>130.79</v>
      </c>
      <c r="AA16" s="64"/>
    </row>
    <row r="17" spans="2:27" x14ac:dyDescent="0.25">
      <c r="B17" s="84">
        <v>2016</v>
      </c>
      <c r="C17" s="85">
        <v>23.34</v>
      </c>
      <c r="D17" s="46">
        <v>16709216</v>
      </c>
      <c r="E17" s="46">
        <v>1732</v>
      </c>
      <c r="F17" s="46">
        <v>3978</v>
      </c>
      <c r="G17" s="46">
        <v>881930</v>
      </c>
      <c r="H17" s="85">
        <v>25215</v>
      </c>
      <c r="I17" s="88">
        <v>1811725</v>
      </c>
      <c r="J17" s="89">
        <f t="shared" si="1"/>
        <v>12092.687917045454</v>
      </c>
      <c r="K17" s="97">
        <v>14.6843</v>
      </c>
      <c r="L17" s="133"/>
      <c r="M17" s="91"/>
      <c r="N17" s="91"/>
      <c r="O17" s="91"/>
      <c r="P17" s="91"/>
      <c r="Q17" s="91"/>
      <c r="R17" s="91"/>
      <c r="S17" s="91"/>
      <c r="T17" s="91"/>
      <c r="U17" s="91"/>
      <c r="V17" s="91"/>
      <c r="W17" s="91"/>
      <c r="X17" s="91"/>
      <c r="Y17" s="91"/>
      <c r="Z17" s="92">
        <v>138.63999999999999</v>
      </c>
      <c r="AA17" s="64"/>
    </row>
    <row r="18" spans="2:27" x14ac:dyDescent="0.25">
      <c r="B18" s="84">
        <v>2017</v>
      </c>
      <c r="C18" s="85">
        <v>3.38</v>
      </c>
      <c r="D18" s="46">
        <v>16601666</v>
      </c>
      <c r="E18" s="46">
        <v>1429</v>
      </c>
      <c r="F18" s="46">
        <v>3996</v>
      </c>
      <c r="G18" s="46">
        <v>1364250</v>
      </c>
      <c r="H18" s="85">
        <v>57800</v>
      </c>
      <c r="I18" s="88">
        <v>1827238</v>
      </c>
      <c r="J18" s="89">
        <f t="shared" si="1"/>
        <v>15372.636350272727</v>
      </c>
      <c r="K18" s="97">
        <v>18.508700000000001</v>
      </c>
      <c r="L18" s="133"/>
      <c r="M18" s="91"/>
      <c r="N18" s="91"/>
      <c r="O18" s="91"/>
      <c r="P18" s="91"/>
      <c r="Q18" s="91"/>
      <c r="R18" s="91"/>
      <c r="S18" s="91"/>
      <c r="T18" s="91"/>
      <c r="U18" s="91"/>
      <c r="V18" s="91"/>
      <c r="W18" s="91"/>
      <c r="X18" s="91"/>
      <c r="Y18" s="91"/>
      <c r="Z18" s="92">
        <v>165.79</v>
      </c>
      <c r="AA18" s="64"/>
    </row>
    <row r="19" spans="2:27" x14ac:dyDescent="0.25">
      <c r="B19" s="84"/>
      <c r="C19" s="85"/>
      <c r="D19" s="47"/>
      <c r="E19" s="47"/>
      <c r="F19" s="47"/>
      <c r="G19" s="47"/>
      <c r="H19" s="85"/>
      <c r="I19" s="84"/>
      <c r="J19" s="89"/>
      <c r="K19" s="97"/>
      <c r="L19" s="134"/>
      <c r="M19" s="121"/>
      <c r="N19" s="121"/>
      <c r="O19" s="135"/>
      <c r="P19" s="150"/>
      <c r="Q19" s="130"/>
      <c r="R19" s="121"/>
      <c r="S19" s="121"/>
      <c r="T19" s="121"/>
      <c r="U19" s="121"/>
      <c r="V19" s="121"/>
      <c r="W19" s="121"/>
      <c r="X19" s="121"/>
      <c r="Y19" s="97"/>
      <c r="Z19" s="119"/>
      <c r="AA19" s="64"/>
    </row>
    <row r="20" spans="2:27" x14ac:dyDescent="0.25">
      <c r="B20" s="84">
        <v>2018</v>
      </c>
      <c r="C20" s="85">
        <v>4.58</v>
      </c>
      <c r="D20" s="46">
        <v>16788006</v>
      </c>
      <c r="E20" s="46">
        <v>1688</v>
      </c>
      <c r="F20" s="46">
        <v>4511</v>
      </c>
      <c r="G20" s="46">
        <v>1019875</v>
      </c>
      <c r="H20" s="85" t="s">
        <v>17</v>
      </c>
      <c r="I20" s="98">
        <v>1827238</v>
      </c>
      <c r="J20" s="89">
        <f t="shared" si="1"/>
        <v>15180.527191454546</v>
      </c>
      <c r="K20" s="118">
        <v>18.2774</v>
      </c>
      <c r="L20" s="136">
        <v>6.5427</v>
      </c>
      <c r="M20" s="122"/>
      <c r="N20" s="124">
        <v>8.7999999999999995E-2</v>
      </c>
      <c r="O20" s="137">
        <v>8.5619999999999994</v>
      </c>
      <c r="P20" s="117" t="s">
        <v>311</v>
      </c>
      <c r="Q20" s="126">
        <v>7096</v>
      </c>
      <c r="R20" s="126">
        <v>5423</v>
      </c>
      <c r="S20" s="126">
        <v>1917</v>
      </c>
      <c r="T20" s="147">
        <f>SUM(R20+S20)</f>
        <v>7340</v>
      </c>
      <c r="U20" s="147">
        <f>SUM(Q20++S20)</f>
        <v>9013</v>
      </c>
      <c r="V20" s="123">
        <v>73</v>
      </c>
      <c r="W20" s="124">
        <v>640</v>
      </c>
      <c r="X20" s="122"/>
      <c r="Y20" s="118"/>
      <c r="Z20" s="120">
        <v>158.41</v>
      </c>
      <c r="AA20" s="64"/>
    </row>
    <row r="21" spans="2:27" x14ac:dyDescent="0.25">
      <c r="B21" s="84" t="s">
        <v>308</v>
      </c>
      <c r="C21" s="85"/>
      <c r="D21" s="47"/>
      <c r="E21" s="47"/>
      <c r="F21" s="47"/>
      <c r="G21" s="47"/>
      <c r="H21" s="85"/>
      <c r="I21" s="84"/>
      <c r="J21" s="85"/>
      <c r="K21" s="97"/>
      <c r="L21" s="134"/>
      <c r="M21" s="121"/>
      <c r="N21" s="121"/>
      <c r="O21" s="135" t="s">
        <v>308</v>
      </c>
      <c r="P21" s="91" t="s">
        <v>308</v>
      </c>
      <c r="Q21" s="91">
        <f t="shared" ref="Q21:W21" si="2">SUM(Q20*0.9091)</f>
        <v>6450.9736000000003</v>
      </c>
      <c r="R21" s="91">
        <f t="shared" si="2"/>
        <v>4930.0492999999997</v>
      </c>
      <c r="S21" s="91">
        <f t="shared" si="2"/>
        <v>1742.7447</v>
      </c>
      <c r="T21" s="91">
        <f t="shared" si="2"/>
        <v>6672.7939999999999</v>
      </c>
      <c r="U21" s="91">
        <f t="shared" si="2"/>
        <v>8193.7183000000005</v>
      </c>
      <c r="V21" s="91">
        <f t="shared" si="2"/>
        <v>66.3643</v>
      </c>
      <c r="W21" s="91">
        <f t="shared" si="2"/>
        <v>581.82400000000007</v>
      </c>
      <c r="X21" s="121"/>
      <c r="Y21" s="97"/>
      <c r="Z21" s="119"/>
      <c r="AA21" s="64"/>
    </row>
    <row r="22" spans="2:27" ht="16.5" thickBot="1" x14ac:dyDescent="0.3">
      <c r="B22" s="99" t="s">
        <v>18</v>
      </c>
      <c r="C22" s="100">
        <v>1</v>
      </c>
      <c r="D22" s="101">
        <v>2</v>
      </c>
      <c r="E22" s="101">
        <v>3</v>
      </c>
      <c r="F22" s="101">
        <v>4</v>
      </c>
      <c r="G22" s="101">
        <v>5</v>
      </c>
      <c r="H22" s="100">
        <v>6</v>
      </c>
      <c r="I22" s="99">
        <v>7</v>
      </c>
      <c r="J22" s="100">
        <v>8</v>
      </c>
      <c r="K22" s="129">
        <v>9</v>
      </c>
      <c r="L22" s="138"/>
      <c r="M22" s="102"/>
      <c r="N22" s="102"/>
      <c r="O22" s="102"/>
      <c r="P22" s="102"/>
      <c r="Q22" s="102"/>
      <c r="R22" s="102"/>
      <c r="S22" s="102"/>
      <c r="T22" s="102"/>
      <c r="U22" s="102"/>
      <c r="V22" s="102"/>
      <c r="W22" s="102"/>
      <c r="X22" s="102"/>
      <c r="Y22" s="102"/>
      <c r="Z22" s="103">
        <v>10</v>
      </c>
      <c r="AA22" s="64"/>
    </row>
    <row r="23" spans="2:27" x14ac:dyDescent="0.25">
      <c r="D23" s="104"/>
      <c r="E23" s="76"/>
      <c r="F23" s="104"/>
      <c r="G23" s="104"/>
      <c r="H23" s="104"/>
      <c r="I23" s="104"/>
      <c r="J23" s="104"/>
      <c r="K23" s="105"/>
      <c r="L23" s="105"/>
      <c r="M23" s="105"/>
      <c r="N23" s="105"/>
      <c r="O23" s="105"/>
      <c r="P23" s="105"/>
      <c r="Q23" s="105"/>
      <c r="R23" s="105"/>
      <c r="S23" s="105"/>
      <c r="T23" s="105"/>
      <c r="U23" s="105"/>
      <c r="V23" s="105"/>
      <c r="W23" s="105"/>
      <c r="X23" s="105"/>
      <c r="Y23" s="105"/>
      <c r="Z23" s="104"/>
      <c r="AA23" s="104"/>
    </row>
    <row r="24" spans="2:27" ht="15.6" customHeight="1" x14ac:dyDescent="0.25">
      <c r="B24" s="76">
        <v>1</v>
      </c>
      <c r="C24" s="909" t="s">
        <v>19</v>
      </c>
      <c r="D24" s="909"/>
      <c r="E24" s="909"/>
      <c r="F24" s="909"/>
      <c r="G24" s="909"/>
      <c r="H24" s="909"/>
      <c r="I24" s="909"/>
      <c r="J24" s="909"/>
      <c r="K24" s="909"/>
      <c r="L24" s="909"/>
      <c r="M24" s="909"/>
      <c r="N24" s="909"/>
      <c r="O24" s="909"/>
      <c r="P24" s="909"/>
      <c r="Q24" s="909"/>
      <c r="R24" s="909"/>
      <c r="S24" s="909"/>
      <c r="T24" s="909"/>
      <c r="U24" s="909"/>
      <c r="V24" s="909"/>
      <c r="W24" s="909"/>
      <c r="X24" s="909"/>
      <c r="Y24" s="909"/>
      <c r="Z24" s="909"/>
    </row>
    <row r="25" spans="2:27" x14ac:dyDescent="0.25">
      <c r="C25" s="104"/>
      <c r="D25" s="76"/>
      <c r="E25" s="104"/>
      <c r="F25" s="104"/>
      <c r="G25" s="104"/>
      <c r="H25" s="104"/>
      <c r="I25" s="104"/>
      <c r="J25" s="105"/>
      <c r="K25" s="104"/>
      <c r="L25" s="104"/>
      <c r="M25" s="104"/>
      <c r="N25" s="104"/>
      <c r="O25" s="104"/>
      <c r="P25" s="104"/>
      <c r="Q25" s="126">
        <v>4930</v>
      </c>
      <c r="R25" s="126">
        <v>1743</v>
      </c>
      <c r="S25" s="139">
        <f>SUM(Q25:R25)</f>
        <v>6673</v>
      </c>
      <c r="T25" s="139"/>
      <c r="U25" s="139"/>
      <c r="V25" s="104"/>
      <c r="W25" s="104"/>
      <c r="X25" s="104"/>
      <c r="Y25" s="104"/>
      <c r="Z25" s="104"/>
    </row>
    <row r="26" spans="2:27" ht="49.5" customHeight="1" x14ac:dyDescent="0.25">
      <c r="B26" s="76">
        <v>2</v>
      </c>
      <c r="C26" s="909" t="s">
        <v>20</v>
      </c>
      <c r="D26" s="909"/>
      <c r="E26" s="909"/>
      <c r="F26" s="909"/>
      <c r="G26" s="909"/>
      <c r="H26" s="909"/>
      <c r="I26" s="909"/>
      <c r="J26" s="909"/>
      <c r="K26" s="909"/>
      <c r="L26" s="909"/>
      <c r="M26" s="909"/>
      <c r="N26" s="909"/>
      <c r="O26" s="909"/>
      <c r="P26" s="909"/>
      <c r="Q26" s="909"/>
      <c r="R26" s="909"/>
      <c r="S26" s="909"/>
      <c r="T26" s="909"/>
      <c r="U26" s="909"/>
      <c r="V26" s="909"/>
      <c r="W26" s="909"/>
      <c r="X26" s="909"/>
      <c r="Y26" s="909"/>
      <c r="Z26" s="909"/>
    </row>
    <row r="27" spans="2:27" x14ac:dyDescent="0.25">
      <c r="C27" s="104"/>
      <c r="D27" s="76"/>
      <c r="E27" s="104"/>
      <c r="F27" s="104"/>
      <c r="G27" s="104"/>
      <c r="H27" s="104"/>
      <c r="I27" s="104"/>
      <c r="J27" s="105"/>
      <c r="K27" s="104"/>
      <c r="L27" s="104"/>
      <c r="M27" s="104"/>
      <c r="N27" s="104"/>
      <c r="O27" s="104"/>
      <c r="P27" s="104"/>
      <c r="Q27" s="104"/>
      <c r="R27" s="104"/>
      <c r="S27" s="104"/>
      <c r="T27" s="104"/>
      <c r="U27" s="104"/>
      <c r="V27" s="104"/>
      <c r="W27" s="104"/>
      <c r="X27" s="104"/>
      <c r="Y27" s="104"/>
      <c r="Z27" s="104"/>
    </row>
    <row r="28" spans="2:27" x14ac:dyDescent="0.25">
      <c r="B28" s="76">
        <v>3</v>
      </c>
      <c r="C28" s="77" t="s">
        <v>21</v>
      </c>
      <c r="D28" s="77"/>
      <c r="E28" s="77"/>
      <c r="F28" s="77"/>
      <c r="G28" s="77"/>
      <c r="H28" s="77"/>
      <c r="I28" s="77"/>
      <c r="J28" s="77"/>
      <c r="K28" s="77"/>
      <c r="L28" s="109"/>
      <c r="M28" s="109"/>
      <c r="N28" s="109"/>
      <c r="O28" s="109"/>
      <c r="P28" s="140"/>
      <c r="Q28" s="109"/>
      <c r="R28" s="109"/>
      <c r="S28" s="109"/>
      <c r="T28" s="110"/>
      <c r="U28" s="140"/>
      <c r="V28" s="109"/>
      <c r="W28" s="109"/>
      <c r="X28" s="109"/>
      <c r="Y28" s="152"/>
      <c r="Z28" s="77"/>
    </row>
    <row r="29" spans="2:27" x14ac:dyDescent="0.25">
      <c r="C29" s="64"/>
      <c r="J29" s="78"/>
      <c r="K29" s="64"/>
      <c r="L29" s="64"/>
      <c r="M29" s="64"/>
      <c r="N29" s="64"/>
      <c r="O29" s="64"/>
      <c r="P29" s="64"/>
      <c r="Q29" s="64"/>
      <c r="R29" s="64"/>
      <c r="S29" s="64"/>
      <c r="T29" s="64"/>
      <c r="U29" s="64"/>
      <c r="V29" s="64"/>
      <c r="W29" s="64"/>
      <c r="X29" s="64"/>
      <c r="Y29" s="64"/>
      <c r="Z29" s="76"/>
    </row>
    <row r="30" spans="2:27" ht="20.45" customHeight="1" x14ac:dyDescent="0.25">
      <c r="B30" s="76">
        <v>4</v>
      </c>
      <c r="C30" s="908" t="s">
        <v>22</v>
      </c>
      <c r="D30" s="908"/>
      <c r="E30" s="908"/>
      <c r="F30" s="908"/>
      <c r="G30" s="908"/>
      <c r="H30" s="908"/>
      <c r="I30" s="908"/>
      <c r="J30" s="908"/>
      <c r="K30" s="908"/>
      <c r="L30" s="908"/>
      <c r="M30" s="908"/>
      <c r="N30" s="908"/>
      <c r="O30" s="908"/>
      <c r="P30" s="908"/>
      <c r="Q30" s="908"/>
      <c r="R30" s="908"/>
      <c r="S30" s="908"/>
      <c r="T30" s="908"/>
      <c r="U30" s="908"/>
      <c r="V30" s="908"/>
      <c r="W30" s="908"/>
      <c r="X30" s="908"/>
      <c r="Y30" s="908"/>
      <c r="Z30" s="908"/>
    </row>
    <row r="31" spans="2:27" ht="29.45" customHeight="1" x14ac:dyDescent="0.25">
      <c r="C31" s="106"/>
      <c r="D31" s="107"/>
      <c r="E31" s="106"/>
      <c r="F31" s="106"/>
      <c r="G31" s="106"/>
      <c r="H31" s="106"/>
      <c r="I31" s="106"/>
      <c r="J31" s="108"/>
      <c r="K31" s="106"/>
      <c r="L31" s="106"/>
      <c r="M31" s="106"/>
      <c r="N31" s="106"/>
      <c r="O31" s="106"/>
      <c r="P31" s="141"/>
      <c r="Q31" s="106"/>
      <c r="R31" s="106"/>
      <c r="S31" s="106"/>
      <c r="T31" s="111"/>
      <c r="U31" s="141"/>
      <c r="V31" s="106"/>
      <c r="W31" s="106"/>
      <c r="X31" s="106"/>
      <c r="Y31" s="153"/>
      <c r="Z31" s="106"/>
    </row>
    <row r="32" spans="2:27" ht="86.1" customHeight="1" x14ac:dyDescent="0.25">
      <c r="B32" s="76">
        <v>5</v>
      </c>
      <c r="C32" s="909" t="s">
        <v>23</v>
      </c>
      <c r="D32" s="909"/>
      <c r="E32" s="909"/>
      <c r="F32" s="909"/>
      <c r="G32" s="909"/>
      <c r="H32" s="909"/>
      <c r="I32" s="909"/>
      <c r="J32" s="909"/>
      <c r="K32" s="909"/>
      <c r="L32" s="909"/>
      <c r="M32" s="909"/>
      <c r="N32" s="909"/>
      <c r="O32" s="909"/>
      <c r="P32" s="909"/>
      <c r="Q32" s="909"/>
      <c r="R32" s="909"/>
      <c r="S32" s="909"/>
      <c r="T32" s="909"/>
      <c r="U32" s="909"/>
      <c r="V32" s="909"/>
      <c r="W32" s="909"/>
      <c r="X32" s="909"/>
      <c r="Y32" s="909"/>
      <c r="Z32" s="909"/>
    </row>
    <row r="33" spans="1:26" ht="6.95" customHeight="1" x14ac:dyDescent="0.25">
      <c r="C33" s="106"/>
      <c r="D33" s="107"/>
      <c r="E33" s="106"/>
      <c r="F33" s="106"/>
      <c r="G33" s="106"/>
      <c r="H33" s="106"/>
      <c r="I33" s="106"/>
      <c r="J33" s="108"/>
      <c r="K33" s="106"/>
      <c r="L33" s="106"/>
      <c r="M33" s="106"/>
      <c r="N33" s="106"/>
      <c r="O33" s="106"/>
      <c r="P33" s="141"/>
      <c r="Q33" s="106"/>
      <c r="R33" s="106"/>
      <c r="S33" s="106"/>
      <c r="T33" s="111"/>
      <c r="U33" s="141"/>
      <c r="V33" s="106"/>
      <c r="W33" s="106"/>
      <c r="X33" s="106"/>
      <c r="Y33" s="153"/>
      <c r="Z33" s="106"/>
    </row>
    <row r="34" spans="1:26" ht="117" customHeight="1" x14ac:dyDescent="0.25">
      <c r="B34" s="76">
        <v>6</v>
      </c>
      <c r="C34" s="954" t="s">
        <v>24</v>
      </c>
      <c r="D34" s="954"/>
      <c r="E34" s="954"/>
      <c r="F34" s="954"/>
      <c r="G34" s="954"/>
      <c r="H34" s="954"/>
      <c r="I34" s="954"/>
      <c r="J34" s="954"/>
      <c r="K34" s="954"/>
      <c r="L34" s="954"/>
      <c r="M34" s="954"/>
      <c r="N34" s="954"/>
      <c r="O34" s="954"/>
      <c r="P34" s="954"/>
      <c r="Q34" s="954"/>
      <c r="R34" s="954"/>
      <c r="S34" s="954"/>
      <c r="T34" s="954"/>
      <c r="U34" s="954"/>
      <c r="V34" s="954"/>
      <c r="W34" s="954"/>
      <c r="X34" s="954"/>
      <c r="Y34" s="954"/>
      <c r="Z34" s="954"/>
    </row>
    <row r="35" spans="1:26" x14ac:dyDescent="0.25">
      <c r="C35" s="64"/>
      <c r="J35" s="78"/>
      <c r="K35" s="64"/>
      <c r="L35" s="64"/>
      <c r="M35" s="64"/>
      <c r="N35" s="64"/>
      <c r="O35" s="64"/>
      <c r="P35" s="64"/>
      <c r="Q35" s="64"/>
      <c r="R35" s="64"/>
      <c r="S35" s="64"/>
      <c r="T35" s="64"/>
      <c r="U35" s="64"/>
      <c r="V35" s="64"/>
      <c r="W35" s="64"/>
      <c r="X35" s="64"/>
      <c r="Y35" s="64"/>
      <c r="Z35" s="76"/>
    </row>
    <row r="36" spans="1:26" x14ac:dyDescent="0.25">
      <c r="B36" s="76">
        <v>7</v>
      </c>
      <c r="C36" s="907" t="s">
        <v>25</v>
      </c>
      <c r="D36" s="907"/>
      <c r="E36" s="907"/>
      <c r="F36" s="907"/>
      <c r="G36" s="907"/>
      <c r="H36" s="907"/>
      <c r="I36" s="907"/>
      <c r="J36" s="907"/>
      <c r="K36" s="907"/>
      <c r="L36" s="907"/>
      <c r="M36" s="907"/>
      <c r="N36" s="907"/>
      <c r="O36" s="907"/>
      <c r="P36" s="907"/>
      <c r="Q36" s="907"/>
      <c r="R36" s="907"/>
      <c r="S36" s="907"/>
      <c r="T36" s="907"/>
      <c r="U36" s="907"/>
      <c r="V36" s="907"/>
      <c r="W36" s="907"/>
      <c r="X36" s="907"/>
      <c r="Y36" s="907"/>
      <c r="Z36" s="907"/>
    </row>
    <row r="37" spans="1:26" x14ac:dyDescent="0.25">
      <c r="C37" s="64"/>
      <c r="J37" s="78"/>
      <c r="K37" s="64"/>
      <c r="L37" s="64"/>
      <c r="M37" s="64"/>
      <c r="N37" s="64"/>
      <c r="O37" s="64"/>
      <c r="P37" s="64"/>
      <c r="Q37" s="64"/>
      <c r="R37" s="64"/>
      <c r="S37" s="64"/>
      <c r="T37" s="64"/>
      <c r="U37" s="64"/>
      <c r="V37" s="64"/>
      <c r="W37" s="64"/>
      <c r="X37" s="64"/>
      <c r="Y37" s="64"/>
      <c r="Z37" s="76"/>
    </row>
    <row r="38" spans="1:26" ht="20.100000000000001" customHeight="1" x14ac:dyDescent="0.25">
      <c r="B38" s="76">
        <v>8</v>
      </c>
      <c r="C38" s="909" t="s">
        <v>26</v>
      </c>
      <c r="D38" s="909"/>
      <c r="E38" s="909"/>
      <c r="F38" s="909"/>
      <c r="G38" s="909"/>
      <c r="H38" s="909"/>
      <c r="I38" s="909"/>
      <c r="J38" s="909"/>
      <c r="K38" s="909"/>
      <c r="L38" s="909"/>
      <c r="M38" s="909"/>
      <c r="N38" s="909"/>
      <c r="O38" s="909"/>
      <c r="P38" s="909"/>
      <c r="Q38" s="909"/>
      <c r="R38" s="909"/>
      <c r="S38" s="909"/>
      <c r="T38" s="909"/>
      <c r="U38" s="909"/>
      <c r="V38" s="909"/>
      <c r="W38" s="909"/>
      <c r="X38" s="909"/>
      <c r="Y38" s="909"/>
      <c r="Z38" s="909"/>
    </row>
    <row r="39" spans="1:26" x14ac:dyDescent="0.25">
      <c r="C39" s="64"/>
      <c r="J39" s="78"/>
      <c r="K39" s="64"/>
      <c r="L39" s="64"/>
      <c r="M39" s="64"/>
      <c r="N39" s="64"/>
      <c r="O39" s="64"/>
      <c r="P39" s="64"/>
      <c r="Q39" s="64"/>
      <c r="R39" s="64"/>
      <c r="S39" s="64"/>
      <c r="T39" s="64"/>
      <c r="U39" s="64"/>
      <c r="V39" s="64"/>
      <c r="W39" s="64"/>
      <c r="X39" s="64"/>
      <c r="Y39" s="64"/>
      <c r="Z39" s="76"/>
    </row>
    <row r="40" spans="1:26" x14ac:dyDescent="0.25">
      <c r="B40" s="76">
        <v>9</v>
      </c>
      <c r="C40" s="910" t="s">
        <v>27</v>
      </c>
      <c r="D40" s="910"/>
      <c r="E40" s="910"/>
      <c r="F40" s="910"/>
      <c r="G40" s="910"/>
      <c r="H40" s="910"/>
      <c r="I40" s="910"/>
      <c r="J40" s="910"/>
      <c r="K40" s="910"/>
      <c r="L40" s="910"/>
      <c r="M40" s="910"/>
      <c r="N40" s="910"/>
      <c r="O40" s="910"/>
      <c r="P40" s="910"/>
      <c r="Q40" s="910"/>
      <c r="R40" s="910"/>
      <c r="S40" s="910"/>
      <c r="T40" s="910"/>
      <c r="U40" s="910"/>
      <c r="V40" s="910"/>
      <c r="W40" s="910"/>
      <c r="X40" s="910"/>
      <c r="Y40" s="910"/>
      <c r="Z40" s="910"/>
    </row>
    <row r="41" spans="1:26" x14ac:dyDescent="0.25">
      <c r="C41" s="907" t="s">
        <v>28</v>
      </c>
      <c r="D41" s="907"/>
      <c r="E41" s="907"/>
      <c r="F41" s="907"/>
      <c r="G41" s="907"/>
      <c r="H41" s="907"/>
      <c r="I41" s="907"/>
      <c r="J41" s="907"/>
      <c r="K41" s="907"/>
      <c r="L41" s="907"/>
      <c r="M41" s="907"/>
      <c r="N41" s="907"/>
      <c r="O41" s="907"/>
      <c r="P41" s="907"/>
      <c r="Q41" s="907"/>
      <c r="R41" s="907"/>
      <c r="S41" s="907"/>
      <c r="T41" s="907"/>
      <c r="U41" s="907"/>
      <c r="V41" s="907"/>
      <c r="W41" s="907"/>
      <c r="X41" s="907"/>
      <c r="Y41" s="907"/>
      <c r="Z41" s="907"/>
    </row>
    <row r="42" spans="1:26" x14ac:dyDescent="0.25">
      <c r="B42" s="76">
        <v>10</v>
      </c>
      <c r="C42" s="907"/>
      <c r="D42" s="907"/>
      <c r="E42" s="907"/>
      <c r="F42" s="907"/>
      <c r="G42" s="907"/>
      <c r="H42" s="907"/>
      <c r="I42" s="907"/>
      <c r="J42" s="907"/>
      <c r="K42" s="907"/>
      <c r="L42" s="907"/>
      <c r="M42" s="907"/>
      <c r="N42" s="907"/>
      <c r="O42" s="907"/>
      <c r="P42" s="907"/>
      <c r="Q42" s="907"/>
      <c r="R42" s="907"/>
      <c r="S42" s="907"/>
      <c r="T42" s="907"/>
      <c r="U42" s="907"/>
      <c r="V42" s="907"/>
      <c r="W42" s="907"/>
      <c r="X42" s="907"/>
      <c r="Y42" s="907"/>
      <c r="Z42" s="907"/>
    </row>
    <row r="43" spans="1:26" x14ac:dyDescent="0.25">
      <c r="C43" s="64"/>
      <c r="J43" s="78"/>
      <c r="K43" s="64"/>
      <c r="L43" s="64"/>
      <c r="M43" s="64"/>
      <c r="N43" s="64"/>
      <c r="O43" s="64"/>
      <c r="P43" s="64"/>
      <c r="Q43" s="64"/>
      <c r="R43" s="64"/>
      <c r="S43" s="64"/>
      <c r="T43" s="64"/>
      <c r="U43" s="64"/>
      <c r="V43" s="64"/>
      <c r="W43" s="64"/>
      <c r="X43" s="64"/>
      <c r="Y43" s="64"/>
      <c r="Z43" s="76"/>
    </row>
    <row r="44" spans="1:26" customFormat="1" ht="15" x14ac:dyDescent="0.25">
      <c r="B44" s="165" t="s">
        <v>345</v>
      </c>
      <c r="C44" s="166"/>
      <c r="D44" s="166"/>
      <c r="E44" s="166"/>
      <c r="F44" s="166"/>
      <c r="G44" s="166"/>
      <c r="H44" s="166"/>
    </row>
    <row r="45" spans="1:26" customFormat="1" ht="15" x14ac:dyDescent="0.25">
      <c r="B45" s="165" t="s">
        <v>346</v>
      </c>
      <c r="C45" s="166"/>
      <c r="D45" s="166"/>
      <c r="E45" s="166"/>
      <c r="F45" s="166"/>
      <c r="G45" s="166"/>
      <c r="H45" s="166"/>
    </row>
    <row r="46" spans="1:26" customFormat="1" ht="15" x14ac:dyDescent="0.25">
      <c r="B46" s="2"/>
    </row>
    <row r="47" spans="1:26" customFormat="1" ht="15" x14ac:dyDescent="0.25">
      <c r="A47" s="2"/>
      <c r="B47" s="2" t="s">
        <v>347</v>
      </c>
      <c r="C47" s="2"/>
      <c r="D47" s="2" t="s">
        <v>348</v>
      </c>
      <c r="E47" s="2" t="s">
        <v>349</v>
      </c>
      <c r="F47" s="2" t="s">
        <v>350</v>
      </c>
      <c r="G47" s="2"/>
      <c r="H47" s="2"/>
      <c r="I47" s="2"/>
    </row>
    <row r="48" spans="1:26" customFormat="1" ht="15" x14ac:dyDescent="0.25">
      <c r="B48" s="2"/>
      <c r="E48">
        <v>1.1000000000000001</v>
      </c>
    </row>
    <row r="49" spans="2:6" customFormat="1" ht="15" x14ac:dyDescent="0.25">
      <c r="B49" s="2" t="s">
        <v>351</v>
      </c>
      <c r="C49" t="s">
        <v>352</v>
      </c>
      <c r="D49">
        <v>7254</v>
      </c>
      <c r="F49">
        <v>7979</v>
      </c>
    </row>
    <row r="50" spans="2:6" customFormat="1" ht="15" x14ac:dyDescent="0.25">
      <c r="B50" s="2"/>
      <c r="C50" t="s">
        <v>353</v>
      </c>
      <c r="D50">
        <v>562</v>
      </c>
      <c r="F50">
        <v>618</v>
      </c>
    </row>
    <row r="51" spans="2:6" customFormat="1" ht="15" x14ac:dyDescent="0.25">
      <c r="B51" s="2"/>
    </row>
    <row r="52" spans="2:6" customFormat="1" ht="15" x14ac:dyDescent="0.25">
      <c r="B52" s="2" t="s">
        <v>354</v>
      </c>
      <c r="C52" t="s">
        <v>355</v>
      </c>
      <c r="D52">
        <v>7018</v>
      </c>
      <c r="F52">
        <v>7720</v>
      </c>
    </row>
    <row r="53" spans="2:6" customFormat="1" ht="15" x14ac:dyDescent="0.25">
      <c r="B53" s="2"/>
    </row>
    <row r="54" spans="2:6" customFormat="1" ht="15" x14ac:dyDescent="0.25">
      <c r="B54" s="2" t="s">
        <v>356</v>
      </c>
      <c r="D54">
        <v>431</v>
      </c>
      <c r="F54">
        <v>474</v>
      </c>
    </row>
    <row r="55" spans="2:6" customFormat="1" ht="15" x14ac:dyDescent="0.25">
      <c r="B55" s="2"/>
    </row>
    <row r="56" spans="2:6" customFormat="1" ht="15" x14ac:dyDescent="0.25">
      <c r="B56" s="2" t="s">
        <v>357</v>
      </c>
      <c r="D56">
        <v>77</v>
      </c>
      <c r="F56">
        <v>85</v>
      </c>
    </row>
    <row r="57" spans="2:6" customFormat="1" ht="15" x14ac:dyDescent="0.25">
      <c r="B57" s="2"/>
    </row>
    <row r="58" spans="2:6" customFormat="1" ht="15" x14ac:dyDescent="0.25">
      <c r="B58" s="2" t="s">
        <v>358</v>
      </c>
      <c r="C58" s="2"/>
      <c r="D58" s="2"/>
      <c r="F58">
        <v>1095</v>
      </c>
    </row>
    <row r="59" spans="2:6" customFormat="1" ht="15" x14ac:dyDescent="0.25">
      <c r="B59" s="2"/>
    </row>
    <row r="60" spans="2:6" customFormat="1" ht="15" x14ac:dyDescent="0.25">
      <c r="B60" s="2" t="s">
        <v>359</v>
      </c>
      <c r="F60">
        <v>1170</v>
      </c>
    </row>
    <row r="61" spans="2:6" customFormat="1" ht="15" x14ac:dyDescent="0.25">
      <c r="B61" s="2"/>
    </row>
    <row r="62" spans="2:6" customFormat="1" ht="15" x14ac:dyDescent="0.25">
      <c r="B62" s="2" t="s">
        <v>360</v>
      </c>
      <c r="F62" s="167">
        <f>SUM(F49:F61)</f>
        <v>19141</v>
      </c>
    </row>
    <row r="63" spans="2:6" customFormat="1" ht="15" x14ac:dyDescent="0.25">
      <c r="B63" s="2"/>
    </row>
    <row r="64" spans="2:6" customFormat="1" ht="15" x14ac:dyDescent="0.25">
      <c r="B64" s="2"/>
    </row>
  </sheetData>
  <mergeCells count="12">
    <mergeCell ref="L4:O4"/>
    <mergeCell ref="C38:Z38"/>
    <mergeCell ref="C40:Z40"/>
    <mergeCell ref="C41:Z42"/>
    <mergeCell ref="C24:Z24"/>
    <mergeCell ref="C26:Z26"/>
    <mergeCell ref="C30:Z30"/>
    <mergeCell ref="C32:Z32"/>
    <mergeCell ref="C34:Z34"/>
    <mergeCell ref="C36:Z36"/>
    <mergeCell ref="U4:U5"/>
    <mergeCell ref="Q4:T4"/>
  </mergeCells>
  <pageMargins left="0.2" right="0.2" top="0.25" bottom="0" header="0.3" footer="0.3"/>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X114"/>
  <sheetViews>
    <sheetView tabSelected="1" workbookViewId="0">
      <selection activeCell="E22" sqref="E22"/>
    </sheetView>
  </sheetViews>
  <sheetFormatPr defaultColWidth="8.7109375" defaultRowHeight="18.75" x14ac:dyDescent="0.3"/>
  <cols>
    <col min="1" max="1" width="3" style="65" customWidth="1"/>
    <col min="2" max="2" width="3.28515625" style="65" customWidth="1"/>
    <col min="3" max="3" width="8.7109375" style="65"/>
    <col min="4" max="4" width="40" style="65" customWidth="1"/>
    <col min="5" max="5" width="25.5703125" style="65" customWidth="1"/>
    <col min="6" max="6" width="41.5703125" style="65" customWidth="1"/>
    <col min="7" max="7" width="14.85546875" style="65" customWidth="1"/>
    <col min="8" max="8" width="56.7109375" style="65" customWidth="1"/>
    <col min="9" max="9" width="28.28515625" style="65" customWidth="1"/>
    <col min="10" max="10" width="11.85546875" style="395" customWidth="1"/>
    <col min="11" max="14" width="8.7109375" style="65"/>
    <col min="15" max="15" width="9.140625" style="65" bestFit="1" customWidth="1"/>
    <col min="16" max="16" width="11" style="65" customWidth="1"/>
    <col min="17" max="17" width="10.5703125" style="65" bestFit="1" customWidth="1"/>
    <col min="18" max="16384" width="8.7109375" style="65"/>
  </cols>
  <sheetData>
    <row r="2" spans="2:17" x14ac:dyDescent="0.3">
      <c r="C2" s="65" t="s">
        <v>619</v>
      </c>
    </row>
    <row r="3" spans="2:17" ht="19.5" thickBot="1" x14ac:dyDescent="0.35">
      <c r="D3" s="65" t="s">
        <v>943</v>
      </c>
    </row>
    <row r="4" spans="2:17" x14ac:dyDescent="0.3">
      <c r="D4" s="65" t="s">
        <v>544</v>
      </c>
      <c r="I4" s="395">
        <v>2018</v>
      </c>
      <c r="J4" s="434">
        <v>2019</v>
      </c>
      <c r="K4" s="163"/>
    </row>
    <row r="5" spans="2:17" ht="19.5" thickBot="1" x14ac:dyDescent="0.35">
      <c r="D5" s="65" t="s">
        <v>545</v>
      </c>
      <c r="I5" s="395"/>
      <c r="J5" s="435"/>
      <c r="K5" s="163"/>
    </row>
    <row r="6" spans="2:17" s="531" customFormat="1" x14ac:dyDescent="0.3">
      <c r="B6" s="573"/>
      <c r="C6" s="574"/>
      <c r="D6" s="574"/>
      <c r="E6" s="882">
        <v>2020</v>
      </c>
      <c r="F6" s="871" t="s">
        <v>978</v>
      </c>
      <c r="G6" s="573">
        <v>2019</v>
      </c>
      <c r="H6" s="878"/>
      <c r="I6" s="395">
        <v>1865</v>
      </c>
      <c r="J6" s="435">
        <v>1814</v>
      </c>
      <c r="K6" s="536" t="s">
        <v>469</v>
      </c>
    </row>
    <row r="7" spans="2:17" x14ac:dyDescent="0.3">
      <c r="B7" s="575"/>
      <c r="C7" s="163" t="s">
        <v>283</v>
      </c>
      <c r="D7" s="163" t="s">
        <v>407</v>
      </c>
      <c r="E7" s="883"/>
      <c r="F7" s="872"/>
      <c r="G7" s="575" t="s">
        <v>407</v>
      </c>
      <c r="H7" s="879"/>
      <c r="I7" s="395">
        <v>11</v>
      </c>
      <c r="J7" s="435">
        <v>11</v>
      </c>
      <c r="K7" s="163"/>
    </row>
    <row r="8" spans="2:17" x14ac:dyDescent="0.3">
      <c r="B8" s="575"/>
      <c r="C8" s="163"/>
      <c r="D8" s="163"/>
      <c r="E8" s="883"/>
      <c r="F8" s="872"/>
      <c r="G8" s="575"/>
      <c r="H8" s="879"/>
      <c r="I8" s="395">
        <v>0</v>
      </c>
      <c r="J8" s="435">
        <v>0</v>
      </c>
      <c r="K8" s="163"/>
    </row>
    <row r="9" spans="2:17" x14ac:dyDescent="0.3">
      <c r="B9" s="575"/>
      <c r="C9" s="163" t="s">
        <v>406</v>
      </c>
      <c r="D9" s="163" t="s">
        <v>412</v>
      </c>
      <c r="E9" s="883" t="s">
        <v>657</v>
      </c>
      <c r="F9" s="872" t="s">
        <v>1002</v>
      </c>
      <c r="G9" s="575" t="s">
        <v>408</v>
      </c>
      <c r="H9" s="879"/>
      <c r="I9" s="395">
        <v>4461</v>
      </c>
      <c r="J9" s="435">
        <v>4698</v>
      </c>
      <c r="K9" s="163" t="s">
        <v>470</v>
      </c>
    </row>
    <row r="10" spans="2:17" x14ac:dyDescent="0.3">
      <c r="B10" s="575"/>
      <c r="C10" s="163" t="s">
        <v>409</v>
      </c>
      <c r="D10" s="163" t="s">
        <v>413</v>
      </c>
      <c r="E10" s="883" t="s">
        <v>408</v>
      </c>
      <c r="F10" s="872"/>
      <c r="G10" s="575" t="s">
        <v>408</v>
      </c>
      <c r="H10" s="879"/>
      <c r="I10" s="395">
        <v>1115</v>
      </c>
      <c r="J10" s="435">
        <v>1103</v>
      </c>
      <c r="K10" s="163" t="s">
        <v>543</v>
      </c>
    </row>
    <row r="11" spans="2:17" x14ac:dyDescent="0.3">
      <c r="B11" s="575"/>
      <c r="C11" s="163"/>
      <c r="D11" s="163"/>
      <c r="E11" s="883"/>
      <c r="F11" s="872"/>
      <c r="G11" s="575"/>
      <c r="H11" s="879"/>
      <c r="I11" s="395"/>
      <c r="J11" s="435"/>
      <c r="K11" s="163" t="s">
        <v>472</v>
      </c>
    </row>
    <row r="12" spans="2:17" x14ac:dyDescent="0.3">
      <c r="B12" s="575"/>
      <c r="C12" s="163" t="s">
        <v>410</v>
      </c>
      <c r="D12" s="163" t="s">
        <v>411</v>
      </c>
      <c r="E12" s="883" t="s">
        <v>408</v>
      </c>
      <c r="F12" s="872"/>
      <c r="G12" s="575" t="s">
        <v>408</v>
      </c>
      <c r="H12" s="879"/>
      <c r="I12" s="395"/>
      <c r="J12" s="435"/>
      <c r="K12" s="163" t="s">
        <v>471</v>
      </c>
    </row>
    <row r="13" spans="2:17" ht="19.5" thickBot="1" x14ac:dyDescent="0.35">
      <c r="B13" s="575"/>
      <c r="C13" s="163" t="s">
        <v>414</v>
      </c>
      <c r="D13" s="163" t="s">
        <v>415</v>
      </c>
      <c r="E13" s="883" t="s">
        <v>408</v>
      </c>
      <c r="F13" s="872"/>
      <c r="G13" s="575" t="s">
        <v>408</v>
      </c>
      <c r="H13" s="879"/>
      <c r="J13" s="158"/>
      <c r="K13" s="163"/>
      <c r="Q13" s="65">
        <v>579</v>
      </c>
    </row>
    <row r="14" spans="2:17" x14ac:dyDescent="0.3">
      <c r="B14" s="575"/>
      <c r="C14" s="163"/>
      <c r="D14" s="163"/>
      <c r="E14" s="883"/>
      <c r="F14" s="872"/>
      <c r="G14" s="575"/>
      <c r="H14" s="879"/>
      <c r="Q14" s="65">
        <v>524</v>
      </c>
    </row>
    <row r="15" spans="2:17" x14ac:dyDescent="0.3">
      <c r="B15" s="575"/>
      <c r="C15" s="163" t="s">
        <v>416</v>
      </c>
      <c r="D15" s="163" t="s">
        <v>417</v>
      </c>
      <c r="E15" s="883" t="s">
        <v>408</v>
      </c>
      <c r="F15" s="872"/>
      <c r="G15" s="575" t="s">
        <v>408</v>
      </c>
      <c r="H15" s="879"/>
      <c r="Q15" s="65">
        <f>SUM(Q13:Q14)</f>
        <v>1103</v>
      </c>
    </row>
    <row r="16" spans="2:17" x14ac:dyDescent="0.3">
      <c r="B16" s="575"/>
      <c r="C16" s="163" t="s">
        <v>418</v>
      </c>
      <c r="D16" s="163" t="s">
        <v>419</v>
      </c>
      <c r="E16" s="883" t="s">
        <v>408</v>
      </c>
      <c r="F16" s="872"/>
      <c r="G16" s="575" t="s">
        <v>408</v>
      </c>
      <c r="H16" s="879"/>
      <c r="L16" s="395"/>
    </row>
    <row r="17" spans="2:8" x14ac:dyDescent="0.3">
      <c r="B17" s="575"/>
      <c r="C17" s="163"/>
      <c r="D17" s="163"/>
      <c r="E17" s="883"/>
      <c r="F17" s="872"/>
      <c r="G17" s="575"/>
      <c r="H17" s="879"/>
    </row>
    <row r="18" spans="2:8" x14ac:dyDescent="0.3">
      <c r="B18" s="575"/>
      <c r="C18" s="163" t="s">
        <v>420</v>
      </c>
      <c r="D18" s="163" t="s">
        <v>47</v>
      </c>
      <c r="E18" s="883" t="s">
        <v>658</v>
      </c>
      <c r="F18" s="872"/>
      <c r="G18" s="575" t="s">
        <v>408</v>
      </c>
      <c r="H18" s="879" t="s">
        <v>615</v>
      </c>
    </row>
    <row r="19" spans="2:8" x14ac:dyDescent="0.3">
      <c r="B19" s="575"/>
      <c r="C19" s="163" t="s">
        <v>421</v>
      </c>
      <c r="D19" s="163" t="s">
        <v>424</v>
      </c>
      <c r="E19" s="883" t="s">
        <v>658</v>
      </c>
      <c r="F19" s="872"/>
      <c r="G19" s="575" t="s">
        <v>408</v>
      </c>
      <c r="H19" s="879" t="s">
        <v>615</v>
      </c>
    </row>
    <row r="20" spans="2:8" x14ac:dyDescent="0.3">
      <c r="B20" s="575"/>
      <c r="C20" s="163"/>
      <c r="D20" s="163"/>
      <c r="E20" s="883"/>
      <c r="F20" s="872"/>
      <c r="G20" s="575"/>
      <c r="H20" s="879"/>
    </row>
    <row r="21" spans="2:8" x14ac:dyDescent="0.3">
      <c r="B21" s="575"/>
      <c r="C21" s="163" t="s">
        <v>422</v>
      </c>
      <c r="D21" s="163" t="s">
        <v>50</v>
      </c>
      <c r="E21" s="883" t="s">
        <v>657</v>
      </c>
      <c r="F21" s="872"/>
      <c r="G21" s="575" t="s">
        <v>408</v>
      </c>
      <c r="H21" s="879"/>
    </row>
    <row r="22" spans="2:8" x14ac:dyDescent="0.3">
      <c r="B22" s="575"/>
      <c r="C22" s="163" t="s">
        <v>423</v>
      </c>
      <c r="D22" s="163" t="s">
        <v>51</v>
      </c>
      <c r="E22" s="883" t="s">
        <v>657</v>
      </c>
      <c r="F22" s="872"/>
      <c r="G22" s="575" t="s">
        <v>408</v>
      </c>
      <c r="H22" s="879"/>
    </row>
    <row r="23" spans="2:8" x14ac:dyDescent="0.3">
      <c r="B23" s="575"/>
      <c r="C23" s="163"/>
      <c r="D23" s="163"/>
      <c r="E23" s="883"/>
      <c r="F23" s="872"/>
      <c r="G23" s="575"/>
      <c r="H23" s="879"/>
    </row>
    <row r="24" spans="2:8" x14ac:dyDescent="0.3">
      <c r="B24" s="575"/>
      <c r="C24" s="163" t="s">
        <v>425</v>
      </c>
      <c r="D24" s="163"/>
      <c r="E24" s="883" t="s">
        <v>657</v>
      </c>
      <c r="F24" s="872"/>
      <c r="G24" s="575" t="s">
        <v>408</v>
      </c>
      <c r="H24" s="879"/>
    </row>
    <row r="25" spans="2:8" x14ac:dyDescent="0.3">
      <c r="B25" s="575"/>
      <c r="C25" s="163" t="s">
        <v>426</v>
      </c>
      <c r="D25" s="163"/>
      <c r="E25" s="883" t="s">
        <v>657</v>
      </c>
      <c r="F25" s="872"/>
      <c r="G25" s="575" t="s">
        <v>408</v>
      </c>
      <c r="H25" s="879" t="s">
        <v>613</v>
      </c>
    </row>
    <row r="26" spans="2:8" x14ac:dyDescent="0.3">
      <c r="B26" s="575"/>
      <c r="C26" s="163" t="s">
        <v>427</v>
      </c>
      <c r="D26" s="163"/>
      <c r="E26" s="883" t="s">
        <v>657</v>
      </c>
      <c r="F26" s="872"/>
      <c r="G26" s="575" t="s">
        <v>408</v>
      </c>
      <c r="H26" s="879" t="s">
        <v>563</v>
      </c>
    </row>
    <row r="27" spans="2:8" x14ac:dyDescent="0.3">
      <c r="B27" s="575"/>
      <c r="C27" s="163" t="s">
        <v>428</v>
      </c>
      <c r="D27" s="163"/>
      <c r="E27" s="883" t="s">
        <v>657</v>
      </c>
      <c r="F27" s="872"/>
      <c r="G27" s="575" t="s">
        <v>408</v>
      </c>
      <c r="H27" s="879" t="s">
        <v>614</v>
      </c>
    </row>
    <row r="28" spans="2:8" x14ac:dyDescent="0.3">
      <c r="B28" s="575"/>
      <c r="C28" s="163"/>
      <c r="D28" s="163"/>
      <c r="E28" s="883"/>
      <c r="F28" s="872"/>
      <c r="G28" s="575"/>
      <c r="H28" s="879"/>
    </row>
    <row r="29" spans="2:8" x14ac:dyDescent="0.3">
      <c r="B29" s="575"/>
      <c r="C29" s="163" t="s">
        <v>429</v>
      </c>
      <c r="D29" s="163"/>
      <c r="E29" s="883" t="s">
        <v>657</v>
      </c>
      <c r="F29" s="872"/>
      <c r="G29" s="575" t="s">
        <v>408</v>
      </c>
      <c r="H29" s="879"/>
    </row>
    <row r="30" spans="2:8" x14ac:dyDescent="0.3">
      <c r="B30" s="575"/>
      <c r="C30" s="163" t="s">
        <v>430</v>
      </c>
      <c r="D30" s="163"/>
      <c r="E30" s="883" t="s">
        <v>657</v>
      </c>
      <c r="F30" s="872"/>
      <c r="G30" s="575" t="s">
        <v>408</v>
      </c>
      <c r="H30" s="879"/>
    </row>
    <row r="31" spans="2:8" x14ac:dyDescent="0.3">
      <c r="B31" s="575"/>
      <c r="C31" s="163" t="s">
        <v>565</v>
      </c>
      <c r="D31" s="163"/>
      <c r="E31" s="883" t="s">
        <v>657</v>
      </c>
      <c r="F31" s="872"/>
      <c r="G31" s="575" t="s">
        <v>408</v>
      </c>
      <c r="H31" s="879"/>
    </row>
    <row r="32" spans="2:8" x14ac:dyDescent="0.3">
      <c r="B32" s="575"/>
      <c r="C32" s="163"/>
      <c r="D32" s="163"/>
      <c r="E32" s="883"/>
      <c r="F32" s="872"/>
      <c r="G32" s="575"/>
      <c r="H32" s="879"/>
    </row>
    <row r="33" spans="2:12" x14ac:dyDescent="0.3">
      <c r="B33" s="575"/>
      <c r="C33" s="163" t="s">
        <v>431</v>
      </c>
      <c r="D33" s="163"/>
      <c r="E33" s="883" t="s">
        <v>657</v>
      </c>
      <c r="F33" s="872"/>
      <c r="G33" s="575" t="s">
        <v>408</v>
      </c>
      <c r="H33" s="879"/>
    </row>
    <row r="34" spans="2:12" x14ac:dyDescent="0.3">
      <c r="B34" s="575"/>
      <c r="C34" s="163" t="s">
        <v>564</v>
      </c>
      <c r="D34" s="163"/>
      <c r="E34" s="883" t="s">
        <v>657</v>
      </c>
      <c r="F34" s="872"/>
      <c r="G34" s="575" t="s">
        <v>408</v>
      </c>
      <c r="H34" s="879"/>
    </row>
    <row r="35" spans="2:12" x14ac:dyDescent="0.3">
      <c r="B35" s="575"/>
      <c r="C35" s="163" t="s">
        <v>432</v>
      </c>
      <c r="D35" s="163"/>
      <c r="E35" s="883" t="s">
        <v>657</v>
      </c>
      <c r="F35" s="872"/>
      <c r="G35" s="575" t="s">
        <v>408</v>
      </c>
      <c r="H35" s="879"/>
    </row>
    <row r="36" spans="2:12" x14ac:dyDescent="0.3">
      <c r="B36" s="575"/>
      <c r="C36" s="163"/>
      <c r="D36" s="163"/>
      <c r="E36" s="883"/>
      <c r="F36" s="872"/>
      <c r="G36" s="575"/>
      <c r="H36" s="879"/>
    </row>
    <row r="37" spans="2:12" x14ac:dyDescent="0.3">
      <c r="B37" s="575"/>
      <c r="C37" s="163" t="s">
        <v>433</v>
      </c>
      <c r="D37" s="163"/>
      <c r="E37" s="883" t="s">
        <v>657</v>
      </c>
      <c r="F37" s="872"/>
      <c r="G37" s="575" t="s">
        <v>408</v>
      </c>
      <c r="H37" s="879"/>
    </row>
    <row r="38" spans="2:12" x14ac:dyDescent="0.3">
      <c r="B38" s="575"/>
      <c r="C38" s="163" t="s">
        <v>434</v>
      </c>
      <c r="D38" s="163"/>
      <c r="E38" s="883" t="s">
        <v>657</v>
      </c>
      <c r="F38" s="872"/>
      <c r="G38" s="575" t="s">
        <v>408</v>
      </c>
      <c r="H38" s="879"/>
    </row>
    <row r="39" spans="2:12" x14ac:dyDescent="0.3">
      <c r="B39" s="575"/>
      <c r="C39" s="163"/>
      <c r="D39" s="163"/>
      <c r="E39" s="883"/>
      <c r="F39" s="872"/>
      <c r="G39" s="575"/>
      <c r="H39" s="879"/>
    </row>
    <row r="40" spans="2:12" ht="19.5" thickBot="1" x14ac:dyDescent="0.35">
      <c r="B40" s="575"/>
      <c r="C40" s="163" t="s">
        <v>612</v>
      </c>
      <c r="D40" s="163"/>
      <c r="E40" s="883" t="s">
        <v>657</v>
      </c>
      <c r="F40" s="872" t="s">
        <v>937</v>
      </c>
      <c r="G40" s="575" t="s">
        <v>408</v>
      </c>
      <c r="H40" s="886" t="s">
        <v>941</v>
      </c>
    </row>
    <row r="41" spans="2:12" ht="19.5" thickBot="1" x14ac:dyDescent="0.35">
      <c r="B41" s="575"/>
      <c r="C41" s="163"/>
      <c r="D41" s="163"/>
      <c r="E41" s="883"/>
      <c r="F41" s="885" t="s">
        <v>938</v>
      </c>
      <c r="G41" s="575"/>
      <c r="H41" s="887"/>
    </row>
    <row r="42" spans="2:12" ht="54.75" customHeight="1" x14ac:dyDescent="0.3">
      <c r="B42" s="575"/>
      <c r="C42" s="163"/>
      <c r="D42" s="163"/>
      <c r="E42" s="883"/>
      <c r="F42" s="888" t="s">
        <v>939</v>
      </c>
      <c r="G42" s="575"/>
      <c r="H42" s="903" t="s">
        <v>942</v>
      </c>
      <c r="I42" s="903"/>
      <c r="J42" s="903"/>
      <c r="K42" s="903"/>
    </row>
    <row r="43" spans="2:12" x14ac:dyDescent="0.3">
      <c r="B43" s="575"/>
      <c r="C43" s="163"/>
      <c r="D43" s="163"/>
      <c r="E43" s="883"/>
      <c r="F43" s="872" t="s">
        <v>940</v>
      </c>
      <c r="G43" s="575"/>
      <c r="H43" s="879"/>
    </row>
    <row r="44" spans="2:12" x14ac:dyDescent="0.3">
      <c r="B44" s="575"/>
      <c r="C44" s="163"/>
      <c r="D44" s="163"/>
      <c r="E44" s="883"/>
      <c r="F44" s="872"/>
      <c r="G44" s="575"/>
      <c r="H44" s="879"/>
    </row>
    <row r="45" spans="2:12" x14ac:dyDescent="0.3">
      <c r="B45" s="575"/>
      <c r="C45" s="163" t="s">
        <v>405</v>
      </c>
      <c r="D45" s="163"/>
      <c r="E45" s="883"/>
      <c r="F45" s="872"/>
      <c r="G45" s="575"/>
      <c r="H45" s="879"/>
      <c r="J45" s="395">
        <v>2018</v>
      </c>
      <c r="L45" s="65" t="s">
        <v>469</v>
      </c>
    </row>
    <row r="46" spans="2:12" x14ac:dyDescent="0.3">
      <c r="B46" s="575"/>
      <c r="C46" s="163"/>
      <c r="D46" s="163"/>
      <c r="E46" s="883"/>
      <c r="F46" s="872"/>
      <c r="G46" s="575"/>
      <c r="H46" s="879"/>
    </row>
    <row r="47" spans="2:12" x14ac:dyDescent="0.3">
      <c r="B47" s="575"/>
      <c r="C47" s="163"/>
      <c r="D47" s="163" t="s">
        <v>29</v>
      </c>
      <c r="E47" s="883"/>
      <c r="F47" s="872"/>
      <c r="G47" s="575" t="s">
        <v>446</v>
      </c>
      <c r="H47" s="879"/>
      <c r="J47" s="395">
        <v>1865</v>
      </c>
      <c r="L47" s="65" t="s">
        <v>470</v>
      </c>
    </row>
    <row r="48" spans="2:12" x14ac:dyDescent="0.3">
      <c r="B48" s="575"/>
      <c r="C48" s="163"/>
      <c r="D48" s="163" t="s">
        <v>30</v>
      </c>
      <c r="E48" s="883"/>
      <c r="F48" s="872"/>
      <c r="G48" s="880" t="s">
        <v>447</v>
      </c>
      <c r="H48" s="879"/>
      <c r="J48" s="395">
        <v>11</v>
      </c>
    </row>
    <row r="49" spans="2:12" x14ac:dyDescent="0.3">
      <c r="B49" s="575"/>
      <c r="C49" s="163"/>
      <c r="D49" s="163" t="s">
        <v>31</v>
      </c>
      <c r="E49" s="883"/>
      <c r="F49" s="872"/>
      <c r="G49" s="880" t="s">
        <v>448</v>
      </c>
      <c r="H49" s="879"/>
      <c r="J49" s="395">
        <v>0</v>
      </c>
      <c r="L49" s="65" t="s">
        <v>471</v>
      </c>
    </row>
    <row r="50" spans="2:12" x14ac:dyDescent="0.3">
      <c r="B50" s="575"/>
      <c r="C50" s="163"/>
      <c r="D50" s="163" t="s">
        <v>32</v>
      </c>
      <c r="E50" s="883"/>
      <c r="F50" s="872"/>
      <c r="G50" s="575" t="s">
        <v>449</v>
      </c>
      <c r="H50" s="879"/>
      <c r="J50" s="395">
        <v>4461</v>
      </c>
    </row>
    <row r="51" spans="2:12" x14ac:dyDescent="0.3">
      <c r="B51" s="575"/>
      <c r="C51" s="163"/>
      <c r="D51" s="163"/>
      <c r="E51" s="883"/>
      <c r="F51" s="872"/>
      <c r="G51" s="575" t="s">
        <v>450</v>
      </c>
      <c r="H51" s="879"/>
      <c r="J51" s="395">
        <v>1115</v>
      </c>
      <c r="L51" s="65" t="s">
        <v>472</v>
      </c>
    </row>
    <row r="52" spans="2:12" x14ac:dyDescent="0.3">
      <c r="B52" s="575"/>
      <c r="C52" s="163"/>
      <c r="D52" s="163" t="s">
        <v>31</v>
      </c>
      <c r="E52" s="883"/>
      <c r="F52" s="872"/>
      <c r="G52" s="575" t="s">
        <v>451</v>
      </c>
      <c r="H52" s="879"/>
      <c r="J52" s="395">
        <v>0</v>
      </c>
    </row>
    <row r="53" spans="2:12" x14ac:dyDescent="0.3">
      <c r="B53" s="575"/>
      <c r="C53" s="163"/>
      <c r="D53" s="163"/>
      <c r="E53" s="883"/>
      <c r="F53" s="872"/>
      <c r="G53" s="575" t="s">
        <v>473</v>
      </c>
      <c r="H53" s="879"/>
    </row>
    <row r="54" spans="2:12" x14ac:dyDescent="0.3">
      <c r="B54" s="575"/>
      <c r="C54" s="163"/>
      <c r="D54" s="163" t="s">
        <v>33</v>
      </c>
      <c r="E54" s="883"/>
      <c r="F54" s="872"/>
      <c r="G54" s="575" t="s">
        <v>474</v>
      </c>
      <c r="H54" s="879"/>
    </row>
    <row r="55" spans="2:12" x14ac:dyDescent="0.3">
      <c r="B55" s="575"/>
      <c r="C55" s="163"/>
      <c r="D55" s="163"/>
      <c r="E55" s="883"/>
      <c r="F55" s="872"/>
      <c r="G55" s="575"/>
      <c r="H55" s="879"/>
    </row>
    <row r="56" spans="2:12" x14ac:dyDescent="0.3">
      <c r="B56" s="575"/>
      <c r="C56" s="163"/>
      <c r="D56" s="163" t="s">
        <v>34</v>
      </c>
      <c r="E56" s="883"/>
      <c r="F56" s="872"/>
      <c r="G56" s="575"/>
      <c r="H56" s="879"/>
    </row>
    <row r="57" spans="2:12" x14ac:dyDescent="0.3">
      <c r="B57" s="575"/>
      <c r="C57" s="163"/>
      <c r="D57" s="163"/>
      <c r="E57" s="883"/>
      <c r="F57" s="872"/>
      <c r="G57" s="575"/>
      <c r="H57" s="879"/>
    </row>
    <row r="58" spans="2:12" x14ac:dyDescent="0.3">
      <c r="B58" s="575"/>
      <c r="C58" s="163"/>
      <c r="D58" s="163" t="s">
        <v>35</v>
      </c>
      <c r="E58" s="883"/>
      <c r="F58" s="872"/>
      <c r="G58" s="575"/>
      <c r="H58" s="879"/>
    </row>
    <row r="59" spans="2:12" x14ac:dyDescent="0.3">
      <c r="B59" s="575"/>
      <c r="C59" s="163"/>
      <c r="D59" s="163"/>
      <c r="E59" s="883"/>
      <c r="F59" s="872"/>
      <c r="G59" s="575" t="s">
        <v>36</v>
      </c>
      <c r="H59" s="879" t="s">
        <v>37</v>
      </c>
    </row>
    <row r="60" spans="2:12" x14ac:dyDescent="0.3">
      <c r="B60" s="575"/>
      <c r="C60" s="163"/>
      <c r="D60" s="163"/>
      <c r="E60" s="883"/>
      <c r="F60" s="872"/>
      <c r="G60" s="575"/>
      <c r="H60" s="879" t="s">
        <v>38</v>
      </c>
    </row>
    <row r="61" spans="2:12" x14ac:dyDescent="0.3">
      <c r="B61" s="575"/>
      <c r="C61" s="163"/>
      <c r="D61" s="163"/>
      <c r="E61" s="883"/>
      <c r="F61" s="872"/>
      <c r="G61" s="575"/>
      <c r="H61" s="879" t="s">
        <v>39</v>
      </c>
    </row>
    <row r="62" spans="2:12" x14ac:dyDescent="0.3">
      <c r="B62" s="575"/>
      <c r="C62" s="163"/>
      <c r="D62" s="163"/>
      <c r="E62" s="883"/>
      <c r="F62" s="872"/>
      <c r="G62" s="575"/>
      <c r="H62" s="879"/>
    </row>
    <row r="63" spans="2:12" x14ac:dyDescent="0.3">
      <c r="B63" s="575"/>
      <c r="C63" s="163"/>
      <c r="D63" s="163"/>
      <c r="E63" s="883"/>
      <c r="F63" s="872"/>
      <c r="G63" s="575" t="s">
        <v>40</v>
      </c>
      <c r="H63" s="879" t="s">
        <v>41</v>
      </c>
    </row>
    <row r="64" spans="2:12" x14ac:dyDescent="0.3">
      <c r="B64" s="575"/>
      <c r="C64" s="163"/>
      <c r="D64" s="163"/>
      <c r="E64" s="883"/>
      <c r="F64" s="872"/>
      <c r="G64" s="575"/>
      <c r="H64" s="879"/>
    </row>
    <row r="65" spans="2:18" x14ac:dyDescent="0.3">
      <c r="B65" s="575"/>
      <c r="C65" s="163"/>
      <c r="D65" s="163"/>
      <c r="E65" s="883"/>
      <c r="F65" s="872"/>
      <c r="G65" s="575"/>
      <c r="H65" s="879" t="s">
        <v>42</v>
      </c>
      <c r="K65" s="904"/>
      <c r="L65" s="904"/>
      <c r="M65" s="904"/>
      <c r="N65" s="904"/>
      <c r="O65" s="904"/>
    </row>
    <row r="66" spans="2:18" x14ac:dyDescent="0.3">
      <c r="B66" s="575"/>
      <c r="C66" s="163"/>
      <c r="D66" s="163"/>
      <c r="E66" s="883"/>
      <c r="F66" s="872"/>
      <c r="G66" s="575"/>
      <c r="H66" s="879"/>
    </row>
    <row r="67" spans="2:18" x14ac:dyDescent="0.3">
      <c r="B67" s="575"/>
      <c r="C67" s="163"/>
      <c r="D67" s="163"/>
      <c r="E67" s="883"/>
      <c r="F67" s="872"/>
      <c r="G67" s="575" t="s">
        <v>43</v>
      </c>
      <c r="H67" s="879" t="s">
        <v>44</v>
      </c>
    </row>
    <row r="68" spans="2:18" x14ac:dyDescent="0.3">
      <c r="B68" s="575"/>
      <c r="C68" s="163"/>
      <c r="D68" s="163"/>
      <c r="E68" s="883"/>
      <c r="F68" s="872"/>
      <c r="G68" s="575"/>
      <c r="H68" s="879" t="s">
        <v>45</v>
      </c>
      <c r="K68" s="904"/>
      <c r="L68" s="904"/>
      <c r="M68" s="904"/>
      <c r="N68" s="904"/>
      <c r="O68" s="904"/>
      <c r="P68" s="904"/>
      <c r="Q68" s="904"/>
      <c r="R68" s="904"/>
    </row>
    <row r="69" spans="2:18" x14ac:dyDescent="0.3">
      <c r="B69" s="575"/>
      <c r="C69" s="163"/>
      <c r="D69" s="163"/>
      <c r="E69" s="883"/>
      <c r="F69" s="872"/>
      <c r="G69" s="575"/>
      <c r="H69" s="879"/>
      <c r="P69" s="71" t="s">
        <v>317</v>
      </c>
      <c r="Q69" s="65" t="s">
        <v>318</v>
      </c>
    </row>
    <row r="70" spans="2:18" x14ac:dyDescent="0.3">
      <c r="B70" s="575"/>
      <c r="C70" s="163"/>
      <c r="D70" s="163"/>
      <c r="E70" s="883"/>
      <c r="F70" s="872"/>
      <c r="G70" s="575" t="s">
        <v>46</v>
      </c>
      <c r="H70" s="879" t="s">
        <v>47</v>
      </c>
      <c r="P70" s="71">
        <v>27000</v>
      </c>
      <c r="Q70" s="71">
        <v>102000</v>
      </c>
    </row>
    <row r="71" spans="2:18" x14ac:dyDescent="0.3">
      <c r="B71" s="575"/>
      <c r="C71" s="163"/>
      <c r="D71" s="163"/>
      <c r="E71" s="883"/>
      <c r="F71" s="872"/>
      <c r="G71" s="575"/>
      <c r="H71" s="879" t="s">
        <v>48</v>
      </c>
      <c r="P71" s="65" t="e">
        <f>SUM(#REF!/#REF!)</f>
        <v>#REF!</v>
      </c>
      <c r="Q71" s="65" t="e">
        <f>SUM(#REF!/#REF!)</f>
        <v>#REF!</v>
      </c>
    </row>
    <row r="72" spans="2:18" x14ac:dyDescent="0.3">
      <c r="B72" s="575"/>
      <c r="C72" s="163"/>
      <c r="D72" s="163"/>
      <c r="E72" s="883"/>
      <c r="F72" s="872"/>
      <c r="G72" s="575"/>
      <c r="H72" s="879"/>
    </row>
    <row r="73" spans="2:18" ht="15" customHeight="1" x14ac:dyDescent="0.3">
      <c r="B73" s="575"/>
      <c r="C73" s="163"/>
      <c r="D73" s="163"/>
      <c r="E73" s="883"/>
      <c r="F73" s="872"/>
      <c r="G73" s="575" t="s">
        <v>49</v>
      </c>
      <c r="H73" s="879" t="s">
        <v>50</v>
      </c>
      <c r="J73" s="905" t="s">
        <v>319</v>
      </c>
      <c r="K73" s="905"/>
      <c r="L73" s="905"/>
      <c r="M73" s="905"/>
      <c r="N73" s="905"/>
      <c r="O73" s="905"/>
      <c r="P73" s="905"/>
      <c r="Q73" s="905"/>
      <c r="R73" s="905"/>
    </row>
    <row r="74" spans="2:18" x14ac:dyDescent="0.3">
      <c r="B74" s="575"/>
      <c r="C74" s="163"/>
      <c r="D74" s="163"/>
      <c r="E74" s="883"/>
      <c r="F74" s="872"/>
      <c r="G74" s="575"/>
      <c r="H74" s="879"/>
      <c r="J74" s="905"/>
      <c r="K74" s="905"/>
      <c r="L74" s="905"/>
      <c r="M74" s="905"/>
      <c r="N74" s="905"/>
      <c r="O74" s="905"/>
      <c r="P74" s="905"/>
      <c r="Q74" s="905"/>
      <c r="R74" s="905"/>
    </row>
    <row r="75" spans="2:18" x14ac:dyDescent="0.3">
      <c r="B75" s="575"/>
      <c r="C75" s="163"/>
      <c r="D75" s="163"/>
      <c r="E75" s="883"/>
      <c r="F75" s="872"/>
      <c r="G75" s="575"/>
      <c r="H75" s="879" t="s">
        <v>51</v>
      </c>
    </row>
    <row r="76" spans="2:18" x14ac:dyDescent="0.3">
      <c r="B76" s="575"/>
      <c r="C76" s="163"/>
      <c r="D76" s="163"/>
      <c r="E76" s="883"/>
      <c r="F76" s="872"/>
      <c r="G76" s="575"/>
      <c r="H76" s="879"/>
    </row>
    <row r="77" spans="2:18" x14ac:dyDescent="0.3">
      <c r="B77" s="575"/>
      <c r="C77" s="163"/>
      <c r="D77" s="163"/>
      <c r="E77" s="883"/>
      <c r="F77" s="872"/>
      <c r="G77" s="575" t="s">
        <v>52</v>
      </c>
      <c r="H77" s="879" t="s">
        <v>53</v>
      </c>
      <c r="J77" s="396"/>
    </row>
    <row r="78" spans="2:18" x14ac:dyDescent="0.3">
      <c r="B78" s="575"/>
      <c r="C78" s="163"/>
      <c r="D78" s="163"/>
      <c r="E78" s="883"/>
      <c r="F78" s="872"/>
      <c r="G78" s="575"/>
      <c r="H78" s="879" t="s">
        <v>54</v>
      </c>
    </row>
    <row r="79" spans="2:18" x14ac:dyDescent="0.3">
      <c r="B79" s="575"/>
      <c r="C79" s="163"/>
      <c r="D79" s="163"/>
      <c r="E79" s="883"/>
      <c r="F79" s="872"/>
      <c r="G79" s="575"/>
      <c r="H79" s="879" t="s">
        <v>55</v>
      </c>
    </row>
    <row r="80" spans="2:18" x14ac:dyDescent="0.3">
      <c r="B80" s="575"/>
      <c r="C80" s="163"/>
      <c r="D80" s="163"/>
      <c r="E80" s="883"/>
      <c r="F80" s="872"/>
      <c r="G80" s="575"/>
      <c r="H80" s="879" t="s">
        <v>56</v>
      </c>
    </row>
    <row r="81" spans="2:24" x14ac:dyDescent="0.3">
      <c r="B81" s="575"/>
      <c r="C81" s="163"/>
      <c r="D81" s="163"/>
      <c r="E81" s="883"/>
      <c r="F81" s="872"/>
      <c r="G81" s="575"/>
      <c r="H81" s="879"/>
    </row>
    <row r="82" spans="2:24" x14ac:dyDescent="0.3">
      <c r="B82" s="575"/>
      <c r="C82" s="163"/>
      <c r="D82" s="163"/>
      <c r="E82" s="883"/>
      <c r="F82" s="872"/>
      <c r="G82" s="575" t="s">
        <v>57</v>
      </c>
      <c r="H82" s="879" t="s">
        <v>58</v>
      </c>
      <c r="J82" s="906" t="s">
        <v>320</v>
      </c>
      <c r="K82" s="906"/>
      <c r="L82" s="906"/>
      <c r="M82" s="906"/>
      <c r="N82" s="906"/>
      <c r="O82" s="906"/>
      <c r="P82" s="906"/>
      <c r="Q82" s="906"/>
      <c r="R82" s="906"/>
    </row>
    <row r="83" spans="2:24" x14ac:dyDescent="0.3">
      <c r="B83" s="575"/>
      <c r="C83" s="163"/>
      <c r="D83" s="163"/>
      <c r="E83" s="883"/>
      <c r="F83" s="872"/>
      <c r="G83" s="575"/>
      <c r="H83" s="879" t="s">
        <v>59</v>
      </c>
      <c r="K83" s="906"/>
      <c r="L83" s="906"/>
      <c r="M83" s="906"/>
      <c r="N83" s="906"/>
      <c r="O83" s="906"/>
      <c r="P83" s="906"/>
      <c r="Q83" s="906"/>
      <c r="R83" s="906"/>
      <c r="S83" s="906"/>
      <c r="T83" s="906"/>
      <c r="U83" s="906"/>
      <c r="V83" s="906"/>
      <c r="W83" s="906"/>
      <c r="X83" s="906"/>
    </row>
    <row r="84" spans="2:24" x14ac:dyDescent="0.3">
      <c r="B84" s="575"/>
      <c r="C84" s="163"/>
      <c r="D84" s="163"/>
      <c r="E84" s="883"/>
      <c r="F84" s="872"/>
      <c r="G84" s="575"/>
      <c r="H84" s="879" t="s">
        <v>60</v>
      </c>
      <c r="K84" s="906"/>
      <c r="L84" s="906"/>
      <c r="M84" s="906"/>
      <c r="N84" s="906"/>
      <c r="O84" s="906"/>
      <c r="P84" s="906"/>
      <c r="Q84" s="906"/>
      <c r="R84" s="906"/>
      <c r="S84" s="906"/>
      <c r="T84" s="906"/>
      <c r="U84" s="906"/>
      <c r="V84" s="906"/>
      <c r="W84" s="906"/>
      <c r="X84" s="906"/>
    </row>
    <row r="85" spans="2:24" x14ac:dyDescent="0.3">
      <c r="B85" s="575"/>
      <c r="C85" s="163"/>
      <c r="D85" s="163"/>
      <c r="E85" s="883"/>
      <c r="F85" s="872"/>
      <c r="G85" s="575"/>
      <c r="H85" s="879" t="s">
        <v>61</v>
      </c>
      <c r="K85" s="904" t="s">
        <v>321</v>
      </c>
      <c r="L85" s="904"/>
      <c r="M85" s="904"/>
      <c r="N85" s="904"/>
      <c r="O85" s="904"/>
      <c r="P85" s="904"/>
      <c r="Q85" s="904"/>
      <c r="R85" s="904"/>
    </row>
    <row r="86" spans="2:24" x14ac:dyDescent="0.3">
      <c r="B86" s="575"/>
      <c r="C86" s="163"/>
      <c r="D86" s="163"/>
      <c r="E86" s="883"/>
      <c r="F86" s="872"/>
      <c r="G86" s="575"/>
      <c r="H86" s="879"/>
    </row>
    <row r="87" spans="2:24" x14ac:dyDescent="0.3">
      <c r="B87" s="575"/>
      <c r="C87" s="163"/>
      <c r="D87" s="163"/>
      <c r="E87" s="883"/>
      <c r="F87" s="872"/>
      <c r="G87" s="575" t="s">
        <v>62</v>
      </c>
      <c r="H87" s="879" t="s">
        <v>63</v>
      </c>
      <c r="K87" s="905" t="s">
        <v>327</v>
      </c>
      <c r="L87" s="905"/>
      <c r="M87" s="905"/>
      <c r="N87" s="905"/>
      <c r="O87" s="905"/>
      <c r="P87" s="905"/>
      <c r="Q87" s="905"/>
      <c r="R87" s="905"/>
      <c r="S87" s="905"/>
      <c r="T87" s="905"/>
      <c r="U87" s="905"/>
      <c r="V87" s="905"/>
      <c r="W87" s="905"/>
      <c r="X87" s="905"/>
    </row>
    <row r="88" spans="2:24" x14ac:dyDescent="0.3">
      <c r="B88" s="575"/>
      <c r="C88" s="163"/>
      <c r="D88" s="163"/>
      <c r="E88" s="883"/>
      <c r="F88" s="872"/>
      <c r="G88" s="575"/>
      <c r="H88" s="879" t="s">
        <v>64</v>
      </c>
    </row>
    <row r="89" spans="2:24" x14ac:dyDescent="0.3">
      <c r="B89" s="575"/>
      <c r="C89" s="163"/>
      <c r="D89" s="163"/>
      <c r="E89" s="883"/>
      <c r="F89" s="872"/>
      <c r="G89" s="575"/>
      <c r="H89" s="879" t="s">
        <v>462</v>
      </c>
      <c r="I89" s="65" t="s">
        <v>463</v>
      </c>
      <c r="K89" s="65" t="s">
        <v>464</v>
      </c>
      <c r="O89" s="71">
        <v>26000</v>
      </c>
    </row>
    <row r="90" spans="2:24" x14ac:dyDescent="0.3">
      <c r="B90" s="575"/>
      <c r="C90" s="163"/>
      <c r="D90" s="163"/>
      <c r="E90" s="883"/>
      <c r="F90" s="872"/>
      <c r="G90" s="575"/>
      <c r="H90" s="879"/>
      <c r="K90" s="65" t="s">
        <v>465</v>
      </c>
    </row>
    <row r="91" spans="2:24" x14ac:dyDescent="0.3">
      <c r="B91" s="575"/>
      <c r="C91" s="163"/>
      <c r="D91" s="163"/>
      <c r="E91" s="883"/>
      <c r="F91" s="872"/>
      <c r="G91" s="575"/>
      <c r="H91" s="879"/>
      <c r="K91" s="65" t="s">
        <v>466</v>
      </c>
    </row>
    <row r="92" spans="2:24" x14ac:dyDescent="0.3">
      <c r="B92" s="575"/>
      <c r="C92" s="163"/>
      <c r="D92" s="163"/>
      <c r="E92" s="883"/>
      <c r="F92" s="872"/>
      <c r="G92" s="575"/>
      <c r="H92" s="879"/>
      <c r="P92" s="65" t="e">
        <f>SUM(#REF!/2000)</f>
        <v>#REF!</v>
      </c>
      <c r="Q92" s="65" t="s">
        <v>467</v>
      </c>
    </row>
    <row r="93" spans="2:24" ht="35.25" customHeight="1" x14ac:dyDescent="0.3">
      <c r="B93" s="575"/>
      <c r="C93" s="163"/>
      <c r="D93" s="163"/>
      <c r="E93" s="883"/>
      <c r="F93" s="872"/>
      <c r="G93" s="575"/>
      <c r="H93" s="879" t="s">
        <v>65</v>
      </c>
      <c r="K93" s="905" t="s">
        <v>322</v>
      </c>
      <c r="L93" s="905"/>
      <c r="M93" s="905"/>
      <c r="N93" s="905"/>
      <c r="O93" s="905"/>
      <c r="P93" s="905"/>
      <c r="Q93" s="905"/>
      <c r="R93" s="905"/>
      <c r="S93" s="905"/>
      <c r="T93" s="905"/>
      <c r="U93" s="905"/>
      <c r="V93" s="905"/>
      <c r="W93" s="905"/>
      <c r="X93" s="905"/>
    </row>
    <row r="94" spans="2:24" x14ac:dyDescent="0.3">
      <c r="B94" s="575"/>
      <c r="C94" s="163"/>
      <c r="D94" s="163"/>
      <c r="E94" s="883"/>
      <c r="F94" s="872"/>
      <c r="G94" s="575"/>
      <c r="H94" s="879"/>
    </row>
    <row r="95" spans="2:24" x14ac:dyDescent="0.3">
      <c r="B95" s="575"/>
      <c r="C95" s="163"/>
      <c r="D95" s="163"/>
      <c r="E95" s="883"/>
      <c r="F95" s="872"/>
      <c r="G95" s="575" t="s">
        <v>66</v>
      </c>
      <c r="H95" s="879" t="s">
        <v>67</v>
      </c>
    </row>
    <row r="96" spans="2:24" x14ac:dyDescent="0.3">
      <c r="B96" s="575"/>
      <c r="C96" s="163"/>
      <c r="D96" s="163"/>
      <c r="E96" s="883"/>
      <c r="F96" s="872"/>
      <c r="G96" s="575"/>
      <c r="H96" s="879" t="s">
        <v>68</v>
      </c>
      <c r="K96" s="904" t="s">
        <v>328</v>
      </c>
      <c r="L96" s="904"/>
      <c r="M96" s="904"/>
      <c r="N96" s="904"/>
      <c r="O96" s="904"/>
      <c r="P96" s="904"/>
      <c r="Q96" s="904"/>
      <c r="R96" s="904"/>
      <c r="S96" s="904"/>
      <c r="T96" s="904"/>
      <c r="U96" s="904"/>
      <c r="V96" s="904"/>
      <c r="W96" s="904"/>
      <c r="X96" s="904"/>
    </row>
    <row r="97" spans="2:8" x14ac:dyDescent="0.3">
      <c r="B97" s="575"/>
      <c r="C97" s="163"/>
      <c r="D97" s="163"/>
      <c r="E97" s="883"/>
      <c r="F97" s="872"/>
      <c r="G97" s="575"/>
      <c r="H97" s="879"/>
    </row>
    <row r="98" spans="2:8" x14ac:dyDescent="0.3">
      <c r="B98" s="575"/>
      <c r="C98" s="163"/>
      <c r="D98" s="163" t="s">
        <v>69</v>
      </c>
      <c r="E98" s="883"/>
      <c r="F98" s="872"/>
      <c r="G98" s="575"/>
      <c r="H98" s="879"/>
    </row>
    <row r="99" spans="2:8" ht="56.25" x14ac:dyDescent="0.3">
      <c r="B99" s="575"/>
      <c r="C99" s="163"/>
      <c r="D99" s="163"/>
      <c r="E99" s="883"/>
      <c r="F99" s="872"/>
      <c r="G99" s="881" t="s">
        <v>70</v>
      </c>
      <c r="H99" s="879" t="s">
        <v>71</v>
      </c>
    </row>
    <row r="100" spans="2:8" x14ac:dyDescent="0.3">
      <c r="B100" s="575"/>
      <c r="C100" s="163"/>
      <c r="D100" s="163"/>
      <c r="E100" s="883"/>
      <c r="F100" s="872"/>
      <c r="G100" s="575"/>
      <c r="H100" s="879" t="s">
        <v>72</v>
      </c>
    </row>
    <row r="101" spans="2:8" x14ac:dyDescent="0.3">
      <c r="B101" s="575"/>
      <c r="C101" s="163"/>
      <c r="D101" s="163"/>
      <c r="E101" s="883"/>
      <c r="F101" s="872"/>
      <c r="G101" s="575"/>
      <c r="H101" s="879" t="s">
        <v>73</v>
      </c>
    </row>
    <row r="102" spans="2:8" x14ac:dyDescent="0.3">
      <c r="B102" s="575"/>
      <c r="C102" s="163"/>
      <c r="D102" s="163"/>
      <c r="E102" s="883"/>
      <c r="F102" s="872"/>
      <c r="G102" s="575"/>
      <c r="H102" s="879"/>
    </row>
    <row r="103" spans="2:8" ht="56.25" x14ac:dyDescent="0.3">
      <c r="B103" s="575"/>
      <c r="C103" s="163"/>
      <c r="D103" s="163"/>
      <c r="E103" s="883"/>
      <c r="F103" s="872"/>
      <c r="G103" s="881" t="s">
        <v>74</v>
      </c>
      <c r="H103" s="879" t="s">
        <v>75</v>
      </c>
    </row>
    <row r="104" spans="2:8" x14ac:dyDescent="0.3">
      <c r="B104" s="575"/>
      <c r="C104" s="163"/>
      <c r="D104" s="163"/>
      <c r="E104" s="883"/>
      <c r="F104" s="872"/>
      <c r="G104" s="575"/>
      <c r="H104" s="879" t="s">
        <v>76</v>
      </c>
    </row>
    <row r="105" spans="2:8" x14ac:dyDescent="0.3">
      <c r="B105" s="575"/>
      <c r="C105" s="163"/>
      <c r="D105" s="163"/>
      <c r="E105" s="883"/>
      <c r="F105" s="872"/>
      <c r="G105" s="575"/>
      <c r="H105" s="879" t="s">
        <v>77</v>
      </c>
    </row>
    <row r="106" spans="2:8" x14ac:dyDescent="0.3">
      <c r="B106" s="575"/>
      <c r="C106" s="163"/>
      <c r="D106" s="163"/>
      <c r="E106" s="883"/>
      <c r="F106" s="872"/>
      <c r="G106" s="575"/>
      <c r="H106" s="879" t="s">
        <v>78</v>
      </c>
    </row>
    <row r="107" spans="2:8" x14ac:dyDescent="0.3">
      <c r="B107" s="575"/>
      <c r="C107" s="163"/>
      <c r="D107" s="163"/>
      <c r="E107" s="883"/>
      <c r="F107" s="872"/>
      <c r="G107" s="575"/>
      <c r="H107" s="879"/>
    </row>
    <row r="108" spans="2:8" x14ac:dyDescent="0.3">
      <c r="B108" s="575"/>
      <c r="C108" s="163"/>
      <c r="D108" s="163"/>
      <c r="E108" s="883"/>
      <c r="F108" s="872"/>
      <c r="G108" s="575"/>
      <c r="H108" s="879"/>
    </row>
    <row r="109" spans="2:8" x14ac:dyDescent="0.3">
      <c r="B109" s="575"/>
      <c r="C109" s="163"/>
      <c r="D109" s="163"/>
      <c r="E109" s="883"/>
      <c r="F109" s="872"/>
      <c r="G109" s="575"/>
      <c r="H109" s="879"/>
    </row>
    <row r="110" spans="2:8" x14ac:dyDescent="0.3">
      <c r="B110" s="575"/>
      <c r="C110" s="163"/>
      <c r="D110" s="163"/>
      <c r="E110" s="883"/>
      <c r="F110" s="872"/>
      <c r="G110" s="575"/>
      <c r="H110" s="879"/>
    </row>
    <row r="111" spans="2:8" x14ac:dyDescent="0.3">
      <c r="B111" s="575"/>
      <c r="C111" s="163"/>
      <c r="D111" s="163"/>
      <c r="E111" s="883"/>
      <c r="F111" s="872"/>
      <c r="G111" s="575"/>
      <c r="H111" s="879"/>
    </row>
    <row r="112" spans="2:8" x14ac:dyDescent="0.3">
      <c r="B112" s="575"/>
      <c r="C112" s="163"/>
      <c r="D112" s="163"/>
      <c r="E112" s="883"/>
      <c r="F112" s="872"/>
      <c r="G112" s="575"/>
      <c r="H112" s="879"/>
    </row>
    <row r="113" spans="2:8" x14ac:dyDescent="0.3">
      <c r="B113" s="575"/>
      <c r="C113" s="163"/>
      <c r="D113" s="163"/>
      <c r="E113" s="883"/>
      <c r="F113" s="872"/>
      <c r="G113" s="575"/>
      <c r="H113" s="879"/>
    </row>
    <row r="114" spans="2:8" ht="19.5" thickBot="1" x14ac:dyDescent="0.35">
      <c r="B114" s="576"/>
      <c r="C114" s="577"/>
      <c r="D114" s="577"/>
      <c r="E114" s="577"/>
      <c r="F114" s="884"/>
      <c r="G114" s="576"/>
      <c r="H114" s="578"/>
    </row>
  </sheetData>
  <mergeCells count="11">
    <mergeCell ref="H42:K42"/>
    <mergeCell ref="K96:X96"/>
    <mergeCell ref="K93:X93"/>
    <mergeCell ref="K65:O65"/>
    <mergeCell ref="K68:R68"/>
    <mergeCell ref="J73:R74"/>
    <mergeCell ref="J82:R82"/>
    <mergeCell ref="K85:R85"/>
    <mergeCell ref="K87:X87"/>
    <mergeCell ref="K83:X83"/>
    <mergeCell ref="K84:X8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0150A-8F06-4C28-A209-D51FA1E940D6}">
  <sheetPr codeName="Sheet1"/>
  <dimension ref="A2:AI114"/>
  <sheetViews>
    <sheetView workbookViewId="0">
      <selection activeCell="H13" sqref="H13"/>
    </sheetView>
  </sheetViews>
  <sheetFormatPr defaultColWidth="8.7109375" defaultRowHeight="15.75" x14ac:dyDescent="0.25"/>
  <cols>
    <col min="1" max="1" width="6.140625" style="64" customWidth="1"/>
    <col min="2" max="2" width="8.140625" style="76" customWidth="1"/>
    <col min="3" max="3" width="9" style="76" customWidth="1"/>
    <col min="4" max="4" width="14.140625" style="64" customWidth="1"/>
    <col min="5" max="5" width="8.140625" style="64" customWidth="1"/>
    <col min="6" max="6" width="7.5703125" style="591" customWidth="1"/>
    <col min="7" max="7" width="7.5703125" style="64" customWidth="1"/>
    <col min="8" max="8" width="11.5703125" style="64" customWidth="1"/>
    <col min="9" max="12" width="9.42578125" style="64" customWidth="1"/>
    <col min="13" max="13" width="13.140625" style="64" customWidth="1"/>
    <col min="14" max="14" width="10.85546875" style="64" customWidth="1"/>
    <col min="15" max="15" width="9.85546875" style="64" customWidth="1"/>
    <col min="16" max="16" width="16.5703125" style="64" customWidth="1"/>
    <col min="17" max="17" width="9.85546875" style="64" customWidth="1"/>
    <col min="18" max="18" width="13.28515625" style="78" customWidth="1"/>
    <col min="19" max="19" width="9.28515625" style="78" customWidth="1"/>
    <col min="20" max="20" width="11.85546875" style="78" customWidth="1"/>
    <col min="21" max="21" width="9.42578125" style="78" customWidth="1"/>
    <col min="22" max="22" width="10.7109375" style="78" customWidth="1"/>
    <col min="23" max="23" width="5.42578125" style="78" customWidth="1"/>
    <col min="24" max="24" width="9.85546875" style="78" customWidth="1"/>
    <col min="25" max="25" width="9.140625" style="78" customWidth="1"/>
    <col min="26" max="26" width="10" style="78" customWidth="1"/>
    <col min="27" max="27" width="13.42578125" style="78" customWidth="1"/>
    <col min="28" max="28" width="9.85546875" style="78" customWidth="1"/>
    <col min="29" max="29" width="8.7109375" style="78"/>
    <col min="30" max="30" width="9.42578125" style="78" customWidth="1"/>
    <col min="31" max="31" width="1.5703125" style="78" customWidth="1"/>
    <col min="32" max="32" width="10.7109375" style="78" customWidth="1"/>
    <col min="33" max="33" width="11" style="64" customWidth="1"/>
    <col min="34" max="34" width="14.42578125" style="76" customWidth="1"/>
    <col min="35" max="35" width="12.42578125" style="64" customWidth="1"/>
    <col min="36" max="16384" width="8.7109375" style="64"/>
  </cols>
  <sheetData>
    <row r="2" spans="1:35" x14ac:dyDescent="0.25">
      <c r="B2" s="594" t="s">
        <v>664</v>
      </c>
    </row>
    <row r="3" spans="1:35" ht="16.5" thickBot="1" x14ac:dyDescent="0.3"/>
    <row r="4" spans="1:35" ht="16.5" thickBot="1" x14ac:dyDescent="0.3">
      <c r="B4" s="82" t="s">
        <v>0</v>
      </c>
      <c r="C4" s="83" t="s">
        <v>1</v>
      </c>
      <c r="D4" s="877" t="s">
        <v>2</v>
      </c>
      <c r="E4" s="877" t="s">
        <v>3</v>
      </c>
      <c r="F4" s="661" t="s">
        <v>4</v>
      </c>
      <c r="G4" s="877"/>
      <c r="H4" s="877" t="s">
        <v>5</v>
      </c>
      <c r="I4" s="83" t="s">
        <v>6</v>
      </c>
      <c r="J4" s="83"/>
      <c r="K4" s="894"/>
      <c r="L4" s="894"/>
      <c r="M4" s="791" t="s">
        <v>7</v>
      </c>
      <c r="N4" s="584" t="s">
        <v>646</v>
      </c>
      <c r="O4" s="832" t="s">
        <v>8</v>
      </c>
      <c r="P4" s="791" t="s">
        <v>894</v>
      </c>
      <c r="Q4" s="877"/>
      <c r="R4" s="876" t="s">
        <v>9</v>
      </c>
      <c r="S4" s="911" t="s">
        <v>306</v>
      </c>
      <c r="T4" s="912"/>
      <c r="U4" s="912"/>
      <c r="V4" s="913"/>
      <c r="W4" s="592"/>
      <c r="X4" s="914" t="s">
        <v>37</v>
      </c>
      <c r="Y4" s="915"/>
      <c r="Z4" s="915"/>
      <c r="AA4" s="916"/>
      <c r="AB4" s="917" t="s">
        <v>315</v>
      </c>
      <c r="AC4" s="144"/>
      <c r="AD4" s="144"/>
      <c r="AE4" s="145"/>
      <c r="AF4" s="155" t="s">
        <v>316</v>
      </c>
      <c r="AG4" s="595" t="s">
        <v>10</v>
      </c>
      <c r="AH4" s="64"/>
    </row>
    <row r="5" spans="1:35" ht="16.5" thickBot="1" x14ac:dyDescent="0.3">
      <c r="B5" s="82"/>
      <c r="C5" s="83" t="s">
        <v>11</v>
      </c>
      <c r="D5" s="877" t="s">
        <v>12</v>
      </c>
      <c r="E5" s="877"/>
      <c r="F5" s="661"/>
      <c r="G5" s="877" t="s">
        <v>83</v>
      </c>
      <c r="H5" s="877" t="s">
        <v>13</v>
      </c>
      <c r="I5" s="83" t="s">
        <v>14</v>
      </c>
      <c r="J5" s="83" t="s">
        <v>698</v>
      </c>
      <c r="K5" s="894" t="s">
        <v>644</v>
      </c>
      <c r="L5" s="85"/>
      <c r="M5" s="115"/>
      <c r="N5" s="585"/>
      <c r="O5" s="115"/>
      <c r="P5" s="585"/>
      <c r="Q5" s="47"/>
      <c r="R5" s="49"/>
      <c r="S5" s="131" t="s">
        <v>302</v>
      </c>
      <c r="T5" s="112" t="s">
        <v>303</v>
      </c>
      <c r="U5" s="112" t="s">
        <v>305</v>
      </c>
      <c r="V5" s="112" t="s">
        <v>304</v>
      </c>
      <c r="W5" s="112"/>
      <c r="X5" s="131" t="s">
        <v>312</v>
      </c>
      <c r="Y5" s="112" t="s">
        <v>314</v>
      </c>
      <c r="Z5" s="112" t="s">
        <v>6</v>
      </c>
      <c r="AA5" s="151" t="s">
        <v>313</v>
      </c>
      <c r="AB5" s="918"/>
      <c r="AC5" s="112" t="s">
        <v>307</v>
      </c>
      <c r="AD5" s="112" t="s">
        <v>310</v>
      </c>
      <c r="AE5" s="112"/>
      <c r="AF5" s="112" t="s">
        <v>95</v>
      </c>
      <c r="AG5" s="56" t="s">
        <v>15</v>
      </c>
      <c r="AH5" s="64"/>
    </row>
    <row r="6" spans="1:35" x14ac:dyDescent="0.25">
      <c r="B6" s="84">
        <v>2007</v>
      </c>
      <c r="C6" s="85" t="s">
        <v>16</v>
      </c>
      <c r="D6" s="46">
        <v>14380326</v>
      </c>
      <c r="E6" s="632">
        <v>1346</v>
      </c>
      <c r="F6" s="662">
        <v>4777</v>
      </c>
      <c r="G6" s="47" t="s">
        <v>107</v>
      </c>
      <c r="H6" s="46">
        <v>1087149</v>
      </c>
      <c r="I6" s="87">
        <v>190144</v>
      </c>
      <c r="J6" s="87"/>
      <c r="K6" s="87"/>
      <c r="L6" s="87"/>
      <c r="M6" s="88">
        <v>1595000</v>
      </c>
      <c r="N6" s="587"/>
      <c r="O6" s="833">
        <f>SUM(M6*R6/2200)</f>
        <v>13887.592500000001</v>
      </c>
      <c r="P6" s="586"/>
      <c r="Q6" s="828"/>
      <c r="R6" s="583">
        <v>19.1553</v>
      </c>
      <c r="S6" s="132">
        <v>7.9897999999999998</v>
      </c>
      <c r="T6" s="117">
        <v>2.7050000000000001</v>
      </c>
      <c r="U6" s="117">
        <v>5.8599999999999999E-2</v>
      </c>
      <c r="V6" s="117">
        <v>8.4019999999999992</v>
      </c>
      <c r="W6" s="117" t="s">
        <v>311</v>
      </c>
      <c r="X6" s="146">
        <v>6079</v>
      </c>
      <c r="Y6" s="126">
        <v>5780</v>
      </c>
      <c r="Z6" s="126">
        <v>1957</v>
      </c>
      <c r="AA6" s="126">
        <f>SUM(Y6:Z6)</f>
        <v>7737</v>
      </c>
      <c r="AB6" s="126">
        <f>SUM(X6+Y6+Z6)</f>
        <v>13816</v>
      </c>
      <c r="AC6" s="142">
        <v>42</v>
      </c>
      <c r="AD6" s="117"/>
      <c r="AE6" s="113"/>
      <c r="AF6" s="113"/>
      <c r="AG6" s="143">
        <v>170.68</v>
      </c>
      <c r="AH6" s="64"/>
      <c r="AI6"/>
    </row>
    <row r="7" spans="1:35" ht="16.5" thickBot="1" x14ac:dyDescent="0.3">
      <c r="A7" s="78"/>
      <c r="B7" s="99">
        <v>2019</v>
      </c>
      <c r="C7" s="100"/>
      <c r="D7" s="101"/>
      <c r="E7" s="897"/>
      <c r="F7" s="663"/>
      <c r="G7" s="101">
        <v>8250</v>
      </c>
      <c r="H7" s="901">
        <v>1205000</v>
      </c>
      <c r="I7" s="902">
        <v>153000</v>
      </c>
      <c r="J7" s="100"/>
      <c r="K7" s="100"/>
      <c r="L7" s="100"/>
      <c r="M7" s="99"/>
      <c r="N7" s="103"/>
      <c r="O7" s="898"/>
      <c r="P7" s="899"/>
      <c r="Q7" s="900"/>
      <c r="R7" s="129"/>
      <c r="S7" s="138"/>
      <c r="T7" s="102"/>
      <c r="U7" s="102"/>
      <c r="V7" s="102" t="s">
        <v>308</v>
      </c>
      <c r="W7" s="91" t="s">
        <v>308</v>
      </c>
      <c r="X7" s="102">
        <f t="shared" ref="X7:AC7" si="0">SUM(X6*0.9091)</f>
        <v>5526.4188999999997</v>
      </c>
      <c r="Y7" s="102">
        <f t="shared" si="0"/>
        <v>5254.598</v>
      </c>
      <c r="Z7" s="102">
        <f t="shared" si="0"/>
        <v>1779.1087</v>
      </c>
      <c r="AA7" s="102">
        <f t="shared" si="0"/>
        <v>7033.7066999999997</v>
      </c>
      <c r="AB7" s="148">
        <f t="shared" si="0"/>
        <v>12560.125599999999</v>
      </c>
      <c r="AC7" s="102">
        <f t="shared" si="0"/>
        <v>38.182200000000002</v>
      </c>
      <c r="AD7" s="102">
        <v>2292</v>
      </c>
      <c r="AE7" s="102"/>
      <c r="AF7" s="91"/>
      <c r="AG7" s="119"/>
      <c r="AH7" s="64"/>
      <c r="AI7"/>
    </row>
    <row r="8" spans="1:35" ht="16.5" thickBot="1" x14ac:dyDescent="0.3">
      <c r="A8" s="78"/>
      <c r="B8" s="84">
        <v>2020</v>
      </c>
      <c r="C8" s="85"/>
      <c r="D8" s="47"/>
      <c r="E8" s="90"/>
      <c r="F8" s="662"/>
      <c r="G8" s="46">
        <v>4000</v>
      </c>
      <c r="H8" s="46">
        <v>937000</v>
      </c>
      <c r="I8" s="87">
        <v>37000</v>
      </c>
      <c r="J8" s="85"/>
      <c r="K8" s="85"/>
      <c r="L8" s="85"/>
      <c r="M8" s="84"/>
      <c r="N8" s="92"/>
      <c r="O8" s="98"/>
      <c r="P8" s="588"/>
      <c r="Q8" s="829"/>
      <c r="R8" s="97"/>
      <c r="S8" s="896"/>
      <c r="T8" s="97"/>
      <c r="U8" s="97"/>
      <c r="V8" s="91"/>
      <c r="W8" s="91"/>
      <c r="X8" s="102"/>
      <c r="Y8" s="102"/>
      <c r="Z8" s="102"/>
      <c r="AA8" s="102"/>
      <c r="AB8" s="148"/>
      <c r="AC8" s="102"/>
      <c r="AD8" s="102"/>
      <c r="AE8" s="129"/>
      <c r="AF8" s="97"/>
      <c r="AG8" s="119"/>
      <c r="AH8" s="64"/>
      <c r="AI8"/>
    </row>
    <row r="9" spans="1:35" ht="16.5" thickBot="1" x14ac:dyDescent="0.3">
      <c r="A9" s="78"/>
      <c r="B9" s="84"/>
      <c r="C9" s="85"/>
      <c r="D9" s="47"/>
      <c r="E9" s="90"/>
      <c r="F9" s="662"/>
      <c r="G9" s="47"/>
      <c r="H9" s="47"/>
      <c r="I9" s="85"/>
      <c r="J9" s="85"/>
      <c r="K9" s="85"/>
      <c r="L9" s="85"/>
      <c r="M9" s="84"/>
      <c r="N9" s="92"/>
      <c r="O9" s="98"/>
      <c r="P9" s="588"/>
      <c r="Q9" s="829"/>
      <c r="R9" s="97"/>
      <c r="S9" s="896"/>
      <c r="T9" s="97"/>
      <c r="U9" s="97"/>
      <c r="V9" s="91"/>
      <c r="W9" s="91"/>
      <c r="X9" s="102"/>
      <c r="Y9" s="102"/>
      <c r="Z9" s="102"/>
      <c r="AA9" s="102"/>
      <c r="AB9" s="148"/>
      <c r="AC9" s="102"/>
      <c r="AD9" s="102"/>
      <c r="AE9" s="129"/>
      <c r="AF9" s="97"/>
      <c r="AG9" s="119"/>
      <c r="AH9" s="64"/>
      <c r="AI9"/>
    </row>
    <row r="10" spans="1:35" ht="16.5" thickBot="1" x14ac:dyDescent="0.3">
      <c r="A10" s="78"/>
      <c r="B10" s="84"/>
      <c r="C10" s="85"/>
      <c r="D10" s="47">
        <v>2020</v>
      </c>
      <c r="E10" s="90" t="s">
        <v>989</v>
      </c>
      <c r="F10" s="662"/>
      <c r="G10" s="47"/>
      <c r="H10" s="47"/>
      <c r="I10" s="85"/>
      <c r="J10" s="85"/>
      <c r="K10" s="85"/>
      <c r="L10" s="85"/>
      <c r="M10" s="84"/>
      <c r="N10" s="92"/>
      <c r="O10" s="98"/>
      <c r="P10" s="588"/>
      <c r="Q10" s="829"/>
      <c r="R10" s="97"/>
      <c r="S10" s="896"/>
      <c r="T10" s="97"/>
      <c r="U10" s="97"/>
      <c r="V10" s="91"/>
      <c r="W10" s="91"/>
      <c r="X10" s="102"/>
      <c r="Y10" s="102"/>
      <c r="Z10" s="102"/>
      <c r="AA10" s="102"/>
      <c r="AB10" s="148"/>
      <c r="AC10" s="102"/>
      <c r="AD10" s="102"/>
      <c r="AE10" s="129"/>
      <c r="AF10" s="97"/>
      <c r="AG10" s="119"/>
      <c r="AH10" s="64"/>
      <c r="AI10"/>
    </row>
    <row r="11" spans="1:35" ht="16.5" thickBot="1" x14ac:dyDescent="0.3">
      <c r="A11" s="78"/>
      <c r="B11" s="84" t="s">
        <v>985</v>
      </c>
      <c r="C11" s="85"/>
      <c r="D11" s="47">
        <v>2.75</v>
      </c>
      <c r="E11" s="90">
        <v>10.68</v>
      </c>
      <c r="F11" s="662"/>
      <c r="G11" s="47"/>
      <c r="H11" s="47"/>
      <c r="I11" s="85"/>
      <c r="J11" s="85"/>
      <c r="K11" s="85"/>
      <c r="L11" s="85"/>
      <c r="M11" s="84"/>
      <c r="N11" s="92"/>
      <c r="O11" s="98"/>
      <c r="P11" s="588"/>
      <c r="Q11" s="829"/>
      <c r="R11" s="97"/>
      <c r="S11" s="896"/>
      <c r="T11" s="97"/>
      <c r="U11" s="97"/>
      <c r="V11" s="91"/>
      <c r="W11" s="91"/>
      <c r="X11" s="102"/>
      <c r="Y11" s="102"/>
      <c r="Z11" s="102"/>
      <c r="AA11" s="102"/>
      <c r="AB11" s="148"/>
      <c r="AC11" s="102"/>
      <c r="AD11" s="102"/>
      <c r="AE11" s="129"/>
      <c r="AF11" s="97"/>
      <c r="AG11" s="119"/>
      <c r="AH11" s="64"/>
      <c r="AI11"/>
    </row>
    <row r="12" spans="1:35" ht="16.5" thickBot="1" x14ac:dyDescent="0.3">
      <c r="A12" s="78"/>
      <c r="B12" s="84" t="s">
        <v>986</v>
      </c>
      <c r="C12" s="85"/>
      <c r="D12" s="47">
        <v>2.95</v>
      </c>
      <c r="E12" s="90">
        <v>15.06</v>
      </c>
      <c r="F12" s="662"/>
      <c r="G12" s="47"/>
      <c r="H12" s="47"/>
      <c r="I12" s="85"/>
      <c r="J12" s="85"/>
      <c r="K12" s="85"/>
      <c r="L12" s="85"/>
      <c r="M12" s="84"/>
      <c r="N12" s="92"/>
      <c r="O12" s="98"/>
      <c r="P12" s="588"/>
      <c r="Q12" s="829"/>
      <c r="R12" s="97"/>
      <c r="S12" s="896"/>
      <c r="T12" s="97"/>
      <c r="U12" s="97"/>
      <c r="V12" s="91"/>
      <c r="W12" s="91"/>
      <c r="X12" s="102"/>
      <c r="Y12" s="102"/>
      <c r="Z12" s="102"/>
      <c r="AA12" s="102"/>
      <c r="AB12" s="148"/>
      <c r="AC12" s="102"/>
      <c r="AD12" s="102"/>
      <c r="AE12" s="129"/>
      <c r="AF12" s="97"/>
      <c r="AG12" s="119"/>
      <c r="AH12" s="64"/>
      <c r="AI12"/>
    </row>
    <row r="13" spans="1:35" ht="16.5" thickBot="1" x14ac:dyDescent="0.3">
      <c r="A13" s="78"/>
      <c r="B13" s="84" t="s">
        <v>987</v>
      </c>
      <c r="C13" s="85"/>
      <c r="D13" s="47">
        <v>4.04</v>
      </c>
      <c r="E13" s="90">
        <v>2.48</v>
      </c>
      <c r="F13" s="662"/>
      <c r="G13" s="47"/>
      <c r="H13" s="47"/>
      <c r="I13" s="85"/>
      <c r="J13" s="85"/>
      <c r="K13" s="85"/>
      <c r="L13" s="85"/>
      <c r="M13" s="84"/>
      <c r="N13" s="92"/>
      <c r="O13" s="98"/>
      <c r="P13" s="588"/>
      <c r="Q13" s="829"/>
      <c r="R13" s="97"/>
      <c r="S13" s="896"/>
      <c r="T13" s="97"/>
      <c r="U13" s="97"/>
      <c r="V13" s="91"/>
      <c r="W13" s="91"/>
      <c r="X13" s="102"/>
      <c r="Y13" s="102"/>
      <c r="Z13" s="102"/>
      <c r="AA13" s="102"/>
      <c r="AB13" s="148"/>
      <c r="AC13" s="102"/>
      <c r="AD13" s="102"/>
      <c r="AE13" s="129"/>
      <c r="AF13" s="97"/>
      <c r="AG13" s="119"/>
      <c r="AH13" s="64"/>
      <c r="AI13"/>
    </row>
    <row r="14" spans="1:35" ht="16.5" thickBot="1" x14ac:dyDescent="0.3">
      <c r="A14" s="78"/>
      <c r="B14" s="84" t="s">
        <v>988</v>
      </c>
      <c r="C14" s="85"/>
      <c r="D14" s="47">
        <v>4.1000000000000002E-2</v>
      </c>
      <c r="E14" s="90">
        <v>1.48</v>
      </c>
      <c r="F14" s="662"/>
      <c r="G14" s="47"/>
      <c r="H14" s="47"/>
      <c r="I14" s="85"/>
      <c r="J14" s="85"/>
      <c r="K14" s="85"/>
      <c r="L14" s="85"/>
      <c r="M14" s="84"/>
      <c r="N14" s="92"/>
      <c r="O14" s="98"/>
      <c r="P14" s="588"/>
      <c r="Q14" s="829"/>
      <c r="R14" s="97"/>
      <c r="S14" s="896"/>
      <c r="T14" s="97"/>
      <c r="U14" s="97"/>
      <c r="V14" s="91"/>
      <c r="W14" s="91"/>
      <c r="X14" s="102"/>
      <c r="Y14" s="102"/>
      <c r="Z14" s="102"/>
      <c r="AA14" s="102"/>
      <c r="AB14" s="148"/>
      <c r="AC14" s="102"/>
      <c r="AD14" s="102"/>
      <c r="AE14" s="129"/>
      <c r="AF14" s="97"/>
      <c r="AG14" s="119"/>
      <c r="AH14" s="64"/>
      <c r="AI14"/>
    </row>
    <row r="15" spans="1:35" ht="16.5" thickBot="1" x14ac:dyDescent="0.3">
      <c r="B15" s="99"/>
      <c r="C15" s="100"/>
      <c r="D15" s="101"/>
      <c r="E15" s="101"/>
      <c r="F15" s="663"/>
      <c r="G15" s="101"/>
      <c r="H15" s="101"/>
      <c r="I15" s="100"/>
      <c r="J15" s="100"/>
      <c r="K15" s="100"/>
      <c r="L15" s="100"/>
      <c r="M15" s="99"/>
      <c r="N15" s="103"/>
      <c r="O15" s="99"/>
      <c r="P15" s="103"/>
      <c r="Q15" s="100"/>
      <c r="R15" s="129"/>
      <c r="S15" s="551"/>
      <c r="T15" s="552"/>
      <c r="U15" s="552"/>
      <c r="V15" s="553" t="s">
        <v>308</v>
      </c>
      <c r="W15" s="102" t="s">
        <v>308</v>
      </c>
      <c r="X15" s="102" t="e">
        <f>SUM(#REF!*0.9091)</f>
        <v>#REF!</v>
      </c>
      <c r="Y15" s="102" t="e">
        <f>SUM(#REF!*0.9091)</f>
        <v>#REF!</v>
      </c>
      <c r="Z15" s="102" t="e">
        <f>SUM(#REF!*0.9091)</f>
        <v>#REF!</v>
      </c>
      <c r="AA15" s="102" t="e">
        <f>SUM(#REF!*0.9091)</f>
        <v>#REF!</v>
      </c>
      <c r="AB15" s="102" t="e">
        <f>SUM(#REF!*0.9091)</f>
        <v>#REF!</v>
      </c>
      <c r="AC15" s="102" t="e">
        <f>SUM(#REF!*0.9091)</f>
        <v>#REF!</v>
      </c>
      <c r="AD15" s="102" t="e">
        <f>SUM(#REF!*0.9091)</f>
        <v>#REF!</v>
      </c>
      <c r="AE15" s="552"/>
      <c r="AF15" s="129"/>
      <c r="AG15" s="554"/>
      <c r="AH15" s="64"/>
    </row>
    <row r="16" spans="1:35" s="395" customFormat="1" ht="19.5" thickBot="1" x14ac:dyDescent="0.3">
      <c r="B16" s="596">
        <v>2020</v>
      </c>
      <c r="C16" s="597"/>
      <c r="D16" s="597">
        <v>14583015</v>
      </c>
      <c r="E16" s="597">
        <v>1635</v>
      </c>
      <c r="F16" s="664">
        <v>3930</v>
      </c>
      <c r="G16" s="598">
        <v>3000</v>
      </c>
      <c r="H16" s="597">
        <v>936752.50000000023</v>
      </c>
      <c r="I16" s="597">
        <v>36564</v>
      </c>
      <c r="J16" s="597">
        <v>1</v>
      </c>
      <c r="K16" s="597"/>
      <c r="L16" s="597"/>
      <c r="M16" s="599">
        <v>1903000</v>
      </c>
      <c r="N16" s="600"/>
      <c r="O16" s="596"/>
      <c r="P16" s="435"/>
      <c r="Q16" s="597"/>
      <c r="R16" s="601"/>
      <c r="S16" s="602"/>
      <c r="T16" s="601"/>
      <c r="U16" s="601"/>
      <c r="V16" s="603"/>
      <c r="W16" s="603"/>
      <c r="X16" s="603"/>
      <c r="Y16" s="603"/>
      <c r="Z16" s="603"/>
      <c r="AA16" s="603"/>
      <c r="AB16" s="603"/>
      <c r="AC16" s="603"/>
      <c r="AD16" s="603"/>
      <c r="AE16" s="601"/>
      <c r="AF16" s="601"/>
      <c r="AG16" s="604"/>
    </row>
    <row r="17" spans="2:33" s="395" customFormat="1" ht="19.5" thickBot="1" x14ac:dyDescent="0.3">
      <c r="B17" s="596"/>
      <c r="C17" s="597" t="s">
        <v>650</v>
      </c>
      <c r="D17" s="597"/>
      <c r="E17" s="597"/>
      <c r="F17" s="664"/>
      <c r="G17" s="598"/>
      <c r="H17" s="598">
        <v>93675</v>
      </c>
      <c r="I17" s="597">
        <v>5046</v>
      </c>
      <c r="J17" s="597"/>
      <c r="K17" s="597"/>
      <c r="L17" s="597"/>
      <c r="M17" s="605">
        <f>SUM(D17:I17)</f>
        <v>98721</v>
      </c>
      <c r="N17" s="600"/>
      <c r="O17" s="596"/>
      <c r="P17" s="435"/>
      <c r="Q17" s="597"/>
      <c r="R17" s="601"/>
      <c r="S17" s="602"/>
      <c r="T17" s="601"/>
      <c r="U17" s="601"/>
      <c r="V17" s="603"/>
      <c r="W17" s="603"/>
      <c r="X17" s="603"/>
      <c r="Y17" s="603"/>
      <c r="Z17" s="603"/>
      <c r="AA17" s="603"/>
      <c r="AB17" s="603"/>
      <c r="AC17" s="603"/>
      <c r="AD17" s="603"/>
      <c r="AE17" s="601"/>
      <c r="AF17" s="601"/>
      <c r="AG17" s="604"/>
    </row>
    <row r="18" spans="2:33" s="395" customFormat="1" ht="18.75" x14ac:dyDescent="0.25">
      <c r="B18" s="633"/>
      <c r="C18" s="634"/>
      <c r="D18" s="634"/>
      <c r="E18" s="634"/>
      <c r="F18" s="665"/>
      <c r="G18" s="635"/>
      <c r="H18" s="634"/>
      <c r="I18" s="634"/>
      <c r="J18" s="634"/>
      <c r="K18" s="634"/>
      <c r="L18" s="634"/>
      <c r="M18" s="636"/>
      <c r="N18" s="637"/>
      <c r="O18" s="633"/>
      <c r="P18" s="638"/>
      <c r="Q18" s="634"/>
      <c r="R18" s="639"/>
      <c r="S18" s="640"/>
      <c r="T18" s="639"/>
      <c r="U18" s="639"/>
      <c r="V18" s="641"/>
      <c r="W18" s="603"/>
      <c r="X18" s="603"/>
      <c r="Y18" s="603"/>
      <c r="Z18" s="603"/>
      <c r="AA18" s="603"/>
      <c r="AB18" s="603"/>
      <c r="AC18" s="603"/>
      <c r="AD18" s="603"/>
      <c r="AE18" s="601"/>
      <c r="AF18" s="601"/>
      <c r="AG18" s="604"/>
    </row>
    <row r="19" spans="2:33" s="590" customFormat="1" ht="19.5" thickBot="1" x14ac:dyDescent="0.35">
      <c r="B19" s="606" t="s">
        <v>598</v>
      </c>
      <c r="C19" s="607"/>
      <c r="D19" s="625">
        <v>6164</v>
      </c>
      <c r="E19" s="625"/>
      <c r="F19" s="666"/>
      <c r="G19" s="625">
        <v>27</v>
      </c>
      <c r="H19" s="625">
        <v>4981</v>
      </c>
      <c r="I19" s="607">
        <v>376</v>
      </c>
      <c r="J19" s="607"/>
      <c r="K19" s="607"/>
      <c r="L19" s="607"/>
      <c r="M19" s="606"/>
      <c r="N19" s="608">
        <v>414</v>
      </c>
      <c r="O19" s="606"/>
      <c r="P19" s="608"/>
      <c r="Q19" s="607"/>
      <c r="R19" s="609"/>
      <c r="S19" s="610"/>
      <c r="T19" s="609"/>
      <c r="U19" s="609"/>
      <c r="V19" s="611"/>
      <c r="W19" s="611"/>
      <c r="X19" s="611"/>
      <c r="Y19" s="611"/>
      <c r="Z19" s="611"/>
      <c r="AA19" s="611"/>
      <c r="AB19" s="611"/>
      <c r="AC19" s="611"/>
      <c r="AD19" s="611"/>
      <c r="AE19" s="609"/>
      <c r="AF19" s="609"/>
      <c r="AG19" s="612"/>
    </row>
    <row r="20" spans="2:33" s="590" customFormat="1" ht="22.15" customHeight="1" thickBot="1" x14ac:dyDescent="0.35">
      <c r="B20" s="613" t="s">
        <v>350</v>
      </c>
      <c r="C20" s="614"/>
      <c r="D20" s="615">
        <f>SUM(D19*0.9091)</f>
        <v>5603.6923999999999</v>
      </c>
      <c r="E20" s="615" t="s">
        <v>128</v>
      </c>
      <c r="F20" s="626" t="s">
        <v>128</v>
      </c>
      <c r="G20" s="615">
        <f>SUM(G19*0.9091)</f>
        <v>24.5457</v>
      </c>
      <c r="H20" s="615">
        <f>SUM(H19*0.9091)</f>
        <v>4528.2271000000001</v>
      </c>
      <c r="I20" s="615">
        <f t="shared" ref="I20:N20" si="1">SUM(I19*0.9091)</f>
        <v>341.82159999999999</v>
      </c>
      <c r="J20" s="615"/>
      <c r="K20" s="615"/>
      <c r="L20" s="615"/>
      <c r="M20" s="615"/>
      <c r="N20" s="616">
        <f t="shared" si="1"/>
        <v>376.36740000000003</v>
      </c>
      <c r="O20" s="624">
        <f>SUM(D20:M20)</f>
        <v>10498.286799999998</v>
      </c>
      <c r="P20" s="617"/>
      <c r="Q20" s="830"/>
      <c r="R20" s="618"/>
      <c r="S20" s="619"/>
      <c r="T20" s="618"/>
      <c r="U20" s="618"/>
      <c r="V20" s="620"/>
      <c r="W20" s="620"/>
      <c r="X20" s="620"/>
      <c r="Y20" s="620"/>
      <c r="Z20" s="611"/>
      <c r="AA20" s="611"/>
      <c r="AB20" s="611"/>
      <c r="AC20" s="611"/>
      <c r="AD20" s="611"/>
      <c r="AE20" s="609"/>
      <c r="AF20" s="609"/>
      <c r="AG20" s="612"/>
    </row>
    <row r="21" spans="2:33" s="590" customFormat="1" ht="18.75" x14ac:dyDescent="0.3">
      <c r="B21" s="606"/>
      <c r="C21" s="607" t="s">
        <v>647</v>
      </c>
      <c r="D21" s="621"/>
      <c r="E21" s="621"/>
      <c r="F21" s="667"/>
      <c r="G21" s="621"/>
      <c r="H21" s="621">
        <v>4528</v>
      </c>
      <c r="I21" s="621">
        <v>342</v>
      </c>
      <c r="J21" s="621"/>
      <c r="K21" s="621"/>
      <c r="L21" s="621"/>
      <c r="M21" s="622"/>
      <c r="N21" s="608"/>
      <c r="O21" s="622">
        <f>SUM(H21:N21)</f>
        <v>4870</v>
      </c>
      <c r="P21" s="623"/>
      <c r="Q21" s="831"/>
      <c r="R21" s="609"/>
      <c r="S21" s="610"/>
      <c r="T21" s="609"/>
      <c r="U21" s="609"/>
      <c r="V21" s="611"/>
      <c r="W21" s="611"/>
      <c r="X21" s="611"/>
      <c r="Y21" s="611"/>
      <c r="Z21" s="611"/>
      <c r="AA21" s="611"/>
      <c r="AB21" s="611"/>
      <c r="AC21" s="611"/>
      <c r="AD21" s="611"/>
      <c r="AE21" s="609"/>
      <c r="AF21" s="609"/>
      <c r="AG21" s="612"/>
    </row>
    <row r="22" spans="2:33" s="590" customFormat="1" ht="18.75" x14ac:dyDescent="0.3">
      <c r="B22" s="606"/>
      <c r="C22" s="654" t="s">
        <v>695</v>
      </c>
      <c r="D22" s="655" t="s">
        <v>695</v>
      </c>
      <c r="E22" s="675">
        <v>4.0000000000000001E-3</v>
      </c>
      <c r="F22" s="660" t="s">
        <v>699</v>
      </c>
      <c r="G22" s="655"/>
      <c r="H22" s="655"/>
      <c r="I22" s="655"/>
      <c r="J22" s="655">
        <v>34</v>
      </c>
      <c r="K22" s="676">
        <f>SUM(J22/J26)</f>
        <v>3.4345862838786582E-4</v>
      </c>
      <c r="L22" s="676"/>
      <c r="M22" s="656"/>
      <c r="N22" s="654"/>
      <c r="O22" s="834"/>
      <c r="P22" s="840"/>
      <c r="Q22" s="837"/>
      <c r="R22" s="657"/>
      <c r="S22" s="657"/>
      <c r="T22" s="657"/>
      <c r="U22" s="657"/>
      <c r="V22" s="657"/>
      <c r="W22" s="611"/>
      <c r="X22" s="611"/>
      <c r="Y22" s="611"/>
      <c r="Z22" s="611"/>
      <c r="AA22" s="611"/>
      <c r="AB22" s="611"/>
      <c r="AC22" s="611"/>
      <c r="AD22" s="611"/>
      <c r="AE22" s="609"/>
      <c r="AF22" s="609"/>
      <c r="AG22" s="612"/>
    </row>
    <row r="23" spans="2:33" s="590" customFormat="1" ht="18.75" x14ac:dyDescent="0.3">
      <c r="B23" s="606"/>
      <c r="C23" s="654" t="s">
        <v>696</v>
      </c>
      <c r="D23" s="655"/>
      <c r="E23" s="655"/>
      <c r="F23" s="660"/>
      <c r="G23" s="655"/>
      <c r="H23" s="655"/>
      <c r="I23" s="655"/>
      <c r="J23" s="655">
        <v>93675</v>
      </c>
      <c r="K23" s="676">
        <f>SUM(J23/J26)</f>
        <v>0.94627902983039203</v>
      </c>
      <c r="L23" s="676"/>
      <c r="M23" s="656"/>
      <c r="N23" s="654"/>
      <c r="O23" s="834"/>
      <c r="P23" s="840"/>
      <c r="Q23" s="837"/>
      <c r="R23" s="657"/>
      <c r="S23" s="657"/>
      <c r="T23" s="657"/>
      <c r="U23" s="657"/>
      <c r="V23" s="657"/>
      <c r="W23" s="611"/>
      <c r="X23" s="611"/>
      <c r="Y23" s="611"/>
      <c r="Z23" s="611"/>
      <c r="AA23" s="611"/>
      <c r="AB23" s="611"/>
      <c r="AC23" s="611"/>
      <c r="AD23" s="611"/>
      <c r="AE23" s="609"/>
      <c r="AF23" s="609"/>
      <c r="AG23" s="612"/>
    </row>
    <row r="24" spans="2:33" s="590" customFormat="1" ht="18.75" x14ac:dyDescent="0.3">
      <c r="B24" s="606"/>
      <c r="C24" s="654" t="s">
        <v>91</v>
      </c>
      <c r="D24" s="655"/>
      <c r="E24" s="655"/>
      <c r="F24" s="660"/>
      <c r="G24" s="655"/>
      <c r="H24" s="655"/>
      <c r="I24" s="655"/>
      <c r="J24" s="655">
        <v>5046</v>
      </c>
      <c r="K24" s="676">
        <f>SUM(J24/J26)</f>
        <v>5.0973301142505027E-2</v>
      </c>
      <c r="L24" s="676"/>
      <c r="M24" s="656"/>
      <c r="N24" s="654"/>
      <c r="O24" s="834"/>
      <c r="P24" s="840"/>
      <c r="Q24" s="837"/>
      <c r="R24" s="657"/>
      <c r="S24" s="657"/>
      <c r="T24" s="657"/>
      <c r="U24" s="657"/>
      <c r="V24" s="657"/>
      <c r="W24" s="611"/>
      <c r="X24" s="611"/>
      <c r="Y24" s="611"/>
      <c r="Z24" s="611"/>
      <c r="AA24" s="611"/>
      <c r="AB24" s="611"/>
      <c r="AC24" s="611"/>
      <c r="AD24" s="611"/>
      <c r="AE24" s="609"/>
      <c r="AF24" s="609"/>
      <c r="AG24" s="612"/>
    </row>
    <row r="25" spans="2:33" s="590" customFormat="1" ht="18.75" x14ac:dyDescent="0.3">
      <c r="B25" s="606"/>
      <c r="C25" s="670" t="s">
        <v>697</v>
      </c>
      <c r="D25" s="671"/>
      <c r="E25" s="671"/>
      <c r="F25" s="672"/>
      <c r="G25" s="671"/>
      <c r="H25" s="671"/>
      <c r="I25" s="671"/>
      <c r="J25" s="671">
        <v>238</v>
      </c>
      <c r="K25" s="678">
        <f>SUM(J25/J26)</f>
        <v>2.4042103987150605E-3</v>
      </c>
      <c r="L25" s="895"/>
      <c r="M25" s="673"/>
      <c r="N25" s="670"/>
      <c r="O25" s="835"/>
      <c r="P25" s="841"/>
      <c r="Q25" s="838"/>
      <c r="R25" s="674"/>
      <c r="S25" s="674"/>
      <c r="T25" s="674"/>
      <c r="U25" s="674"/>
      <c r="V25" s="609"/>
      <c r="W25" s="611"/>
      <c r="X25" s="611"/>
      <c r="Y25" s="611"/>
      <c r="Z25" s="611"/>
      <c r="AA25" s="611"/>
      <c r="AB25" s="611"/>
      <c r="AC25" s="611"/>
      <c r="AD25" s="611"/>
      <c r="AE25" s="609"/>
      <c r="AF25" s="609"/>
      <c r="AG25" s="612"/>
    </row>
    <row r="26" spans="2:33" s="590" customFormat="1" ht="18.75" x14ac:dyDescent="0.3">
      <c r="B26" s="606"/>
      <c r="C26" s="670" t="s">
        <v>700</v>
      </c>
      <c r="D26" s="671"/>
      <c r="E26" s="671"/>
      <c r="F26" s="672"/>
      <c r="G26" s="671"/>
      <c r="H26" s="671"/>
      <c r="I26" s="671"/>
      <c r="J26" s="671">
        <f>SUM(J22:J25)</f>
        <v>98993</v>
      </c>
      <c r="K26" s="677"/>
      <c r="L26" s="677"/>
      <c r="M26" s="673"/>
      <c r="N26" s="670"/>
      <c r="O26" s="835"/>
      <c r="P26" s="841"/>
      <c r="Q26" s="838"/>
      <c r="R26" s="674"/>
      <c r="S26" s="674"/>
      <c r="T26" s="674"/>
      <c r="U26" s="674"/>
      <c r="V26" s="609"/>
      <c r="W26" s="611"/>
      <c r="X26" s="611"/>
      <c r="Y26" s="611"/>
      <c r="Z26" s="611"/>
      <c r="AA26" s="611"/>
      <c r="AB26" s="611"/>
      <c r="AC26" s="611"/>
      <c r="AD26" s="611"/>
      <c r="AE26" s="609"/>
      <c r="AF26" s="609"/>
      <c r="AG26" s="612"/>
    </row>
    <row r="27" spans="2:33" s="590" customFormat="1" ht="18.75" x14ac:dyDescent="0.3">
      <c r="B27" s="649" t="s">
        <v>649</v>
      </c>
      <c r="C27" s="670"/>
      <c r="D27" s="671"/>
      <c r="E27" s="671"/>
      <c r="F27" s="672"/>
      <c r="G27" s="671">
        <v>25</v>
      </c>
      <c r="H27" s="671"/>
      <c r="I27" s="671"/>
      <c r="J27" s="671"/>
      <c r="K27" s="677"/>
      <c r="L27" s="677"/>
      <c r="M27" s="673"/>
      <c r="N27" s="670"/>
      <c r="O27" s="835">
        <f>SUM(G27:N27)</f>
        <v>25</v>
      </c>
      <c r="P27" s="841"/>
      <c r="Q27" s="838"/>
      <c r="R27" s="674"/>
      <c r="S27" s="674"/>
      <c r="T27" s="674"/>
      <c r="U27" s="674"/>
      <c r="V27" s="611"/>
      <c r="W27" s="611"/>
      <c r="X27" s="611"/>
      <c r="Y27" s="611"/>
      <c r="Z27" s="611"/>
      <c r="AA27" s="611"/>
      <c r="AB27" s="611"/>
      <c r="AC27" s="611"/>
      <c r="AD27" s="611"/>
      <c r="AE27" s="609"/>
      <c r="AF27" s="609"/>
      <c r="AG27" s="612"/>
    </row>
    <row r="28" spans="2:33" s="590" customFormat="1" ht="18.75" x14ac:dyDescent="0.3">
      <c r="B28" s="649" t="s">
        <v>648</v>
      </c>
      <c r="C28" s="654"/>
      <c r="D28" s="655">
        <v>5604</v>
      </c>
      <c r="E28" s="655"/>
      <c r="F28" s="660"/>
      <c r="G28" s="655"/>
      <c r="H28" s="655"/>
      <c r="I28" s="655"/>
      <c r="J28" s="655"/>
      <c r="K28" s="655"/>
      <c r="L28" s="655"/>
      <c r="M28" s="656"/>
      <c r="N28" s="654"/>
      <c r="O28" s="834">
        <f>SUM(D28:N28)</f>
        <v>5604</v>
      </c>
      <c r="P28" s="840"/>
      <c r="Q28" s="837"/>
      <c r="R28" s="657"/>
      <c r="S28" s="657"/>
      <c r="T28" s="657"/>
      <c r="U28" s="657"/>
      <c r="V28" s="611"/>
      <c r="W28" s="611"/>
      <c r="X28" s="611"/>
      <c r="Y28" s="611"/>
      <c r="Z28" s="611"/>
      <c r="AA28" s="611"/>
      <c r="AB28" s="611"/>
      <c r="AC28" s="611"/>
      <c r="AD28" s="611"/>
      <c r="AE28" s="609"/>
      <c r="AF28" s="609"/>
      <c r="AG28" s="612"/>
    </row>
    <row r="29" spans="2:33" s="590" customFormat="1" ht="18.75" x14ac:dyDescent="0.3">
      <c r="B29" s="649" t="s">
        <v>663</v>
      </c>
      <c r="C29" s="654"/>
      <c r="D29" s="655"/>
      <c r="E29" s="655"/>
      <c r="F29" s="660"/>
      <c r="G29" s="655"/>
      <c r="H29" s="655"/>
      <c r="I29" s="655"/>
      <c r="J29" s="655"/>
      <c r="K29" s="655"/>
      <c r="L29" s="655"/>
      <c r="M29" s="656"/>
      <c r="N29" s="654"/>
      <c r="O29" s="834">
        <v>376</v>
      </c>
      <c r="P29" s="840"/>
      <c r="Q29" s="837"/>
      <c r="R29" s="657"/>
      <c r="S29" s="657"/>
      <c r="T29" s="657"/>
      <c r="U29" s="657"/>
      <c r="V29" s="611"/>
      <c r="W29" s="611"/>
      <c r="X29" s="611"/>
      <c r="Y29" s="611"/>
      <c r="Z29" s="611"/>
      <c r="AA29" s="611"/>
      <c r="AB29" s="611"/>
      <c r="AC29" s="611"/>
      <c r="AD29" s="611"/>
      <c r="AE29" s="609"/>
      <c r="AF29" s="609"/>
      <c r="AG29" s="612"/>
    </row>
    <row r="30" spans="2:33" s="590" customFormat="1" ht="18.75" x14ac:dyDescent="0.3">
      <c r="B30" s="649" t="s">
        <v>672</v>
      </c>
      <c r="C30" s="654"/>
      <c r="D30" s="655"/>
      <c r="E30" s="655"/>
      <c r="F30" s="660"/>
      <c r="G30" s="655"/>
      <c r="H30" s="655"/>
      <c r="I30" s="655"/>
      <c r="J30" s="655"/>
      <c r="K30" s="655"/>
      <c r="L30" s="655"/>
      <c r="M30" s="656"/>
      <c r="N30" s="654"/>
      <c r="O30" s="834">
        <v>62.5</v>
      </c>
      <c r="P30" s="840"/>
      <c r="Q30" s="837"/>
      <c r="R30" s="657"/>
      <c r="S30" s="657"/>
      <c r="T30" s="657"/>
      <c r="U30" s="657"/>
      <c r="V30" s="611"/>
      <c r="W30" s="611"/>
      <c r="X30" s="611"/>
      <c r="Y30" s="611"/>
      <c r="Z30" s="611"/>
      <c r="AA30" s="611"/>
      <c r="AB30" s="611"/>
      <c r="AC30" s="611"/>
      <c r="AD30" s="611"/>
      <c r="AE30" s="609"/>
      <c r="AF30" s="609"/>
      <c r="AG30" s="612"/>
    </row>
    <row r="31" spans="2:33" s="590" customFormat="1" ht="18.75" x14ac:dyDescent="0.3">
      <c r="B31" s="649" t="s">
        <v>667</v>
      </c>
      <c r="C31" s="654"/>
      <c r="D31" s="655"/>
      <c r="E31" s="655"/>
      <c r="F31" s="660"/>
      <c r="G31" s="655"/>
      <c r="H31" s="655"/>
      <c r="I31" s="655"/>
      <c r="J31" s="655"/>
      <c r="K31" s="655"/>
      <c r="L31" s="655"/>
      <c r="M31" s="656"/>
      <c r="N31" s="654"/>
      <c r="O31" s="834">
        <v>75.2</v>
      </c>
      <c r="P31" s="840"/>
      <c r="Q31" s="837"/>
      <c r="R31" s="657"/>
      <c r="S31" s="657"/>
      <c r="T31" s="657"/>
      <c r="U31" s="657"/>
      <c r="V31" s="611"/>
      <c r="W31" s="611"/>
      <c r="X31" s="611"/>
      <c r="Y31" s="611"/>
      <c r="Z31" s="611"/>
      <c r="AA31" s="611"/>
      <c r="AB31" s="611"/>
      <c r="AC31" s="611"/>
      <c r="AD31" s="611"/>
      <c r="AE31" s="609"/>
      <c r="AF31" s="609"/>
      <c r="AG31" s="612"/>
    </row>
    <row r="32" spans="2:33" s="590" customFormat="1" ht="18.75" x14ac:dyDescent="0.3">
      <c r="B32" s="606" t="s">
        <v>654</v>
      </c>
      <c r="C32" s="654" t="s">
        <v>655</v>
      </c>
      <c r="D32" s="658"/>
      <c r="E32" s="658">
        <f>SUM(0.05*36564)</f>
        <v>1828.2</v>
      </c>
      <c r="F32" s="668" t="s">
        <v>14</v>
      </c>
      <c r="G32" s="919">
        <f>SUM(E32*130,0)/1000000</f>
        <v>0.23766599999999999</v>
      </c>
      <c r="H32" s="919"/>
      <c r="I32" s="660" t="s">
        <v>656</v>
      </c>
      <c r="J32" s="660"/>
      <c r="K32" s="660"/>
      <c r="L32" s="660"/>
      <c r="M32" s="656"/>
      <c r="N32" s="656"/>
      <c r="O32" s="836"/>
      <c r="P32" s="842"/>
      <c r="Q32" s="839"/>
      <c r="R32" s="657"/>
      <c r="S32" s="657"/>
      <c r="T32" s="657"/>
      <c r="U32" s="657"/>
      <c r="V32" s="611"/>
      <c r="W32" s="611"/>
      <c r="X32" s="611"/>
      <c r="Y32" s="611"/>
      <c r="Z32" s="611"/>
      <c r="AA32" s="611"/>
      <c r="AB32" s="611"/>
      <c r="AC32" s="611"/>
      <c r="AD32" s="611"/>
      <c r="AE32" s="609"/>
      <c r="AF32" s="609"/>
      <c r="AG32" s="612"/>
    </row>
    <row r="33" spans="2:34" s="627" customFormat="1" ht="18.75" x14ac:dyDescent="0.3">
      <c r="B33" s="606"/>
      <c r="C33" s="654"/>
      <c r="D33" s="659"/>
      <c r="E33" s="659"/>
      <c r="F33" s="668"/>
      <c r="G33" s="659"/>
      <c r="H33" s="659"/>
      <c r="I33" s="660"/>
      <c r="J33" s="660"/>
      <c r="K33" s="660"/>
      <c r="L33" s="660"/>
      <c r="M33" s="656"/>
      <c r="N33" s="656"/>
      <c r="O33" s="836"/>
      <c r="P33" s="842"/>
      <c r="Q33" s="839"/>
      <c r="R33" s="657"/>
      <c r="S33" s="657"/>
      <c r="T33" s="657"/>
      <c r="U33" s="657"/>
      <c r="V33" s="611"/>
      <c r="W33" s="611"/>
      <c r="X33" s="611"/>
      <c r="Y33" s="611"/>
      <c r="Z33" s="611"/>
      <c r="AA33" s="611"/>
      <c r="AB33" s="611"/>
      <c r="AC33" s="611"/>
      <c r="AD33" s="611"/>
      <c r="AE33" s="609"/>
      <c r="AF33" s="609"/>
      <c r="AG33" s="612"/>
    </row>
    <row r="34" spans="2:34" s="627" customFormat="1" ht="18.75" x14ac:dyDescent="0.3">
      <c r="B34" s="606" t="s">
        <v>66</v>
      </c>
      <c r="C34" s="844" t="s">
        <v>896</v>
      </c>
      <c r="D34" s="659"/>
      <c r="E34" s="659"/>
      <c r="F34" s="668"/>
      <c r="G34" s="659"/>
      <c r="H34" s="659"/>
      <c r="I34" s="660"/>
      <c r="J34" s="660"/>
      <c r="K34" s="660"/>
      <c r="L34" s="660"/>
      <c r="M34" s="656"/>
      <c r="N34" s="656"/>
      <c r="O34" s="836"/>
      <c r="P34" s="843">
        <v>25204999</v>
      </c>
      <c r="Q34" s="839"/>
      <c r="R34" s="657"/>
      <c r="S34" s="657"/>
      <c r="T34" s="657"/>
      <c r="U34" s="657"/>
      <c r="V34" s="611"/>
      <c r="W34" s="611"/>
      <c r="X34" s="611"/>
      <c r="Y34" s="611"/>
      <c r="Z34" s="611"/>
      <c r="AA34" s="611"/>
      <c r="AB34" s="611"/>
      <c r="AC34" s="611"/>
      <c r="AD34" s="611"/>
      <c r="AE34" s="609"/>
      <c r="AF34" s="609"/>
      <c r="AG34" s="612"/>
    </row>
    <row r="35" spans="2:34" s="590" customFormat="1" ht="18.75" x14ac:dyDescent="0.3">
      <c r="B35" s="606" t="s">
        <v>66</v>
      </c>
      <c r="C35" s="844" t="s">
        <v>895</v>
      </c>
      <c r="D35" s="658"/>
      <c r="E35" s="658"/>
      <c r="F35" s="668"/>
      <c r="G35" s="658"/>
      <c r="H35" s="658"/>
      <c r="I35" s="660"/>
      <c r="J35" s="660"/>
      <c r="K35" s="660"/>
      <c r="L35" s="660"/>
      <c r="M35" s="656"/>
      <c r="N35" s="656"/>
      <c r="O35" s="836"/>
      <c r="P35" s="843">
        <v>800000</v>
      </c>
      <c r="Q35" s="839"/>
      <c r="R35" s="657"/>
      <c r="S35" s="657"/>
      <c r="T35" s="657"/>
      <c r="U35" s="657"/>
      <c r="V35" s="611"/>
      <c r="W35" s="611"/>
      <c r="X35" s="611"/>
      <c r="Y35" s="611"/>
      <c r="Z35" s="611"/>
      <c r="AA35" s="611"/>
      <c r="AB35" s="611"/>
      <c r="AC35" s="611"/>
      <c r="AD35" s="611"/>
      <c r="AE35" s="609"/>
      <c r="AF35" s="609"/>
      <c r="AG35" s="612"/>
    </row>
    <row r="36" spans="2:34" s="627" customFormat="1" ht="18.75" x14ac:dyDescent="0.3">
      <c r="B36" s="606"/>
      <c r="C36" s="845"/>
      <c r="D36" s="630"/>
      <c r="E36" s="630"/>
      <c r="F36" s="666"/>
      <c r="G36" s="630"/>
      <c r="H36" s="630"/>
      <c r="I36" s="667"/>
      <c r="J36" s="667"/>
      <c r="K36" s="667"/>
      <c r="L36" s="667"/>
      <c r="M36" s="831"/>
      <c r="N36" s="831"/>
      <c r="O36" s="607"/>
      <c r="P36" s="846"/>
      <c r="Q36" s="607"/>
      <c r="R36" s="609"/>
      <c r="S36" s="609"/>
      <c r="T36" s="609"/>
      <c r="U36" s="609"/>
      <c r="V36" s="611"/>
      <c r="W36" s="611"/>
      <c r="X36" s="611"/>
      <c r="Y36" s="611"/>
      <c r="Z36" s="611"/>
      <c r="AA36" s="611"/>
      <c r="AB36" s="611"/>
      <c r="AC36" s="611"/>
      <c r="AD36" s="611"/>
      <c r="AE36" s="609"/>
      <c r="AF36" s="609"/>
      <c r="AG36" s="612"/>
    </row>
    <row r="37" spans="2:34" ht="16.5" thickBot="1" x14ac:dyDescent="0.3">
      <c r="B37" s="99" t="s">
        <v>18</v>
      </c>
      <c r="C37" s="100">
        <v>1</v>
      </c>
      <c r="D37" s="101">
        <v>2</v>
      </c>
      <c r="E37" s="101">
        <v>3</v>
      </c>
      <c r="F37" s="663">
        <v>4</v>
      </c>
      <c r="G37" s="101"/>
      <c r="H37" s="101">
        <v>5</v>
      </c>
      <c r="I37" s="100">
        <v>6</v>
      </c>
      <c r="J37" s="100"/>
      <c r="K37" s="100"/>
      <c r="L37" s="100"/>
      <c r="M37" s="99">
        <v>7</v>
      </c>
      <c r="N37" s="103"/>
      <c r="O37" s="99">
        <v>8</v>
      </c>
      <c r="P37" s="103"/>
      <c r="Q37" s="100"/>
      <c r="R37" s="129">
        <v>9</v>
      </c>
      <c r="S37" s="138"/>
      <c r="T37" s="102"/>
      <c r="U37" s="102"/>
      <c r="V37" s="102"/>
      <c r="W37" s="102"/>
      <c r="X37" s="102"/>
      <c r="Y37" s="102"/>
      <c r="Z37" s="102"/>
      <c r="AA37" s="102"/>
      <c r="AB37" s="102"/>
      <c r="AC37" s="102"/>
      <c r="AD37" s="102"/>
      <c r="AE37" s="102"/>
      <c r="AF37" s="102"/>
      <c r="AG37" s="103">
        <v>10</v>
      </c>
      <c r="AH37" s="64"/>
    </row>
    <row r="38" spans="2:34" x14ac:dyDescent="0.25">
      <c r="D38" s="104"/>
      <c r="E38" s="76"/>
      <c r="F38" s="594"/>
      <c r="G38" s="104"/>
      <c r="H38" s="104"/>
      <c r="I38" s="104"/>
      <c r="J38" s="104"/>
      <c r="K38" s="104"/>
      <c r="L38" s="104"/>
      <c r="M38" s="104"/>
      <c r="N38" s="104"/>
      <c r="O38" s="104"/>
      <c r="P38" s="104"/>
      <c r="Q38" s="104"/>
      <c r="R38" s="105"/>
      <c r="S38" s="105"/>
      <c r="T38" s="105"/>
      <c r="U38" s="105"/>
      <c r="V38" s="105"/>
      <c r="W38" s="105"/>
      <c r="X38" s="105"/>
      <c r="Y38" s="105"/>
      <c r="Z38" s="105"/>
      <c r="AA38" s="105"/>
      <c r="AB38" s="105"/>
      <c r="AC38" s="105"/>
      <c r="AD38" s="105"/>
      <c r="AE38" s="105"/>
      <c r="AF38" s="105"/>
      <c r="AG38" s="104"/>
      <c r="AH38" s="104"/>
    </row>
    <row r="39" spans="2:34" ht="15.6" customHeight="1" x14ac:dyDescent="0.25">
      <c r="B39" s="76">
        <v>1</v>
      </c>
      <c r="C39" s="909" t="s">
        <v>19</v>
      </c>
      <c r="D39" s="909"/>
      <c r="E39" s="909"/>
      <c r="F39" s="909"/>
      <c r="G39" s="909"/>
      <c r="H39" s="909"/>
      <c r="I39" s="909"/>
      <c r="J39" s="909"/>
      <c r="K39" s="909"/>
      <c r="L39" s="909"/>
      <c r="M39" s="909"/>
      <c r="N39" s="909"/>
      <c r="O39" s="909"/>
      <c r="P39" s="909"/>
      <c r="Q39" s="909"/>
      <c r="R39" s="909"/>
      <c r="S39" s="909"/>
      <c r="T39" s="909"/>
      <c r="U39" s="909"/>
      <c r="V39" s="909"/>
      <c r="W39" s="909"/>
      <c r="X39" s="909"/>
      <c r="Y39" s="909"/>
      <c r="Z39" s="909"/>
      <c r="AA39" s="909"/>
      <c r="AB39" s="909"/>
      <c r="AC39" s="909"/>
      <c r="AD39" s="909"/>
      <c r="AE39" s="909"/>
      <c r="AF39" s="909"/>
      <c r="AG39" s="909"/>
    </row>
    <row r="40" spans="2:34" ht="37.9" customHeight="1" x14ac:dyDescent="0.25">
      <c r="B40" s="76">
        <v>2</v>
      </c>
      <c r="C40" s="909" t="s">
        <v>20</v>
      </c>
      <c r="D40" s="909"/>
      <c r="E40" s="909"/>
      <c r="F40" s="909"/>
      <c r="G40" s="909"/>
      <c r="H40" s="909"/>
      <c r="I40" s="909"/>
      <c r="J40" s="909"/>
      <c r="K40" s="909"/>
      <c r="L40" s="909"/>
      <c r="M40" s="909"/>
      <c r="N40" s="909"/>
      <c r="O40" s="909"/>
      <c r="P40" s="909"/>
      <c r="Q40" s="909"/>
      <c r="R40" s="909"/>
      <c r="S40" s="909"/>
      <c r="T40" s="909"/>
      <c r="U40" s="909"/>
      <c r="V40" s="909"/>
      <c r="W40" s="909"/>
      <c r="X40" s="909"/>
      <c r="Y40" s="909"/>
      <c r="Z40" s="909"/>
      <c r="AA40" s="909"/>
      <c r="AB40" s="909"/>
      <c r="AC40" s="909"/>
      <c r="AD40" s="909"/>
      <c r="AE40" s="909"/>
      <c r="AF40" s="909"/>
      <c r="AG40" s="909"/>
    </row>
    <row r="41" spans="2:34" hidden="1" x14ac:dyDescent="0.25">
      <c r="C41" s="104"/>
      <c r="D41" s="76"/>
      <c r="E41" s="104"/>
      <c r="F41" s="594"/>
      <c r="G41" s="104"/>
      <c r="H41" s="104"/>
      <c r="I41" s="104"/>
      <c r="J41" s="104"/>
      <c r="K41" s="104"/>
      <c r="L41" s="104"/>
      <c r="M41" s="104"/>
      <c r="N41" s="104"/>
      <c r="O41" s="105"/>
      <c r="P41" s="105"/>
      <c r="Q41" s="105"/>
      <c r="R41" s="104"/>
      <c r="S41" s="104"/>
      <c r="T41" s="104"/>
      <c r="U41" s="104"/>
      <c r="V41" s="104"/>
      <c r="W41" s="104"/>
      <c r="X41" s="104"/>
      <c r="Y41" s="104"/>
      <c r="Z41" s="104"/>
      <c r="AA41" s="104"/>
      <c r="AB41" s="104"/>
      <c r="AC41" s="104"/>
      <c r="AD41" s="104"/>
      <c r="AE41" s="104"/>
      <c r="AF41" s="104"/>
      <c r="AG41" s="104"/>
    </row>
    <row r="42" spans="2:34" x14ac:dyDescent="0.25">
      <c r="B42" s="76">
        <v>3</v>
      </c>
      <c r="C42" s="594" t="s">
        <v>21</v>
      </c>
      <c r="D42" s="594"/>
      <c r="E42" s="594"/>
      <c r="F42" s="594"/>
      <c r="G42" s="594"/>
      <c r="H42" s="594"/>
      <c r="I42" s="594"/>
      <c r="J42" s="594"/>
      <c r="K42" s="594"/>
      <c r="L42" s="875"/>
      <c r="M42" s="594"/>
      <c r="N42" s="594"/>
      <c r="O42" s="594"/>
      <c r="P42" s="629"/>
      <c r="Q42" s="629"/>
      <c r="R42" s="594"/>
      <c r="S42" s="594"/>
      <c r="T42" s="594"/>
      <c r="U42" s="594"/>
      <c r="V42" s="594"/>
      <c r="W42" s="594"/>
      <c r="X42" s="594"/>
      <c r="Y42" s="594"/>
      <c r="Z42" s="594"/>
      <c r="AA42" s="594"/>
      <c r="AB42" s="594"/>
      <c r="AC42" s="594"/>
      <c r="AD42" s="594"/>
      <c r="AE42" s="594"/>
      <c r="AF42" s="594"/>
      <c r="AG42" s="594"/>
    </row>
    <row r="43" spans="2:34" ht="20.45" customHeight="1" x14ac:dyDescent="0.25">
      <c r="B43" s="76">
        <v>4</v>
      </c>
      <c r="C43" s="908" t="s">
        <v>22</v>
      </c>
      <c r="D43" s="908"/>
      <c r="E43" s="908"/>
      <c r="F43" s="908"/>
      <c r="G43" s="908"/>
      <c r="H43" s="908"/>
      <c r="I43" s="908"/>
      <c r="J43" s="908"/>
      <c r="K43" s="908"/>
      <c r="L43" s="908"/>
      <c r="M43" s="908"/>
      <c r="N43" s="908"/>
      <c r="O43" s="908"/>
      <c r="P43" s="908"/>
      <c r="Q43" s="908"/>
      <c r="R43" s="908"/>
      <c r="S43" s="908"/>
      <c r="T43" s="908"/>
      <c r="U43" s="908"/>
      <c r="V43" s="908"/>
      <c r="W43" s="908"/>
      <c r="X43" s="908"/>
      <c r="Y43" s="908"/>
      <c r="Z43" s="908"/>
      <c r="AA43" s="908"/>
      <c r="AB43" s="908"/>
      <c r="AC43" s="908"/>
      <c r="AD43" s="908"/>
      <c r="AE43" s="908"/>
      <c r="AF43" s="908"/>
      <c r="AG43" s="908"/>
    </row>
    <row r="44" spans="2:34" ht="51.6" customHeight="1" x14ac:dyDescent="0.25">
      <c r="B44" s="76">
        <v>5</v>
      </c>
      <c r="C44" s="909" t="s">
        <v>23</v>
      </c>
      <c r="D44" s="909"/>
      <c r="E44" s="909"/>
      <c r="F44" s="909"/>
      <c r="G44" s="909"/>
      <c r="H44" s="909"/>
      <c r="I44" s="909"/>
      <c r="J44" s="909"/>
      <c r="K44" s="909"/>
      <c r="L44" s="909"/>
      <c r="M44" s="909"/>
      <c r="N44" s="909"/>
      <c r="O44" s="909"/>
      <c r="P44" s="909"/>
      <c r="Q44" s="909"/>
      <c r="R44" s="909"/>
      <c r="S44" s="909"/>
      <c r="T44" s="909"/>
      <c r="U44" s="909"/>
      <c r="V44" s="909"/>
      <c r="W44" s="909"/>
      <c r="X44" s="909"/>
      <c r="Y44" s="909"/>
      <c r="Z44" s="909"/>
      <c r="AA44" s="909"/>
      <c r="AB44" s="909"/>
      <c r="AC44" s="909"/>
      <c r="AD44" s="909"/>
      <c r="AE44" s="909"/>
      <c r="AF44" s="909"/>
      <c r="AG44" s="909"/>
    </row>
    <row r="45" spans="2:34" ht="6.95" customHeight="1" x14ac:dyDescent="0.25">
      <c r="C45" s="593"/>
      <c r="D45" s="107"/>
      <c r="E45" s="593"/>
      <c r="F45" s="593"/>
      <c r="G45" s="593"/>
      <c r="H45" s="593"/>
      <c r="I45" s="593"/>
      <c r="J45" s="593"/>
      <c r="K45" s="593"/>
      <c r="L45" s="874"/>
      <c r="M45" s="593"/>
      <c r="N45" s="593"/>
      <c r="O45" s="108"/>
      <c r="P45" s="108"/>
      <c r="Q45" s="108"/>
      <c r="R45" s="593"/>
      <c r="S45" s="593"/>
      <c r="T45" s="593"/>
      <c r="U45" s="593"/>
      <c r="V45" s="593"/>
      <c r="W45" s="593"/>
      <c r="X45" s="593"/>
      <c r="Y45" s="593"/>
      <c r="Z45" s="593"/>
      <c r="AA45" s="593"/>
      <c r="AB45" s="593"/>
      <c r="AC45" s="593"/>
      <c r="AD45" s="593"/>
      <c r="AE45" s="593"/>
      <c r="AF45" s="593"/>
      <c r="AG45" s="593"/>
    </row>
    <row r="46" spans="2:34" ht="53.45" customHeight="1" x14ac:dyDescent="0.25">
      <c r="B46" s="76">
        <v>6</v>
      </c>
      <c r="C46" s="909" t="s">
        <v>24</v>
      </c>
      <c r="D46" s="909"/>
      <c r="E46" s="909"/>
      <c r="F46" s="909"/>
      <c r="G46" s="909"/>
      <c r="H46" s="909"/>
      <c r="I46" s="909"/>
      <c r="J46" s="909"/>
      <c r="K46" s="909"/>
      <c r="L46" s="909"/>
      <c r="M46" s="909"/>
      <c r="N46" s="909"/>
      <c r="O46" s="909"/>
      <c r="P46" s="909"/>
      <c r="Q46" s="909"/>
      <c r="R46" s="909"/>
      <c r="S46" s="909"/>
      <c r="T46" s="909"/>
      <c r="U46" s="909"/>
      <c r="V46" s="909"/>
      <c r="W46" s="909"/>
      <c r="X46" s="909"/>
      <c r="Y46" s="909"/>
      <c r="Z46" s="909"/>
      <c r="AA46" s="909"/>
      <c r="AB46" s="909"/>
      <c r="AC46" s="909"/>
      <c r="AD46" s="909"/>
      <c r="AE46" s="909"/>
      <c r="AF46" s="909"/>
      <c r="AG46" s="909"/>
    </row>
    <row r="47" spans="2:34" x14ac:dyDescent="0.25">
      <c r="B47" s="76">
        <v>7</v>
      </c>
      <c r="C47" s="907" t="s">
        <v>25</v>
      </c>
      <c r="D47" s="907"/>
      <c r="E47" s="907"/>
      <c r="F47" s="907"/>
      <c r="G47" s="907"/>
      <c r="H47" s="907"/>
      <c r="I47" s="907"/>
      <c r="J47" s="907"/>
      <c r="K47" s="907"/>
      <c r="L47" s="907"/>
      <c r="M47" s="907"/>
      <c r="N47" s="907"/>
      <c r="O47" s="907"/>
      <c r="P47" s="907"/>
      <c r="Q47" s="907"/>
      <c r="R47" s="907"/>
      <c r="S47" s="907"/>
      <c r="T47" s="907"/>
      <c r="U47" s="907"/>
      <c r="V47" s="907"/>
      <c r="W47" s="907"/>
      <c r="X47" s="907"/>
      <c r="Y47" s="907"/>
      <c r="Z47" s="907"/>
      <c r="AA47" s="907"/>
      <c r="AB47" s="907"/>
      <c r="AC47" s="907"/>
      <c r="AD47" s="907"/>
      <c r="AE47" s="907"/>
      <c r="AF47" s="907"/>
      <c r="AG47" s="907"/>
    </row>
    <row r="48" spans="2:34" ht="20.100000000000001" customHeight="1" x14ac:dyDescent="0.25">
      <c r="B48" s="76">
        <v>8</v>
      </c>
      <c r="C48" s="909" t="s">
        <v>26</v>
      </c>
      <c r="D48" s="909"/>
      <c r="E48" s="909"/>
      <c r="F48" s="909"/>
      <c r="G48" s="909"/>
      <c r="H48" s="909"/>
      <c r="I48" s="909"/>
      <c r="J48" s="909"/>
      <c r="K48" s="909"/>
      <c r="L48" s="909"/>
      <c r="M48" s="909"/>
      <c r="N48" s="909"/>
      <c r="O48" s="909"/>
      <c r="P48" s="909"/>
      <c r="Q48" s="909"/>
      <c r="R48" s="909"/>
      <c r="S48" s="909"/>
      <c r="T48" s="909"/>
      <c r="U48" s="909"/>
      <c r="V48" s="909"/>
      <c r="W48" s="909"/>
      <c r="X48" s="909"/>
      <c r="Y48" s="909"/>
      <c r="Z48" s="909"/>
      <c r="AA48" s="909"/>
      <c r="AB48" s="909"/>
      <c r="AC48" s="909"/>
      <c r="AD48" s="909"/>
      <c r="AE48" s="909"/>
      <c r="AF48" s="909"/>
      <c r="AG48" s="909"/>
    </row>
    <row r="49" spans="1:33" x14ac:dyDescent="0.25">
      <c r="B49" s="76">
        <v>9</v>
      </c>
      <c r="C49" s="910" t="s">
        <v>27</v>
      </c>
      <c r="D49" s="910"/>
      <c r="E49" s="910"/>
      <c r="F49" s="910"/>
      <c r="G49" s="910"/>
      <c r="H49" s="910"/>
      <c r="I49" s="910"/>
      <c r="J49" s="910"/>
      <c r="K49" s="910"/>
      <c r="L49" s="910"/>
      <c r="M49" s="910"/>
      <c r="N49" s="910"/>
      <c r="O49" s="910"/>
      <c r="P49" s="910"/>
      <c r="Q49" s="910"/>
      <c r="R49" s="910"/>
      <c r="S49" s="910"/>
      <c r="T49" s="910"/>
      <c r="U49" s="910"/>
      <c r="V49" s="910"/>
      <c r="W49" s="910"/>
      <c r="X49" s="910"/>
      <c r="Y49" s="910"/>
      <c r="Z49" s="910"/>
      <c r="AA49" s="910"/>
      <c r="AB49" s="910"/>
      <c r="AC49" s="910"/>
      <c r="AD49" s="910"/>
      <c r="AE49" s="910"/>
      <c r="AF49" s="910"/>
      <c r="AG49" s="910"/>
    </row>
    <row r="50" spans="1:33" x14ac:dyDescent="0.25">
      <c r="B50" s="76">
        <v>10</v>
      </c>
      <c r="C50" s="907" t="s">
        <v>673</v>
      </c>
      <c r="D50" s="907"/>
      <c r="E50" s="907"/>
      <c r="F50" s="907"/>
      <c r="G50" s="907"/>
      <c r="H50" s="907"/>
      <c r="I50" s="907"/>
      <c r="J50" s="907"/>
      <c r="K50" s="907"/>
      <c r="L50" s="907"/>
      <c r="M50" s="907"/>
      <c r="N50" s="907"/>
      <c r="O50" s="907"/>
      <c r="P50" s="907"/>
      <c r="Q50" s="907"/>
      <c r="R50" s="907"/>
      <c r="S50" s="907"/>
      <c r="T50" s="907"/>
      <c r="U50" s="907"/>
      <c r="V50" s="907"/>
      <c r="W50" s="907"/>
      <c r="X50" s="907"/>
      <c r="Y50" s="907"/>
      <c r="Z50" s="907"/>
      <c r="AA50" s="907"/>
      <c r="AB50" s="907"/>
      <c r="AC50" s="907"/>
      <c r="AD50" s="907"/>
      <c r="AE50" s="907"/>
      <c r="AF50" s="907"/>
      <c r="AG50" s="907"/>
    </row>
    <row r="51" spans="1:33" x14ac:dyDescent="0.25">
      <c r="C51" s="591" t="s">
        <v>674</v>
      </c>
      <c r="D51" s="591"/>
      <c r="E51" s="591"/>
      <c r="G51" s="591"/>
      <c r="H51" s="591"/>
      <c r="I51" s="591"/>
      <c r="J51" s="591"/>
      <c r="K51" s="591"/>
      <c r="L51" s="873"/>
      <c r="M51" s="591"/>
      <c r="N51" s="591"/>
      <c r="O51" s="591"/>
      <c r="P51" s="628"/>
      <c r="Q51" s="628"/>
      <c r="R51" s="591"/>
      <c r="S51" s="591"/>
      <c r="T51" s="591"/>
      <c r="U51" s="591"/>
      <c r="V51" s="591"/>
      <c r="W51" s="591"/>
      <c r="X51" s="591"/>
      <c r="Y51" s="591"/>
      <c r="Z51" s="591"/>
      <c r="AA51" s="591"/>
      <c r="AB51" s="591"/>
      <c r="AC51" s="591"/>
      <c r="AD51" s="591"/>
      <c r="AE51" s="591"/>
      <c r="AF51" s="591"/>
      <c r="AG51" s="591"/>
    </row>
    <row r="52" spans="1:33" x14ac:dyDescent="0.25">
      <c r="C52" s="591" t="s">
        <v>675</v>
      </c>
      <c r="D52" s="591"/>
      <c r="E52" s="591"/>
      <c r="G52" s="591"/>
      <c r="H52" s="591"/>
      <c r="I52" s="591"/>
      <c r="J52" s="591"/>
      <c r="K52" s="591"/>
      <c r="L52" s="873"/>
      <c r="M52" s="591"/>
      <c r="N52" s="591"/>
      <c r="O52" s="591"/>
      <c r="P52" s="628"/>
      <c r="Q52" s="628"/>
      <c r="R52" s="591"/>
      <c r="S52" s="591"/>
      <c r="T52" s="591"/>
      <c r="U52" s="591"/>
      <c r="V52" s="591"/>
      <c r="W52" s="591"/>
      <c r="X52" s="591"/>
      <c r="Y52" s="591"/>
      <c r="Z52" s="591"/>
      <c r="AA52" s="591"/>
      <c r="AB52" s="591"/>
      <c r="AC52" s="591"/>
      <c r="AD52" s="591"/>
      <c r="AE52" s="591"/>
      <c r="AF52" s="591"/>
      <c r="AG52" s="591"/>
    </row>
    <row r="53" spans="1:33" x14ac:dyDescent="0.25">
      <c r="C53" s="591" t="s">
        <v>676</v>
      </c>
      <c r="D53" s="591"/>
      <c r="E53" s="591"/>
      <c r="G53" s="591"/>
      <c r="H53" s="591"/>
      <c r="I53" s="591"/>
      <c r="J53" s="591"/>
      <c r="K53" s="591"/>
      <c r="L53" s="873"/>
      <c r="M53" s="591"/>
      <c r="N53" s="591"/>
      <c r="O53" s="591"/>
      <c r="P53" s="628"/>
      <c r="Q53" s="628"/>
      <c r="R53" s="591"/>
      <c r="S53" s="591"/>
      <c r="T53" s="591"/>
      <c r="U53" s="591"/>
      <c r="V53" s="591"/>
      <c r="W53" s="591"/>
      <c r="X53" s="591"/>
      <c r="Y53" s="591"/>
      <c r="Z53" s="591"/>
      <c r="AA53" s="591"/>
      <c r="AB53" s="591"/>
      <c r="AC53" s="591"/>
      <c r="AD53" s="591"/>
      <c r="AE53" s="591"/>
      <c r="AF53" s="591"/>
      <c r="AG53" s="591"/>
    </row>
    <row r="54" spans="1:33" x14ac:dyDescent="0.25">
      <c r="C54" s="591" t="s">
        <v>677</v>
      </c>
      <c r="D54" s="591"/>
      <c r="E54" s="591"/>
      <c r="G54" s="591"/>
      <c r="H54" s="591"/>
      <c r="I54" s="591"/>
      <c r="J54" s="591"/>
      <c r="K54" s="591"/>
      <c r="L54" s="873"/>
      <c r="M54" s="591"/>
      <c r="N54" s="591"/>
      <c r="O54" s="591"/>
      <c r="P54" s="628"/>
      <c r="Q54" s="628"/>
      <c r="R54" s="591"/>
      <c r="S54" s="591"/>
      <c r="T54" s="591"/>
      <c r="U54" s="591"/>
      <c r="V54" s="591"/>
      <c r="W54" s="591"/>
      <c r="X54" s="591"/>
      <c r="Y54" s="591"/>
      <c r="Z54" s="591"/>
      <c r="AA54" s="591"/>
      <c r="AB54" s="591"/>
      <c r="AC54" s="591"/>
      <c r="AD54" s="591"/>
      <c r="AE54" s="591"/>
      <c r="AF54" s="591"/>
      <c r="AG54" s="591"/>
    </row>
    <row r="55" spans="1:33" x14ac:dyDescent="0.25">
      <c r="C55" s="591"/>
      <c r="D55" s="591"/>
      <c r="E55" s="591"/>
      <c r="G55" s="591"/>
      <c r="H55" s="591"/>
      <c r="I55" s="591"/>
      <c r="J55" s="591"/>
      <c r="K55" s="591"/>
      <c r="L55" s="873"/>
      <c r="M55" s="591"/>
      <c r="N55" s="591"/>
      <c r="O55" s="591"/>
      <c r="P55" s="628"/>
      <c r="Q55" s="628"/>
      <c r="R55" s="591"/>
      <c r="S55" s="591"/>
      <c r="T55" s="591"/>
      <c r="U55" s="591"/>
      <c r="V55" s="591"/>
      <c r="W55" s="591"/>
      <c r="X55" s="591"/>
      <c r="Y55" s="591"/>
      <c r="Z55" s="591"/>
      <c r="AA55" s="591"/>
      <c r="AB55" s="591"/>
      <c r="AC55" s="591"/>
      <c r="AD55" s="591"/>
      <c r="AE55" s="591"/>
      <c r="AF55" s="591"/>
      <c r="AG55" s="591"/>
    </row>
    <row r="56" spans="1:33" x14ac:dyDescent="0.25">
      <c r="C56" s="591"/>
      <c r="D56" s="591"/>
      <c r="E56" s="591"/>
      <c r="G56" s="591"/>
      <c r="H56" s="591"/>
      <c r="I56" s="591"/>
      <c r="J56" s="591"/>
      <c r="K56" s="591"/>
      <c r="L56" s="873"/>
      <c r="M56" s="591"/>
      <c r="N56" s="591"/>
      <c r="O56" s="591"/>
      <c r="P56" s="628"/>
      <c r="Q56" s="628"/>
      <c r="R56" s="591"/>
      <c r="S56" s="591"/>
      <c r="T56" s="591"/>
      <c r="U56" s="591"/>
      <c r="V56" s="591"/>
      <c r="W56" s="591"/>
      <c r="X56" s="591"/>
      <c r="Y56" s="591"/>
      <c r="Z56" s="591"/>
      <c r="AA56" s="591"/>
      <c r="AB56" s="591"/>
      <c r="AC56" s="591"/>
      <c r="AD56" s="591"/>
      <c r="AE56" s="591"/>
      <c r="AF56" s="591"/>
      <c r="AG56" s="591"/>
    </row>
    <row r="57" spans="1:33" x14ac:dyDescent="0.25">
      <c r="C57" s="591"/>
      <c r="D57" s="591"/>
      <c r="E57" s="591"/>
      <c r="G57" s="591"/>
      <c r="H57" s="591"/>
      <c r="I57" s="591"/>
      <c r="J57" s="591"/>
      <c r="K57" s="591"/>
      <c r="L57" s="873"/>
      <c r="M57" s="591"/>
      <c r="N57" s="591"/>
      <c r="O57" s="591"/>
      <c r="P57" s="628"/>
      <c r="Q57" s="628"/>
      <c r="R57" s="591"/>
      <c r="S57" s="591"/>
      <c r="T57" s="591"/>
      <c r="U57" s="591"/>
      <c r="V57" s="591"/>
      <c r="W57" s="591"/>
      <c r="X57" s="591"/>
      <c r="Y57" s="591"/>
      <c r="Z57" s="591"/>
      <c r="AA57" s="591"/>
      <c r="AB57" s="591"/>
      <c r="AC57" s="591"/>
      <c r="AD57" s="591"/>
      <c r="AE57" s="591"/>
      <c r="AF57" s="591"/>
      <c r="AG57" s="591"/>
    </row>
    <row r="58" spans="1:33" x14ac:dyDescent="0.25">
      <c r="C58" s="591"/>
      <c r="D58" s="591"/>
      <c r="E58" s="591"/>
      <c r="G58" s="591"/>
      <c r="H58" s="591"/>
      <c r="I58" s="591"/>
      <c r="J58" s="591"/>
      <c r="K58" s="591"/>
      <c r="L58" s="873"/>
      <c r="M58" s="591"/>
      <c r="N58" s="591"/>
      <c r="O58" s="591"/>
      <c r="P58" s="628"/>
      <c r="Q58" s="628"/>
      <c r="R58" s="591"/>
      <c r="S58" s="591"/>
      <c r="T58" s="591"/>
      <c r="U58" s="591"/>
      <c r="V58" s="591"/>
      <c r="W58" s="591"/>
      <c r="X58" s="591"/>
      <c r="Y58" s="591"/>
      <c r="Z58" s="591"/>
      <c r="AA58" s="591"/>
      <c r="AB58" s="591"/>
      <c r="AC58" s="591"/>
      <c r="AD58" s="591"/>
      <c r="AE58" s="591"/>
      <c r="AF58" s="591"/>
      <c r="AG58" s="591"/>
    </row>
    <row r="59" spans="1:33" x14ac:dyDescent="0.25">
      <c r="C59" s="64"/>
      <c r="O59" s="78"/>
      <c r="P59" s="78"/>
      <c r="Q59" s="78"/>
      <c r="R59" s="64"/>
      <c r="S59" s="64"/>
      <c r="T59" s="64"/>
      <c r="U59" s="64"/>
      <c r="V59" s="64"/>
      <c r="W59" s="64"/>
      <c r="X59" s="64"/>
      <c r="Y59" s="64"/>
      <c r="Z59" s="64"/>
      <c r="AA59" s="64"/>
      <c r="AB59" s="64"/>
      <c r="AC59" s="64"/>
      <c r="AD59" s="64"/>
      <c r="AE59" s="64"/>
      <c r="AF59" s="64"/>
      <c r="AG59" s="76"/>
    </row>
    <row r="60" spans="1:33" customFormat="1" ht="15" x14ac:dyDescent="0.25">
      <c r="B60" s="165" t="s">
        <v>345</v>
      </c>
      <c r="C60" s="166"/>
      <c r="D60" s="166"/>
      <c r="E60" s="166"/>
      <c r="F60" s="75"/>
      <c r="G60" s="166"/>
      <c r="H60" s="166"/>
      <c r="I60" s="166"/>
      <c r="J60" s="166"/>
      <c r="K60" s="166"/>
      <c r="L60" s="166"/>
    </row>
    <row r="61" spans="1:33" customFormat="1" ht="15" x14ac:dyDescent="0.25">
      <c r="B61" s="165" t="s">
        <v>346</v>
      </c>
      <c r="C61" s="166"/>
      <c r="D61" s="166"/>
      <c r="E61" s="166"/>
      <c r="F61" s="75"/>
      <c r="G61" s="166"/>
      <c r="H61" s="166"/>
      <c r="I61" s="166"/>
      <c r="J61" s="166"/>
      <c r="K61" s="166"/>
      <c r="L61" s="166"/>
    </row>
    <row r="62" spans="1:33" customFormat="1" ht="15" x14ac:dyDescent="0.25">
      <c r="B62" s="2"/>
      <c r="F62" s="75"/>
    </row>
    <row r="63" spans="1:33" customFormat="1" ht="15" x14ac:dyDescent="0.25">
      <c r="A63" s="2"/>
      <c r="B63" s="2" t="s">
        <v>347</v>
      </c>
      <c r="C63" s="2"/>
      <c r="D63" s="2" t="s">
        <v>348</v>
      </c>
      <c r="E63" s="2" t="s">
        <v>349</v>
      </c>
      <c r="F63" s="391" t="s">
        <v>350</v>
      </c>
      <c r="G63" s="2"/>
      <c r="H63" s="2"/>
      <c r="I63" s="2"/>
      <c r="J63" s="2"/>
      <c r="K63" s="2"/>
      <c r="L63" s="2"/>
      <c r="M63" s="2"/>
      <c r="N63" s="2"/>
    </row>
    <row r="64" spans="1:33" customFormat="1" ht="15" x14ac:dyDescent="0.25">
      <c r="B64" s="2"/>
      <c r="E64">
        <v>1.1000000000000001</v>
      </c>
      <c r="F64" s="75"/>
    </row>
    <row r="65" spans="2:16" customFormat="1" ht="15" x14ac:dyDescent="0.25">
      <c r="B65" s="2" t="s">
        <v>351</v>
      </c>
      <c r="C65" t="s">
        <v>352</v>
      </c>
      <c r="D65">
        <v>7254</v>
      </c>
      <c r="F65" s="75">
        <v>7979</v>
      </c>
    </row>
    <row r="66" spans="2:16" customFormat="1" ht="15" x14ac:dyDescent="0.25">
      <c r="B66" s="2"/>
      <c r="C66" t="s">
        <v>353</v>
      </c>
      <c r="D66">
        <v>562</v>
      </c>
      <c r="F66" s="75">
        <v>618</v>
      </c>
    </row>
    <row r="67" spans="2:16" customFormat="1" ht="15" x14ac:dyDescent="0.25">
      <c r="B67" s="2"/>
      <c r="F67" s="75"/>
    </row>
    <row r="68" spans="2:16" customFormat="1" ht="15" x14ac:dyDescent="0.25">
      <c r="B68" s="2" t="s">
        <v>354</v>
      </c>
      <c r="C68" t="s">
        <v>355</v>
      </c>
      <c r="D68">
        <v>7018</v>
      </c>
      <c r="F68" s="75">
        <v>7720</v>
      </c>
    </row>
    <row r="69" spans="2:16" customFormat="1" ht="15" x14ac:dyDescent="0.25">
      <c r="B69" s="2"/>
      <c r="F69" s="75"/>
    </row>
    <row r="70" spans="2:16" customFormat="1" ht="15" x14ac:dyDescent="0.25">
      <c r="B70" s="2" t="s">
        <v>356</v>
      </c>
      <c r="D70">
        <v>431</v>
      </c>
      <c r="F70" s="75">
        <v>474</v>
      </c>
    </row>
    <row r="71" spans="2:16" customFormat="1" ht="15" x14ac:dyDescent="0.25">
      <c r="B71" s="2"/>
      <c r="F71" s="75"/>
    </row>
    <row r="72" spans="2:16" customFormat="1" ht="15" x14ac:dyDescent="0.25">
      <c r="B72" s="2" t="s">
        <v>357</v>
      </c>
      <c r="D72">
        <v>77</v>
      </c>
      <c r="F72" s="75">
        <v>85</v>
      </c>
    </row>
    <row r="73" spans="2:16" customFormat="1" ht="15" x14ac:dyDescent="0.25">
      <c r="B73" s="2"/>
      <c r="F73" s="75"/>
    </row>
    <row r="74" spans="2:16" customFormat="1" ht="15" x14ac:dyDescent="0.25">
      <c r="B74" s="2" t="s">
        <v>358</v>
      </c>
      <c r="C74" s="2"/>
      <c r="D74" s="2"/>
      <c r="F74" s="75">
        <v>1095</v>
      </c>
    </row>
    <row r="75" spans="2:16" customFormat="1" ht="15" x14ac:dyDescent="0.25">
      <c r="B75" s="2"/>
      <c r="F75" s="75"/>
    </row>
    <row r="76" spans="2:16" customFormat="1" ht="15" x14ac:dyDescent="0.25">
      <c r="B76" s="2" t="s">
        <v>359</v>
      </c>
      <c r="F76" s="75">
        <v>1170</v>
      </c>
    </row>
    <row r="77" spans="2:16" customFormat="1" ht="15" x14ac:dyDescent="0.25">
      <c r="B77" s="2"/>
      <c r="F77" s="75"/>
    </row>
    <row r="78" spans="2:16" customFormat="1" ht="15" x14ac:dyDescent="0.25">
      <c r="B78" s="2" t="s">
        <v>360</v>
      </c>
      <c r="F78" s="669">
        <f>SUM(F65:F77)</f>
        <v>19141</v>
      </c>
      <c r="G78" s="167"/>
      <c r="P78" t="s">
        <v>984</v>
      </c>
    </row>
    <row r="79" spans="2:16" customFormat="1" ht="15" x14ac:dyDescent="0.25">
      <c r="B79" s="2"/>
      <c r="F79" s="669"/>
      <c r="G79" s="167"/>
    </row>
    <row r="80" spans="2:16" customFormat="1" ht="15" x14ac:dyDescent="0.25">
      <c r="B80" s="2"/>
      <c r="F80" s="669"/>
      <c r="G80" s="167"/>
    </row>
    <row r="81" spans="2:20" customFormat="1" x14ac:dyDescent="0.25">
      <c r="B81" s="2"/>
      <c r="F81" s="75"/>
      <c r="H81" s="64" t="s">
        <v>688</v>
      </c>
      <c r="P81" t="s">
        <v>983</v>
      </c>
      <c r="T81" t="s">
        <v>93</v>
      </c>
    </row>
    <row r="82" spans="2:20" x14ac:dyDescent="0.25">
      <c r="B82" s="64"/>
      <c r="E82" s="76" t="s">
        <v>688</v>
      </c>
      <c r="P82" t="s">
        <v>984</v>
      </c>
      <c r="R82" s="78">
        <v>100</v>
      </c>
      <c r="S82" s="78" t="s">
        <v>480</v>
      </c>
      <c r="T82" s="78">
        <v>900000</v>
      </c>
    </row>
    <row r="83" spans="2:20" x14ac:dyDescent="0.25">
      <c r="H83" s="64" t="s">
        <v>689</v>
      </c>
      <c r="P83" s="873" t="s">
        <v>979</v>
      </c>
      <c r="R83" s="78">
        <v>1000000</v>
      </c>
    </row>
    <row r="84" spans="2:20" ht="15.6" customHeight="1" x14ac:dyDescent="0.25">
      <c r="G84" s="64" t="s">
        <v>690</v>
      </c>
      <c r="H84" s="64" t="s">
        <v>459</v>
      </c>
      <c r="P84" s="64" t="s">
        <v>980</v>
      </c>
    </row>
    <row r="86" spans="2:20" ht="15.6" customHeight="1" x14ac:dyDescent="0.25">
      <c r="G86" s="64" t="s">
        <v>691</v>
      </c>
      <c r="H86" s="64" t="s">
        <v>459</v>
      </c>
      <c r="P86" s="64" t="s">
        <v>981</v>
      </c>
    </row>
    <row r="87" spans="2:20" x14ac:dyDescent="0.25">
      <c r="P87" s="64" t="s">
        <v>982</v>
      </c>
    </row>
    <row r="88" spans="2:20" ht="15.6" customHeight="1" x14ac:dyDescent="0.25">
      <c r="G88" s="64" t="s">
        <v>692</v>
      </c>
      <c r="H88" s="64" t="s">
        <v>459</v>
      </c>
    </row>
    <row r="90" spans="2:20" ht="15.6" customHeight="1" x14ac:dyDescent="0.25">
      <c r="G90" s="64" t="s">
        <v>667</v>
      </c>
      <c r="H90" s="64" t="s">
        <v>459</v>
      </c>
    </row>
    <row r="91" spans="2:20" x14ac:dyDescent="0.25">
      <c r="G91" s="64" t="s">
        <v>693</v>
      </c>
      <c r="H91" s="64" t="s">
        <v>459</v>
      </c>
    </row>
    <row r="92" spans="2:20" ht="15.6" customHeight="1" x14ac:dyDescent="0.25">
      <c r="B92" s="64"/>
      <c r="E92" s="594"/>
    </row>
    <row r="94" spans="2:20" x14ac:dyDescent="0.25">
      <c r="C94" s="591" t="s">
        <v>694</v>
      </c>
    </row>
    <row r="95" spans="2:20" x14ac:dyDescent="0.25">
      <c r="E95" s="64" t="s">
        <v>678</v>
      </c>
      <c r="F95" s="591" t="s">
        <v>459</v>
      </c>
      <c r="G95" s="64" t="s">
        <v>679</v>
      </c>
    </row>
    <row r="96" spans="2:20" x14ac:dyDescent="0.25">
      <c r="E96" s="64" t="s">
        <v>680</v>
      </c>
      <c r="F96" s="591" t="s">
        <v>459</v>
      </c>
      <c r="G96" s="64" t="s">
        <v>679</v>
      </c>
    </row>
    <row r="97" spans="5:7" x14ac:dyDescent="0.25">
      <c r="E97" s="64" t="s">
        <v>681</v>
      </c>
      <c r="F97" s="591" t="s">
        <v>459</v>
      </c>
      <c r="G97" s="64" t="s">
        <v>679</v>
      </c>
    </row>
    <row r="98" spans="5:7" x14ac:dyDescent="0.25">
      <c r="E98" s="64" t="s">
        <v>682</v>
      </c>
      <c r="F98" s="591" t="s">
        <v>459</v>
      </c>
      <c r="G98" s="64" t="s">
        <v>679</v>
      </c>
    </row>
    <row r="99" spans="5:7" x14ac:dyDescent="0.25">
      <c r="E99" s="64" t="s">
        <v>683</v>
      </c>
      <c r="F99" s="591" t="s">
        <v>459</v>
      </c>
      <c r="G99" s="64" t="s">
        <v>679</v>
      </c>
    </row>
    <row r="100" spans="5:7" x14ac:dyDescent="0.25">
      <c r="E100" s="64" t="s">
        <v>684</v>
      </c>
      <c r="F100" s="591" t="s">
        <v>459</v>
      </c>
      <c r="G100" s="64" t="s">
        <v>679</v>
      </c>
    </row>
    <row r="101" spans="5:7" x14ac:dyDescent="0.25">
      <c r="E101" s="64" t="s">
        <v>685</v>
      </c>
      <c r="F101" s="591" t="s">
        <v>459</v>
      </c>
      <c r="G101" s="64" t="s">
        <v>679</v>
      </c>
    </row>
    <row r="102" spans="5:7" x14ac:dyDescent="0.25">
      <c r="E102" s="64" t="s">
        <v>686</v>
      </c>
      <c r="F102" s="591" t="s">
        <v>459</v>
      </c>
      <c r="G102" s="64" t="s">
        <v>679</v>
      </c>
    </row>
    <row r="103" spans="5:7" x14ac:dyDescent="0.25">
      <c r="E103" s="64" t="s">
        <v>687</v>
      </c>
      <c r="F103" s="591" t="s">
        <v>459</v>
      </c>
      <c r="G103" s="64" t="s">
        <v>679</v>
      </c>
    </row>
    <row r="114" spans="5:5" x14ac:dyDescent="0.25">
      <c r="E114" s="591"/>
    </row>
  </sheetData>
  <mergeCells count="13">
    <mergeCell ref="C40:AG40"/>
    <mergeCell ref="S4:V4"/>
    <mergeCell ref="X4:AA4"/>
    <mergeCell ref="AB4:AB5"/>
    <mergeCell ref="G32:H32"/>
    <mergeCell ref="C39:AG39"/>
    <mergeCell ref="C50:AG50"/>
    <mergeCell ref="C43:AG43"/>
    <mergeCell ref="C44:AG44"/>
    <mergeCell ref="C46:AG46"/>
    <mergeCell ref="C47:AG47"/>
    <mergeCell ref="C48:AG48"/>
    <mergeCell ref="C49:AG4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F92AA-1454-496C-877F-29F85FCA435D}">
  <dimension ref="B2:P30"/>
  <sheetViews>
    <sheetView topLeftCell="A7" workbookViewId="0">
      <selection activeCell="Q7" sqref="Q7"/>
    </sheetView>
  </sheetViews>
  <sheetFormatPr defaultRowHeight="18.75" x14ac:dyDescent="0.3"/>
  <cols>
    <col min="1" max="2" width="9.140625" style="966"/>
    <col min="3" max="3" width="17.140625" style="966" bestFit="1" customWidth="1"/>
    <col min="4" max="4" width="13.85546875" style="966" customWidth="1"/>
    <col min="5" max="5" width="18.85546875" style="966" customWidth="1"/>
    <col min="6" max="6" width="12.42578125" style="966" customWidth="1"/>
    <col min="7" max="7" width="4.85546875" style="966" customWidth="1"/>
    <col min="8" max="8" width="4.5703125" style="966" customWidth="1"/>
    <col min="9" max="10" width="9.140625" style="966"/>
    <col min="11" max="11" width="2.85546875" style="966" customWidth="1"/>
    <col min="12" max="12" width="17.85546875" style="966" customWidth="1"/>
    <col min="13" max="16384" width="9.140625" style="966"/>
  </cols>
  <sheetData>
    <row r="2" spans="2:16" ht="19.5" thickBot="1" x14ac:dyDescent="0.35">
      <c r="C2" s="992" t="s">
        <v>1001</v>
      </c>
    </row>
    <row r="3" spans="2:16" x14ac:dyDescent="0.3">
      <c r="B3" s="967"/>
      <c r="C3" s="968"/>
      <c r="D3" s="968"/>
      <c r="E3" s="967"/>
      <c r="F3" s="968"/>
      <c r="G3" s="969"/>
      <c r="H3" s="967"/>
      <c r="I3" s="968"/>
      <c r="J3" s="968"/>
      <c r="K3" s="969"/>
      <c r="L3" s="967"/>
      <c r="M3" s="968"/>
      <c r="N3" s="969"/>
      <c r="O3" s="968"/>
      <c r="P3" s="969"/>
    </row>
    <row r="4" spans="2:16" s="889" customFormat="1" ht="19.5" thickBot="1" x14ac:dyDescent="0.35">
      <c r="B4" s="993" t="s">
        <v>966</v>
      </c>
      <c r="C4" s="990"/>
      <c r="D4" s="990"/>
      <c r="E4" s="989" t="s">
        <v>987</v>
      </c>
      <c r="F4" s="990"/>
      <c r="G4" s="991"/>
      <c r="H4" s="989"/>
      <c r="I4" s="990" t="s">
        <v>986</v>
      </c>
      <c r="J4" s="990"/>
      <c r="K4" s="991"/>
      <c r="L4" s="989" t="s">
        <v>985</v>
      </c>
      <c r="M4" s="990"/>
      <c r="N4" s="991"/>
      <c r="O4" s="990" t="s">
        <v>988</v>
      </c>
      <c r="P4" s="991"/>
    </row>
    <row r="5" spans="2:16" x14ac:dyDescent="0.3">
      <c r="B5" s="963"/>
      <c r="C5" s="964"/>
      <c r="D5" s="964"/>
      <c r="E5" s="963"/>
      <c r="F5" s="964"/>
      <c r="G5" s="965"/>
      <c r="H5" s="963"/>
      <c r="I5" s="964"/>
      <c r="J5" s="964"/>
      <c r="K5" s="965"/>
      <c r="L5" s="963"/>
      <c r="M5" s="964"/>
      <c r="N5" s="965"/>
      <c r="O5" s="964"/>
      <c r="P5" s="965"/>
    </row>
    <row r="6" spans="2:16" x14ac:dyDescent="0.3">
      <c r="B6" s="963"/>
      <c r="C6" s="964" t="s">
        <v>993</v>
      </c>
      <c r="D6" s="964"/>
      <c r="E6" s="970">
        <v>5</v>
      </c>
      <c r="F6" s="971" t="s">
        <v>480</v>
      </c>
      <c r="G6" s="965"/>
      <c r="H6" s="963"/>
      <c r="I6" s="964">
        <v>144</v>
      </c>
      <c r="J6" s="964" t="s">
        <v>480</v>
      </c>
      <c r="K6" s="965"/>
      <c r="L6" s="963">
        <v>20</v>
      </c>
      <c r="M6" s="964" t="s">
        <v>480</v>
      </c>
      <c r="N6" s="965"/>
      <c r="O6" s="964">
        <v>2</v>
      </c>
      <c r="P6" s="965"/>
    </row>
    <row r="7" spans="2:16" ht="19.5" thickBot="1" x14ac:dyDescent="0.35">
      <c r="B7" s="963"/>
      <c r="C7" s="972">
        <v>41000</v>
      </c>
      <c r="D7" s="964" t="s">
        <v>14</v>
      </c>
      <c r="E7" s="963"/>
      <c r="F7" s="964" t="s">
        <v>990</v>
      </c>
      <c r="G7" s="965"/>
      <c r="H7" s="963"/>
      <c r="I7" s="964">
        <v>1000</v>
      </c>
      <c r="J7" s="964" t="s">
        <v>14</v>
      </c>
      <c r="K7" s="965"/>
      <c r="L7" s="963">
        <v>1000</v>
      </c>
      <c r="M7" s="964" t="s">
        <v>14</v>
      </c>
      <c r="N7" s="965"/>
      <c r="O7" s="964">
        <v>1000</v>
      </c>
      <c r="P7" s="965"/>
    </row>
    <row r="8" spans="2:16" ht="19.5" thickBot="1" x14ac:dyDescent="0.35">
      <c r="B8" s="973"/>
      <c r="C8" s="974"/>
      <c r="D8" s="974"/>
      <c r="E8" s="973">
        <f>SUM(5/1000)</f>
        <v>5.0000000000000001E-3</v>
      </c>
      <c r="F8" s="974" t="s">
        <v>480</v>
      </c>
      <c r="G8" s="975"/>
      <c r="H8" s="973"/>
      <c r="I8" s="974">
        <f>SUM(I6/I7)</f>
        <v>0.14399999999999999</v>
      </c>
      <c r="J8" s="974"/>
      <c r="K8" s="975"/>
      <c r="L8" s="973">
        <f>SUM(20/1000)</f>
        <v>0.02</v>
      </c>
      <c r="M8" s="974"/>
      <c r="N8" s="975"/>
      <c r="O8" s="974">
        <f>SUM(O6/1000)</f>
        <v>2E-3</v>
      </c>
      <c r="P8" s="975"/>
    </row>
    <row r="9" spans="2:16" x14ac:dyDescent="0.3">
      <c r="B9" s="963"/>
      <c r="C9" s="964"/>
      <c r="D9" s="964"/>
      <c r="E9" s="963"/>
      <c r="F9" s="964"/>
      <c r="G9" s="965"/>
      <c r="H9" s="963"/>
      <c r="I9" s="964"/>
      <c r="J9" s="964"/>
      <c r="K9" s="965"/>
      <c r="L9" s="963"/>
      <c r="M9" s="964"/>
      <c r="N9" s="965"/>
      <c r="O9" s="964"/>
      <c r="P9" s="965"/>
    </row>
    <row r="10" spans="2:16" x14ac:dyDescent="0.3">
      <c r="B10" s="963"/>
      <c r="C10" s="964"/>
      <c r="D10" s="979" t="s">
        <v>814</v>
      </c>
      <c r="E10" s="980">
        <v>5.0000000000000001E-3</v>
      </c>
      <c r="F10" s="981"/>
      <c r="G10" s="982"/>
      <c r="H10" s="980"/>
      <c r="I10" s="981">
        <v>0.14399999999999999</v>
      </c>
      <c r="J10" s="981"/>
      <c r="K10" s="982"/>
      <c r="L10" s="980">
        <v>0.02</v>
      </c>
      <c r="M10" s="981"/>
      <c r="N10" s="982"/>
      <c r="O10" s="981">
        <v>2E-3</v>
      </c>
      <c r="P10" s="983"/>
    </row>
    <row r="11" spans="2:16" x14ac:dyDescent="0.3">
      <c r="B11" s="963"/>
      <c r="C11" s="964"/>
      <c r="D11" s="964"/>
      <c r="E11" s="963"/>
      <c r="F11" s="964"/>
      <c r="G11" s="965"/>
      <c r="H11" s="963"/>
      <c r="I11" s="964"/>
      <c r="J11" s="964"/>
      <c r="K11" s="965"/>
      <c r="L11" s="963"/>
      <c r="M11" s="964"/>
      <c r="N11" s="965"/>
      <c r="O11" s="964"/>
      <c r="P11" s="965"/>
    </row>
    <row r="12" spans="2:16" x14ac:dyDescent="0.3">
      <c r="B12" s="963"/>
      <c r="C12" s="964"/>
      <c r="D12" s="964" t="s">
        <v>994</v>
      </c>
      <c r="E12" s="963">
        <f>SUM(C7*E10)</f>
        <v>205</v>
      </c>
      <c r="F12" s="964"/>
      <c r="G12" s="965"/>
      <c r="H12" s="963"/>
      <c r="I12" s="964">
        <f>SUM(C7*I10)</f>
        <v>5904</v>
      </c>
      <c r="J12" s="964"/>
      <c r="K12" s="965"/>
      <c r="L12" s="963">
        <f>SUM(C7*L10)</f>
        <v>820</v>
      </c>
      <c r="M12" s="964"/>
      <c r="N12" s="965"/>
      <c r="O12" s="964">
        <f>SUM(C7*O10)</f>
        <v>82</v>
      </c>
      <c r="P12" s="965"/>
    </row>
    <row r="13" spans="2:16" ht="19.5" thickBot="1" x14ac:dyDescent="0.35">
      <c r="B13" s="963"/>
      <c r="C13" s="964"/>
      <c r="D13" s="964"/>
      <c r="E13" s="963"/>
      <c r="F13" s="964"/>
      <c r="G13" s="965"/>
      <c r="H13" s="963"/>
      <c r="I13" s="964"/>
      <c r="J13" s="964"/>
      <c r="K13" s="965"/>
      <c r="L13" s="963"/>
      <c r="M13" s="964"/>
      <c r="N13" s="965"/>
      <c r="O13" s="964"/>
      <c r="P13" s="965"/>
    </row>
    <row r="14" spans="2:16" s="889" customFormat="1" ht="19.5" thickBot="1" x14ac:dyDescent="0.35">
      <c r="B14" s="890"/>
      <c r="C14" s="891"/>
      <c r="D14" s="891" t="s">
        <v>995</v>
      </c>
      <c r="E14" s="890">
        <v>205</v>
      </c>
      <c r="F14" s="891"/>
      <c r="G14" s="892"/>
      <c r="H14" s="890"/>
      <c r="I14" s="891">
        <v>5904</v>
      </c>
      <c r="J14" s="891"/>
      <c r="K14" s="892"/>
      <c r="L14" s="890">
        <v>820</v>
      </c>
      <c r="M14" s="891"/>
      <c r="N14" s="892"/>
      <c r="O14" s="891">
        <v>82</v>
      </c>
      <c r="P14" s="892"/>
    </row>
    <row r="15" spans="2:16" ht="19.5" thickBot="1" x14ac:dyDescent="0.35">
      <c r="B15" s="976"/>
      <c r="C15" s="977"/>
      <c r="D15" s="977"/>
      <c r="E15" s="976"/>
      <c r="F15" s="977"/>
      <c r="G15" s="978"/>
      <c r="H15" s="976"/>
      <c r="I15" s="977"/>
      <c r="J15" s="977"/>
      <c r="K15" s="978"/>
      <c r="L15" s="976"/>
      <c r="M15" s="977"/>
      <c r="N15" s="978"/>
      <c r="O15" s="977"/>
      <c r="P15" s="978"/>
    </row>
    <row r="16" spans="2:16" x14ac:dyDescent="0.3">
      <c r="B16" s="963"/>
      <c r="C16" s="964" t="s">
        <v>90</v>
      </c>
      <c r="D16" s="964"/>
      <c r="E16" s="970">
        <v>84</v>
      </c>
      <c r="F16" s="971" t="s">
        <v>480</v>
      </c>
      <c r="G16" s="965"/>
      <c r="H16" s="963"/>
      <c r="I16" s="964">
        <v>0</v>
      </c>
      <c r="J16" s="964"/>
      <c r="K16" s="965"/>
      <c r="L16" s="963">
        <v>50</v>
      </c>
      <c r="M16" s="964" t="s">
        <v>480</v>
      </c>
      <c r="N16" s="965"/>
      <c r="O16" s="964">
        <v>0</v>
      </c>
      <c r="P16" s="965"/>
    </row>
    <row r="17" spans="2:16" x14ac:dyDescent="0.3">
      <c r="B17" s="963"/>
      <c r="C17" s="972">
        <v>937000</v>
      </c>
      <c r="D17" s="964" t="s">
        <v>13</v>
      </c>
      <c r="E17" s="963" t="s">
        <v>991</v>
      </c>
      <c r="F17" s="964" t="s">
        <v>991</v>
      </c>
      <c r="G17" s="965"/>
      <c r="H17" s="963"/>
      <c r="I17" s="964"/>
      <c r="J17" s="964"/>
      <c r="K17" s="965"/>
      <c r="L17" s="963" t="s">
        <v>991</v>
      </c>
      <c r="M17" s="964" t="s">
        <v>997</v>
      </c>
      <c r="N17" s="965"/>
      <c r="O17" s="964"/>
      <c r="P17" s="965"/>
    </row>
    <row r="18" spans="2:16" x14ac:dyDescent="0.3">
      <c r="B18" s="963"/>
      <c r="C18" s="964" t="s">
        <v>996</v>
      </c>
      <c r="D18" s="964"/>
      <c r="E18" s="963"/>
      <c r="F18" s="964"/>
      <c r="G18" s="965"/>
      <c r="H18" s="963"/>
      <c r="I18" s="964"/>
      <c r="J18" s="964"/>
      <c r="K18" s="965"/>
      <c r="L18" s="963"/>
      <c r="M18" s="964"/>
      <c r="N18" s="965"/>
      <c r="O18" s="964"/>
      <c r="P18" s="965"/>
    </row>
    <row r="19" spans="2:16" x14ac:dyDescent="0.3">
      <c r="B19" s="984" t="s">
        <v>999</v>
      </c>
      <c r="C19" s="964"/>
      <c r="D19" s="964"/>
      <c r="E19" s="963">
        <v>84</v>
      </c>
      <c r="F19" s="964"/>
      <c r="G19" s="965"/>
      <c r="H19" s="963"/>
      <c r="I19" s="964"/>
      <c r="J19" s="964"/>
      <c r="K19" s="965"/>
      <c r="L19" s="963"/>
      <c r="M19" s="964"/>
      <c r="N19" s="965"/>
      <c r="O19" s="964"/>
      <c r="P19" s="965"/>
    </row>
    <row r="20" spans="2:16" x14ac:dyDescent="0.3">
      <c r="B20" s="963"/>
      <c r="C20" s="964"/>
      <c r="D20" s="972"/>
      <c r="E20" s="963">
        <v>1000000000</v>
      </c>
      <c r="F20" s="964"/>
      <c r="G20" s="965"/>
      <c r="H20" s="963"/>
      <c r="I20" s="964"/>
      <c r="J20" s="964"/>
      <c r="K20" s="965"/>
      <c r="L20" s="963"/>
      <c r="M20" s="964"/>
      <c r="N20" s="965"/>
      <c r="O20" s="964"/>
      <c r="P20" s="965"/>
    </row>
    <row r="21" spans="2:16" x14ac:dyDescent="0.3">
      <c r="B21" s="963"/>
      <c r="C21" s="964"/>
      <c r="D21" s="964"/>
      <c r="E21" s="963"/>
      <c r="F21" s="964"/>
      <c r="G21" s="965"/>
      <c r="H21" s="963"/>
      <c r="I21" s="964"/>
      <c r="J21" s="964"/>
      <c r="K21" s="965"/>
      <c r="L21" s="963"/>
      <c r="M21" s="964"/>
      <c r="N21" s="965"/>
      <c r="O21" s="964"/>
      <c r="P21" s="965"/>
    </row>
    <row r="22" spans="2:16" x14ac:dyDescent="0.3">
      <c r="B22" s="963"/>
      <c r="C22" s="964" t="s">
        <v>998</v>
      </c>
      <c r="D22" s="979" t="s">
        <v>814</v>
      </c>
      <c r="E22" s="980">
        <f>SUM(E19/1000000000)</f>
        <v>8.3999999999999998E-8</v>
      </c>
      <c r="F22" s="981"/>
      <c r="G22" s="982"/>
      <c r="H22" s="980"/>
      <c r="I22" s="981">
        <v>0</v>
      </c>
      <c r="J22" s="981"/>
      <c r="K22" s="982"/>
      <c r="L22" s="980">
        <f>SUM(L16/1000000000)</f>
        <v>4.9999999999999998E-8</v>
      </c>
      <c r="M22" s="981"/>
      <c r="N22" s="982"/>
      <c r="O22" s="981">
        <v>0</v>
      </c>
      <c r="P22" s="983"/>
    </row>
    <row r="23" spans="2:16" x14ac:dyDescent="0.3">
      <c r="B23" s="963"/>
      <c r="C23" s="964"/>
      <c r="D23" s="964"/>
      <c r="E23" s="963"/>
      <c r="F23" s="964"/>
      <c r="G23" s="965"/>
      <c r="H23" s="963"/>
      <c r="I23" s="964"/>
      <c r="J23" s="964"/>
      <c r="K23" s="965"/>
      <c r="L23" s="963"/>
      <c r="M23" s="964"/>
      <c r="N23" s="965"/>
      <c r="O23" s="964"/>
      <c r="P23" s="965"/>
    </row>
    <row r="24" spans="2:16" x14ac:dyDescent="0.3">
      <c r="B24" s="963" t="s">
        <v>992</v>
      </c>
      <c r="C24" s="964">
        <f>SUM(937000*100000)</f>
        <v>93700000000</v>
      </c>
      <c r="D24" s="964" t="s">
        <v>994</v>
      </c>
      <c r="E24" s="963">
        <f>SUM(E19*937/10)</f>
        <v>7870.8</v>
      </c>
      <c r="F24" s="964"/>
      <c r="G24" s="965"/>
      <c r="H24" s="963"/>
      <c r="I24" s="964">
        <v>0</v>
      </c>
      <c r="J24" s="964"/>
      <c r="K24" s="965"/>
      <c r="L24" s="963">
        <f>SUM(50*937/10)</f>
        <v>4685</v>
      </c>
      <c r="M24" s="964"/>
      <c r="N24" s="965"/>
      <c r="O24" s="964">
        <v>0</v>
      </c>
      <c r="P24" s="965"/>
    </row>
    <row r="25" spans="2:16" x14ac:dyDescent="0.3">
      <c r="B25" s="963"/>
      <c r="C25" s="964"/>
      <c r="D25" s="964"/>
      <c r="E25" s="963"/>
      <c r="F25" s="964"/>
      <c r="G25" s="965"/>
      <c r="H25" s="963"/>
      <c r="I25" s="964"/>
      <c r="J25" s="964"/>
      <c r="K25" s="965"/>
      <c r="L25" s="963"/>
      <c r="M25" s="964"/>
      <c r="N25" s="965"/>
      <c r="O25" s="964"/>
      <c r="P25" s="965"/>
    </row>
    <row r="26" spans="2:16" x14ac:dyDescent="0.3">
      <c r="B26" s="963"/>
      <c r="C26" s="964"/>
      <c r="D26" s="979" t="s">
        <v>1000</v>
      </c>
      <c r="E26" s="980">
        <v>7870.8</v>
      </c>
      <c r="F26" s="981"/>
      <c r="G26" s="982"/>
      <c r="H26" s="980"/>
      <c r="I26" s="981">
        <v>0</v>
      </c>
      <c r="J26" s="981"/>
      <c r="K26" s="982"/>
      <c r="L26" s="980">
        <v>4685</v>
      </c>
      <c r="M26" s="981"/>
      <c r="N26" s="982"/>
      <c r="O26" s="981">
        <v>0</v>
      </c>
      <c r="P26" s="983"/>
    </row>
    <row r="27" spans="2:16" ht="19.5" thickBot="1" x14ac:dyDescent="0.35">
      <c r="B27" s="963"/>
      <c r="C27" s="964"/>
      <c r="D27" s="964"/>
      <c r="E27" s="963"/>
      <c r="F27" s="964"/>
      <c r="G27" s="965"/>
      <c r="H27" s="963"/>
      <c r="I27" s="964"/>
      <c r="J27" s="964"/>
      <c r="K27" s="965"/>
      <c r="L27" s="963"/>
      <c r="M27" s="964"/>
      <c r="N27" s="965"/>
      <c r="O27" s="964"/>
      <c r="P27" s="965"/>
    </row>
    <row r="28" spans="2:16" s="988" customFormat="1" x14ac:dyDescent="0.3">
      <c r="B28" s="985"/>
      <c r="C28" s="986" t="s">
        <v>168</v>
      </c>
      <c r="D28" s="986" t="s">
        <v>480</v>
      </c>
      <c r="E28" s="985">
        <f>SUM(E14+E26)</f>
        <v>8075.8</v>
      </c>
      <c r="F28" s="986"/>
      <c r="G28" s="987"/>
      <c r="H28" s="985"/>
      <c r="I28" s="986">
        <v>5904</v>
      </c>
      <c r="J28" s="986"/>
      <c r="K28" s="987"/>
      <c r="L28" s="985">
        <f>SUM(L14+L26)</f>
        <v>5505</v>
      </c>
      <c r="M28" s="986"/>
      <c r="N28" s="987"/>
      <c r="O28" s="986">
        <v>82</v>
      </c>
      <c r="P28" s="987"/>
    </row>
    <row r="29" spans="2:16" x14ac:dyDescent="0.3">
      <c r="B29" s="963"/>
      <c r="C29" s="964"/>
      <c r="D29" s="964"/>
      <c r="E29" s="963"/>
      <c r="F29" s="964"/>
      <c r="G29" s="965"/>
      <c r="H29" s="963"/>
      <c r="I29" s="964"/>
      <c r="J29" s="964"/>
      <c r="K29" s="965"/>
      <c r="L29" s="963"/>
      <c r="M29" s="964"/>
      <c r="N29" s="965"/>
      <c r="O29" s="964"/>
      <c r="P29" s="965"/>
    </row>
    <row r="30" spans="2:16" s="889" customFormat="1" ht="19.5" thickBot="1" x14ac:dyDescent="0.35">
      <c r="B30" s="989"/>
      <c r="C30" s="990" t="s">
        <v>168</v>
      </c>
      <c r="D30" s="990" t="s">
        <v>706</v>
      </c>
      <c r="E30" s="989">
        <f>SUM(E28/2000)</f>
        <v>4.0379000000000005</v>
      </c>
      <c r="F30" s="990"/>
      <c r="G30" s="991"/>
      <c r="H30" s="989"/>
      <c r="I30" s="990">
        <f>SUM(I28/2000)</f>
        <v>2.952</v>
      </c>
      <c r="J30" s="990"/>
      <c r="K30" s="991"/>
      <c r="L30" s="989">
        <f>SUM(L28/2000)</f>
        <v>2.7524999999999999</v>
      </c>
      <c r="M30" s="990"/>
      <c r="N30" s="991"/>
      <c r="O30" s="990">
        <f>SUM(O28/2000)</f>
        <v>4.1000000000000002E-2</v>
      </c>
      <c r="P30" s="99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B5829-4399-4A5C-B34D-B7DDCAC43D88}">
  <dimension ref="B1:BQ70"/>
  <sheetViews>
    <sheetView topLeftCell="A25" workbookViewId="0">
      <selection activeCell="D23" sqref="D23"/>
    </sheetView>
  </sheetViews>
  <sheetFormatPr defaultColWidth="9.28515625" defaultRowHeight="15.75" x14ac:dyDescent="0.25"/>
  <cols>
    <col min="1" max="1" width="1.7109375" style="189" customWidth="1"/>
    <col min="2" max="2" width="18.42578125" style="353" customWidth="1"/>
    <col min="3" max="3" width="10.42578125" style="189" customWidth="1"/>
    <col min="4" max="4" width="38.7109375" style="189" customWidth="1"/>
    <col min="5" max="5" width="14.42578125" style="190" customWidth="1"/>
    <col min="6" max="6" width="16.85546875" style="190" customWidth="1"/>
    <col min="7" max="7" width="5.7109375" style="190" customWidth="1"/>
    <col min="8" max="8" width="15" style="190" customWidth="1"/>
    <col min="9" max="9" width="12" style="555" customWidth="1"/>
    <col min="10" max="10" width="8.28515625" style="190" customWidth="1"/>
    <col min="11" max="11" width="9" style="190" customWidth="1"/>
    <col min="12" max="12" width="7.140625" style="190" customWidth="1"/>
    <col min="13" max="13" width="5.7109375" style="190" customWidth="1"/>
    <col min="14" max="14" width="15" style="190" customWidth="1"/>
    <col min="15" max="15" width="13.7109375" style="190" customWidth="1"/>
    <col min="16" max="16" width="11.28515625" style="190" customWidth="1"/>
    <col min="17" max="18" width="10.28515625" style="190" customWidth="1"/>
    <col min="19" max="19" width="5.85546875" style="190" customWidth="1"/>
    <col min="20" max="20" width="4.7109375" style="190" customWidth="1"/>
    <col min="21" max="21" width="9.28515625" style="190"/>
    <col min="22" max="22" width="13.5703125" style="190" customWidth="1"/>
    <col min="23" max="23" width="13.7109375" style="190" customWidth="1"/>
    <col min="24" max="24" width="10.7109375" style="190" customWidth="1"/>
    <col min="25" max="25" width="12" style="190" customWidth="1"/>
    <col min="26" max="26" width="10.42578125" style="190" customWidth="1"/>
    <col min="27" max="27" width="14" style="190" bestFit="1" customWidth="1"/>
    <col min="28" max="28" width="13.5703125" style="190" customWidth="1"/>
    <col min="29" max="29" width="13.7109375" style="190" customWidth="1"/>
    <col min="30" max="30" width="10.7109375" style="190" customWidth="1"/>
    <col min="31" max="31" width="9.7109375" style="190" customWidth="1"/>
    <col min="32" max="33" width="10.42578125" style="190" customWidth="1"/>
    <col min="34" max="34" width="19.7109375" style="190" customWidth="1"/>
    <col min="35" max="35" width="15.28515625" style="190" customWidth="1"/>
    <col min="36" max="36" width="9.42578125" style="190" customWidth="1"/>
    <col min="37" max="37" width="12.42578125" style="190" customWidth="1"/>
    <col min="38" max="38" width="10.28515625" style="190" customWidth="1"/>
    <col min="39" max="39" width="8.28515625" style="190" customWidth="1"/>
    <col min="40" max="40" width="13" style="190" customWidth="1"/>
    <col min="41" max="41" width="11.42578125" style="190" customWidth="1"/>
    <col min="42" max="43" width="11.28515625" style="190" customWidth="1"/>
    <col min="44" max="44" width="9.5703125" style="190" customWidth="1"/>
    <col min="45" max="45" width="13.42578125" style="205" customWidth="1"/>
    <col min="46" max="46" width="12.5703125" style="205" customWidth="1"/>
    <col min="47" max="48" width="10.7109375" style="190" customWidth="1"/>
    <col min="49" max="49" width="7.7109375" style="190" customWidth="1"/>
    <col min="50" max="50" width="3.28515625" style="190" customWidth="1"/>
    <col min="51" max="51" width="19.42578125" style="353" customWidth="1"/>
    <col min="52" max="52" width="6.5703125" style="189" customWidth="1"/>
    <col min="53" max="53" width="5.42578125" style="189" customWidth="1"/>
    <col min="54" max="54" width="15.42578125" style="190" customWidth="1"/>
    <col min="55" max="55" width="12.28515625" style="547" customWidth="1"/>
    <col min="56" max="56" width="9.42578125" style="190" customWidth="1"/>
    <col min="57" max="58" width="11.28515625" style="190" customWidth="1"/>
    <col min="59" max="59" width="12.5703125" style="190" customWidth="1"/>
    <col min="60" max="60" width="10.5703125" style="190" customWidth="1"/>
    <col min="61" max="61" width="12.28515625" style="190" customWidth="1"/>
    <col min="62" max="62" width="5" style="190" customWidth="1"/>
    <col min="63" max="63" width="13.7109375" style="204" customWidth="1"/>
    <col min="64" max="64" width="15.28515625" style="190" customWidth="1"/>
    <col min="65" max="65" width="9.42578125" style="189" customWidth="1"/>
    <col min="66" max="66" width="6.28515625" style="205" customWidth="1"/>
    <col min="67" max="67" width="13.5703125" style="190" customWidth="1"/>
    <col min="68" max="68" width="18.42578125" style="190" customWidth="1"/>
    <col min="69" max="69" width="14" style="190" customWidth="1"/>
    <col min="70" max="16384" width="9.28515625" style="189"/>
  </cols>
  <sheetData>
    <row r="1" spans="2:69" ht="16.5" thickBot="1" x14ac:dyDescent="0.3">
      <c r="B1" s="3" t="s">
        <v>635</v>
      </c>
      <c r="C1" s="188"/>
      <c r="O1" s="191"/>
      <c r="P1" s="191"/>
      <c r="Q1" s="191"/>
      <c r="R1" s="191"/>
      <c r="S1" s="191"/>
      <c r="T1" s="191"/>
      <c r="W1" s="191"/>
      <c r="X1" s="192"/>
      <c r="Y1" s="193"/>
      <c r="Z1" s="191"/>
      <c r="AA1" s="191"/>
      <c r="AC1" s="191"/>
      <c r="AD1" s="192"/>
      <c r="AE1" s="193"/>
      <c r="AF1" s="194"/>
      <c r="AG1" s="191"/>
      <c r="AH1" s="191"/>
      <c r="AJ1" s="195" t="s">
        <v>79</v>
      </c>
      <c r="AK1" s="196"/>
      <c r="AL1" s="197"/>
      <c r="AM1" s="198"/>
      <c r="AN1" s="199"/>
      <c r="AO1" s="197" t="s">
        <v>80</v>
      </c>
      <c r="AP1" s="197"/>
      <c r="AQ1" s="197"/>
      <c r="AR1" s="200"/>
      <c r="AS1" s="201"/>
      <c r="AT1" s="202" t="s">
        <v>81</v>
      </c>
      <c r="AU1" s="197"/>
      <c r="AV1" s="197"/>
      <c r="AW1" s="197"/>
      <c r="AX1" s="191"/>
      <c r="AY1" s="3" t="s">
        <v>82</v>
      </c>
      <c r="AZ1" s="188"/>
      <c r="BI1" s="203"/>
      <c r="BJ1" s="203"/>
    </row>
    <row r="2" spans="2:69" ht="16.5" thickBot="1" x14ac:dyDescent="0.3">
      <c r="B2" s="3"/>
      <c r="C2" s="6"/>
      <c r="D2" s="6"/>
      <c r="E2" s="18"/>
      <c r="F2" s="921">
        <v>2020</v>
      </c>
      <c r="G2" s="922"/>
      <c r="H2" s="922"/>
      <c r="I2" s="922"/>
      <c r="J2" s="922"/>
      <c r="K2" s="922"/>
      <c r="L2" s="922"/>
      <c r="M2" s="923"/>
      <c r="N2" s="921">
        <v>2019</v>
      </c>
      <c r="O2" s="922"/>
      <c r="P2" s="922"/>
      <c r="Q2" s="922"/>
      <c r="R2" s="922"/>
      <c r="S2" s="922"/>
      <c r="T2" s="922"/>
      <c r="U2" s="923"/>
      <c r="V2" s="924">
        <v>2018</v>
      </c>
      <c r="W2" s="924"/>
      <c r="X2" s="924"/>
      <c r="Y2" s="924"/>
      <c r="Z2" s="924"/>
      <c r="AA2" s="925"/>
      <c r="AB2" s="926">
        <v>2017</v>
      </c>
      <c r="AC2" s="924"/>
      <c r="AD2" s="924"/>
      <c r="AE2" s="924"/>
      <c r="AF2" s="924"/>
      <c r="AG2" s="925"/>
      <c r="AH2" s="544"/>
      <c r="AI2" s="926">
        <v>2016</v>
      </c>
      <c r="AJ2" s="924"/>
      <c r="AK2" s="924"/>
      <c r="AL2" s="925"/>
      <c r="AM2" s="7">
        <v>2016</v>
      </c>
      <c r="AN2" s="8">
        <v>2015</v>
      </c>
      <c r="AO2" s="9">
        <v>2015</v>
      </c>
      <c r="AP2" s="10"/>
      <c r="AQ2" s="10">
        <v>2015</v>
      </c>
      <c r="AR2" s="11">
        <v>2015</v>
      </c>
      <c r="AS2" s="9">
        <v>2014</v>
      </c>
      <c r="AT2" s="9"/>
      <c r="AU2" s="10"/>
      <c r="AV2" s="10">
        <v>2014</v>
      </c>
      <c r="AW2" s="12" t="s">
        <v>83</v>
      </c>
      <c r="AX2" s="13"/>
      <c r="AY2" s="3"/>
      <c r="AZ2" s="6"/>
      <c r="BA2" s="6"/>
      <c r="BB2" s="18"/>
      <c r="BC2" s="14">
        <v>2013</v>
      </c>
      <c r="BD2" s="10">
        <v>2013</v>
      </c>
      <c r="BE2" s="15"/>
      <c r="BF2" s="15"/>
      <c r="BG2" s="16"/>
      <c r="BH2" s="544">
        <v>2012</v>
      </c>
      <c r="BI2" s="17" t="s">
        <v>84</v>
      </c>
      <c r="BJ2" s="18"/>
      <c r="BK2" s="18"/>
      <c r="BL2" s="18"/>
      <c r="BN2" s="19"/>
      <c r="BO2" s="18"/>
      <c r="BP2" s="18"/>
      <c r="BQ2" s="18"/>
    </row>
    <row r="3" spans="2:69" ht="16.5" customHeight="1" thickBot="1" x14ac:dyDescent="0.3">
      <c r="B3" s="206" t="s">
        <v>85</v>
      </c>
      <c r="C3" s="207" t="s">
        <v>86</v>
      </c>
      <c r="D3" s="207" t="s">
        <v>87</v>
      </c>
      <c r="E3" s="10"/>
      <c r="F3" s="26" t="s">
        <v>88</v>
      </c>
      <c r="G3" s="927" t="s">
        <v>89</v>
      </c>
      <c r="H3" s="927" t="s">
        <v>377</v>
      </c>
      <c r="I3" s="556" t="s">
        <v>378</v>
      </c>
      <c r="J3" s="22" t="s">
        <v>379</v>
      </c>
      <c r="K3" s="927" t="s">
        <v>636</v>
      </c>
      <c r="L3" s="545" t="s">
        <v>66</v>
      </c>
      <c r="M3" s="927" t="s">
        <v>356</v>
      </c>
      <c r="N3" s="26" t="s">
        <v>88</v>
      </c>
      <c r="O3" s="927" t="s">
        <v>89</v>
      </c>
      <c r="P3" s="927" t="s">
        <v>377</v>
      </c>
      <c r="Q3" s="546" t="s">
        <v>378</v>
      </c>
      <c r="R3" s="22" t="s">
        <v>379</v>
      </c>
      <c r="S3" s="927" t="s">
        <v>636</v>
      </c>
      <c r="T3" s="545" t="s">
        <v>66</v>
      </c>
      <c r="U3" s="927" t="s">
        <v>356</v>
      </c>
      <c r="V3" s="60" t="s">
        <v>88</v>
      </c>
      <c r="W3" s="22" t="s">
        <v>89</v>
      </c>
      <c r="X3" s="23" t="s">
        <v>90</v>
      </c>
      <c r="Y3" s="24" t="s">
        <v>91</v>
      </c>
      <c r="Z3" s="22" t="s">
        <v>83</v>
      </c>
      <c r="AA3" s="25" t="s">
        <v>92</v>
      </c>
      <c r="AB3" s="26" t="s">
        <v>88</v>
      </c>
      <c r="AC3" s="26" t="s">
        <v>89</v>
      </c>
      <c r="AD3" s="27" t="s">
        <v>90</v>
      </c>
      <c r="AE3" s="24" t="s">
        <v>91</v>
      </c>
      <c r="AF3" s="24" t="s">
        <v>84</v>
      </c>
      <c r="AG3" s="26" t="s">
        <v>83</v>
      </c>
      <c r="AH3" s="26"/>
      <c r="AI3" s="26" t="s">
        <v>88</v>
      </c>
      <c r="AJ3" s="27" t="s">
        <v>90</v>
      </c>
      <c r="AK3" s="24" t="s">
        <v>91</v>
      </c>
      <c r="AL3" s="24" t="s">
        <v>84</v>
      </c>
      <c r="AM3" s="26" t="s">
        <v>83</v>
      </c>
      <c r="AN3" s="26" t="s">
        <v>88</v>
      </c>
      <c r="AO3" s="27" t="s">
        <v>93</v>
      </c>
      <c r="AP3" s="24" t="s">
        <v>91</v>
      </c>
      <c r="AQ3" s="24" t="s">
        <v>94</v>
      </c>
      <c r="AR3" s="22" t="s">
        <v>83</v>
      </c>
      <c r="AS3" s="28" t="s">
        <v>95</v>
      </c>
      <c r="AT3" s="27" t="s">
        <v>13</v>
      </c>
      <c r="AU3" s="24" t="s">
        <v>91</v>
      </c>
      <c r="AV3" s="24" t="s">
        <v>84</v>
      </c>
      <c r="AW3" s="26" t="s">
        <v>96</v>
      </c>
      <c r="AX3" s="29"/>
      <c r="AY3" s="20" t="s">
        <v>85</v>
      </c>
      <c r="AZ3" s="21" t="s">
        <v>86</v>
      </c>
      <c r="BA3" s="21" t="s">
        <v>87</v>
      </c>
      <c r="BB3" s="34"/>
      <c r="BC3" s="30" t="s">
        <v>93</v>
      </c>
      <c r="BD3" s="29" t="s">
        <v>91</v>
      </c>
      <c r="BE3" s="24" t="s">
        <v>84</v>
      </c>
      <c r="BF3" s="24" t="s">
        <v>83</v>
      </c>
      <c r="BG3" s="31" t="s">
        <v>93</v>
      </c>
      <c r="BH3" s="31" t="s">
        <v>97</v>
      </c>
      <c r="BI3" s="31" t="s">
        <v>98</v>
      </c>
      <c r="BJ3" s="31"/>
      <c r="BK3" s="26" t="s">
        <v>93</v>
      </c>
      <c r="BL3" s="26" t="s">
        <v>99</v>
      </c>
      <c r="BM3" s="32" t="s">
        <v>100</v>
      </c>
      <c r="BN3" s="33" t="s">
        <v>101</v>
      </c>
      <c r="BO3" s="26" t="s">
        <v>102</v>
      </c>
      <c r="BP3" s="34" t="s">
        <v>103</v>
      </c>
      <c r="BQ3" s="26" t="s">
        <v>104</v>
      </c>
    </row>
    <row r="4" spans="2:69" s="230" customFormat="1" ht="30" x14ac:dyDescent="0.25">
      <c r="B4" s="208"/>
      <c r="C4" s="209"/>
      <c r="D4" s="209"/>
      <c r="E4" s="210"/>
      <c r="F4" s="211"/>
      <c r="G4" s="929"/>
      <c r="H4" s="928"/>
      <c r="I4" s="557"/>
      <c r="J4" s="50"/>
      <c r="K4" s="928"/>
      <c r="L4" s="212"/>
      <c r="M4" s="928"/>
      <c r="N4" s="211"/>
      <c r="O4" s="929"/>
      <c r="P4" s="928"/>
      <c r="Q4" s="212" t="s">
        <v>380</v>
      </c>
      <c r="R4" s="50"/>
      <c r="S4" s="928"/>
      <c r="T4" s="212"/>
      <c r="U4" s="928"/>
      <c r="V4" s="213"/>
      <c r="W4" s="211"/>
      <c r="X4" s="214" t="s">
        <v>93</v>
      </c>
      <c r="Y4" s="215" t="s">
        <v>105</v>
      </c>
      <c r="Z4" s="216" t="s">
        <v>96</v>
      </c>
      <c r="AA4" s="217">
        <v>503506</v>
      </c>
      <c r="AB4" s="211"/>
      <c r="AC4" s="211"/>
      <c r="AD4" s="214" t="s">
        <v>93</v>
      </c>
      <c r="AE4" s="215" t="s">
        <v>105</v>
      </c>
      <c r="AF4" s="218"/>
      <c r="AG4" s="216" t="s">
        <v>96</v>
      </c>
      <c r="AH4" s="216"/>
      <c r="AI4" s="211"/>
      <c r="AJ4" s="214" t="s">
        <v>93</v>
      </c>
      <c r="AK4" s="215" t="s">
        <v>105</v>
      </c>
      <c r="AL4" s="218"/>
      <c r="AM4" s="216" t="s">
        <v>96</v>
      </c>
      <c r="AN4" s="211"/>
      <c r="AO4" s="214"/>
      <c r="AP4" s="219"/>
      <c r="AQ4" s="219" t="s">
        <v>13</v>
      </c>
      <c r="AR4" s="220"/>
      <c r="AS4" s="221"/>
      <c r="AT4" s="214"/>
      <c r="AU4" s="215" t="s">
        <v>106</v>
      </c>
      <c r="AV4" s="215" t="s">
        <v>93</v>
      </c>
      <c r="AW4" s="216"/>
      <c r="AX4" s="222"/>
      <c r="AY4" s="208"/>
      <c r="AZ4" s="209"/>
      <c r="BA4" s="209"/>
      <c r="BB4" s="210"/>
      <c r="BC4" s="223">
        <v>2013</v>
      </c>
      <c r="BD4" s="53">
        <v>2013</v>
      </c>
      <c r="BE4" s="218">
        <v>2013</v>
      </c>
      <c r="BF4" s="218" t="s">
        <v>107</v>
      </c>
      <c r="BG4" s="224">
        <v>2012</v>
      </c>
      <c r="BH4" s="224">
        <v>2012</v>
      </c>
      <c r="BI4" s="224" t="s">
        <v>108</v>
      </c>
      <c r="BJ4" s="224"/>
      <c r="BK4" s="225">
        <v>2011</v>
      </c>
      <c r="BL4" s="50" t="s">
        <v>109</v>
      </c>
      <c r="BM4" s="226">
        <v>2011</v>
      </c>
      <c r="BN4" s="214">
        <v>2011</v>
      </c>
      <c r="BO4" s="227">
        <v>2011</v>
      </c>
      <c r="BP4" s="228">
        <v>2012</v>
      </c>
      <c r="BQ4" s="229">
        <v>2013</v>
      </c>
    </row>
    <row r="5" spans="2:69" ht="16.5" thickBot="1" x14ac:dyDescent="0.3">
      <c r="B5" s="35" t="s">
        <v>110</v>
      </c>
      <c r="C5" s="231" t="s">
        <v>111</v>
      </c>
      <c r="D5" s="231"/>
      <c r="E5" s="191"/>
      <c r="F5" s="232"/>
      <c r="G5" s="191"/>
      <c r="H5" s="233">
        <v>519307</v>
      </c>
      <c r="I5" s="558">
        <v>33364</v>
      </c>
      <c r="J5" s="234"/>
      <c r="K5" s="234"/>
      <c r="L5" s="234"/>
      <c r="M5" s="234"/>
      <c r="N5" s="232"/>
      <c r="O5" s="191" t="s">
        <v>381</v>
      </c>
      <c r="P5" s="233">
        <v>842944</v>
      </c>
      <c r="Q5" s="234">
        <v>67354</v>
      </c>
      <c r="R5" s="234"/>
      <c r="S5" s="234"/>
      <c r="T5" s="234"/>
      <c r="U5" s="234"/>
      <c r="V5" s="235"/>
      <c r="W5" s="236" t="s">
        <v>112</v>
      </c>
      <c r="X5" s="237">
        <v>503506</v>
      </c>
      <c r="Y5" s="238">
        <v>194258</v>
      </c>
      <c r="Z5" s="236"/>
      <c r="AA5" s="37">
        <v>26807604</v>
      </c>
      <c r="AB5" s="236"/>
      <c r="AC5" s="236" t="s">
        <v>112</v>
      </c>
      <c r="AD5" s="237">
        <v>847587</v>
      </c>
      <c r="AE5" s="238">
        <v>54800</v>
      </c>
      <c r="AF5" s="238"/>
      <c r="AG5" s="236"/>
      <c r="AH5" s="236"/>
      <c r="AI5" s="236"/>
      <c r="AJ5" s="237">
        <v>434216</v>
      </c>
      <c r="AK5" s="238">
        <v>0</v>
      </c>
      <c r="AL5" s="238">
        <v>452216</v>
      </c>
      <c r="AM5" s="236"/>
      <c r="AN5" s="236"/>
      <c r="AO5" s="237">
        <v>20082</v>
      </c>
      <c r="AP5" s="238">
        <v>0</v>
      </c>
      <c r="AQ5" s="238">
        <v>20082</v>
      </c>
      <c r="AR5" s="239"/>
      <c r="AS5" s="240"/>
      <c r="AT5" s="237">
        <v>415420</v>
      </c>
      <c r="AU5" s="238">
        <v>30860</v>
      </c>
      <c r="AV5" s="241">
        <v>452455</v>
      </c>
      <c r="AW5" s="232"/>
      <c r="AX5" s="191"/>
      <c r="AY5" s="35" t="s">
        <v>110</v>
      </c>
      <c r="AZ5" s="242" t="s">
        <v>111</v>
      </c>
      <c r="BA5" s="242"/>
      <c r="BB5" s="243"/>
      <c r="BC5" s="244">
        <v>852044</v>
      </c>
      <c r="BD5" s="245">
        <v>54026</v>
      </c>
      <c r="BE5" s="239" t="s">
        <v>113</v>
      </c>
      <c r="BF5" s="238"/>
      <c r="BG5" s="238">
        <v>783031</v>
      </c>
      <c r="BH5" s="238">
        <v>50741</v>
      </c>
      <c r="BI5" s="238" t="s">
        <v>114</v>
      </c>
      <c r="BJ5" s="238"/>
      <c r="BK5" s="246">
        <v>926143</v>
      </c>
      <c r="BL5" s="232" t="s">
        <v>114</v>
      </c>
      <c r="BM5" s="22">
        <v>15458</v>
      </c>
      <c r="BN5" s="247"/>
      <c r="BO5" s="236"/>
      <c r="BP5" s="243"/>
      <c r="BQ5" s="236"/>
    </row>
    <row r="6" spans="2:69" ht="26.25" customHeight="1" x14ac:dyDescent="0.25">
      <c r="B6" s="38" t="s">
        <v>115</v>
      </c>
      <c r="C6" s="248" t="s">
        <v>116</v>
      </c>
      <c r="D6" s="249"/>
      <c r="E6" s="250" t="s">
        <v>117</v>
      </c>
      <c r="F6" s="251">
        <v>4361880</v>
      </c>
      <c r="G6" s="252"/>
      <c r="H6" s="253"/>
      <c r="I6" s="559"/>
      <c r="J6" s="253"/>
      <c r="K6" s="253"/>
      <c r="L6" s="253"/>
      <c r="M6" s="254"/>
      <c r="N6" s="251">
        <v>4814440</v>
      </c>
      <c r="O6" s="252"/>
      <c r="P6" s="253"/>
      <c r="Q6" s="253"/>
      <c r="R6" s="253"/>
      <c r="S6" s="253"/>
      <c r="T6" s="253"/>
      <c r="U6" s="254"/>
      <c r="V6" s="60">
        <v>4888560</v>
      </c>
      <c r="W6" s="22"/>
      <c r="X6" s="255"/>
      <c r="Y6" s="256"/>
      <c r="Z6" s="232"/>
      <c r="AA6" s="257">
        <f>SUM(AA4:AA5)</f>
        <v>27311110</v>
      </c>
      <c r="AB6" s="22">
        <v>4487240</v>
      </c>
      <c r="AC6" s="22"/>
      <c r="AD6" s="255"/>
      <c r="AE6" s="241"/>
      <c r="AF6" s="256" t="s">
        <v>118</v>
      </c>
      <c r="AG6" s="232"/>
      <c r="AH6" s="232"/>
      <c r="AI6" s="22">
        <v>4523640</v>
      </c>
      <c r="AJ6" s="255"/>
      <c r="AK6" s="241">
        <v>18000</v>
      </c>
      <c r="AL6" s="241"/>
      <c r="AM6" s="232"/>
      <c r="AN6" s="22">
        <v>4689360</v>
      </c>
      <c r="AO6" s="258"/>
      <c r="AP6" s="241">
        <v>0</v>
      </c>
      <c r="AQ6" s="241"/>
      <c r="AR6" s="232"/>
      <c r="AS6" s="234">
        <v>4546560</v>
      </c>
      <c r="AT6" s="258"/>
      <c r="AU6" s="241"/>
      <c r="AV6" s="241"/>
      <c r="AW6" s="232"/>
      <c r="AX6" s="191"/>
      <c r="AY6" s="38" t="s">
        <v>115</v>
      </c>
      <c r="AZ6" s="39" t="s">
        <v>116</v>
      </c>
      <c r="BB6" s="26" t="s">
        <v>119</v>
      </c>
      <c r="BC6" s="259"/>
      <c r="BD6" s="191"/>
      <c r="BE6" s="241"/>
      <c r="BF6" s="241"/>
      <c r="BG6" s="241"/>
      <c r="BH6" s="241"/>
      <c r="BI6" s="241">
        <v>843920</v>
      </c>
      <c r="BJ6" s="241"/>
      <c r="BK6" s="260"/>
      <c r="BL6" s="232">
        <v>944693</v>
      </c>
      <c r="BM6" s="261"/>
      <c r="BN6" s="234">
        <v>4694800</v>
      </c>
      <c r="BO6" s="232"/>
      <c r="BP6" s="190">
        <v>4707400</v>
      </c>
      <c r="BQ6" s="232">
        <v>4391360</v>
      </c>
    </row>
    <row r="7" spans="2:69" ht="16.5" thickBot="1" x14ac:dyDescent="0.3">
      <c r="B7" s="39" t="s">
        <v>120</v>
      </c>
      <c r="C7" s="249"/>
      <c r="D7" s="249"/>
      <c r="E7" s="262"/>
      <c r="F7" s="263"/>
      <c r="G7" s="264"/>
      <c r="H7" s="233"/>
      <c r="I7" s="560"/>
      <c r="J7" s="233"/>
      <c r="K7" s="233"/>
      <c r="L7" s="233"/>
      <c r="M7" s="265"/>
      <c r="N7" s="263"/>
      <c r="O7" s="264"/>
      <c r="P7" s="233"/>
      <c r="Q7" s="233"/>
      <c r="R7" s="233"/>
      <c r="S7" s="233"/>
      <c r="T7" s="233"/>
      <c r="U7" s="265"/>
      <c r="V7" s="234"/>
      <c r="W7" s="232"/>
      <c r="X7" s="258"/>
      <c r="Y7" s="241"/>
      <c r="Z7" s="232"/>
      <c r="AA7" s="232"/>
      <c r="AB7" s="232"/>
      <c r="AC7" s="232"/>
      <c r="AD7" s="258"/>
      <c r="AE7" s="241"/>
      <c r="AF7" s="241"/>
      <c r="AG7" s="232"/>
      <c r="AH7" s="232"/>
      <c r="AI7" s="232"/>
      <c r="AJ7" s="258"/>
      <c r="AK7" s="241"/>
      <c r="AL7" s="241"/>
      <c r="AM7" s="232"/>
      <c r="AN7" s="232"/>
      <c r="AO7" s="258"/>
      <c r="AP7" s="241"/>
      <c r="AQ7" s="241"/>
      <c r="AR7" s="232"/>
      <c r="AS7" s="266"/>
      <c r="AT7" s="258"/>
      <c r="AU7" s="241"/>
      <c r="AV7" s="241"/>
      <c r="AW7" s="232"/>
      <c r="AX7" s="191"/>
      <c r="AY7" s="39" t="s">
        <v>120</v>
      </c>
      <c r="AZ7" s="231"/>
      <c r="BA7" s="231"/>
      <c r="BB7" s="232"/>
      <c r="BC7" s="259"/>
      <c r="BD7" s="191"/>
      <c r="BE7" s="241"/>
      <c r="BF7" s="241"/>
      <c r="BG7" s="241"/>
      <c r="BH7" s="241"/>
      <c r="BI7" s="241" t="s">
        <v>121</v>
      </c>
      <c r="BJ7" s="241"/>
      <c r="BK7" s="260"/>
      <c r="BL7" s="232"/>
      <c r="BM7" s="261"/>
      <c r="BN7" s="266"/>
      <c r="BO7" s="232"/>
      <c r="BP7" s="191"/>
      <c r="BQ7" s="232"/>
    </row>
    <row r="8" spans="2:69" ht="16.5" thickBot="1" x14ac:dyDescent="0.3">
      <c r="B8" s="267" t="s">
        <v>122</v>
      </c>
      <c r="C8" s="249"/>
      <c r="D8" s="248" t="s">
        <v>123</v>
      </c>
      <c r="E8" s="250">
        <v>27024</v>
      </c>
      <c r="F8" s="251"/>
      <c r="G8" s="268"/>
      <c r="H8" s="269">
        <v>1553.8999999999999</v>
      </c>
      <c r="I8" s="561"/>
      <c r="J8" s="270"/>
      <c r="K8" s="270"/>
      <c r="L8" s="270"/>
      <c r="M8" s="254"/>
      <c r="N8" s="251"/>
      <c r="O8" s="268" t="s">
        <v>124</v>
      </c>
      <c r="P8" s="269">
        <v>668</v>
      </c>
      <c r="Q8" s="270"/>
      <c r="R8" s="270"/>
      <c r="S8" s="270"/>
      <c r="T8" s="270"/>
      <c r="U8" s="254"/>
      <c r="V8" s="271"/>
      <c r="W8" s="272" t="s">
        <v>124</v>
      </c>
      <c r="X8" s="273">
        <v>742</v>
      </c>
      <c r="Y8" s="274"/>
      <c r="Z8" s="274">
        <v>6500</v>
      </c>
      <c r="AA8" s="274"/>
      <c r="AB8" s="26"/>
      <c r="AC8" s="272" t="s">
        <v>124</v>
      </c>
      <c r="AD8" s="273">
        <v>742</v>
      </c>
      <c r="AE8" s="274"/>
      <c r="AF8" s="194" t="s">
        <v>125</v>
      </c>
      <c r="AG8" s="274">
        <v>6548</v>
      </c>
      <c r="AH8" s="274" t="s">
        <v>126</v>
      </c>
      <c r="AI8" s="26">
        <v>243664</v>
      </c>
      <c r="AJ8" s="273">
        <v>1941</v>
      </c>
      <c r="AK8" s="274"/>
      <c r="AL8" s="194">
        <v>11417</v>
      </c>
      <c r="AM8" s="274"/>
      <c r="AN8" s="26">
        <v>252588</v>
      </c>
      <c r="AO8" s="273">
        <v>1500</v>
      </c>
      <c r="AP8" s="275"/>
      <c r="AQ8" s="275">
        <v>509</v>
      </c>
      <c r="AR8" s="274"/>
      <c r="AS8" s="276">
        <v>244896.674</v>
      </c>
      <c r="AT8" s="273">
        <v>1596</v>
      </c>
      <c r="AU8" s="275"/>
      <c r="AV8" s="275">
        <v>11461</v>
      </c>
      <c r="AW8" s="274"/>
      <c r="AX8" s="191"/>
      <c r="AY8" s="267" t="s">
        <v>122</v>
      </c>
      <c r="AZ8" s="277"/>
      <c r="BA8" s="21" t="s">
        <v>123</v>
      </c>
      <c r="BB8" s="26">
        <v>23000</v>
      </c>
      <c r="BC8" s="278">
        <v>1800</v>
      </c>
      <c r="BD8" s="279"/>
      <c r="BE8" s="279"/>
      <c r="BF8" s="279"/>
      <c r="BG8" s="279">
        <v>1688</v>
      </c>
      <c r="BH8" s="279"/>
      <c r="BI8" s="279">
        <v>21376</v>
      </c>
      <c r="BJ8" s="279"/>
      <c r="BK8" s="280"/>
      <c r="BL8" s="274">
        <v>23929</v>
      </c>
      <c r="BM8" s="281"/>
      <c r="BN8" s="40"/>
      <c r="BO8" s="274">
        <v>211057</v>
      </c>
      <c r="BP8" s="279">
        <v>214369</v>
      </c>
      <c r="BQ8" s="279"/>
    </row>
    <row r="9" spans="2:69" x14ac:dyDescent="0.25">
      <c r="B9" s="282" t="s">
        <v>127</v>
      </c>
      <c r="C9" s="249"/>
      <c r="D9" s="248" t="s">
        <v>123</v>
      </c>
      <c r="E9" s="250">
        <v>24058</v>
      </c>
      <c r="F9" s="251"/>
      <c r="G9" s="252"/>
      <c r="H9" s="253"/>
      <c r="I9" s="559"/>
      <c r="J9" s="253"/>
      <c r="K9" s="253"/>
      <c r="L9" s="253"/>
      <c r="M9" s="254"/>
      <c r="N9" s="251"/>
      <c r="O9" s="252"/>
      <c r="P9" s="253"/>
      <c r="Q9" s="253"/>
      <c r="R9" s="253"/>
      <c r="S9" s="253"/>
      <c r="T9" s="253"/>
      <c r="U9" s="254"/>
      <c r="V9" s="60"/>
      <c r="W9" s="22"/>
      <c r="X9" s="258" t="s">
        <v>128</v>
      </c>
      <c r="Y9" s="232"/>
      <c r="Z9" s="232">
        <v>2000</v>
      </c>
      <c r="AA9" s="232"/>
      <c r="AB9" s="22"/>
      <c r="AC9" s="22"/>
      <c r="AD9" s="258" t="s">
        <v>128</v>
      </c>
      <c r="AE9" s="232"/>
      <c r="AF9" s="191" t="s">
        <v>129</v>
      </c>
      <c r="AG9" s="232">
        <v>2065</v>
      </c>
      <c r="AH9" s="232" t="s">
        <v>130</v>
      </c>
      <c r="AI9" s="22">
        <v>275444</v>
      </c>
      <c r="AJ9" s="258" t="s">
        <v>128</v>
      </c>
      <c r="AK9" s="232"/>
      <c r="AL9" s="191">
        <v>12906</v>
      </c>
      <c r="AM9" s="232"/>
      <c r="AN9" s="22">
        <v>285535</v>
      </c>
      <c r="AO9" s="258" t="s">
        <v>128</v>
      </c>
      <c r="AP9" s="241"/>
      <c r="AQ9" s="241">
        <v>575</v>
      </c>
      <c r="AR9" s="232"/>
      <c r="AS9" s="283">
        <v>276839.71899999998</v>
      </c>
      <c r="AT9" s="258" t="s">
        <v>128</v>
      </c>
      <c r="AU9" s="241"/>
      <c r="AV9" s="241">
        <v>12956</v>
      </c>
      <c r="AW9" s="232"/>
      <c r="AX9" s="191"/>
      <c r="AY9" s="282" t="s">
        <v>127</v>
      </c>
      <c r="AZ9" s="231"/>
      <c r="BA9" s="39" t="s">
        <v>123</v>
      </c>
      <c r="BB9" s="22">
        <v>26000</v>
      </c>
      <c r="BC9" s="259"/>
      <c r="BD9" s="234"/>
      <c r="BE9" s="234"/>
      <c r="BF9" s="234"/>
      <c r="BG9" s="234"/>
      <c r="BH9" s="234"/>
      <c r="BI9" s="234">
        <v>24164</v>
      </c>
      <c r="BJ9" s="234"/>
      <c r="BK9" s="284"/>
      <c r="BL9" s="232">
        <v>27050</v>
      </c>
      <c r="BM9" s="285"/>
      <c r="BN9" s="191">
        <v>94320</v>
      </c>
      <c r="BO9" s="232">
        <v>94320</v>
      </c>
      <c r="BP9" s="234">
        <v>91960</v>
      </c>
      <c r="BQ9" s="234"/>
    </row>
    <row r="10" spans="2:69" x14ac:dyDescent="0.25">
      <c r="B10" s="282" t="s">
        <v>131</v>
      </c>
      <c r="C10" s="249"/>
      <c r="D10" s="248" t="s">
        <v>123</v>
      </c>
      <c r="E10" s="250">
        <v>53865</v>
      </c>
      <c r="F10" s="251"/>
      <c r="G10" s="252"/>
      <c r="H10" s="253">
        <v>206</v>
      </c>
      <c r="I10" s="559"/>
      <c r="J10" s="253"/>
      <c r="K10" s="253"/>
      <c r="L10" s="253"/>
      <c r="M10" s="254"/>
      <c r="N10" s="251"/>
      <c r="O10" s="252"/>
      <c r="P10" s="253"/>
      <c r="Q10" s="253"/>
      <c r="R10" s="253"/>
      <c r="S10" s="253"/>
      <c r="T10" s="253"/>
      <c r="U10" s="254"/>
      <c r="V10" s="60"/>
      <c r="W10" s="22"/>
      <c r="X10" s="258" t="s">
        <v>132</v>
      </c>
      <c r="Y10" s="232"/>
      <c r="Z10" s="232"/>
      <c r="AA10" s="232"/>
      <c r="AB10" s="22"/>
      <c r="AC10" s="22"/>
      <c r="AD10" s="258" t="s">
        <v>132</v>
      </c>
      <c r="AE10" s="232"/>
      <c r="AF10" s="191"/>
      <c r="AG10" s="232"/>
      <c r="AH10" s="232"/>
      <c r="AI10" s="22">
        <v>423760</v>
      </c>
      <c r="AJ10" s="258" t="s">
        <v>132</v>
      </c>
      <c r="AK10" s="232"/>
      <c r="AL10" s="191">
        <v>19856</v>
      </c>
      <c r="AM10" s="232"/>
      <c r="AN10" s="22">
        <v>439284</v>
      </c>
      <c r="AO10" s="258" t="s">
        <v>133</v>
      </c>
      <c r="AP10" s="241"/>
      <c r="AQ10" s="241">
        <v>885</v>
      </c>
      <c r="AR10" s="232"/>
      <c r="AS10" s="283">
        <v>425907.26</v>
      </c>
      <c r="AT10" s="258" t="s">
        <v>134</v>
      </c>
      <c r="AU10" s="241"/>
      <c r="AV10" s="241">
        <v>19932</v>
      </c>
      <c r="AW10" s="232"/>
      <c r="AX10" s="191"/>
      <c r="AY10" s="282" t="s">
        <v>131</v>
      </c>
      <c r="AZ10" s="231"/>
      <c r="BA10" s="39" t="s">
        <v>123</v>
      </c>
      <c r="BB10" s="22">
        <v>40000</v>
      </c>
      <c r="BC10" s="259"/>
      <c r="BD10" s="234"/>
      <c r="BE10" s="234"/>
      <c r="BF10" s="234"/>
      <c r="BG10" s="234"/>
      <c r="BH10" s="234"/>
      <c r="BI10" s="234">
        <v>37176</v>
      </c>
      <c r="BJ10" s="234"/>
      <c r="BK10" s="284"/>
      <c r="BL10" s="232">
        <v>40616</v>
      </c>
      <c r="BM10" s="285"/>
      <c r="BN10" s="41"/>
      <c r="BO10" s="232">
        <v>529000</v>
      </c>
      <c r="BP10" s="234">
        <v>540634</v>
      </c>
      <c r="BQ10" s="234"/>
    </row>
    <row r="11" spans="2:69" x14ac:dyDescent="0.25">
      <c r="B11" s="282" t="s">
        <v>135</v>
      </c>
      <c r="C11" s="249" t="s">
        <v>136</v>
      </c>
      <c r="D11" s="248" t="s">
        <v>123</v>
      </c>
      <c r="E11" s="250">
        <v>44801</v>
      </c>
      <c r="F11" s="251"/>
      <c r="G11" s="252"/>
      <c r="H11" s="253">
        <v>11679</v>
      </c>
      <c r="I11" s="559"/>
      <c r="J11" s="253"/>
      <c r="K11" s="253"/>
      <c r="L11" s="253"/>
      <c r="M11" s="254"/>
      <c r="N11" s="251"/>
      <c r="O11" s="252"/>
      <c r="P11" s="253">
        <v>17750</v>
      </c>
      <c r="Q11" s="253"/>
      <c r="R11" s="253"/>
      <c r="S11" s="253"/>
      <c r="T11" s="253"/>
      <c r="U11" s="254"/>
      <c r="V11" s="60"/>
      <c r="W11" s="22"/>
      <c r="X11" s="255">
        <v>8285</v>
      </c>
      <c r="Y11" s="232"/>
      <c r="Z11" s="232"/>
      <c r="AA11" s="232"/>
      <c r="AB11" s="22"/>
      <c r="AC11" s="22"/>
      <c r="AD11" s="255">
        <v>6221</v>
      </c>
      <c r="AE11" s="232"/>
      <c r="AF11" s="191"/>
      <c r="AG11" s="232"/>
      <c r="AH11" s="232"/>
      <c r="AI11" s="22">
        <v>413166</v>
      </c>
      <c r="AJ11" s="255">
        <v>5936</v>
      </c>
      <c r="AK11" s="232"/>
      <c r="AL11" s="191">
        <v>19359</v>
      </c>
      <c r="AM11" s="232"/>
      <c r="AN11" s="22">
        <v>428302</v>
      </c>
      <c r="AO11" s="255">
        <v>6588</v>
      </c>
      <c r="AP11" s="241"/>
      <c r="AQ11" s="241">
        <v>863</v>
      </c>
      <c r="AR11" s="232"/>
      <c r="AS11" s="283">
        <v>415259.57799999998</v>
      </c>
      <c r="AT11" s="255">
        <v>7012</v>
      </c>
      <c r="AU11" s="241"/>
      <c r="AV11" s="241">
        <v>19434</v>
      </c>
      <c r="AW11" s="232"/>
      <c r="AX11" s="191"/>
      <c r="AY11" s="282" t="s">
        <v>135</v>
      </c>
      <c r="AZ11" s="231" t="s">
        <v>136</v>
      </c>
      <c r="BA11" s="39" t="s">
        <v>123</v>
      </c>
      <c r="BB11" s="22">
        <v>39000</v>
      </c>
      <c r="BC11" s="259">
        <v>5990</v>
      </c>
      <c r="BD11" s="234"/>
      <c r="BE11" s="234"/>
      <c r="BF11" s="234"/>
      <c r="BG11" s="234">
        <v>5026</v>
      </c>
      <c r="BH11" s="234"/>
      <c r="BI11" s="234">
        <v>36247</v>
      </c>
      <c r="BJ11" s="234"/>
      <c r="BK11" s="284">
        <v>4902</v>
      </c>
      <c r="BL11" s="232">
        <v>40020</v>
      </c>
      <c r="BM11" s="285"/>
      <c r="BN11" s="191">
        <v>208560</v>
      </c>
      <c r="BO11" s="232">
        <v>173105</v>
      </c>
      <c r="BP11" s="234">
        <v>162282</v>
      </c>
      <c r="BQ11" s="234"/>
    </row>
    <row r="12" spans="2:69" x14ac:dyDescent="0.25">
      <c r="B12" s="282" t="s">
        <v>137</v>
      </c>
      <c r="C12" s="249"/>
      <c r="D12" s="248" t="s">
        <v>123</v>
      </c>
      <c r="E12" s="250">
        <v>58716</v>
      </c>
      <c r="F12" s="251"/>
      <c r="G12" s="252"/>
      <c r="H12" s="253"/>
      <c r="I12" s="559"/>
      <c r="J12" s="253"/>
      <c r="K12" s="253"/>
      <c r="L12" s="253"/>
      <c r="M12" s="254"/>
      <c r="N12" s="251"/>
      <c r="O12" s="252"/>
      <c r="P12" s="253"/>
      <c r="Q12" s="253"/>
      <c r="R12" s="253"/>
      <c r="S12" s="253"/>
      <c r="T12" s="253"/>
      <c r="U12" s="254"/>
      <c r="V12" s="60"/>
      <c r="W12" s="22"/>
      <c r="X12" s="258" t="s">
        <v>128</v>
      </c>
      <c r="Y12" s="232"/>
      <c r="Z12" s="232"/>
      <c r="AA12" s="232"/>
      <c r="AB12" s="22"/>
      <c r="AC12" s="22"/>
      <c r="AD12" s="258" t="s">
        <v>128</v>
      </c>
      <c r="AE12" s="232"/>
      <c r="AF12" s="191"/>
      <c r="AG12" s="232"/>
      <c r="AH12" s="232"/>
      <c r="AI12" s="22">
        <v>603858</v>
      </c>
      <c r="AJ12" s="258" t="s">
        <v>128</v>
      </c>
      <c r="AK12" s="232"/>
      <c r="AL12" s="191">
        <v>28295</v>
      </c>
      <c r="AM12" s="232"/>
      <c r="AN12" s="22">
        <v>625980</v>
      </c>
      <c r="AO12" s="258" t="s">
        <v>128</v>
      </c>
      <c r="AP12" s="241"/>
      <c r="AQ12" s="241">
        <v>1261</v>
      </c>
      <c r="AR12" s="232"/>
      <c r="AS12" s="283">
        <v>606917.84499999997</v>
      </c>
      <c r="AT12" s="258" t="s">
        <v>128</v>
      </c>
      <c r="AU12" s="241"/>
      <c r="AV12" s="241">
        <v>28403</v>
      </c>
      <c r="AW12" s="232"/>
      <c r="AX12" s="191"/>
      <c r="AY12" s="282" t="s">
        <v>137</v>
      </c>
      <c r="AZ12" s="231"/>
      <c r="BA12" s="39" t="s">
        <v>123</v>
      </c>
      <c r="BB12" s="22">
        <v>57000</v>
      </c>
      <c r="BC12" s="259"/>
      <c r="BD12" s="234"/>
      <c r="BE12" s="234"/>
      <c r="BF12" s="234"/>
      <c r="BG12" s="234"/>
      <c r="BH12" s="234"/>
      <c r="BI12" s="234">
        <v>52976</v>
      </c>
      <c r="BJ12" s="234"/>
      <c r="BK12" s="284"/>
      <c r="BL12" s="232">
        <v>55303</v>
      </c>
      <c r="BM12" s="285"/>
      <c r="BN12" s="41"/>
      <c r="BO12" s="232">
        <v>524074</v>
      </c>
      <c r="BP12" s="234">
        <v>532298</v>
      </c>
      <c r="BQ12" s="234"/>
    </row>
    <row r="13" spans="2:69" x14ac:dyDescent="0.25">
      <c r="B13" s="282" t="s">
        <v>138</v>
      </c>
      <c r="C13" s="249"/>
      <c r="D13" s="248" t="s">
        <v>123</v>
      </c>
      <c r="E13" s="250">
        <v>26314</v>
      </c>
      <c r="F13" s="251"/>
      <c r="G13" s="252"/>
      <c r="H13" s="253"/>
      <c r="I13" s="559"/>
      <c r="J13" s="253"/>
      <c r="K13" s="253"/>
      <c r="L13" s="253"/>
      <c r="M13" s="254"/>
      <c r="N13" s="251"/>
      <c r="O13" s="252"/>
      <c r="P13" s="253"/>
      <c r="Q13" s="253"/>
      <c r="R13" s="253"/>
      <c r="S13" s="253"/>
      <c r="T13" s="253"/>
      <c r="U13" s="254"/>
      <c r="V13" s="60"/>
      <c r="W13" s="22"/>
      <c r="X13" s="258" t="s">
        <v>128</v>
      </c>
      <c r="Y13" s="232"/>
      <c r="Z13" s="232"/>
      <c r="AA13" s="232"/>
      <c r="AB13" s="22"/>
      <c r="AC13" s="22"/>
      <c r="AD13" s="258" t="s">
        <v>128</v>
      </c>
      <c r="AE13" s="232"/>
      <c r="AF13" s="191"/>
      <c r="AG13" s="232"/>
      <c r="AH13" s="232"/>
      <c r="AI13" s="22">
        <v>296632</v>
      </c>
      <c r="AJ13" s="258" t="s">
        <v>128</v>
      </c>
      <c r="AK13" s="232"/>
      <c r="AL13" s="191">
        <v>13899</v>
      </c>
      <c r="AM13" s="232"/>
      <c r="AN13" s="22">
        <v>307499</v>
      </c>
      <c r="AO13" s="258" t="s">
        <v>128</v>
      </c>
      <c r="AP13" s="241"/>
      <c r="AQ13" s="241">
        <v>619</v>
      </c>
      <c r="AR13" s="232"/>
      <c r="AS13" s="283">
        <v>298135.08199999999</v>
      </c>
      <c r="AT13" s="258" t="s">
        <v>128</v>
      </c>
      <c r="AU13" s="241"/>
      <c r="AV13" s="241">
        <v>13952</v>
      </c>
      <c r="AW13" s="232"/>
      <c r="AX13" s="191"/>
      <c r="AY13" s="282" t="s">
        <v>138</v>
      </c>
      <c r="AZ13" s="231"/>
      <c r="BA13" s="39" t="s">
        <v>123</v>
      </c>
      <c r="BB13" s="22">
        <v>28000</v>
      </c>
      <c r="BC13" s="259"/>
      <c r="BD13" s="234"/>
      <c r="BE13" s="234"/>
      <c r="BF13" s="234"/>
      <c r="BG13" s="234"/>
      <c r="BH13" s="234"/>
      <c r="BI13" s="234">
        <v>26023</v>
      </c>
      <c r="BJ13" s="234"/>
      <c r="BK13" s="284"/>
      <c r="BL13" s="232">
        <v>29131</v>
      </c>
      <c r="BM13" s="285"/>
      <c r="BN13" s="191">
        <v>255680</v>
      </c>
      <c r="BO13" s="232">
        <v>255680</v>
      </c>
      <c r="BP13" s="234">
        <v>241440</v>
      </c>
      <c r="BQ13" s="234"/>
    </row>
    <row r="14" spans="2:69" x14ac:dyDescent="0.25">
      <c r="B14" s="282" t="s">
        <v>139</v>
      </c>
      <c r="C14" s="249"/>
      <c r="D14" s="248" t="s">
        <v>123</v>
      </c>
      <c r="E14" s="250">
        <v>36439</v>
      </c>
      <c r="F14" s="251"/>
      <c r="G14" s="252"/>
      <c r="H14" s="253"/>
      <c r="I14" s="559"/>
      <c r="J14" s="253"/>
      <c r="K14" s="253"/>
      <c r="L14" s="253"/>
      <c r="M14" s="254"/>
      <c r="N14" s="251"/>
      <c r="O14" s="252"/>
      <c r="P14" s="253"/>
      <c r="Q14" s="253"/>
      <c r="R14" s="253"/>
      <c r="S14" s="253"/>
      <c r="T14" s="253"/>
      <c r="U14" s="254"/>
      <c r="V14" s="60"/>
      <c r="W14" s="22"/>
      <c r="X14" s="258" t="s">
        <v>140</v>
      </c>
      <c r="Y14" s="232"/>
      <c r="Z14" s="232"/>
      <c r="AA14" s="232"/>
      <c r="AB14" s="22"/>
      <c r="AC14" s="22"/>
      <c r="AD14" s="258" t="s">
        <v>140</v>
      </c>
      <c r="AE14" s="232"/>
      <c r="AF14" s="191"/>
      <c r="AG14" s="232"/>
      <c r="AH14" s="232"/>
      <c r="AI14" s="22">
        <v>328414</v>
      </c>
      <c r="AJ14" s="258" t="s">
        <v>140</v>
      </c>
      <c r="AK14" s="232"/>
      <c r="AL14" s="191">
        <v>15388</v>
      </c>
      <c r="AM14" s="232"/>
      <c r="AN14" s="22">
        <v>340445</v>
      </c>
      <c r="AO14" s="258" t="s">
        <v>140</v>
      </c>
      <c r="AP14" s="241"/>
      <c r="AQ14" s="241">
        <v>686</v>
      </c>
      <c r="AR14" s="232"/>
      <c r="AS14" s="283">
        <v>330078.12599999999</v>
      </c>
      <c r="AT14" s="258" t="s">
        <v>140</v>
      </c>
      <c r="AU14" s="241"/>
      <c r="AV14" s="241">
        <v>15447</v>
      </c>
      <c r="AW14" s="232"/>
      <c r="AX14" s="191"/>
      <c r="AY14" s="282" t="s">
        <v>139</v>
      </c>
      <c r="AZ14" s="231"/>
      <c r="BA14" s="39" t="s">
        <v>123</v>
      </c>
      <c r="BB14" s="22">
        <v>31000</v>
      </c>
      <c r="BC14" s="259"/>
      <c r="BD14" s="234"/>
      <c r="BE14" s="234"/>
      <c r="BF14" s="234"/>
      <c r="BG14" s="234"/>
      <c r="BH14" s="234"/>
      <c r="BI14" s="234">
        <v>28811</v>
      </c>
      <c r="BJ14" s="234"/>
      <c r="BK14" s="284"/>
      <c r="BL14" s="232">
        <v>32252</v>
      </c>
      <c r="BM14" s="285"/>
      <c r="BN14" s="191">
        <v>1019600</v>
      </c>
      <c r="BO14" s="232">
        <v>284468</v>
      </c>
      <c r="BP14" s="234">
        <v>288932</v>
      </c>
      <c r="BQ14" s="234"/>
    </row>
    <row r="15" spans="2:69" x14ac:dyDescent="0.25">
      <c r="B15" s="282" t="s">
        <v>141</v>
      </c>
      <c r="C15" s="249"/>
      <c r="D15" s="248" t="s">
        <v>123</v>
      </c>
      <c r="E15" s="250">
        <v>52880</v>
      </c>
      <c r="F15" s="251"/>
      <c r="G15" s="252"/>
      <c r="H15" s="253"/>
      <c r="I15" s="559"/>
      <c r="J15" s="253"/>
      <c r="K15" s="253"/>
      <c r="L15" s="253"/>
      <c r="M15" s="254"/>
      <c r="N15" s="251"/>
      <c r="O15" s="252"/>
      <c r="P15" s="253"/>
      <c r="Q15" s="253"/>
      <c r="R15" s="253"/>
      <c r="S15" s="253"/>
      <c r="T15" s="253"/>
      <c r="U15" s="254"/>
      <c r="V15" s="60"/>
      <c r="W15" s="22"/>
      <c r="X15" s="255" t="s">
        <v>128</v>
      </c>
      <c r="Y15" s="232"/>
      <c r="Z15" s="232"/>
      <c r="AA15" s="232"/>
      <c r="AB15" s="22"/>
      <c r="AC15" s="22"/>
      <c r="AD15" s="255" t="s">
        <v>128</v>
      </c>
      <c r="AE15" s="232"/>
      <c r="AF15" s="191"/>
      <c r="AG15" s="232"/>
      <c r="AH15" s="232"/>
      <c r="AI15" s="22">
        <v>455542</v>
      </c>
      <c r="AJ15" s="255" t="s">
        <v>128</v>
      </c>
      <c r="AK15" s="232"/>
      <c r="AL15" s="191">
        <v>21345</v>
      </c>
      <c r="AM15" s="232"/>
      <c r="AN15" s="22">
        <v>472231</v>
      </c>
      <c r="AO15" s="255" t="s">
        <v>128</v>
      </c>
      <c r="AP15" s="241"/>
      <c r="AQ15" s="241">
        <v>951</v>
      </c>
      <c r="AR15" s="232"/>
      <c r="AS15" s="283">
        <v>457850.304</v>
      </c>
      <c r="AT15" s="258" t="s">
        <v>128</v>
      </c>
      <c r="AU15" s="241"/>
      <c r="AV15" s="241">
        <v>21427</v>
      </c>
      <c r="AW15" s="232"/>
      <c r="AX15" s="191"/>
      <c r="AY15" s="282" t="s">
        <v>141</v>
      </c>
      <c r="AZ15" s="231"/>
      <c r="BA15" s="39" t="s">
        <v>123</v>
      </c>
      <c r="BB15" s="22">
        <v>43000</v>
      </c>
      <c r="BC15" s="259"/>
      <c r="BD15" s="234"/>
      <c r="BE15" s="191"/>
      <c r="BF15" s="191"/>
      <c r="BG15" s="191"/>
      <c r="BH15" s="191"/>
      <c r="BI15" s="191">
        <v>39964</v>
      </c>
      <c r="BJ15" s="191"/>
      <c r="BK15" s="286"/>
      <c r="BL15" s="232">
        <v>43737</v>
      </c>
      <c r="BM15" s="285"/>
      <c r="BN15" s="41"/>
      <c r="BO15" s="232">
        <v>570000</v>
      </c>
      <c r="BP15" s="234">
        <v>582221</v>
      </c>
      <c r="BQ15" s="234"/>
    </row>
    <row r="16" spans="2:69" x14ac:dyDescent="0.25">
      <c r="B16" s="282" t="s">
        <v>142</v>
      </c>
      <c r="C16" s="249"/>
      <c r="D16" s="248" t="s">
        <v>123</v>
      </c>
      <c r="E16" s="250">
        <v>18524</v>
      </c>
      <c r="F16" s="251"/>
      <c r="G16" s="252"/>
      <c r="H16" s="253"/>
      <c r="I16" s="559"/>
      <c r="J16" s="253"/>
      <c r="K16" s="253"/>
      <c r="L16" s="253"/>
      <c r="M16" s="254"/>
      <c r="N16" s="251"/>
      <c r="O16" s="252"/>
      <c r="P16" s="253"/>
      <c r="Q16" s="253"/>
      <c r="R16" s="253"/>
      <c r="S16" s="253"/>
      <c r="T16" s="253"/>
      <c r="U16" s="254"/>
      <c r="V16" s="60"/>
      <c r="W16" s="22"/>
      <c r="X16" s="258" t="s">
        <v>128</v>
      </c>
      <c r="Y16" s="232"/>
      <c r="Z16" s="232"/>
      <c r="AA16" s="232"/>
      <c r="AB16" s="22"/>
      <c r="AC16" s="22"/>
      <c r="AD16" s="258" t="s">
        <v>128</v>
      </c>
      <c r="AE16" s="232"/>
      <c r="AF16" s="191"/>
      <c r="AG16" s="232"/>
      <c r="AH16" s="232"/>
      <c r="AI16" s="22">
        <v>180098</v>
      </c>
      <c r="AJ16" s="258" t="s">
        <v>128</v>
      </c>
      <c r="AK16" s="232"/>
      <c r="AL16" s="191">
        <v>8439</v>
      </c>
      <c r="AM16" s="232"/>
      <c r="AN16" s="22">
        <v>186696</v>
      </c>
      <c r="AO16" s="258" t="s">
        <v>128</v>
      </c>
      <c r="AP16" s="241"/>
      <c r="AQ16" s="241">
        <v>376</v>
      </c>
      <c r="AR16" s="232"/>
      <c r="AS16" s="283">
        <v>181010.58499999999</v>
      </c>
      <c r="AT16" s="258" t="s">
        <v>128</v>
      </c>
      <c r="AU16" s="241"/>
      <c r="AV16" s="241">
        <v>8471</v>
      </c>
      <c r="AW16" s="232"/>
      <c r="AX16" s="191"/>
      <c r="AY16" s="282" t="s">
        <v>142</v>
      </c>
      <c r="AZ16" s="231"/>
      <c r="BA16" s="39" t="s">
        <v>123</v>
      </c>
      <c r="BB16" s="22">
        <v>17000</v>
      </c>
      <c r="BC16" s="259"/>
      <c r="BD16" s="234"/>
      <c r="BE16" s="234"/>
      <c r="BF16" s="234"/>
      <c r="BG16" s="234"/>
      <c r="BH16" s="234"/>
      <c r="BI16" s="234">
        <v>15800</v>
      </c>
      <c r="BJ16" s="234"/>
      <c r="BK16" s="284"/>
      <c r="BL16" s="232">
        <v>17687</v>
      </c>
      <c r="BM16" s="285"/>
      <c r="BN16" s="41"/>
      <c r="BO16" s="232">
        <v>223000</v>
      </c>
      <c r="BP16" s="234">
        <v>228730</v>
      </c>
      <c r="BQ16" s="234"/>
    </row>
    <row r="17" spans="2:69" x14ac:dyDescent="0.25">
      <c r="B17" s="282" t="s">
        <v>143</v>
      </c>
      <c r="C17" s="249"/>
      <c r="D17" s="248" t="s">
        <v>123</v>
      </c>
      <c r="E17" s="250">
        <v>56839</v>
      </c>
      <c r="F17" s="251"/>
      <c r="G17" s="252"/>
      <c r="H17" s="253"/>
      <c r="I17" s="559"/>
      <c r="J17" s="253"/>
      <c r="K17" s="253"/>
      <c r="L17" s="253"/>
      <c r="M17" s="254"/>
      <c r="N17" s="251"/>
      <c r="O17" s="252"/>
      <c r="P17" s="253"/>
      <c r="Q17" s="253"/>
      <c r="R17" s="253"/>
      <c r="S17" s="253"/>
      <c r="T17" s="253"/>
      <c r="U17" s="254"/>
      <c r="V17" s="60"/>
      <c r="W17" s="22"/>
      <c r="X17" s="258" t="s">
        <v>128</v>
      </c>
      <c r="Y17" s="232"/>
      <c r="Z17" s="232"/>
      <c r="AA17" s="232"/>
      <c r="AB17" s="22"/>
      <c r="AC17" s="22"/>
      <c r="AD17" s="258" t="s">
        <v>128</v>
      </c>
      <c r="AE17" s="232"/>
      <c r="AF17" s="191"/>
      <c r="AG17" s="232"/>
      <c r="AH17" s="232">
        <v>37206</v>
      </c>
      <c r="AI17" s="22">
        <v>466136</v>
      </c>
      <c r="AJ17" s="258" t="s">
        <v>128</v>
      </c>
      <c r="AK17" s="232"/>
      <c r="AL17" s="191">
        <v>21841</v>
      </c>
      <c r="AM17" s="232"/>
      <c r="AN17" s="22">
        <v>483213</v>
      </c>
      <c r="AO17" s="258" t="s">
        <v>128</v>
      </c>
      <c r="AP17" s="241"/>
      <c r="AQ17" s="241">
        <v>973</v>
      </c>
      <c r="AR17" s="232"/>
      <c r="AS17" s="283">
        <v>468497.98599999998</v>
      </c>
      <c r="AT17" s="258" t="s">
        <v>128</v>
      </c>
      <c r="AU17" s="241"/>
      <c r="AV17" s="241">
        <v>21925</v>
      </c>
      <c r="AW17" s="232"/>
      <c r="AX17" s="191"/>
      <c r="AY17" s="282" t="s">
        <v>143</v>
      </c>
      <c r="AZ17" s="231"/>
      <c r="BA17" s="39" t="s">
        <v>123</v>
      </c>
      <c r="BB17" s="22">
        <v>44000</v>
      </c>
      <c r="BC17" s="259"/>
      <c r="BD17" s="234"/>
      <c r="BE17" s="234"/>
      <c r="BF17" s="234"/>
      <c r="BG17" s="234"/>
      <c r="BH17" s="234"/>
      <c r="BI17" s="234">
        <v>40894</v>
      </c>
      <c r="BJ17" s="234"/>
      <c r="BK17" s="284"/>
      <c r="BL17" s="232">
        <v>45778</v>
      </c>
      <c r="BM17" s="285"/>
      <c r="BN17" s="191">
        <v>854240</v>
      </c>
      <c r="BO17" s="232">
        <v>854240</v>
      </c>
      <c r="BP17" s="234">
        <v>832480</v>
      </c>
      <c r="BQ17" s="234"/>
    </row>
    <row r="18" spans="2:69" ht="16.5" thickBot="1" x14ac:dyDescent="0.3">
      <c r="B18" s="282" t="s">
        <v>144</v>
      </c>
      <c r="C18" s="249"/>
      <c r="D18" s="248" t="s">
        <v>123</v>
      </c>
      <c r="E18" s="250">
        <v>67026</v>
      </c>
      <c r="F18" s="251"/>
      <c r="G18" s="268"/>
      <c r="H18" s="269">
        <v>8916</v>
      </c>
      <c r="I18" s="561"/>
      <c r="J18" s="270"/>
      <c r="K18" s="270"/>
      <c r="L18" s="270"/>
      <c r="M18" s="254"/>
      <c r="N18" s="251"/>
      <c r="O18" s="268" t="s">
        <v>145</v>
      </c>
      <c r="P18" s="269"/>
      <c r="Q18" s="270"/>
      <c r="R18" s="270"/>
      <c r="S18" s="270"/>
      <c r="T18" s="270"/>
      <c r="U18" s="254"/>
      <c r="V18" s="60"/>
      <c r="W18" s="272" t="s">
        <v>145</v>
      </c>
      <c r="X18" s="255">
        <v>12990</v>
      </c>
      <c r="Y18" s="232"/>
      <c r="Z18" s="232"/>
      <c r="AA18" s="232"/>
      <c r="AB18" s="22"/>
      <c r="AC18" s="272" t="s">
        <v>145</v>
      </c>
      <c r="AD18" s="255">
        <v>11911</v>
      </c>
      <c r="AE18" s="232"/>
      <c r="AF18" s="191"/>
      <c r="AG18" s="232"/>
      <c r="AH18" s="232">
        <v>41400</v>
      </c>
      <c r="AI18" s="22">
        <v>497918</v>
      </c>
      <c r="AJ18" s="255">
        <v>11904</v>
      </c>
      <c r="AK18" s="232"/>
      <c r="AL18" s="191">
        <v>24821</v>
      </c>
      <c r="AM18" s="232"/>
      <c r="AN18" s="22">
        <v>516169</v>
      </c>
      <c r="AO18" s="255">
        <v>11640</v>
      </c>
      <c r="AP18" s="241"/>
      <c r="AQ18" s="241">
        <v>1040</v>
      </c>
      <c r="AR18" s="232"/>
      <c r="AS18" s="283">
        <v>500441.03</v>
      </c>
      <c r="AT18" s="255">
        <v>10799</v>
      </c>
      <c r="AU18" s="241"/>
      <c r="AV18" s="241">
        <v>23420</v>
      </c>
      <c r="AW18" s="232"/>
      <c r="AX18" s="191"/>
      <c r="AY18" s="282" t="s">
        <v>144</v>
      </c>
      <c r="AZ18" s="231"/>
      <c r="BA18" s="39" t="s">
        <v>123</v>
      </c>
      <c r="BB18" s="22">
        <v>47000</v>
      </c>
      <c r="BC18" s="259">
        <v>11223</v>
      </c>
      <c r="BD18" s="234"/>
      <c r="BE18" s="234"/>
      <c r="BF18" s="234"/>
      <c r="BG18" s="234">
        <v>11593</v>
      </c>
      <c r="BH18" s="234"/>
      <c r="BI18" s="234">
        <v>43682</v>
      </c>
      <c r="BJ18" s="234"/>
      <c r="BK18" s="284">
        <v>11535</v>
      </c>
      <c r="BL18" s="232">
        <v>47899</v>
      </c>
      <c r="BM18" s="285"/>
      <c r="BN18" s="191">
        <v>2262400</v>
      </c>
      <c r="BO18" s="232">
        <v>622000</v>
      </c>
      <c r="BP18" s="287">
        <v>635360</v>
      </c>
      <c r="BQ18" s="287"/>
    </row>
    <row r="19" spans="2:69" x14ac:dyDescent="0.25">
      <c r="B19" s="282" t="s">
        <v>146</v>
      </c>
      <c r="C19" s="249"/>
      <c r="D19" s="248" t="s">
        <v>123</v>
      </c>
      <c r="E19" s="250">
        <v>16021</v>
      </c>
      <c r="F19" s="251"/>
      <c r="G19" s="252"/>
      <c r="H19" s="253"/>
      <c r="I19" s="559"/>
      <c r="J19" s="253"/>
      <c r="K19" s="253"/>
      <c r="L19" s="253"/>
      <c r="M19" s="254"/>
      <c r="N19" s="251"/>
      <c r="O19" s="252"/>
      <c r="P19" s="253"/>
      <c r="Q19" s="253"/>
      <c r="R19" s="253"/>
      <c r="S19" s="253"/>
      <c r="T19" s="253"/>
      <c r="U19" s="254"/>
      <c r="V19" s="60"/>
      <c r="W19" s="22"/>
      <c r="X19" s="258" t="s">
        <v>128</v>
      </c>
      <c r="Y19" s="232"/>
      <c r="Z19" s="232"/>
      <c r="AA19" s="232"/>
      <c r="AB19" s="22"/>
      <c r="AC19" s="22"/>
      <c r="AD19" s="258" t="s">
        <v>128</v>
      </c>
      <c r="AE19" s="232"/>
      <c r="AF19" s="191"/>
      <c r="AG19" s="232"/>
      <c r="AH19" s="232">
        <v>1080</v>
      </c>
      <c r="AI19" s="22">
        <v>148316</v>
      </c>
      <c r="AJ19" s="258" t="s">
        <v>128</v>
      </c>
      <c r="AK19" s="232"/>
      <c r="AL19" s="191">
        <v>6950</v>
      </c>
      <c r="AM19" s="232"/>
      <c r="AN19" s="22">
        <v>153750</v>
      </c>
      <c r="AO19" s="258" t="s">
        <v>128</v>
      </c>
      <c r="AP19" s="241"/>
      <c r="AQ19" s="241">
        <v>310</v>
      </c>
      <c r="AR19" s="232"/>
      <c r="AS19" s="283">
        <v>149067.541</v>
      </c>
      <c r="AT19" s="258" t="s">
        <v>128</v>
      </c>
      <c r="AU19" s="241"/>
      <c r="AV19" s="241">
        <v>6976</v>
      </c>
      <c r="AW19" s="232"/>
      <c r="AX19" s="191"/>
      <c r="AY19" s="282" t="s">
        <v>146</v>
      </c>
      <c r="AZ19" s="231"/>
      <c r="BA19" s="39" t="s">
        <v>123</v>
      </c>
      <c r="BB19" s="22">
        <v>14000</v>
      </c>
      <c r="BC19" s="259"/>
      <c r="BD19" s="234"/>
      <c r="BE19" s="234"/>
      <c r="BF19" s="234"/>
      <c r="BG19" s="234"/>
      <c r="BH19" s="234"/>
      <c r="BI19" s="234">
        <v>13012</v>
      </c>
      <c r="BJ19" s="234"/>
      <c r="BK19" s="284"/>
      <c r="BL19" s="232">
        <v>14566</v>
      </c>
      <c r="BM19" s="285"/>
      <c r="BN19" s="41"/>
      <c r="BO19" s="232">
        <v>185000</v>
      </c>
      <c r="BP19" s="234">
        <v>189453</v>
      </c>
      <c r="BQ19" s="234"/>
    </row>
    <row r="20" spans="2:69" x14ac:dyDescent="0.25">
      <c r="B20" s="282" t="s">
        <v>147</v>
      </c>
      <c r="C20" s="249"/>
      <c r="D20" s="248" t="s">
        <v>123</v>
      </c>
      <c r="E20" s="250">
        <v>11729</v>
      </c>
      <c r="F20" s="251"/>
      <c r="G20" s="252"/>
      <c r="H20" s="253">
        <v>6834</v>
      </c>
      <c r="I20" s="559"/>
      <c r="J20" s="253"/>
      <c r="K20" s="253"/>
      <c r="L20" s="253"/>
      <c r="M20" s="254"/>
      <c r="N20" s="251"/>
      <c r="O20" s="252"/>
      <c r="P20" s="253"/>
      <c r="Q20" s="253"/>
      <c r="R20" s="253"/>
      <c r="S20" s="253"/>
      <c r="T20" s="253"/>
      <c r="U20" s="254"/>
      <c r="V20" s="60"/>
      <c r="W20" s="22"/>
      <c r="X20" s="258" t="s">
        <v>148</v>
      </c>
      <c r="Y20" s="232"/>
      <c r="Z20" s="232"/>
      <c r="AA20" s="232"/>
      <c r="AB20" s="22"/>
      <c r="AC20" s="22"/>
      <c r="AD20" s="258" t="s">
        <v>149</v>
      </c>
      <c r="AE20" s="232"/>
      <c r="AF20" s="191"/>
      <c r="AG20" s="232"/>
      <c r="AH20" s="232">
        <f>SUM(AH17:AH19)</f>
        <v>79686</v>
      </c>
      <c r="AI20" s="22">
        <v>105940</v>
      </c>
      <c r="AJ20" s="258" t="s">
        <v>149</v>
      </c>
      <c r="AK20" s="232"/>
      <c r="AL20" s="191">
        <v>4964</v>
      </c>
      <c r="AM20" s="232"/>
      <c r="AN20" s="22">
        <v>109821</v>
      </c>
      <c r="AO20" s="258" t="s">
        <v>128</v>
      </c>
      <c r="AP20" s="241"/>
      <c r="AQ20" s="241">
        <v>221</v>
      </c>
      <c r="AR20" s="232"/>
      <c r="AS20" s="283">
        <v>106476.815</v>
      </c>
      <c r="AT20" s="258" t="s">
        <v>149</v>
      </c>
      <c r="AU20" s="241"/>
      <c r="AV20" s="241">
        <v>4983</v>
      </c>
      <c r="AW20" s="232"/>
      <c r="AX20" s="191"/>
      <c r="AY20" s="282" t="s">
        <v>147</v>
      </c>
      <c r="AZ20" s="231"/>
      <c r="BA20" s="39" t="s">
        <v>123</v>
      </c>
      <c r="BB20" s="22">
        <v>10000</v>
      </c>
      <c r="BC20" s="259"/>
      <c r="BD20" s="234"/>
      <c r="BE20" s="234"/>
      <c r="BF20" s="234"/>
      <c r="BG20" s="234"/>
      <c r="BH20" s="234"/>
      <c r="BI20" s="234">
        <v>9294</v>
      </c>
      <c r="BJ20" s="234"/>
      <c r="BK20" s="284"/>
      <c r="BL20" s="232">
        <v>10404</v>
      </c>
      <c r="BM20" s="285"/>
      <c r="BN20" s="41"/>
      <c r="BO20" s="232">
        <v>133400</v>
      </c>
      <c r="BP20" s="234">
        <v>134002</v>
      </c>
      <c r="BQ20" s="234"/>
    </row>
    <row r="21" spans="2:69" ht="16.5" thickBot="1" x14ac:dyDescent="0.3">
      <c r="B21" s="288" t="s">
        <v>150</v>
      </c>
      <c r="C21" s="242"/>
      <c r="D21" s="43" t="s">
        <v>123</v>
      </c>
      <c r="E21" s="58">
        <v>9110</v>
      </c>
      <c r="F21" s="44"/>
      <c r="G21" s="59"/>
      <c r="H21" s="44"/>
      <c r="I21" s="562"/>
      <c r="J21" s="44"/>
      <c r="K21" s="44"/>
      <c r="L21" s="44"/>
      <c r="M21" s="44"/>
      <c r="N21" s="44"/>
      <c r="O21" s="59"/>
      <c r="P21" s="44"/>
      <c r="Q21" s="44"/>
      <c r="R21" s="44"/>
      <c r="S21" s="44"/>
      <c r="T21" s="44"/>
      <c r="U21" s="44"/>
      <c r="V21" s="59"/>
      <c r="W21" s="44"/>
      <c r="X21" s="247" t="s">
        <v>128</v>
      </c>
      <c r="Y21" s="236"/>
      <c r="Z21" s="236"/>
      <c r="AA21" s="236"/>
      <c r="AB21" s="44"/>
      <c r="AC21" s="44"/>
      <c r="AD21" s="247" t="s">
        <v>128</v>
      </c>
      <c r="AE21" s="236"/>
      <c r="AF21" s="243"/>
      <c r="AG21" s="236"/>
      <c r="AH21" s="236"/>
      <c r="AI21" s="44">
        <v>84752</v>
      </c>
      <c r="AJ21" s="247" t="s">
        <v>128</v>
      </c>
      <c r="AK21" s="236"/>
      <c r="AL21" s="243">
        <v>3971</v>
      </c>
      <c r="AM21" s="236"/>
      <c r="AN21" s="44">
        <v>87857</v>
      </c>
      <c r="AO21" s="247" t="s">
        <v>128</v>
      </c>
      <c r="AP21" s="289"/>
      <c r="AQ21" s="289">
        <v>177</v>
      </c>
      <c r="AR21" s="236"/>
      <c r="AS21" s="290">
        <v>85181.452000000005</v>
      </c>
      <c r="AT21" s="247">
        <v>0</v>
      </c>
      <c r="AU21" s="289"/>
      <c r="AV21" s="289">
        <v>3986</v>
      </c>
      <c r="AW21" s="236"/>
      <c r="AX21" s="191"/>
      <c r="AY21" s="288" t="s">
        <v>150</v>
      </c>
      <c r="AZ21" s="242"/>
      <c r="BA21" s="43" t="s">
        <v>123</v>
      </c>
      <c r="BB21" s="44">
        <v>8000</v>
      </c>
      <c r="BC21" s="244">
        <v>0</v>
      </c>
      <c r="BD21" s="235"/>
      <c r="BE21" s="235"/>
      <c r="BF21" s="235"/>
      <c r="BG21" s="235">
        <v>0</v>
      </c>
      <c r="BH21" s="235"/>
      <c r="BI21" s="235">
        <v>7458</v>
      </c>
      <c r="BJ21" s="235"/>
      <c r="BK21" s="291">
        <v>0</v>
      </c>
      <c r="BL21" s="236">
        <v>8323</v>
      </c>
      <c r="BM21" s="292"/>
      <c r="BN21" s="45"/>
      <c r="BO21" s="236">
        <v>35455</v>
      </c>
      <c r="BP21" s="235">
        <v>33238</v>
      </c>
      <c r="BQ21" s="235"/>
    </row>
    <row r="22" spans="2:69" x14ac:dyDescent="0.25">
      <c r="B22" s="282" t="s">
        <v>151</v>
      </c>
      <c r="C22" s="231" t="s">
        <v>152</v>
      </c>
      <c r="D22" s="231" t="s">
        <v>153</v>
      </c>
      <c r="E22" s="241">
        <v>114452</v>
      </c>
      <c r="F22" s="232">
        <v>1748000</v>
      </c>
      <c r="G22" s="234"/>
      <c r="H22" s="232">
        <v>3810.6</v>
      </c>
      <c r="I22" s="563"/>
      <c r="J22" s="232"/>
      <c r="K22" s="232"/>
      <c r="L22" s="232"/>
      <c r="M22" s="232"/>
      <c r="N22" s="232">
        <v>1895200</v>
      </c>
      <c r="O22" s="234"/>
      <c r="P22" s="232">
        <v>10273</v>
      </c>
      <c r="Q22" s="232" t="s">
        <v>128</v>
      </c>
      <c r="R22" s="232"/>
      <c r="S22" s="232"/>
      <c r="T22" s="232"/>
      <c r="U22" s="232"/>
      <c r="V22" s="234">
        <v>1929600</v>
      </c>
      <c r="W22" s="232"/>
      <c r="X22" s="255">
        <v>9168</v>
      </c>
      <c r="Y22" s="232"/>
      <c r="Z22" s="232"/>
      <c r="AA22" s="232"/>
      <c r="AB22" s="232">
        <v>2016000</v>
      </c>
      <c r="AC22" s="232" t="s">
        <v>154</v>
      </c>
      <c r="AD22" s="255">
        <v>6992</v>
      </c>
      <c r="AE22" s="232"/>
      <c r="AF22" s="191"/>
      <c r="AG22" s="232"/>
      <c r="AH22" s="232"/>
      <c r="AI22" s="232">
        <v>2003200</v>
      </c>
      <c r="AJ22" s="255">
        <v>7586</v>
      </c>
      <c r="AK22" s="232"/>
      <c r="AL22" s="191">
        <v>54107</v>
      </c>
      <c r="AM22" s="232"/>
      <c r="AN22" s="232">
        <v>1940000</v>
      </c>
      <c r="AO22" s="255">
        <v>7197</v>
      </c>
      <c r="AP22" s="241"/>
      <c r="AQ22" s="241">
        <v>2411</v>
      </c>
      <c r="AR22" s="232"/>
      <c r="AS22" s="293">
        <v>2089600</v>
      </c>
      <c r="AT22" s="255">
        <v>10342</v>
      </c>
      <c r="AU22" s="241"/>
      <c r="AV22" s="241">
        <v>54315</v>
      </c>
      <c r="AW22" s="232"/>
      <c r="AX22" s="191"/>
      <c r="AY22" s="282" t="s">
        <v>151</v>
      </c>
      <c r="AZ22" s="231" t="s">
        <v>152</v>
      </c>
      <c r="BA22" s="231" t="s">
        <v>153</v>
      </c>
      <c r="BB22" s="232">
        <v>109000</v>
      </c>
      <c r="BC22" s="259">
        <v>7877</v>
      </c>
      <c r="BD22" s="234"/>
      <c r="BE22" s="234"/>
      <c r="BF22" s="234"/>
      <c r="BG22" s="234">
        <v>5957</v>
      </c>
      <c r="BH22" s="234"/>
      <c r="BI22" s="234">
        <v>101305</v>
      </c>
      <c r="BJ22" s="234"/>
      <c r="BK22" s="284">
        <v>5960</v>
      </c>
      <c r="BL22" s="232">
        <v>111403</v>
      </c>
      <c r="BM22" s="285"/>
      <c r="BN22" s="294"/>
      <c r="BO22" s="232">
        <v>1880000</v>
      </c>
      <c r="BP22" s="232">
        <v>2016000</v>
      </c>
      <c r="BQ22" s="232">
        <v>2208800</v>
      </c>
    </row>
    <row r="23" spans="2:69" x14ac:dyDescent="0.25">
      <c r="B23" s="282" t="s">
        <v>155</v>
      </c>
      <c r="C23" s="249" t="s">
        <v>156</v>
      </c>
      <c r="D23" s="249" t="s">
        <v>157</v>
      </c>
      <c r="E23" s="262">
        <v>29259</v>
      </c>
      <c r="F23" s="263">
        <v>185840</v>
      </c>
      <c r="G23" s="264"/>
      <c r="H23" s="233">
        <v>9405.4</v>
      </c>
      <c r="I23" s="560"/>
      <c r="J23" s="233"/>
      <c r="K23" s="233"/>
      <c r="L23" s="233"/>
      <c r="M23" s="265"/>
      <c r="N23" s="263">
        <v>262000</v>
      </c>
      <c r="O23" s="264"/>
      <c r="P23" s="233">
        <v>11211</v>
      </c>
      <c r="Q23" s="233" t="s">
        <v>128</v>
      </c>
      <c r="R23" s="233"/>
      <c r="S23" s="233"/>
      <c r="T23" s="233"/>
      <c r="U23" s="265"/>
      <c r="V23" s="234">
        <v>280500</v>
      </c>
      <c r="W23" s="232"/>
      <c r="X23" s="255">
        <v>12000</v>
      </c>
      <c r="Y23" s="232"/>
      <c r="Z23" s="232"/>
      <c r="AA23" s="232"/>
      <c r="AB23" s="232">
        <v>315240</v>
      </c>
      <c r="AC23" s="232" t="s">
        <v>158</v>
      </c>
      <c r="AD23" s="255">
        <v>12343</v>
      </c>
      <c r="AE23" s="232"/>
      <c r="AF23" s="191"/>
      <c r="AG23" s="232"/>
      <c r="AH23" s="255"/>
      <c r="AI23" s="232">
        <v>320880</v>
      </c>
      <c r="AJ23" s="255">
        <v>11961</v>
      </c>
      <c r="AK23" s="232"/>
      <c r="AL23" s="191"/>
      <c r="AM23" s="232"/>
      <c r="AN23" s="232">
        <v>322200</v>
      </c>
      <c r="AO23" s="255">
        <v>15184</v>
      </c>
      <c r="AP23" s="241"/>
      <c r="AQ23" s="241"/>
      <c r="AR23" s="232"/>
      <c r="AS23" s="293">
        <v>288360</v>
      </c>
      <c r="AT23" s="255">
        <v>13863</v>
      </c>
      <c r="AU23" s="241"/>
      <c r="AV23" s="241" t="s">
        <v>128</v>
      </c>
      <c r="AW23" s="232"/>
      <c r="AX23" s="191"/>
      <c r="AY23" s="282" t="s">
        <v>155</v>
      </c>
      <c r="AZ23" s="231" t="s">
        <v>156</v>
      </c>
      <c r="BA23" s="231" t="s">
        <v>157</v>
      </c>
      <c r="BB23" s="232">
        <v>29000</v>
      </c>
      <c r="BC23" s="259">
        <v>11923</v>
      </c>
      <c r="BD23" s="234"/>
      <c r="BE23" s="234"/>
      <c r="BF23" s="234"/>
      <c r="BG23" s="234">
        <v>9670</v>
      </c>
      <c r="BH23" s="234"/>
      <c r="BI23" s="234">
        <v>0</v>
      </c>
      <c r="BJ23" s="234"/>
      <c r="BK23" s="284">
        <v>13226</v>
      </c>
      <c r="BL23" s="295" t="s">
        <v>159</v>
      </c>
      <c r="BM23" s="285"/>
      <c r="BN23" s="294"/>
      <c r="BO23" s="232">
        <v>291840</v>
      </c>
      <c r="BP23" s="232">
        <v>306480</v>
      </c>
      <c r="BQ23" s="232">
        <v>297720</v>
      </c>
    </row>
    <row r="24" spans="2:69" x14ac:dyDescent="0.25">
      <c r="B24" s="282" t="s">
        <v>382</v>
      </c>
      <c r="C24" s="249" t="s">
        <v>383</v>
      </c>
      <c r="D24" s="249"/>
      <c r="E24" s="262">
        <v>75000</v>
      </c>
      <c r="F24" s="263">
        <v>496000</v>
      </c>
      <c r="G24" s="264"/>
      <c r="H24" s="233">
        <v>22027</v>
      </c>
      <c r="I24" s="564">
        <v>350</v>
      </c>
      <c r="J24" s="233"/>
      <c r="K24" s="233"/>
      <c r="L24" s="233"/>
      <c r="M24" s="265"/>
      <c r="N24" s="263">
        <v>448320</v>
      </c>
      <c r="O24" s="264"/>
      <c r="P24" s="233"/>
      <c r="Q24" s="296">
        <v>718</v>
      </c>
      <c r="R24" s="233"/>
      <c r="S24" s="233"/>
      <c r="T24" s="233"/>
      <c r="U24" s="265"/>
      <c r="V24" s="234" t="s">
        <v>384</v>
      </c>
      <c r="W24" s="232"/>
      <c r="X24" s="255"/>
      <c r="Y24" s="232"/>
      <c r="Z24" s="232"/>
      <c r="AA24" s="232"/>
      <c r="AB24" s="232"/>
      <c r="AC24" s="232"/>
      <c r="AD24" s="255"/>
      <c r="AE24" s="232"/>
      <c r="AF24" s="191"/>
      <c r="AG24" s="232"/>
      <c r="AH24" s="255"/>
      <c r="AI24" s="232"/>
      <c r="AJ24" s="255"/>
      <c r="AK24" s="232"/>
      <c r="AL24" s="191"/>
      <c r="AM24" s="232"/>
      <c r="AN24" s="232"/>
      <c r="AO24" s="255"/>
      <c r="AP24" s="241"/>
      <c r="AQ24" s="241"/>
      <c r="AR24" s="232"/>
      <c r="AS24" s="293"/>
      <c r="AT24" s="255"/>
      <c r="AU24" s="241"/>
      <c r="AV24" s="241"/>
      <c r="AW24" s="232"/>
      <c r="AX24" s="191"/>
      <c r="AY24" s="282"/>
      <c r="AZ24" s="231"/>
      <c r="BA24" s="231"/>
      <c r="BB24" s="232"/>
      <c r="BC24" s="259"/>
      <c r="BD24" s="234"/>
      <c r="BE24" s="234"/>
      <c r="BF24" s="234"/>
      <c r="BG24" s="234"/>
      <c r="BH24" s="234"/>
      <c r="BI24" s="234"/>
      <c r="BJ24" s="234"/>
      <c r="BK24" s="284"/>
      <c r="BL24" s="295"/>
      <c r="BM24" s="285"/>
      <c r="BN24" s="294"/>
      <c r="BO24" s="232"/>
      <c r="BP24" s="232"/>
      <c r="BQ24" s="232"/>
    </row>
    <row r="25" spans="2:69" x14ac:dyDescent="0.25">
      <c r="B25" s="297" t="s">
        <v>160</v>
      </c>
      <c r="C25" s="249" t="s">
        <v>161</v>
      </c>
      <c r="D25" s="249" t="s">
        <v>162</v>
      </c>
      <c r="E25" s="262"/>
      <c r="F25" s="263"/>
      <c r="G25" s="264"/>
      <c r="H25" s="233"/>
      <c r="I25" s="560"/>
      <c r="J25" s="233"/>
      <c r="K25" s="233"/>
      <c r="L25" s="233"/>
      <c r="M25" s="265"/>
      <c r="N25" s="263">
        <v>0</v>
      </c>
      <c r="O25" s="264"/>
      <c r="P25" s="233"/>
      <c r="Q25" s="233">
        <v>0</v>
      </c>
      <c r="R25" s="233"/>
      <c r="S25" s="233"/>
      <c r="T25" s="233"/>
      <c r="U25" s="265"/>
      <c r="V25" s="234"/>
      <c r="W25" s="232"/>
      <c r="X25" s="255">
        <v>5367</v>
      </c>
      <c r="Y25" s="232"/>
      <c r="Z25" s="232"/>
      <c r="AA25" s="232"/>
      <c r="AB25" s="232"/>
      <c r="AC25" s="232">
        <v>5112</v>
      </c>
      <c r="AD25" s="255">
        <v>10966</v>
      </c>
      <c r="AE25" s="232"/>
      <c r="AF25" s="191"/>
      <c r="AG25" s="232"/>
      <c r="AH25" s="255"/>
      <c r="AI25" s="232"/>
      <c r="AJ25" s="255">
        <v>11836</v>
      </c>
      <c r="AK25" s="232">
        <v>668</v>
      </c>
      <c r="AL25" s="191"/>
      <c r="AM25" s="232"/>
      <c r="AN25" s="232"/>
      <c r="AO25" s="255">
        <v>10000</v>
      </c>
      <c r="AP25" s="241">
        <v>750</v>
      </c>
      <c r="AQ25" s="241"/>
      <c r="AR25" s="232"/>
      <c r="AS25" s="294" t="s">
        <v>159</v>
      </c>
      <c r="AT25" s="255">
        <v>10000</v>
      </c>
      <c r="AU25" s="241">
        <v>750</v>
      </c>
      <c r="AV25" s="241" t="s">
        <v>128</v>
      </c>
      <c r="AW25" s="232"/>
      <c r="AX25" s="191"/>
      <c r="AY25" s="298" t="s">
        <v>160</v>
      </c>
      <c r="AZ25" s="231" t="s">
        <v>161</v>
      </c>
      <c r="BA25" s="231" t="s">
        <v>163</v>
      </c>
      <c r="BB25" s="232"/>
      <c r="BC25" s="259">
        <v>7500</v>
      </c>
      <c r="BD25" s="234"/>
      <c r="BE25" s="234"/>
      <c r="BF25" s="234"/>
      <c r="BG25" s="234">
        <v>7451</v>
      </c>
      <c r="BH25" s="234"/>
      <c r="BI25" s="234">
        <v>0</v>
      </c>
      <c r="BJ25" s="234"/>
      <c r="BK25" s="284">
        <v>7716</v>
      </c>
      <c r="BL25" s="295" t="s">
        <v>159</v>
      </c>
      <c r="BM25" s="285"/>
      <c r="BN25" s="294"/>
      <c r="BO25" s="232">
        <v>68077</v>
      </c>
      <c r="BP25" s="232">
        <v>83256</v>
      </c>
      <c r="BQ25" s="232">
        <v>80000</v>
      </c>
    </row>
    <row r="26" spans="2:69" ht="16.5" thickBot="1" x14ac:dyDescent="0.3">
      <c r="B26" s="241"/>
      <c r="C26" s="249" t="s">
        <v>164</v>
      </c>
      <c r="D26" s="249" t="s">
        <v>165</v>
      </c>
      <c r="E26" s="262"/>
      <c r="F26" s="263"/>
      <c r="G26" s="268"/>
      <c r="H26" s="269"/>
      <c r="I26" s="561"/>
      <c r="J26" s="270"/>
      <c r="K26" s="270"/>
      <c r="L26" s="270"/>
      <c r="M26" s="265"/>
      <c r="N26" s="263">
        <v>0</v>
      </c>
      <c r="O26" s="268" t="s">
        <v>166</v>
      </c>
      <c r="P26" s="269"/>
      <c r="Q26" s="270">
        <v>0</v>
      </c>
      <c r="R26" s="270"/>
      <c r="S26" s="270"/>
      <c r="T26" s="270"/>
      <c r="U26" s="265"/>
      <c r="V26" s="234"/>
      <c r="W26" s="272" t="s">
        <v>166</v>
      </c>
      <c r="X26" s="255"/>
      <c r="Y26" s="232"/>
      <c r="Z26" s="232"/>
      <c r="AA26" s="232"/>
      <c r="AB26" s="232"/>
      <c r="AC26" s="272" t="s">
        <v>166</v>
      </c>
      <c r="AD26" s="255">
        <v>6719</v>
      </c>
      <c r="AE26" s="232"/>
      <c r="AF26" s="191"/>
      <c r="AG26" s="232"/>
      <c r="AH26" s="232"/>
      <c r="AI26" s="232"/>
      <c r="AJ26" s="255">
        <v>6802</v>
      </c>
      <c r="AK26" s="232"/>
      <c r="AL26" s="191"/>
      <c r="AM26" s="232"/>
      <c r="AN26" s="232"/>
      <c r="AO26" s="258">
        <v>6600</v>
      </c>
      <c r="AP26" s="241"/>
      <c r="AQ26" s="241"/>
      <c r="AR26" s="232"/>
      <c r="AS26" s="294"/>
      <c r="AT26" s="255">
        <v>7000</v>
      </c>
      <c r="AU26" s="241"/>
      <c r="AV26" s="241"/>
      <c r="AW26" s="232"/>
      <c r="AX26" s="191"/>
      <c r="AY26" s="232"/>
      <c r="AZ26" s="231" t="s">
        <v>164</v>
      </c>
      <c r="BA26" s="231" t="s">
        <v>165</v>
      </c>
      <c r="BB26" s="232"/>
      <c r="BC26" s="259"/>
      <c r="BD26" s="234"/>
      <c r="BE26" s="234"/>
      <c r="BF26" s="234"/>
      <c r="BG26" s="234"/>
      <c r="BH26" s="234"/>
      <c r="BI26" s="234"/>
      <c r="BJ26" s="234"/>
      <c r="BK26" s="284"/>
      <c r="BL26" s="295"/>
      <c r="BM26" s="285"/>
      <c r="BN26" s="294"/>
      <c r="BO26" s="232"/>
      <c r="BP26" s="232"/>
      <c r="BQ26" s="232"/>
    </row>
    <row r="27" spans="2:69" x14ac:dyDescent="0.25">
      <c r="B27" s="241"/>
      <c r="C27" s="249"/>
      <c r="D27" s="249" t="s">
        <v>167</v>
      </c>
      <c r="E27" s="262"/>
      <c r="F27" s="263"/>
      <c r="G27" s="268"/>
      <c r="H27" s="269"/>
      <c r="I27" s="561"/>
      <c r="J27" s="270"/>
      <c r="K27" s="270"/>
      <c r="L27" s="270"/>
      <c r="M27" s="265"/>
      <c r="N27" s="263">
        <v>0</v>
      </c>
      <c r="O27" s="268"/>
      <c r="P27" s="269"/>
      <c r="Q27" s="270">
        <v>0</v>
      </c>
      <c r="R27" s="270"/>
      <c r="S27" s="270"/>
      <c r="T27" s="270"/>
      <c r="U27" s="265"/>
      <c r="V27" s="234"/>
      <c r="W27" s="299"/>
      <c r="X27" s="255"/>
      <c r="Y27" s="232"/>
      <c r="Z27" s="232"/>
      <c r="AA27" s="232"/>
      <c r="AB27" s="232"/>
      <c r="AC27" s="299"/>
      <c r="AD27" s="255"/>
      <c r="AE27" s="232"/>
      <c r="AF27" s="191"/>
      <c r="AG27" s="232"/>
      <c r="AH27" s="232"/>
      <c r="AI27" s="232"/>
      <c r="AJ27" s="255"/>
      <c r="AK27" s="232"/>
      <c r="AL27" s="191"/>
      <c r="AM27" s="232"/>
      <c r="AN27" s="232"/>
      <c r="AO27" s="258"/>
      <c r="AP27" s="241"/>
      <c r="AQ27" s="241"/>
      <c r="AR27" s="232"/>
      <c r="AS27" s="294"/>
      <c r="AT27" s="255"/>
      <c r="AU27" s="241"/>
      <c r="AV27" s="241"/>
      <c r="AW27" s="232"/>
      <c r="AX27" s="191"/>
      <c r="AY27" s="241"/>
      <c r="AZ27" s="231"/>
      <c r="BA27" s="231"/>
      <c r="BB27" s="232"/>
      <c r="BC27" s="259"/>
      <c r="BD27" s="234"/>
      <c r="BE27" s="234"/>
      <c r="BF27" s="234"/>
      <c r="BG27" s="234"/>
      <c r="BH27" s="234"/>
      <c r="BI27" s="234"/>
      <c r="BJ27" s="234"/>
      <c r="BK27" s="284"/>
      <c r="BL27" s="295"/>
      <c r="BM27" s="285"/>
      <c r="BN27" s="294"/>
      <c r="BO27" s="232"/>
      <c r="BP27" s="232"/>
      <c r="BQ27" s="232"/>
    </row>
    <row r="28" spans="2:69" x14ac:dyDescent="0.25">
      <c r="B28" s="282" t="s">
        <v>160</v>
      </c>
      <c r="C28" s="249"/>
      <c r="D28" s="249" t="s">
        <v>168</v>
      </c>
      <c r="E28" s="262">
        <v>27053</v>
      </c>
      <c r="F28" s="263">
        <v>76950</v>
      </c>
      <c r="G28" s="264"/>
      <c r="H28" s="233">
        <v>5031.9000000000005</v>
      </c>
      <c r="I28" s="560">
        <v>500</v>
      </c>
      <c r="J28" s="233"/>
      <c r="K28" s="233"/>
      <c r="L28" s="233"/>
      <c r="M28" s="265"/>
      <c r="N28" s="263">
        <v>132047</v>
      </c>
      <c r="O28" s="264"/>
      <c r="P28" s="233">
        <v>6580</v>
      </c>
      <c r="Q28" s="233">
        <v>649</v>
      </c>
      <c r="R28" s="233"/>
      <c r="S28" s="233"/>
      <c r="T28" s="233"/>
      <c r="U28" s="265"/>
      <c r="V28" s="234">
        <v>150455</v>
      </c>
      <c r="W28" s="232"/>
      <c r="X28" s="255"/>
      <c r="Y28" s="232">
        <v>500</v>
      </c>
      <c r="Z28" s="232"/>
      <c r="AA28" s="232"/>
      <c r="AB28" s="232">
        <v>102951</v>
      </c>
      <c r="AC28" s="232"/>
      <c r="AD28" s="255"/>
      <c r="AE28" s="232">
        <v>500</v>
      </c>
      <c r="AF28" s="191"/>
      <c r="AG28" s="232"/>
      <c r="AH28" s="232"/>
      <c r="AI28" s="232">
        <v>145680</v>
      </c>
      <c r="AJ28" s="255"/>
      <c r="AK28" s="232"/>
      <c r="AL28" s="191"/>
      <c r="AM28" s="232"/>
      <c r="AN28" s="232">
        <v>145000</v>
      </c>
      <c r="AO28" s="258"/>
      <c r="AP28" s="241"/>
      <c r="AQ28" s="241"/>
      <c r="AR28" s="232"/>
      <c r="AS28" s="293">
        <v>150000</v>
      </c>
      <c r="AT28" s="258"/>
      <c r="AU28" s="241"/>
      <c r="AV28" s="241"/>
      <c r="AW28" s="232"/>
      <c r="AX28" s="191"/>
      <c r="AY28" s="282" t="s">
        <v>160</v>
      </c>
      <c r="AZ28" s="231"/>
      <c r="BA28" s="231" t="s">
        <v>168</v>
      </c>
      <c r="BB28" s="232">
        <v>21000</v>
      </c>
      <c r="BC28" s="259"/>
      <c r="BD28" s="234"/>
      <c r="BE28" s="234"/>
      <c r="BF28" s="234"/>
      <c r="BG28" s="234"/>
      <c r="BH28" s="234"/>
      <c r="BI28" s="234"/>
      <c r="BJ28" s="234"/>
      <c r="BK28" s="284"/>
      <c r="BL28" s="295"/>
      <c r="BM28" s="285"/>
      <c r="BN28" s="294"/>
      <c r="BO28" s="232"/>
      <c r="BP28" s="232"/>
      <c r="BQ28" s="232"/>
    </row>
    <row r="29" spans="2:69" ht="16.5" thickBot="1" x14ac:dyDescent="0.3">
      <c r="B29" s="282" t="s">
        <v>169</v>
      </c>
      <c r="C29" s="249" t="s">
        <v>170</v>
      </c>
      <c r="D29" s="249" t="s">
        <v>171</v>
      </c>
      <c r="E29" s="262">
        <v>138349</v>
      </c>
      <c r="F29" s="263">
        <v>1096800</v>
      </c>
      <c r="G29" s="268"/>
      <c r="H29" s="269">
        <v>41139.799999999996</v>
      </c>
      <c r="I29" s="561">
        <v>1500</v>
      </c>
      <c r="J29" s="270"/>
      <c r="K29" s="270"/>
      <c r="L29" s="270"/>
      <c r="M29" s="265"/>
      <c r="N29" s="263">
        <v>1138400</v>
      </c>
      <c r="O29" s="268" t="s">
        <v>172</v>
      </c>
      <c r="P29" s="269">
        <v>49052</v>
      </c>
      <c r="Q29" s="270">
        <v>7901</v>
      </c>
      <c r="R29" s="270"/>
      <c r="S29" s="270"/>
      <c r="T29" s="270"/>
      <c r="U29" s="265"/>
      <c r="V29" s="234">
        <v>1164000</v>
      </c>
      <c r="W29" s="272" t="s">
        <v>172</v>
      </c>
      <c r="X29" s="255">
        <v>62169</v>
      </c>
      <c r="Y29" s="232">
        <v>2500</v>
      </c>
      <c r="Z29" s="232"/>
      <c r="AA29" s="232"/>
      <c r="AB29" s="232">
        <v>1187200</v>
      </c>
      <c r="AC29" s="272" t="s">
        <v>172</v>
      </c>
      <c r="AD29" s="255">
        <v>73821</v>
      </c>
      <c r="AE29" s="232">
        <v>2500</v>
      </c>
      <c r="AF29" s="191"/>
      <c r="AG29" s="232"/>
      <c r="AH29" s="232"/>
      <c r="AI29" s="232">
        <v>1272800</v>
      </c>
      <c r="AJ29" s="255">
        <v>67836</v>
      </c>
      <c r="AK29" s="232">
        <v>6547</v>
      </c>
      <c r="AL29" s="191"/>
      <c r="AM29" s="232"/>
      <c r="AN29" s="232">
        <v>1253600</v>
      </c>
      <c r="AO29" s="255">
        <v>70699</v>
      </c>
      <c r="AP29" s="241">
        <v>7000</v>
      </c>
      <c r="AQ29" s="241"/>
      <c r="AR29" s="232"/>
      <c r="AS29" s="293">
        <v>1443200</v>
      </c>
      <c r="AT29" s="255">
        <v>70325</v>
      </c>
      <c r="AU29" s="241">
        <v>4501</v>
      </c>
      <c r="AV29" s="241" t="s">
        <v>128</v>
      </c>
      <c r="AW29" s="232"/>
      <c r="AX29" s="191"/>
      <c r="AY29" s="282" t="s">
        <v>169</v>
      </c>
      <c r="AZ29" s="231" t="s">
        <v>170</v>
      </c>
      <c r="BA29" s="231" t="s">
        <v>171</v>
      </c>
      <c r="BB29" s="232">
        <v>136000</v>
      </c>
      <c r="BC29" s="259">
        <v>50719</v>
      </c>
      <c r="BD29" s="234">
        <v>2000</v>
      </c>
      <c r="BE29" s="234"/>
      <c r="BF29" s="234"/>
      <c r="BG29" s="234">
        <v>49361</v>
      </c>
      <c r="BH29" s="234"/>
      <c r="BI29" s="234">
        <v>0</v>
      </c>
      <c r="BJ29" s="234"/>
      <c r="BK29" s="284">
        <v>49823</v>
      </c>
      <c r="BL29" s="295" t="s">
        <v>159</v>
      </c>
      <c r="BM29" s="285"/>
      <c r="BN29" s="294"/>
      <c r="BO29" s="232">
        <v>1095200</v>
      </c>
      <c r="BP29" s="232">
        <v>1198400</v>
      </c>
      <c r="BQ29" s="232">
        <v>1305600</v>
      </c>
    </row>
    <row r="30" spans="2:69" ht="16.5" thickBot="1" x14ac:dyDescent="0.3">
      <c r="B30" s="282" t="s">
        <v>173</v>
      </c>
      <c r="C30" s="249" t="s">
        <v>174</v>
      </c>
      <c r="D30" s="249" t="s">
        <v>175</v>
      </c>
      <c r="E30" s="262">
        <v>66590</v>
      </c>
      <c r="F30" s="263">
        <v>34720</v>
      </c>
      <c r="G30" s="268"/>
      <c r="H30" s="269">
        <v>1267.4999999999998</v>
      </c>
      <c r="I30" s="561"/>
      <c r="J30" s="270"/>
      <c r="K30" s="270"/>
      <c r="L30" s="270"/>
      <c r="M30" s="265"/>
      <c r="N30" s="263">
        <v>560000</v>
      </c>
      <c r="O30" s="268" t="s">
        <v>176</v>
      </c>
      <c r="P30" s="269">
        <v>3639</v>
      </c>
      <c r="Q30" s="270" t="s">
        <v>128</v>
      </c>
      <c r="R30" s="270"/>
      <c r="S30" s="270"/>
      <c r="T30" s="270"/>
      <c r="U30" s="265"/>
      <c r="V30" s="234">
        <v>571200</v>
      </c>
      <c r="W30" s="272" t="s">
        <v>176</v>
      </c>
      <c r="X30" s="255">
        <v>4500</v>
      </c>
      <c r="Y30" s="232"/>
      <c r="Z30" s="232"/>
      <c r="AA30" s="232"/>
      <c r="AB30" s="232">
        <v>539200</v>
      </c>
      <c r="AC30" s="272" t="s">
        <v>176</v>
      </c>
      <c r="AD30" s="255">
        <v>8584</v>
      </c>
      <c r="AE30" s="232"/>
      <c r="AF30" s="191"/>
      <c r="AG30" s="232"/>
      <c r="AH30" s="232"/>
      <c r="AI30" s="232">
        <v>593280</v>
      </c>
      <c r="AJ30" s="255">
        <v>8790</v>
      </c>
      <c r="AK30" s="232"/>
      <c r="AL30" s="191">
        <v>29287</v>
      </c>
      <c r="AM30" s="232"/>
      <c r="AN30" s="232">
        <v>610880</v>
      </c>
      <c r="AO30" s="255">
        <v>9608</v>
      </c>
      <c r="AP30" s="241"/>
      <c r="AQ30" s="241">
        <v>1305</v>
      </c>
      <c r="AR30" s="232"/>
      <c r="AS30" s="293">
        <v>550400</v>
      </c>
      <c r="AT30" s="255">
        <v>10786</v>
      </c>
      <c r="AU30" s="241"/>
      <c r="AV30" s="241">
        <v>29400</v>
      </c>
      <c r="AW30" s="232"/>
      <c r="AX30" s="191"/>
      <c r="AY30" s="282" t="s">
        <v>173</v>
      </c>
      <c r="AZ30" s="231" t="s">
        <v>174</v>
      </c>
      <c r="BA30" s="231" t="s">
        <v>175</v>
      </c>
      <c r="BB30" s="232">
        <v>59000</v>
      </c>
      <c r="BC30" s="259">
        <v>9848</v>
      </c>
      <c r="BD30" s="234"/>
      <c r="BE30" s="234"/>
      <c r="BF30" s="234"/>
      <c r="BG30" s="234">
        <v>9740</v>
      </c>
      <c r="BH30" s="234"/>
      <c r="BI30" s="234">
        <v>54835</v>
      </c>
      <c r="BJ30" s="234"/>
      <c r="BK30" s="284">
        <v>10036</v>
      </c>
      <c r="BL30" s="232">
        <v>60384</v>
      </c>
      <c r="BM30" s="285"/>
      <c r="BN30" s="294"/>
      <c r="BO30" s="232">
        <v>601280</v>
      </c>
      <c r="BP30" s="232">
        <v>578560</v>
      </c>
      <c r="BQ30" s="232">
        <v>588160</v>
      </c>
    </row>
    <row r="31" spans="2:69" x14ac:dyDescent="0.25">
      <c r="B31" s="282" t="s">
        <v>177</v>
      </c>
      <c r="C31" s="249" t="s">
        <v>177</v>
      </c>
      <c r="D31" s="249" t="s">
        <v>178</v>
      </c>
      <c r="E31" s="262" t="s">
        <v>128</v>
      </c>
      <c r="F31" s="263" t="s">
        <v>128</v>
      </c>
      <c r="G31" s="264"/>
      <c r="H31" s="233" t="s">
        <v>128</v>
      </c>
      <c r="I31" s="560"/>
      <c r="J31" s="233"/>
      <c r="K31" s="233"/>
      <c r="L31" s="233"/>
      <c r="M31" s="265"/>
      <c r="N31" s="263" t="s">
        <v>159</v>
      </c>
      <c r="O31" s="264" t="s">
        <v>128</v>
      </c>
      <c r="P31" s="233"/>
      <c r="Q31" s="233" t="s">
        <v>128</v>
      </c>
      <c r="R31" s="233"/>
      <c r="S31" s="233"/>
      <c r="T31" s="233"/>
      <c r="U31" s="265"/>
      <c r="V31" s="234" t="s">
        <v>128</v>
      </c>
      <c r="W31" s="232" t="s">
        <v>128</v>
      </c>
      <c r="X31" s="258" t="s">
        <v>128</v>
      </c>
      <c r="Y31" s="232"/>
      <c r="Z31" s="232"/>
      <c r="AA31" s="232"/>
      <c r="AB31" s="232" t="s">
        <v>128</v>
      </c>
      <c r="AC31" s="232" t="s">
        <v>128</v>
      </c>
      <c r="AD31" s="258" t="s">
        <v>128</v>
      </c>
      <c r="AE31" s="232"/>
      <c r="AF31" s="191"/>
      <c r="AG31" s="232"/>
      <c r="AH31" s="232"/>
      <c r="AI31" s="232" t="s">
        <v>128</v>
      </c>
      <c r="AJ31" s="258" t="s">
        <v>179</v>
      </c>
      <c r="AK31" s="232"/>
      <c r="AL31" s="191"/>
      <c r="AM31" s="232"/>
      <c r="AN31" s="232" t="s">
        <v>128</v>
      </c>
      <c r="AO31" s="258" t="s">
        <v>128</v>
      </c>
      <c r="AP31" s="241"/>
      <c r="AQ31" s="241"/>
      <c r="AR31" s="232"/>
      <c r="AS31" s="294" t="s">
        <v>159</v>
      </c>
      <c r="AT31" s="258" t="s">
        <v>159</v>
      </c>
      <c r="AU31" s="241"/>
      <c r="AV31" s="241" t="s">
        <v>128</v>
      </c>
      <c r="AW31" s="232"/>
      <c r="AX31" s="191"/>
      <c r="AY31" s="282" t="s">
        <v>177</v>
      </c>
      <c r="AZ31" s="231" t="s">
        <v>177</v>
      </c>
      <c r="BA31" s="231" t="s">
        <v>178</v>
      </c>
      <c r="BB31" s="232"/>
      <c r="BC31" s="259"/>
      <c r="BD31" s="234"/>
      <c r="BE31" s="234"/>
      <c r="BF31" s="234"/>
      <c r="BG31" s="234"/>
      <c r="BH31" s="234"/>
      <c r="BI31" s="234">
        <v>0</v>
      </c>
      <c r="BJ31" s="234"/>
      <c r="BK31" s="284"/>
      <c r="BL31" s="295" t="s">
        <v>159</v>
      </c>
      <c r="BM31" s="285"/>
      <c r="BN31" s="294"/>
      <c r="BO31" s="232">
        <v>59</v>
      </c>
      <c r="BP31" s="232">
        <v>2648</v>
      </c>
      <c r="BQ31" s="232">
        <v>2500</v>
      </c>
    </row>
    <row r="32" spans="2:69" ht="16.5" thickBot="1" x14ac:dyDescent="0.3">
      <c r="B32" s="282" t="s">
        <v>180</v>
      </c>
      <c r="C32" s="249" t="s">
        <v>181</v>
      </c>
      <c r="D32" s="300" t="s">
        <v>182</v>
      </c>
      <c r="E32" s="301">
        <v>133424</v>
      </c>
      <c r="F32" s="302">
        <v>1762400</v>
      </c>
      <c r="G32" s="303"/>
      <c r="H32" s="304">
        <v>62165</v>
      </c>
      <c r="I32" s="565">
        <v>250</v>
      </c>
      <c r="J32" s="304"/>
      <c r="K32" s="304"/>
      <c r="L32" s="304"/>
      <c r="M32" s="305"/>
      <c r="N32" s="302">
        <v>2104000</v>
      </c>
      <c r="O32" s="303"/>
      <c r="P32" s="304"/>
      <c r="Q32" s="304"/>
      <c r="R32" s="304"/>
      <c r="S32" s="304"/>
      <c r="T32" s="304"/>
      <c r="U32" s="305"/>
      <c r="V32" s="287">
        <v>2053600</v>
      </c>
      <c r="W32" s="306"/>
      <c r="X32" s="255">
        <v>75064</v>
      </c>
      <c r="Y32" s="232"/>
      <c r="Z32" s="232"/>
      <c r="AA32" s="232"/>
      <c r="AB32" s="306">
        <v>2065600</v>
      </c>
      <c r="AC32" s="306"/>
      <c r="AD32" s="255">
        <v>78052</v>
      </c>
      <c r="AE32" s="232"/>
      <c r="AF32" s="191"/>
      <c r="AG32" s="232"/>
      <c r="AH32" s="232"/>
      <c r="AI32" s="306">
        <v>2085600</v>
      </c>
      <c r="AJ32" s="255">
        <v>67194</v>
      </c>
      <c r="AK32" s="232"/>
      <c r="AL32" s="191"/>
      <c r="AM32" s="232"/>
      <c r="AN32" s="306">
        <v>1932000</v>
      </c>
      <c r="AO32" s="255">
        <v>70000</v>
      </c>
      <c r="AP32" s="241"/>
      <c r="AQ32" s="241"/>
      <c r="AR32" s="232"/>
      <c r="AS32" s="307">
        <v>2044800</v>
      </c>
      <c r="AT32" s="255">
        <v>67427</v>
      </c>
      <c r="AU32" s="241"/>
      <c r="AV32" s="241" t="s">
        <v>128</v>
      </c>
      <c r="AW32" s="232"/>
      <c r="AX32" s="191"/>
      <c r="AY32" s="282" t="s">
        <v>180</v>
      </c>
      <c r="AZ32" s="231" t="s">
        <v>181</v>
      </c>
      <c r="BA32" s="308" t="s">
        <v>182</v>
      </c>
      <c r="BB32" s="306">
        <v>120000</v>
      </c>
      <c r="BC32" s="259" t="s">
        <v>183</v>
      </c>
      <c r="BD32" s="234"/>
      <c r="BE32" s="234"/>
      <c r="BF32" s="234"/>
      <c r="BG32" s="234">
        <v>44855</v>
      </c>
      <c r="BH32" s="234"/>
      <c r="BI32" s="234">
        <v>0</v>
      </c>
      <c r="BJ32" s="234"/>
      <c r="BK32" s="284">
        <v>68568</v>
      </c>
      <c r="BL32" s="295" t="s">
        <v>159</v>
      </c>
      <c r="BM32" s="285"/>
      <c r="BN32" s="309"/>
      <c r="BO32" s="232">
        <v>2298720</v>
      </c>
      <c r="BP32" s="310">
        <v>2068800</v>
      </c>
      <c r="BQ32" s="311">
        <v>2210000</v>
      </c>
    </row>
    <row r="33" spans="2:69" ht="16.5" thickBot="1" x14ac:dyDescent="0.3">
      <c r="B33" s="282" t="s">
        <v>184</v>
      </c>
      <c r="C33" s="249" t="s">
        <v>185</v>
      </c>
      <c r="D33" s="249" t="s">
        <v>186</v>
      </c>
      <c r="E33" s="262">
        <v>19784</v>
      </c>
      <c r="F33" s="263">
        <v>59436</v>
      </c>
      <c r="G33" s="268"/>
      <c r="H33" s="269">
        <v>5756.1</v>
      </c>
      <c r="I33" s="561"/>
      <c r="J33" s="270"/>
      <c r="K33" s="270"/>
      <c r="L33" s="270"/>
      <c r="M33" s="265"/>
      <c r="N33" s="263">
        <v>42264</v>
      </c>
      <c r="O33" s="268" t="s">
        <v>187</v>
      </c>
      <c r="P33" s="269">
        <v>9068</v>
      </c>
      <c r="Q33" s="270" t="s">
        <v>128</v>
      </c>
      <c r="R33" s="270"/>
      <c r="S33" s="270"/>
      <c r="T33" s="270"/>
      <c r="U33" s="265"/>
      <c r="V33" s="234">
        <v>37296</v>
      </c>
      <c r="W33" s="272" t="s">
        <v>187</v>
      </c>
      <c r="X33" s="255">
        <v>12568</v>
      </c>
      <c r="Y33" s="232"/>
      <c r="Z33" s="232"/>
      <c r="AA33" s="232"/>
      <c r="AB33" s="232">
        <v>26694</v>
      </c>
      <c r="AC33" s="272" t="s">
        <v>187</v>
      </c>
      <c r="AD33" s="255">
        <v>14753</v>
      </c>
      <c r="AE33" s="232"/>
      <c r="AF33" s="191"/>
      <c r="AG33" s="232"/>
      <c r="AH33" s="232"/>
      <c r="AI33" s="232">
        <v>30726</v>
      </c>
      <c r="AJ33" s="255">
        <v>11749</v>
      </c>
      <c r="AK33" s="232"/>
      <c r="AL33" s="191"/>
      <c r="AM33" s="232"/>
      <c r="AN33" s="232"/>
      <c r="AO33" s="255">
        <v>13868</v>
      </c>
      <c r="AP33" s="241"/>
      <c r="AQ33" s="241"/>
      <c r="AR33" s="232"/>
      <c r="AS33" s="293">
        <v>12000</v>
      </c>
      <c r="AT33" s="255">
        <v>13472</v>
      </c>
      <c r="AU33" s="241"/>
      <c r="AV33" s="241" t="s">
        <v>128</v>
      </c>
      <c r="AW33" s="232"/>
      <c r="AX33" s="191"/>
      <c r="AY33" s="282" t="s">
        <v>184</v>
      </c>
      <c r="AZ33" s="231" t="s">
        <v>185</v>
      </c>
      <c r="BA33" s="231" t="s">
        <v>186</v>
      </c>
      <c r="BB33" s="232">
        <v>16000</v>
      </c>
      <c r="BC33" s="259">
        <v>10000</v>
      </c>
      <c r="BD33" s="234"/>
      <c r="BE33" s="234"/>
      <c r="BF33" s="234"/>
      <c r="BG33" s="234">
        <v>9371</v>
      </c>
      <c r="BH33" s="234"/>
      <c r="BI33" s="234">
        <v>0</v>
      </c>
      <c r="BJ33" s="234"/>
      <c r="BK33" s="284">
        <v>10419</v>
      </c>
      <c r="BL33" s="295" t="s">
        <v>159</v>
      </c>
      <c r="BM33" s="285"/>
      <c r="BN33" s="294"/>
      <c r="BO33" s="232">
        <v>39708</v>
      </c>
      <c r="BP33" s="232">
        <v>36081</v>
      </c>
      <c r="BQ33" s="232">
        <v>30141</v>
      </c>
    </row>
    <row r="34" spans="2:69" x14ac:dyDescent="0.25">
      <c r="B34" s="282" t="s">
        <v>188</v>
      </c>
      <c r="C34" s="249" t="s">
        <v>189</v>
      </c>
      <c r="D34" s="249" t="s">
        <v>190</v>
      </c>
      <c r="E34" s="262">
        <v>96382</v>
      </c>
      <c r="F34" s="263"/>
      <c r="G34" s="264"/>
      <c r="H34" s="233"/>
      <c r="I34" s="560"/>
      <c r="J34" s="233"/>
      <c r="K34" s="233"/>
      <c r="L34" s="233"/>
      <c r="M34" s="265"/>
      <c r="N34" s="263">
        <v>0</v>
      </c>
      <c r="O34" s="264"/>
      <c r="P34" s="233"/>
      <c r="Q34" s="233">
        <v>0</v>
      </c>
      <c r="R34" s="233"/>
      <c r="S34" s="233"/>
      <c r="T34" s="233"/>
      <c r="U34" s="265"/>
      <c r="V34" s="234" t="s">
        <v>191</v>
      </c>
      <c r="W34" s="232"/>
      <c r="X34" s="255" t="s">
        <v>191</v>
      </c>
      <c r="Y34" s="232"/>
      <c r="Z34" s="232"/>
      <c r="AA34" s="232"/>
      <c r="AB34" s="232">
        <v>1250800</v>
      </c>
      <c r="AC34" s="232"/>
      <c r="AD34" s="255"/>
      <c r="AE34" s="232"/>
      <c r="AF34" s="191"/>
      <c r="AG34" s="232"/>
      <c r="AH34" s="232"/>
      <c r="AI34" s="232">
        <v>1339200</v>
      </c>
      <c r="AJ34" s="255">
        <v>21999</v>
      </c>
      <c r="AK34" s="232">
        <v>0</v>
      </c>
      <c r="AL34" s="191"/>
      <c r="AM34" s="232"/>
      <c r="AN34" s="232">
        <v>1485600</v>
      </c>
      <c r="AO34" s="258">
        <v>26575</v>
      </c>
      <c r="AP34" s="241"/>
      <c r="AQ34" s="241"/>
      <c r="AR34" s="232"/>
      <c r="AS34" s="293">
        <v>1403600</v>
      </c>
      <c r="AT34" s="258" t="s">
        <v>149</v>
      </c>
      <c r="AU34" s="241"/>
      <c r="AV34" s="241" t="s">
        <v>128</v>
      </c>
      <c r="AW34" s="232"/>
      <c r="AX34" s="191"/>
      <c r="AY34" s="282" t="s">
        <v>192</v>
      </c>
      <c r="AZ34" s="231" t="s">
        <v>189</v>
      </c>
      <c r="BA34" s="231" t="s">
        <v>190</v>
      </c>
      <c r="BB34" s="232">
        <v>75000</v>
      </c>
      <c r="BC34" s="259">
        <v>23876</v>
      </c>
      <c r="BD34" s="234">
        <v>500</v>
      </c>
      <c r="BE34" s="234"/>
      <c r="BF34" s="234"/>
      <c r="BG34" s="234">
        <v>31080</v>
      </c>
      <c r="BH34" s="234"/>
      <c r="BI34" s="234">
        <v>0</v>
      </c>
      <c r="BJ34" s="234"/>
      <c r="BK34" s="234">
        <v>15997</v>
      </c>
      <c r="BL34" s="295" t="s">
        <v>159</v>
      </c>
      <c r="BM34" s="285"/>
      <c r="BN34" s="294"/>
      <c r="BO34" s="232">
        <v>1342400</v>
      </c>
      <c r="BP34" s="232">
        <v>1467600</v>
      </c>
      <c r="BQ34" s="232">
        <v>1597820</v>
      </c>
    </row>
    <row r="35" spans="2:69" x14ac:dyDescent="0.25">
      <c r="B35" s="282" t="s">
        <v>193</v>
      </c>
      <c r="C35" s="249"/>
      <c r="D35" s="249"/>
      <c r="E35" s="262" t="s">
        <v>191</v>
      </c>
      <c r="F35" s="263"/>
      <c r="G35" s="264"/>
      <c r="H35" s="233"/>
      <c r="I35" s="560"/>
      <c r="J35" s="233"/>
      <c r="K35" s="233"/>
      <c r="L35" s="233"/>
      <c r="M35" s="265"/>
      <c r="N35" s="263">
        <v>0</v>
      </c>
      <c r="O35" s="264"/>
      <c r="P35" s="233"/>
      <c r="Q35" s="233"/>
      <c r="R35" s="233"/>
      <c r="S35" s="233"/>
      <c r="T35" s="233"/>
      <c r="U35" s="265"/>
      <c r="V35" s="234" t="s">
        <v>191</v>
      </c>
      <c r="W35" s="232"/>
      <c r="X35" s="255" t="s">
        <v>191</v>
      </c>
      <c r="Y35" s="232"/>
      <c r="Z35" s="232"/>
      <c r="AA35" s="232"/>
      <c r="AB35" s="232">
        <v>24849</v>
      </c>
      <c r="AC35" s="232"/>
      <c r="AD35" s="255">
        <v>60053</v>
      </c>
      <c r="AE35" s="232"/>
      <c r="AF35" s="191"/>
      <c r="AG35" s="232"/>
      <c r="AH35" s="232"/>
      <c r="AI35" s="232">
        <v>32508</v>
      </c>
      <c r="AJ35" s="258">
        <v>9698</v>
      </c>
      <c r="AK35" s="232"/>
      <c r="AL35" s="191"/>
      <c r="AM35" s="232"/>
      <c r="AN35" s="232" t="s">
        <v>128</v>
      </c>
      <c r="AO35" s="258" t="s">
        <v>128</v>
      </c>
      <c r="AP35" s="241"/>
      <c r="AQ35" s="241"/>
      <c r="AR35" s="232"/>
      <c r="AS35" s="294"/>
      <c r="AT35" s="258"/>
      <c r="AU35" s="241"/>
      <c r="AV35" s="241" t="s">
        <v>128</v>
      </c>
      <c r="AW35" s="232"/>
      <c r="AX35" s="191"/>
      <c r="AY35" s="282" t="s">
        <v>193</v>
      </c>
      <c r="AZ35" s="231"/>
      <c r="BA35" s="231"/>
      <c r="BB35" s="232"/>
      <c r="BC35" s="259"/>
      <c r="BD35" s="234"/>
      <c r="BE35" s="234"/>
      <c r="BF35" s="234"/>
      <c r="BG35" s="234"/>
      <c r="BH35" s="234"/>
      <c r="BI35" s="234"/>
      <c r="BJ35" s="234"/>
      <c r="BK35" s="284"/>
      <c r="BL35" s="232"/>
      <c r="BM35" s="285"/>
      <c r="BN35" s="294"/>
      <c r="BO35" s="232"/>
      <c r="BP35" s="232"/>
      <c r="BQ35" s="232"/>
    </row>
    <row r="36" spans="2:69" x14ac:dyDescent="0.25">
      <c r="B36" s="282" t="s">
        <v>194</v>
      </c>
      <c r="C36" s="249"/>
      <c r="D36" s="249"/>
      <c r="E36" s="262"/>
      <c r="F36" s="263"/>
      <c r="G36" s="264"/>
      <c r="H36" s="233"/>
      <c r="I36" s="560"/>
      <c r="J36" s="233"/>
      <c r="K36" s="233"/>
      <c r="L36" s="233"/>
      <c r="M36" s="265"/>
      <c r="N36" s="263">
        <v>0</v>
      </c>
      <c r="O36" s="264"/>
      <c r="P36" s="233"/>
      <c r="Q36" s="233"/>
      <c r="R36" s="233"/>
      <c r="S36" s="233"/>
      <c r="T36" s="233"/>
      <c r="U36" s="265"/>
      <c r="V36" s="234" t="s">
        <v>191</v>
      </c>
      <c r="W36" s="232"/>
      <c r="X36" s="258" t="s">
        <v>191</v>
      </c>
      <c r="Y36" s="232"/>
      <c r="Z36" s="232"/>
      <c r="AA36" s="232"/>
      <c r="AB36" s="232">
        <v>35520</v>
      </c>
      <c r="AC36" s="232"/>
      <c r="AD36" s="258"/>
      <c r="AE36" s="232"/>
      <c r="AF36" s="191"/>
      <c r="AG36" s="232"/>
      <c r="AH36" s="232"/>
      <c r="AI36" s="232"/>
      <c r="AJ36" s="258"/>
      <c r="AK36" s="232"/>
      <c r="AL36" s="191"/>
      <c r="AM36" s="232"/>
      <c r="AN36" s="232"/>
      <c r="AO36" s="258"/>
      <c r="AP36" s="241"/>
      <c r="AQ36" s="241"/>
      <c r="AR36" s="232"/>
      <c r="AS36" s="294"/>
      <c r="AT36" s="258"/>
      <c r="AU36" s="241"/>
      <c r="AV36" s="241"/>
      <c r="AW36" s="232"/>
      <c r="AX36" s="191"/>
      <c r="AY36" s="282"/>
      <c r="AZ36" s="231"/>
      <c r="BA36" s="231"/>
      <c r="BB36" s="232"/>
      <c r="BC36" s="259"/>
      <c r="BD36" s="234"/>
      <c r="BE36" s="234"/>
      <c r="BF36" s="234"/>
      <c r="BG36" s="234"/>
      <c r="BH36" s="234"/>
      <c r="BI36" s="234"/>
      <c r="BJ36" s="234"/>
      <c r="BK36" s="284"/>
      <c r="BL36" s="232"/>
      <c r="BM36" s="285"/>
      <c r="BN36" s="294"/>
      <c r="BO36" s="232"/>
      <c r="BP36" s="232"/>
      <c r="BQ36" s="232"/>
    </row>
    <row r="37" spans="2:69" x14ac:dyDescent="0.25">
      <c r="B37" s="282" t="s">
        <v>195</v>
      </c>
      <c r="C37" s="249"/>
      <c r="D37" s="249"/>
      <c r="E37" s="262"/>
      <c r="F37" s="263">
        <v>1193989</v>
      </c>
      <c r="G37" s="264"/>
      <c r="H37" s="233">
        <v>24126</v>
      </c>
      <c r="I37" s="560">
        <v>600</v>
      </c>
      <c r="J37" s="233"/>
      <c r="K37" s="233"/>
      <c r="L37" s="233"/>
      <c r="M37" s="265"/>
      <c r="N37" s="263">
        <v>1303642</v>
      </c>
      <c r="O37" s="264"/>
      <c r="P37" s="233">
        <v>28770</v>
      </c>
      <c r="Q37" s="233">
        <v>250</v>
      </c>
      <c r="R37" s="233"/>
      <c r="S37" s="233"/>
      <c r="T37" s="233"/>
      <c r="U37" s="265"/>
      <c r="V37" s="234">
        <v>1284570</v>
      </c>
      <c r="W37" s="232"/>
      <c r="X37" s="255">
        <v>50000</v>
      </c>
      <c r="Y37" s="232"/>
      <c r="Z37" s="232"/>
      <c r="AA37" s="232"/>
      <c r="AB37" s="232"/>
      <c r="AC37" s="232"/>
      <c r="AD37" s="258"/>
      <c r="AE37" s="232"/>
      <c r="AF37" s="191"/>
      <c r="AG37" s="232"/>
      <c r="AH37" s="232"/>
      <c r="AI37" s="232"/>
      <c r="AJ37" s="258"/>
      <c r="AK37" s="232"/>
      <c r="AL37" s="191"/>
      <c r="AM37" s="232"/>
      <c r="AN37" s="232"/>
      <c r="AO37" s="258"/>
      <c r="AP37" s="241"/>
      <c r="AQ37" s="241"/>
      <c r="AR37" s="232"/>
      <c r="AS37" s="294"/>
      <c r="AT37" s="258"/>
      <c r="AU37" s="241"/>
      <c r="AV37" s="241"/>
      <c r="AW37" s="232"/>
      <c r="AX37" s="191"/>
      <c r="AY37" s="282"/>
      <c r="AZ37" s="231"/>
      <c r="BA37" s="231"/>
      <c r="BB37" s="232"/>
      <c r="BC37" s="259"/>
      <c r="BD37" s="234"/>
      <c r="BE37" s="234"/>
      <c r="BF37" s="234"/>
      <c r="BG37" s="234"/>
      <c r="BH37" s="234"/>
      <c r="BI37" s="234"/>
      <c r="BJ37" s="234"/>
      <c r="BK37" s="284"/>
      <c r="BL37" s="232"/>
      <c r="BM37" s="285"/>
      <c r="BN37" s="294"/>
      <c r="BO37" s="232"/>
      <c r="BP37" s="232"/>
      <c r="BQ37" s="232"/>
    </row>
    <row r="38" spans="2:69" x14ac:dyDescent="0.25">
      <c r="B38" s="282" t="s">
        <v>196</v>
      </c>
      <c r="C38" s="249" t="s">
        <v>197</v>
      </c>
      <c r="D38" s="249" t="s">
        <v>198</v>
      </c>
      <c r="E38" s="262">
        <v>74532</v>
      </c>
      <c r="F38" s="263">
        <v>530400</v>
      </c>
      <c r="G38" s="264"/>
      <c r="H38" s="233">
        <v>2261.9</v>
      </c>
      <c r="I38" s="560"/>
      <c r="J38" s="233"/>
      <c r="K38" s="233"/>
      <c r="L38" s="233"/>
      <c r="M38" s="265"/>
      <c r="N38" s="263">
        <v>512000</v>
      </c>
      <c r="O38" s="264"/>
      <c r="P38" s="233"/>
      <c r="Q38" s="233" t="s">
        <v>128</v>
      </c>
      <c r="R38" s="233"/>
      <c r="S38" s="233"/>
      <c r="T38" s="233"/>
      <c r="U38" s="265"/>
      <c r="V38" s="234">
        <v>479840</v>
      </c>
      <c r="W38" s="232"/>
      <c r="X38" s="258">
        <v>1748</v>
      </c>
      <c r="Y38" s="232"/>
      <c r="Z38" s="232"/>
      <c r="AA38" s="232"/>
      <c r="AB38" s="232">
        <v>489280</v>
      </c>
      <c r="AC38" s="232"/>
      <c r="AD38" s="258">
        <v>1748</v>
      </c>
      <c r="AE38" s="232"/>
      <c r="AF38" s="191"/>
      <c r="AG38" s="232"/>
      <c r="AH38" s="232"/>
      <c r="AI38" s="232">
        <v>531840</v>
      </c>
      <c r="AJ38" s="258">
        <v>1105</v>
      </c>
      <c r="AK38" s="232"/>
      <c r="AL38" s="191">
        <v>34251</v>
      </c>
      <c r="AM38" s="232"/>
      <c r="AN38" s="232">
        <v>563200</v>
      </c>
      <c r="AO38" s="255">
        <v>1500</v>
      </c>
      <c r="AP38" s="241"/>
      <c r="AQ38" s="241">
        <v>1526</v>
      </c>
      <c r="AR38" s="232"/>
      <c r="AS38" s="293">
        <v>556480</v>
      </c>
      <c r="AT38" s="258">
        <v>1573</v>
      </c>
      <c r="AU38" s="241"/>
      <c r="AV38" s="241">
        <v>34383</v>
      </c>
      <c r="AW38" s="232"/>
      <c r="AX38" s="191"/>
      <c r="AY38" s="282" t="s">
        <v>196</v>
      </c>
      <c r="AZ38" s="231" t="s">
        <v>197</v>
      </c>
      <c r="BA38" s="231" t="s">
        <v>198</v>
      </c>
      <c r="BB38" s="232">
        <v>66000</v>
      </c>
      <c r="BC38" s="259">
        <v>1686</v>
      </c>
      <c r="BD38" s="234"/>
      <c r="BE38" s="234"/>
      <c r="BF38" s="234"/>
      <c r="BG38" s="234">
        <v>1591</v>
      </c>
      <c r="BH38" s="234"/>
      <c r="BI38" s="234">
        <v>64129</v>
      </c>
      <c r="BJ38" s="234"/>
      <c r="BK38" s="284">
        <v>1540</v>
      </c>
      <c r="BL38" s="232">
        <v>70788</v>
      </c>
      <c r="BM38" s="285"/>
      <c r="BN38" s="294"/>
      <c r="BO38" s="232">
        <v>533600</v>
      </c>
      <c r="BP38" s="232">
        <v>558880</v>
      </c>
      <c r="BQ38" s="232">
        <v>586560</v>
      </c>
    </row>
    <row r="39" spans="2:69" x14ac:dyDescent="0.25">
      <c r="B39" s="282" t="s">
        <v>199</v>
      </c>
      <c r="C39" s="249"/>
      <c r="D39" s="249"/>
      <c r="E39" s="262">
        <v>5000</v>
      </c>
      <c r="F39" s="263"/>
      <c r="G39" s="264"/>
      <c r="H39" s="233"/>
      <c r="I39" s="560"/>
      <c r="J39" s="233"/>
      <c r="K39" s="233"/>
      <c r="L39" s="233"/>
      <c r="M39" s="265"/>
      <c r="N39" s="263" t="s">
        <v>128</v>
      </c>
      <c r="O39" s="264"/>
      <c r="P39" s="233"/>
      <c r="Q39" s="233" t="s">
        <v>128</v>
      </c>
      <c r="R39" s="233"/>
      <c r="S39" s="233"/>
      <c r="T39" s="233"/>
      <c r="U39" s="265"/>
      <c r="V39" s="234"/>
      <c r="W39" s="232"/>
      <c r="X39" s="258" t="s">
        <v>128</v>
      </c>
      <c r="Y39" s="232"/>
      <c r="Z39" s="232"/>
      <c r="AA39" s="232"/>
      <c r="AB39" s="232"/>
      <c r="AC39" s="232"/>
      <c r="AD39" s="258" t="s">
        <v>128</v>
      </c>
      <c r="AE39" s="232"/>
      <c r="AF39" s="191"/>
      <c r="AG39" s="232"/>
      <c r="AH39" s="232"/>
      <c r="AI39" s="232"/>
      <c r="AJ39" s="258" t="s">
        <v>128</v>
      </c>
      <c r="AK39" s="232"/>
      <c r="AL39" s="191"/>
      <c r="AM39" s="232"/>
      <c r="AN39" s="232"/>
      <c r="AO39" s="258"/>
      <c r="AP39" s="241"/>
      <c r="AQ39" s="241"/>
      <c r="AR39" s="232"/>
      <c r="AS39" s="294"/>
      <c r="AT39" s="258" t="s">
        <v>128</v>
      </c>
      <c r="AU39" s="241"/>
      <c r="AV39" s="241"/>
      <c r="AW39" s="232"/>
      <c r="AX39" s="191"/>
      <c r="AY39" s="282" t="s">
        <v>199</v>
      </c>
      <c r="AZ39" s="231"/>
      <c r="BA39" s="231"/>
      <c r="BB39" s="232">
        <v>3000</v>
      </c>
      <c r="BC39" s="259"/>
      <c r="BD39" s="234"/>
      <c r="BE39" s="234"/>
      <c r="BF39" s="234"/>
      <c r="BG39" s="234"/>
      <c r="BH39" s="234"/>
      <c r="BI39" s="234"/>
      <c r="BJ39" s="234"/>
      <c r="BK39" s="284"/>
      <c r="BL39" s="232"/>
      <c r="BM39" s="285"/>
      <c r="BN39" s="294"/>
      <c r="BO39" s="232"/>
      <c r="BP39" s="232"/>
      <c r="BQ39" s="232"/>
    </row>
    <row r="40" spans="2:69" x14ac:dyDescent="0.25">
      <c r="B40" s="282" t="s">
        <v>200</v>
      </c>
      <c r="C40" s="249" t="s">
        <v>201</v>
      </c>
      <c r="D40" s="249" t="s">
        <v>202</v>
      </c>
      <c r="E40" s="262">
        <v>15479</v>
      </c>
      <c r="F40" s="263">
        <v>315200</v>
      </c>
      <c r="G40" s="264"/>
      <c r="H40" s="233">
        <v>13421</v>
      </c>
      <c r="I40" s="560"/>
      <c r="J40" s="233"/>
      <c r="K40" s="233"/>
      <c r="L40" s="233"/>
      <c r="M40" s="265"/>
      <c r="N40" s="263">
        <v>339200</v>
      </c>
      <c r="O40" s="264"/>
      <c r="P40" s="233"/>
      <c r="Q40" s="233" t="s">
        <v>128</v>
      </c>
      <c r="R40" s="233"/>
      <c r="S40" s="233"/>
      <c r="T40" s="233"/>
      <c r="U40" s="265"/>
      <c r="V40" s="234">
        <v>314720</v>
      </c>
      <c r="W40" s="232"/>
      <c r="X40" s="255">
        <v>10700</v>
      </c>
      <c r="Y40" s="232"/>
      <c r="Z40" s="232"/>
      <c r="AA40" s="232"/>
      <c r="AB40" s="232">
        <v>302400</v>
      </c>
      <c r="AC40" s="232"/>
      <c r="AD40" s="255">
        <v>8341</v>
      </c>
      <c r="AE40" s="232"/>
      <c r="AF40" s="191"/>
      <c r="AG40" s="232"/>
      <c r="AH40" s="232"/>
      <c r="AI40" s="232">
        <v>269280</v>
      </c>
      <c r="AJ40" s="255">
        <v>7851</v>
      </c>
      <c r="AK40" s="232"/>
      <c r="AL40" s="191"/>
      <c r="AM40" s="232"/>
      <c r="AN40" s="232">
        <v>261280</v>
      </c>
      <c r="AO40" s="255">
        <v>7000</v>
      </c>
      <c r="AP40" s="241"/>
      <c r="AQ40" s="241"/>
      <c r="AR40" s="232"/>
      <c r="AS40" s="293">
        <v>71920</v>
      </c>
      <c r="AT40" s="255">
        <v>6467</v>
      </c>
      <c r="AU40" s="241"/>
      <c r="AV40" s="241"/>
      <c r="AW40" s="232"/>
      <c r="AX40" s="191"/>
      <c r="AY40" s="282" t="s">
        <v>200</v>
      </c>
      <c r="AZ40" s="231" t="s">
        <v>201</v>
      </c>
      <c r="BA40" s="231" t="s">
        <v>202</v>
      </c>
      <c r="BB40" s="232">
        <v>15000</v>
      </c>
      <c r="BC40" s="259">
        <v>3207</v>
      </c>
      <c r="BD40" s="234"/>
      <c r="BE40" s="234"/>
      <c r="BF40" s="234"/>
      <c r="BG40" s="234">
        <v>2659</v>
      </c>
      <c r="BH40" s="234"/>
      <c r="BI40" s="234">
        <v>0</v>
      </c>
      <c r="BJ40" s="234"/>
      <c r="BK40" s="284">
        <v>3510</v>
      </c>
      <c r="BL40" s="232" t="s">
        <v>159</v>
      </c>
      <c r="BM40" s="285"/>
      <c r="BN40" s="294"/>
      <c r="BO40" s="232">
        <v>164960</v>
      </c>
      <c r="BP40" s="232">
        <v>146400</v>
      </c>
      <c r="BQ40" s="232">
        <v>109760</v>
      </c>
    </row>
    <row r="41" spans="2:69" ht="16.5" thickBot="1" x14ac:dyDescent="0.3">
      <c r="B41" s="282" t="s">
        <v>203</v>
      </c>
      <c r="C41" s="300" t="s">
        <v>204</v>
      </c>
      <c r="D41" s="312" t="s">
        <v>205</v>
      </c>
      <c r="E41" s="262">
        <v>79756</v>
      </c>
      <c r="F41" s="263">
        <v>551600</v>
      </c>
      <c r="G41" s="268"/>
      <c r="H41" s="269">
        <v>1553.8999999999999</v>
      </c>
      <c r="I41" s="561"/>
      <c r="J41" s="270"/>
      <c r="K41" s="270"/>
      <c r="L41" s="270"/>
      <c r="M41" s="265"/>
      <c r="N41" s="263">
        <v>746800</v>
      </c>
      <c r="O41" s="268" t="s">
        <v>206</v>
      </c>
      <c r="P41" s="269">
        <v>4561</v>
      </c>
      <c r="Q41" s="270" t="s">
        <v>385</v>
      </c>
      <c r="R41" s="270"/>
      <c r="S41" s="270"/>
      <c r="T41" s="270"/>
      <c r="U41" s="265"/>
      <c r="V41" s="234">
        <v>832400</v>
      </c>
      <c r="W41" s="272" t="s">
        <v>206</v>
      </c>
      <c r="X41" s="255">
        <v>4537</v>
      </c>
      <c r="Y41" s="232"/>
      <c r="Z41" s="232"/>
      <c r="AA41" s="232"/>
      <c r="AB41" s="232">
        <v>876000</v>
      </c>
      <c r="AC41" s="272" t="s">
        <v>206</v>
      </c>
      <c r="AD41" s="255">
        <v>4429</v>
      </c>
      <c r="AE41" s="232"/>
      <c r="AG41" s="232"/>
      <c r="AH41" s="232"/>
      <c r="AI41" s="232">
        <v>925600</v>
      </c>
      <c r="AJ41" s="255">
        <v>4919</v>
      </c>
      <c r="AK41" s="232"/>
      <c r="AL41" s="190">
        <v>37230</v>
      </c>
      <c r="AM41" s="232"/>
      <c r="AN41" s="232">
        <v>944800</v>
      </c>
      <c r="AO41" s="255">
        <v>6906</v>
      </c>
      <c r="AP41" s="241"/>
      <c r="AQ41" s="241">
        <v>1659</v>
      </c>
      <c r="AR41" s="232"/>
      <c r="AS41" s="313">
        <v>926400</v>
      </c>
      <c r="AT41" s="255">
        <v>7373</v>
      </c>
      <c r="AU41" s="241"/>
      <c r="AV41" s="241">
        <v>37373</v>
      </c>
      <c r="AW41" s="232"/>
      <c r="AX41" s="191"/>
      <c r="AY41" s="282" t="s">
        <v>203</v>
      </c>
      <c r="AZ41" s="308" t="s">
        <v>204</v>
      </c>
      <c r="BA41" s="314" t="s">
        <v>205</v>
      </c>
      <c r="BB41" s="232">
        <v>75000</v>
      </c>
      <c r="BC41" s="259">
        <v>7394</v>
      </c>
      <c r="BD41" s="234"/>
      <c r="BG41" s="234">
        <v>6479</v>
      </c>
      <c r="BH41" s="234"/>
      <c r="BI41" s="234">
        <v>69705</v>
      </c>
      <c r="BJ41" s="234"/>
      <c r="BK41" s="284">
        <v>7262</v>
      </c>
      <c r="BL41" s="232">
        <v>77030</v>
      </c>
      <c r="BM41" s="285"/>
      <c r="BN41" s="315"/>
      <c r="BO41" s="232">
        <v>1003200</v>
      </c>
      <c r="BP41" s="191">
        <v>1030800</v>
      </c>
      <c r="BQ41" s="191">
        <v>989200</v>
      </c>
    </row>
    <row r="42" spans="2:69" x14ac:dyDescent="0.25">
      <c r="B42" s="282" t="s">
        <v>207</v>
      </c>
      <c r="C42" s="249" t="s">
        <v>208</v>
      </c>
      <c r="D42" s="249" t="s">
        <v>209</v>
      </c>
      <c r="E42" s="262">
        <v>114000</v>
      </c>
      <c r="F42" s="263">
        <v>987200</v>
      </c>
      <c r="G42" s="264"/>
      <c r="H42" s="233" t="s">
        <v>128</v>
      </c>
      <c r="I42" s="560"/>
      <c r="J42" s="233"/>
      <c r="K42" s="233"/>
      <c r="L42" s="233"/>
      <c r="M42" s="265"/>
      <c r="N42" s="263">
        <v>992800</v>
      </c>
      <c r="O42" s="264"/>
      <c r="P42" s="233"/>
      <c r="Q42" s="233" t="s">
        <v>128</v>
      </c>
      <c r="R42" s="233"/>
      <c r="S42" s="233"/>
      <c r="T42" s="233"/>
      <c r="U42" s="265"/>
      <c r="V42" s="234">
        <v>958000</v>
      </c>
      <c r="W42" s="232"/>
      <c r="X42" s="258" t="s">
        <v>128</v>
      </c>
      <c r="Y42" s="232"/>
      <c r="Z42" s="232"/>
      <c r="AA42" s="232"/>
      <c r="AB42" s="232">
        <v>900400</v>
      </c>
      <c r="AC42" s="232"/>
      <c r="AD42" s="258" t="s">
        <v>128</v>
      </c>
      <c r="AE42" s="232"/>
      <c r="AF42" s="191"/>
      <c r="AG42" s="232"/>
      <c r="AH42" s="232"/>
      <c r="AI42" s="232">
        <v>952800</v>
      </c>
      <c r="AJ42" s="258" t="s">
        <v>128</v>
      </c>
      <c r="AK42" s="232"/>
      <c r="AL42" s="191">
        <v>56589</v>
      </c>
      <c r="AM42" s="232"/>
      <c r="AN42" s="232">
        <v>938400</v>
      </c>
      <c r="AO42" s="258" t="s">
        <v>128</v>
      </c>
      <c r="AP42" s="241"/>
      <c r="AQ42" s="241">
        <v>2521</v>
      </c>
      <c r="AR42" s="232"/>
      <c r="AS42" s="293">
        <v>932000</v>
      </c>
      <c r="AT42" s="258">
        <v>0</v>
      </c>
      <c r="AU42" s="241"/>
      <c r="AV42" s="241">
        <v>56806</v>
      </c>
      <c r="AW42" s="232"/>
      <c r="AX42" s="191"/>
      <c r="AY42" s="282" t="s">
        <v>207</v>
      </c>
      <c r="AZ42" s="231" t="s">
        <v>208</v>
      </c>
      <c r="BA42" s="231" t="s">
        <v>209</v>
      </c>
      <c r="BB42" s="232">
        <v>114000</v>
      </c>
      <c r="BC42" s="259"/>
      <c r="BD42" s="234"/>
      <c r="BE42" s="234"/>
      <c r="BF42" s="234"/>
      <c r="BG42" s="234"/>
      <c r="BH42" s="234"/>
      <c r="BI42" s="234">
        <v>105952</v>
      </c>
      <c r="BJ42" s="234"/>
      <c r="BK42" s="284"/>
      <c r="BL42" s="232">
        <v>116605</v>
      </c>
      <c r="BM42" s="285"/>
      <c r="BN42" s="294"/>
      <c r="BO42" s="232">
        <v>754800</v>
      </c>
      <c r="BP42" s="232">
        <v>881600</v>
      </c>
      <c r="BQ42" s="232">
        <v>886000</v>
      </c>
    </row>
    <row r="43" spans="2:69" ht="16.5" thickBot="1" x14ac:dyDescent="0.3">
      <c r="B43" s="282" t="s">
        <v>210</v>
      </c>
      <c r="C43" s="249"/>
      <c r="D43" s="248"/>
      <c r="E43" s="250">
        <v>28048</v>
      </c>
      <c r="F43" s="251">
        <v>53440</v>
      </c>
      <c r="G43" s="252"/>
      <c r="H43" s="253">
        <v>1780.8000000000004</v>
      </c>
      <c r="I43" s="559"/>
      <c r="J43" s="253"/>
      <c r="K43" s="253"/>
      <c r="L43" s="253"/>
      <c r="M43" s="254"/>
      <c r="N43" s="251">
        <v>57760</v>
      </c>
      <c r="O43" s="252"/>
      <c r="P43" s="253"/>
      <c r="Q43" s="253" t="s">
        <v>128</v>
      </c>
      <c r="R43" s="253"/>
      <c r="S43" s="253"/>
      <c r="T43" s="253"/>
      <c r="U43" s="254"/>
      <c r="V43" s="316">
        <v>57640</v>
      </c>
      <c r="W43" s="22"/>
      <c r="X43" s="255">
        <v>2226</v>
      </c>
      <c r="Y43" s="232"/>
      <c r="Z43" s="232"/>
      <c r="AA43" s="232"/>
      <c r="AB43" s="22">
        <v>54880</v>
      </c>
      <c r="AC43" s="22"/>
      <c r="AD43" s="255">
        <v>2166</v>
      </c>
      <c r="AE43" s="232"/>
      <c r="AF43" s="191"/>
      <c r="AG43" s="232"/>
      <c r="AH43" s="232"/>
      <c r="AI43" s="22">
        <v>71640</v>
      </c>
      <c r="AJ43" s="255">
        <v>1801</v>
      </c>
      <c r="AK43" s="232"/>
      <c r="AL43" s="191">
        <v>8089</v>
      </c>
      <c r="AM43" s="232"/>
      <c r="AN43" s="22">
        <v>96000</v>
      </c>
      <c r="AO43" s="255">
        <v>2400</v>
      </c>
      <c r="AP43" s="241"/>
      <c r="AQ43" s="241">
        <v>360</v>
      </c>
      <c r="AR43" s="232"/>
      <c r="AS43" s="51">
        <v>62960</v>
      </c>
      <c r="AT43" s="255">
        <v>2493</v>
      </c>
      <c r="AU43" s="241"/>
      <c r="AV43" s="241">
        <v>8120</v>
      </c>
      <c r="AW43" s="232"/>
      <c r="AX43" s="191"/>
      <c r="AY43" s="282" t="s">
        <v>210</v>
      </c>
      <c r="AZ43" s="231"/>
      <c r="BA43" s="39"/>
      <c r="BB43" s="22">
        <v>55000</v>
      </c>
      <c r="BC43" s="259">
        <v>515</v>
      </c>
      <c r="BD43" s="234"/>
      <c r="BE43" s="234"/>
      <c r="BF43" s="234"/>
      <c r="BG43" s="234">
        <v>458</v>
      </c>
      <c r="BH43" s="234"/>
      <c r="BI43" s="234">
        <v>15146</v>
      </c>
      <c r="BJ43" s="234"/>
      <c r="BK43" s="284"/>
      <c r="BL43" s="232"/>
      <c r="BM43" s="285"/>
      <c r="BN43" s="41"/>
      <c r="BO43" s="317"/>
      <c r="BP43" s="260">
        <v>61240</v>
      </c>
      <c r="BQ43" s="260">
        <v>36240</v>
      </c>
    </row>
    <row r="44" spans="2:69" ht="16.5" thickBot="1" x14ac:dyDescent="0.3">
      <c r="B44" s="282" t="s">
        <v>211</v>
      </c>
      <c r="C44" s="249"/>
      <c r="D44" s="566">
        <v>622110033200010</v>
      </c>
      <c r="E44" s="318">
        <v>28048</v>
      </c>
      <c r="F44" s="251">
        <v>53440</v>
      </c>
      <c r="G44" s="252"/>
      <c r="H44" s="253">
        <v>1780.8000000000004</v>
      </c>
      <c r="I44" s="559"/>
      <c r="J44" s="253"/>
      <c r="K44" s="253"/>
      <c r="L44" s="253"/>
      <c r="M44" s="319"/>
      <c r="N44" s="251">
        <v>56480</v>
      </c>
      <c r="O44" s="252"/>
      <c r="P44" s="253"/>
      <c r="Q44" s="253" t="s">
        <v>128</v>
      </c>
      <c r="R44" s="253"/>
      <c r="S44" s="253"/>
      <c r="T44" s="253"/>
      <c r="U44" s="319"/>
      <c r="V44" s="53">
        <v>59440</v>
      </c>
      <c r="W44" s="29"/>
      <c r="X44" s="258">
        <v>1024</v>
      </c>
      <c r="Y44" s="232"/>
      <c r="Z44" s="241"/>
      <c r="AA44" s="191"/>
      <c r="AB44" s="29">
        <v>49080</v>
      </c>
      <c r="AC44" s="29"/>
      <c r="AD44" s="258">
        <v>2166</v>
      </c>
      <c r="AE44" s="232"/>
      <c r="AF44" s="191"/>
      <c r="AG44" s="241"/>
      <c r="AH44" s="191"/>
      <c r="AI44" s="29">
        <v>50800</v>
      </c>
      <c r="AJ44" s="258">
        <v>982</v>
      </c>
      <c r="AK44" s="232"/>
      <c r="AL44" s="191">
        <v>8089</v>
      </c>
      <c r="AM44" s="241"/>
      <c r="AN44" s="320">
        <v>95000</v>
      </c>
      <c r="AO44" s="258">
        <v>2400</v>
      </c>
      <c r="AP44" s="241"/>
      <c r="AQ44" s="241">
        <v>360</v>
      </c>
      <c r="AR44" s="232"/>
      <c r="AS44" s="54">
        <v>42043</v>
      </c>
      <c r="AT44" s="258">
        <v>1256</v>
      </c>
      <c r="AU44" s="241"/>
      <c r="AV44" s="241">
        <v>8120</v>
      </c>
      <c r="AW44" s="232"/>
      <c r="AX44" s="191"/>
      <c r="AY44" s="282" t="s">
        <v>211</v>
      </c>
      <c r="AZ44" s="231"/>
      <c r="BA44" s="52">
        <v>622110033200010</v>
      </c>
      <c r="BB44" s="320"/>
      <c r="BC44" s="259">
        <v>44</v>
      </c>
      <c r="BD44" s="234"/>
      <c r="BE44" s="234"/>
      <c r="BF44" s="234"/>
      <c r="BG44" s="234">
        <v>44</v>
      </c>
      <c r="BH44" s="234"/>
      <c r="BI44" s="234">
        <v>15146</v>
      </c>
      <c r="BJ44" s="234"/>
      <c r="BK44" s="284"/>
      <c r="BL44" s="232"/>
      <c r="BM44" s="285"/>
      <c r="BN44" s="55" t="s">
        <v>212</v>
      </c>
      <c r="BO44" s="232"/>
      <c r="BP44" s="232">
        <v>4051</v>
      </c>
      <c r="BQ44" s="232">
        <v>18786</v>
      </c>
    </row>
    <row r="45" spans="2:69" ht="16.5" thickBot="1" x14ac:dyDescent="0.3">
      <c r="B45" s="282" t="s">
        <v>213</v>
      </c>
      <c r="C45" s="249"/>
      <c r="D45" s="248"/>
      <c r="E45" s="250">
        <v>28048</v>
      </c>
      <c r="F45" s="251">
        <v>53440</v>
      </c>
      <c r="G45" s="252"/>
      <c r="H45" s="253">
        <v>1780.8000000000004</v>
      </c>
      <c r="I45" s="559"/>
      <c r="J45" s="253"/>
      <c r="K45" s="253"/>
      <c r="L45" s="253"/>
      <c r="M45" s="254"/>
      <c r="N45" s="251">
        <v>36720</v>
      </c>
      <c r="O45" s="252"/>
      <c r="P45" s="253"/>
      <c r="Q45" s="253" t="s">
        <v>128</v>
      </c>
      <c r="R45" s="253"/>
      <c r="S45" s="253"/>
      <c r="T45" s="253"/>
      <c r="U45" s="254"/>
      <c r="V45" s="53">
        <v>37360</v>
      </c>
      <c r="W45" s="29"/>
      <c r="X45" s="266">
        <v>216</v>
      </c>
      <c r="Y45" s="232"/>
      <c r="Z45" s="241"/>
      <c r="AA45" s="191"/>
      <c r="AB45" s="29">
        <v>33612</v>
      </c>
      <c r="AC45" s="29"/>
      <c r="AD45" s="266">
        <v>2166</v>
      </c>
      <c r="AE45" s="232"/>
      <c r="AF45" s="191"/>
      <c r="AG45" s="241"/>
      <c r="AH45" s="191"/>
      <c r="AI45" s="29">
        <v>10570</v>
      </c>
      <c r="AJ45" s="266">
        <v>1142</v>
      </c>
      <c r="AK45" s="232"/>
      <c r="AL45" s="191">
        <v>11123</v>
      </c>
      <c r="AM45" s="241"/>
      <c r="AN45" s="29">
        <v>105000</v>
      </c>
      <c r="AO45" s="258">
        <v>2400</v>
      </c>
      <c r="AP45" s="241"/>
      <c r="AQ45" s="241">
        <v>495</v>
      </c>
      <c r="AR45" s="232"/>
      <c r="AS45" s="54">
        <v>0</v>
      </c>
      <c r="AT45" s="258">
        <v>1636</v>
      </c>
      <c r="AU45" s="241"/>
      <c r="AV45" s="241">
        <v>11165</v>
      </c>
      <c r="AW45" s="232"/>
      <c r="AX45" s="191"/>
      <c r="AY45" s="282" t="s">
        <v>213</v>
      </c>
      <c r="AZ45" s="231"/>
      <c r="BA45" s="39"/>
      <c r="BB45" s="29"/>
      <c r="BC45" s="259">
        <v>100</v>
      </c>
      <c r="BD45" s="234"/>
      <c r="BE45" s="234"/>
      <c r="BF45" s="234"/>
      <c r="BG45" s="234">
        <v>250</v>
      </c>
      <c r="BH45" s="234"/>
      <c r="BI45" s="234">
        <v>20825</v>
      </c>
      <c r="BJ45" s="234"/>
      <c r="BK45" s="284"/>
      <c r="BL45" s="232"/>
      <c r="BM45" s="321"/>
      <c r="BN45" s="54" t="s">
        <v>214</v>
      </c>
      <c r="BO45" s="232"/>
      <c r="BP45" s="232">
        <v>8830</v>
      </c>
      <c r="BQ45" s="232">
        <v>9470</v>
      </c>
    </row>
    <row r="46" spans="2:69" ht="16.5" thickBot="1" x14ac:dyDescent="0.3">
      <c r="B46" s="282" t="s">
        <v>386</v>
      </c>
      <c r="C46" s="249" t="s">
        <v>216</v>
      </c>
      <c r="D46" s="249" t="s">
        <v>217</v>
      </c>
      <c r="E46" s="262">
        <v>289258</v>
      </c>
      <c r="F46" s="263">
        <v>897200</v>
      </c>
      <c r="G46" s="268"/>
      <c r="H46" s="269">
        <v>190948.09999999998</v>
      </c>
      <c r="I46" s="561"/>
      <c r="J46" s="270"/>
      <c r="K46" s="270"/>
      <c r="L46" s="270"/>
      <c r="M46" s="265"/>
      <c r="N46" s="263">
        <v>1194400</v>
      </c>
      <c r="O46" s="268" t="s">
        <v>218</v>
      </c>
      <c r="P46" s="269">
        <v>220127</v>
      </c>
      <c r="Q46" s="270" t="s">
        <v>387</v>
      </c>
      <c r="R46" s="270"/>
      <c r="S46" s="270"/>
      <c r="T46" s="270"/>
      <c r="U46" s="265"/>
      <c r="V46" s="234">
        <v>1290000</v>
      </c>
      <c r="W46" s="272" t="s">
        <v>218</v>
      </c>
      <c r="X46" s="255">
        <v>226356</v>
      </c>
      <c r="Y46" s="232"/>
      <c r="Z46" s="232"/>
      <c r="AA46" s="232"/>
      <c r="AB46" s="232">
        <v>1398800</v>
      </c>
      <c r="AC46" s="272" t="s">
        <v>218</v>
      </c>
      <c r="AD46" s="255">
        <v>175868</v>
      </c>
      <c r="AE46" s="232"/>
      <c r="AF46" s="191"/>
      <c r="AG46" s="232"/>
      <c r="AH46" s="232"/>
      <c r="AI46" s="232">
        <v>1373200</v>
      </c>
      <c r="AJ46" s="255">
        <v>182536</v>
      </c>
      <c r="AK46" s="232"/>
      <c r="AL46" s="191"/>
      <c r="AM46" s="232"/>
      <c r="AN46" s="232">
        <v>1335200</v>
      </c>
      <c r="AO46" s="255">
        <v>210677</v>
      </c>
      <c r="AP46" s="241"/>
      <c r="AQ46" s="241"/>
      <c r="AR46" s="232"/>
      <c r="AS46" s="293">
        <v>1302400</v>
      </c>
      <c r="AT46" s="255">
        <v>182469</v>
      </c>
      <c r="AU46" s="241"/>
      <c r="AV46" s="241" t="s">
        <v>128</v>
      </c>
      <c r="AW46" s="232"/>
      <c r="AX46" s="191"/>
      <c r="AY46" s="282" t="s">
        <v>215</v>
      </c>
      <c r="AZ46" s="231" t="s">
        <v>216</v>
      </c>
      <c r="BA46" s="231" t="s">
        <v>217</v>
      </c>
      <c r="BB46" s="232">
        <v>283000</v>
      </c>
      <c r="BC46" s="259">
        <v>196312</v>
      </c>
      <c r="BD46" s="234"/>
      <c r="BE46" s="234"/>
      <c r="BF46" s="234"/>
      <c r="BG46" s="234">
        <v>175699</v>
      </c>
      <c r="BH46" s="234"/>
      <c r="BI46" s="234" t="s">
        <v>128</v>
      </c>
      <c r="BJ46" s="234"/>
      <c r="BK46" s="284">
        <v>185870</v>
      </c>
      <c r="BL46" s="295" t="s">
        <v>159</v>
      </c>
      <c r="BM46" s="266"/>
      <c r="BN46" s="294"/>
      <c r="BO46" s="232">
        <v>1414400</v>
      </c>
      <c r="BP46" s="232">
        <v>1320800</v>
      </c>
      <c r="BQ46" s="232">
        <v>1368400</v>
      </c>
    </row>
    <row r="47" spans="2:69" ht="16.5" thickBot="1" x14ac:dyDescent="0.3">
      <c r="B47" s="282" t="s">
        <v>219</v>
      </c>
      <c r="C47" s="249" t="s">
        <v>220</v>
      </c>
      <c r="D47" s="249"/>
      <c r="E47" s="262"/>
      <c r="F47" s="263" t="s">
        <v>128</v>
      </c>
      <c r="G47" s="268"/>
      <c r="H47" s="269" t="s">
        <v>191</v>
      </c>
      <c r="I47" s="561"/>
      <c r="J47" s="270"/>
      <c r="K47" s="270"/>
      <c r="L47" s="270"/>
      <c r="M47" s="265"/>
      <c r="N47" s="263" t="s">
        <v>128</v>
      </c>
      <c r="O47" s="268" t="s">
        <v>221</v>
      </c>
      <c r="P47" s="269"/>
      <c r="Q47" s="270" t="s">
        <v>128</v>
      </c>
      <c r="R47" s="270"/>
      <c r="S47" s="270"/>
      <c r="T47" s="270"/>
      <c r="U47" s="265"/>
      <c r="V47" s="234" t="s">
        <v>128</v>
      </c>
      <c r="W47" s="272" t="s">
        <v>221</v>
      </c>
      <c r="X47" s="255" t="s">
        <v>191</v>
      </c>
      <c r="Y47" s="232"/>
      <c r="Z47" s="232"/>
      <c r="AA47" s="232"/>
      <c r="AB47" s="232" t="s">
        <v>128</v>
      </c>
      <c r="AC47" s="272" t="s">
        <v>221</v>
      </c>
      <c r="AD47" s="255">
        <v>5671</v>
      </c>
      <c r="AE47" s="232"/>
      <c r="AF47" s="191"/>
      <c r="AG47" s="232"/>
      <c r="AH47" s="232"/>
      <c r="AI47" s="232"/>
      <c r="AJ47" s="255"/>
      <c r="AK47" s="232"/>
      <c r="AL47" s="191"/>
      <c r="AM47" s="232"/>
      <c r="AN47" s="232"/>
      <c r="AO47" s="255"/>
      <c r="AP47" s="241"/>
      <c r="AQ47" s="241"/>
      <c r="AR47" s="232"/>
      <c r="AS47" s="293"/>
      <c r="AT47" s="255"/>
      <c r="AU47" s="241"/>
      <c r="AV47" s="241"/>
      <c r="AW47" s="232"/>
      <c r="AX47" s="191"/>
      <c r="AY47" s="282"/>
      <c r="AZ47" s="231"/>
      <c r="BA47" s="231"/>
      <c r="BB47" s="232"/>
      <c r="BC47" s="259"/>
      <c r="BD47" s="234"/>
      <c r="BE47" s="234"/>
      <c r="BF47" s="234"/>
      <c r="BG47" s="234"/>
      <c r="BH47" s="234"/>
      <c r="BI47" s="234"/>
      <c r="BJ47" s="234"/>
      <c r="BK47" s="284"/>
      <c r="BL47" s="295"/>
      <c r="BM47" s="266"/>
      <c r="BN47" s="294"/>
      <c r="BO47" s="232"/>
      <c r="BP47" s="232"/>
      <c r="BQ47" s="232"/>
    </row>
    <row r="48" spans="2:69" x14ac:dyDescent="0.25">
      <c r="B48" s="282" t="s">
        <v>222</v>
      </c>
      <c r="C48" s="249"/>
      <c r="D48" s="249" t="s">
        <v>223</v>
      </c>
      <c r="E48" s="262">
        <v>0</v>
      </c>
      <c r="F48" s="263" t="s">
        <v>128</v>
      </c>
      <c r="G48" s="264"/>
      <c r="H48" s="233" t="s">
        <v>128</v>
      </c>
      <c r="I48" s="560"/>
      <c r="J48" s="233"/>
      <c r="K48" s="233"/>
      <c r="L48" s="233"/>
      <c r="M48" s="265"/>
      <c r="N48" s="263" t="s">
        <v>128</v>
      </c>
      <c r="O48" s="264" t="s">
        <v>128</v>
      </c>
      <c r="P48" s="233"/>
      <c r="Q48" s="233" t="s">
        <v>128</v>
      </c>
      <c r="R48" s="233"/>
      <c r="S48" s="233"/>
      <c r="T48" s="233"/>
      <c r="U48" s="265"/>
      <c r="V48" s="234" t="s">
        <v>128</v>
      </c>
      <c r="W48" s="232" t="s">
        <v>128</v>
      </c>
      <c r="X48" s="258" t="s">
        <v>128</v>
      </c>
      <c r="Y48" s="232"/>
      <c r="Z48" s="232"/>
      <c r="AA48" s="232"/>
      <c r="AB48" s="232" t="s">
        <v>128</v>
      </c>
      <c r="AC48" s="232" t="s">
        <v>128</v>
      </c>
      <c r="AD48" s="258" t="s">
        <v>128</v>
      </c>
      <c r="AE48" s="232"/>
      <c r="AF48" s="191"/>
      <c r="AG48" s="232"/>
      <c r="AH48" s="232"/>
      <c r="AI48" s="232">
        <v>21852</v>
      </c>
      <c r="AJ48" s="258">
        <v>2146</v>
      </c>
      <c r="AK48" s="232"/>
      <c r="AL48" s="191"/>
      <c r="AM48" s="232"/>
      <c r="AN48" s="232">
        <v>29000</v>
      </c>
      <c r="AO48" s="258">
        <v>2150</v>
      </c>
      <c r="AP48" s="241"/>
      <c r="AQ48" s="241"/>
      <c r="AR48" s="232"/>
      <c r="AS48" s="293">
        <v>25000</v>
      </c>
      <c r="AT48" s="258">
        <v>2150</v>
      </c>
      <c r="AU48" s="241"/>
      <c r="AV48" s="241" t="s">
        <v>128</v>
      </c>
      <c r="AW48" s="232"/>
      <c r="AX48" s="191"/>
      <c r="AY48" s="282" t="s">
        <v>222</v>
      </c>
      <c r="AZ48" s="231"/>
      <c r="BA48" s="231" t="s">
        <v>223</v>
      </c>
      <c r="BB48" s="232">
        <v>11000</v>
      </c>
      <c r="BC48" s="259">
        <v>14000</v>
      </c>
      <c r="BD48" s="234"/>
      <c r="BE48" s="234"/>
      <c r="BF48" s="234"/>
      <c r="BG48" s="234">
        <v>2177</v>
      </c>
      <c r="BH48" s="234"/>
      <c r="BI48" s="234" t="s">
        <v>128</v>
      </c>
      <c r="BJ48" s="234"/>
      <c r="BK48" s="284">
        <v>11444</v>
      </c>
      <c r="BL48" s="295" t="s">
        <v>159</v>
      </c>
      <c r="BM48" s="266"/>
      <c r="BN48" s="294">
        <v>11000</v>
      </c>
      <c r="BO48" s="232">
        <v>45240</v>
      </c>
      <c r="BP48" s="232">
        <v>44800</v>
      </c>
      <c r="BQ48" s="232">
        <v>43360</v>
      </c>
    </row>
    <row r="49" spans="2:69" ht="16.5" thickBot="1" x14ac:dyDescent="0.3">
      <c r="B49" s="38" t="s">
        <v>224</v>
      </c>
      <c r="C49" s="248"/>
      <c r="D49" s="248" t="s">
        <v>225</v>
      </c>
      <c r="E49" s="250">
        <v>10430</v>
      </c>
      <c r="F49" s="251">
        <v>105080</v>
      </c>
      <c r="G49" s="252"/>
      <c r="H49" s="253" t="s">
        <v>128</v>
      </c>
      <c r="I49" s="559"/>
      <c r="J49" s="253"/>
      <c r="K49" s="253"/>
      <c r="L49" s="253"/>
      <c r="M49" s="254"/>
      <c r="N49" s="251">
        <v>94160</v>
      </c>
      <c r="O49" s="252" t="s">
        <v>128</v>
      </c>
      <c r="P49" s="253"/>
      <c r="Q49" s="253" t="s">
        <v>128</v>
      </c>
      <c r="R49" s="253"/>
      <c r="S49" s="253"/>
      <c r="T49" s="253"/>
      <c r="U49" s="254"/>
      <c r="V49" s="60">
        <v>54120</v>
      </c>
      <c r="W49" s="22" t="s">
        <v>128</v>
      </c>
      <c r="X49" s="57">
        <v>6500</v>
      </c>
      <c r="Y49" s="44"/>
      <c r="Z49" s="22"/>
      <c r="AA49" s="22"/>
      <c r="AB49" s="22">
        <v>107920</v>
      </c>
      <c r="AC49" s="22" t="s">
        <v>128</v>
      </c>
      <c r="AD49" s="57">
        <v>6571</v>
      </c>
      <c r="AE49" s="44"/>
      <c r="AF49" s="29"/>
      <c r="AG49" s="22"/>
      <c r="AH49" s="22"/>
      <c r="AI49" s="22">
        <v>154120</v>
      </c>
      <c r="AJ49" s="57" t="s">
        <v>128</v>
      </c>
      <c r="AK49" s="44"/>
      <c r="AL49" s="29"/>
      <c r="AM49" s="22"/>
      <c r="AN49" s="22">
        <v>150000</v>
      </c>
      <c r="AO49" s="57"/>
      <c r="AP49" s="58"/>
      <c r="AQ49" s="24"/>
      <c r="AR49" s="22"/>
      <c r="AS49" s="45"/>
      <c r="AT49" s="57"/>
      <c r="AU49" s="58"/>
      <c r="AV49" s="24"/>
      <c r="AW49" s="22"/>
      <c r="AX49" s="29"/>
      <c r="AY49" s="38" t="s">
        <v>224</v>
      </c>
      <c r="AZ49" s="39"/>
      <c r="BA49" s="39" t="s">
        <v>225</v>
      </c>
      <c r="BB49" s="22">
        <v>12000</v>
      </c>
      <c r="BC49" s="30">
        <v>11000</v>
      </c>
      <c r="BD49" s="59"/>
      <c r="BE49" s="60"/>
      <c r="BF49" s="60"/>
      <c r="BG49" s="60"/>
      <c r="BH49" s="60"/>
      <c r="BI49" s="60" t="s">
        <v>128</v>
      </c>
      <c r="BJ49" s="60"/>
      <c r="BK49" s="60"/>
      <c r="BL49" s="61" t="s">
        <v>159</v>
      </c>
      <c r="BM49" s="321"/>
      <c r="BN49" s="45">
        <v>12000</v>
      </c>
      <c r="BO49" s="44">
        <v>151280</v>
      </c>
      <c r="BP49" s="44">
        <v>165000</v>
      </c>
      <c r="BQ49" s="44">
        <v>165040</v>
      </c>
    </row>
    <row r="50" spans="2:69" ht="16.5" thickBot="1" x14ac:dyDescent="0.3">
      <c r="B50" s="38" t="s">
        <v>226</v>
      </c>
      <c r="C50" s="39"/>
      <c r="D50" s="39"/>
      <c r="E50" s="24">
        <v>26000</v>
      </c>
      <c r="F50" s="44">
        <v>20000</v>
      </c>
      <c r="G50" s="59"/>
      <c r="H50" s="44" t="s">
        <v>128</v>
      </c>
      <c r="I50" s="562"/>
      <c r="J50" s="44"/>
      <c r="K50" s="44"/>
      <c r="L50" s="44"/>
      <c r="M50" s="44"/>
      <c r="N50" s="44">
        <v>310500</v>
      </c>
      <c r="O50" s="59"/>
      <c r="P50" s="44"/>
      <c r="Q50" s="44" t="s">
        <v>128</v>
      </c>
      <c r="R50" s="44"/>
      <c r="S50" s="44"/>
      <c r="T50" s="44"/>
      <c r="U50" s="44"/>
      <c r="V50" s="60">
        <v>344705</v>
      </c>
      <c r="W50" s="22"/>
      <c r="X50" s="62">
        <v>10209</v>
      </c>
      <c r="Y50" s="58"/>
      <c r="Z50" s="22"/>
      <c r="AA50" s="22"/>
      <c r="AB50" s="22">
        <v>338000</v>
      </c>
      <c r="AC50" s="22"/>
      <c r="AD50" s="62">
        <v>16380</v>
      </c>
      <c r="AE50" s="58"/>
      <c r="AF50" s="29"/>
      <c r="AG50" s="22"/>
      <c r="AH50" s="22"/>
      <c r="AI50" s="22"/>
      <c r="AJ50" s="57"/>
      <c r="AK50" s="58"/>
      <c r="AL50" s="29"/>
      <c r="AM50" s="22"/>
      <c r="AN50" s="22"/>
      <c r="AO50" s="57"/>
      <c r="AP50" s="58"/>
      <c r="AQ50" s="24"/>
      <c r="AR50" s="22"/>
      <c r="AS50" s="45"/>
      <c r="AT50" s="57"/>
      <c r="AU50" s="58"/>
      <c r="AV50" s="24"/>
      <c r="AW50" s="22"/>
      <c r="AX50" s="29"/>
      <c r="AY50" s="38" t="s">
        <v>226</v>
      </c>
      <c r="AZ50" s="39"/>
      <c r="BA50" s="39"/>
      <c r="BB50" s="22">
        <v>26000</v>
      </c>
      <c r="BC50" s="30"/>
      <c r="BD50" s="63"/>
      <c r="BE50" s="29"/>
      <c r="BF50" s="29"/>
      <c r="BG50" s="29"/>
      <c r="BH50" s="29"/>
      <c r="BI50" s="29"/>
      <c r="BJ50" s="29"/>
      <c r="BK50" s="60"/>
      <c r="BL50" s="61"/>
      <c r="BM50" s="321"/>
      <c r="BN50" s="45"/>
      <c r="BO50" s="44"/>
      <c r="BP50" s="58"/>
      <c r="BQ50" s="58"/>
    </row>
    <row r="51" spans="2:69" s="205" customFormat="1" ht="16.5" thickBot="1" x14ac:dyDescent="0.3">
      <c r="B51" s="322" t="s">
        <v>227</v>
      </c>
      <c r="C51" s="202"/>
      <c r="D51" s="202"/>
      <c r="E51" s="199">
        <f>SUM(E8:E50)</f>
        <v>1902238</v>
      </c>
      <c r="F51" s="200">
        <f>SUM(F6:F50)</f>
        <v>14583015</v>
      </c>
      <c r="G51" s="198"/>
      <c r="H51" s="200">
        <f>SUM(H5:H50)</f>
        <v>936752.50000000023</v>
      </c>
      <c r="I51" s="323">
        <f>SUM(I5:I50)</f>
        <v>36564</v>
      </c>
      <c r="J51" s="200">
        <v>4000</v>
      </c>
      <c r="K51" s="200"/>
      <c r="L51" s="200"/>
      <c r="M51" s="200"/>
      <c r="N51" s="200">
        <f>SUM(N6:N50)</f>
        <v>17041133</v>
      </c>
      <c r="O51" s="198"/>
      <c r="P51" s="200">
        <f>SUM(P5:P50)</f>
        <v>1204643</v>
      </c>
      <c r="Q51" s="323">
        <f>SUM(Q4:Q50)</f>
        <v>76872</v>
      </c>
      <c r="R51" s="200">
        <v>8000</v>
      </c>
      <c r="S51" s="200"/>
      <c r="T51" s="200"/>
      <c r="U51" s="200"/>
      <c r="V51" s="198">
        <f>SUM(V6:V50)</f>
        <v>16788006</v>
      </c>
      <c r="W51" s="200"/>
      <c r="X51" s="324">
        <f>SUM(X5:X50)</f>
        <v>1019875</v>
      </c>
      <c r="Y51" s="199">
        <f>SUM(Y5:Y50)</f>
        <v>197258</v>
      </c>
      <c r="Z51" s="200">
        <f>SUM(Z8:Z50)</f>
        <v>8500</v>
      </c>
      <c r="AA51" s="200"/>
      <c r="AB51" s="200">
        <f>SUM(AB6:AB50)</f>
        <v>16601666</v>
      </c>
      <c r="AC51" s="200"/>
      <c r="AD51" s="324">
        <f>SUM(AD5:AD50)</f>
        <v>1364250</v>
      </c>
      <c r="AE51" s="199">
        <f>SUM(AE5:AE50)</f>
        <v>57800</v>
      </c>
      <c r="AF51" s="199" t="s">
        <v>228</v>
      </c>
      <c r="AG51" s="200">
        <f>SUM(AG8:AG50)</f>
        <v>8613</v>
      </c>
      <c r="AH51" s="200"/>
      <c r="AI51" s="200">
        <f>SUM(AI8:AI49)</f>
        <v>16709216</v>
      </c>
      <c r="AJ51" s="324">
        <f>SUM(AJ5:AJ49)</f>
        <v>881930</v>
      </c>
      <c r="AK51" s="199">
        <f>SUM(AK6:AK49)</f>
        <v>25215</v>
      </c>
      <c r="AL51" s="199"/>
      <c r="AM51" s="200">
        <v>6548</v>
      </c>
      <c r="AN51" s="200">
        <f>SUM(AN8:AN49)</f>
        <v>16896530</v>
      </c>
      <c r="AO51" s="324">
        <f>SUM(AO5:AO49)</f>
        <v>504974</v>
      </c>
      <c r="AP51" s="199">
        <f>SUM(AP6:AP49)</f>
        <v>7750</v>
      </c>
      <c r="AQ51" s="199"/>
      <c r="AR51" s="200">
        <v>5750</v>
      </c>
      <c r="AS51" s="325">
        <f>SUM(AS8:AS49)</f>
        <v>16447722.997000001</v>
      </c>
      <c r="AT51" s="324">
        <f>SUM(AT5:AT49)</f>
        <v>843459</v>
      </c>
      <c r="AU51" s="199">
        <f>SUM(AU5:AU49)</f>
        <v>36111</v>
      </c>
      <c r="AV51" s="199"/>
      <c r="AW51" s="200">
        <v>5000</v>
      </c>
      <c r="AX51" s="191"/>
      <c r="AY51" s="322" t="s">
        <v>227</v>
      </c>
      <c r="AZ51" s="202"/>
      <c r="BA51" s="202"/>
      <c r="BB51" s="200">
        <f>SUM(BB8:BB50)</f>
        <v>1652000</v>
      </c>
      <c r="BC51" s="326">
        <f>SUM(BC5:BC49)</f>
        <v>1227058</v>
      </c>
      <c r="BD51" s="197">
        <f>SUM(BD5:BD49)</f>
        <v>56526</v>
      </c>
      <c r="BE51" s="199"/>
      <c r="BF51" s="199">
        <v>5000</v>
      </c>
      <c r="BG51" s="199"/>
      <c r="BH51" s="199"/>
      <c r="BI51" s="199">
        <f>SUM(BI8:BI49)</f>
        <v>843920</v>
      </c>
      <c r="BJ51" s="199"/>
      <c r="BK51" s="200">
        <f>SUM(BK5:BK49)</f>
        <v>1333951</v>
      </c>
      <c r="BL51" s="200">
        <f>SUM(BL8:BL49)</f>
        <v>872905</v>
      </c>
      <c r="BM51" s="200">
        <v>15458</v>
      </c>
      <c r="BN51" s="325"/>
      <c r="BO51" s="200">
        <f>SUM(BO8:BO49)</f>
        <v>16379563</v>
      </c>
      <c r="BP51" s="199">
        <f>SUM(BP8:BP49)</f>
        <v>16687625</v>
      </c>
      <c r="BQ51" s="199">
        <f>SUM(BQ6:BQ49)</f>
        <v>16924917</v>
      </c>
    </row>
    <row r="52" spans="2:69" s="352" customFormat="1" ht="48" thickBot="1" x14ac:dyDescent="0.3">
      <c r="B52" s="338"/>
      <c r="C52" s="339"/>
      <c r="D52" s="340"/>
      <c r="E52" s="341" t="s">
        <v>637</v>
      </c>
      <c r="F52" s="567">
        <f>SUM(N51-F51)</f>
        <v>2458118</v>
      </c>
      <c r="G52" s="343" t="s">
        <v>230</v>
      </c>
      <c r="H52" s="342"/>
      <c r="I52" s="568"/>
      <c r="J52" s="342"/>
      <c r="K52" s="342"/>
      <c r="L52" s="342"/>
      <c r="M52" s="342"/>
      <c r="N52" s="342"/>
      <c r="O52" s="343" t="s">
        <v>230</v>
      </c>
      <c r="P52" s="342" t="s">
        <v>93</v>
      </c>
      <c r="Q52" s="342"/>
      <c r="R52" s="342"/>
      <c r="S52" s="342"/>
      <c r="T52" s="342"/>
      <c r="U52" s="342"/>
      <c r="V52" s="344" t="s">
        <v>229</v>
      </c>
      <c r="W52" s="342" t="s">
        <v>230</v>
      </c>
      <c r="X52" s="345" t="s">
        <v>93</v>
      </c>
      <c r="Y52" s="346" t="s">
        <v>231</v>
      </c>
      <c r="Z52" s="347" t="s">
        <v>232</v>
      </c>
      <c r="AA52" s="348"/>
      <c r="AB52" s="341" t="s">
        <v>229</v>
      </c>
      <c r="AC52" s="342" t="s">
        <v>230</v>
      </c>
      <c r="AD52" s="345" t="s">
        <v>93</v>
      </c>
      <c r="AE52" s="346" t="s">
        <v>233</v>
      </c>
      <c r="AF52" s="344" t="s">
        <v>84</v>
      </c>
      <c r="AG52" s="347" t="s">
        <v>232</v>
      </c>
      <c r="AH52" s="348"/>
      <c r="AI52" s="341" t="s">
        <v>229</v>
      </c>
      <c r="AJ52" s="349" t="s">
        <v>93</v>
      </c>
      <c r="AK52" s="344" t="s">
        <v>234</v>
      </c>
      <c r="AL52" s="344" t="s">
        <v>84</v>
      </c>
      <c r="AM52" s="343" t="s">
        <v>232</v>
      </c>
      <c r="AN52" s="340" t="s">
        <v>235</v>
      </c>
      <c r="AO52" s="350" t="s">
        <v>93</v>
      </c>
      <c r="AP52" s="340" t="s">
        <v>236</v>
      </c>
      <c r="AQ52" s="340"/>
      <c r="AR52" s="340" t="s">
        <v>232</v>
      </c>
      <c r="AS52" s="351" t="s">
        <v>95</v>
      </c>
      <c r="AT52" s="350" t="s">
        <v>93</v>
      </c>
      <c r="AU52" s="340" t="s">
        <v>237</v>
      </c>
      <c r="AV52" s="340"/>
      <c r="AW52" s="340" t="s">
        <v>238</v>
      </c>
      <c r="AX52" s="340"/>
      <c r="AY52" s="338"/>
      <c r="AZ52" s="339"/>
      <c r="BA52" s="340"/>
      <c r="BB52" s="340" t="s">
        <v>7</v>
      </c>
      <c r="BC52" s="339"/>
      <c r="BD52" s="340"/>
      <c r="BE52" s="340"/>
      <c r="BF52" s="340"/>
      <c r="BG52" s="340"/>
      <c r="BH52" s="340"/>
      <c r="BI52" s="340"/>
      <c r="BJ52" s="340"/>
      <c r="BK52" s="340"/>
      <c r="BL52" s="340"/>
      <c r="BM52" s="350"/>
      <c r="BN52" s="351"/>
      <c r="BO52" s="340"/>
      <c r="BP52" s="340"/>
      <c r="BQ52" s="340"/>
    </row>
    <row r="53" spans="2:69" s="352" customFormat="1" ht="16.5" thickBot="1" x14ac:dyDescent="0.3">
      <c r="B53" s="338" t="s">
        <v>638</v>
      </c>
      <c r="C53" s="339"/>
      <c r="D53" s="340"/>
      <c r="E53" s="340"/>
      <c r="F53" s="569">
        <f>SUM(F52/N51)</f>
        <v>0.14424616015848243</v>
      </c>
      <c r="G53" s="340"/>
      <c r="H53" s="340"/>
      <c r="I53" s="570"/>
      <c r="J53" s="340"/>
      <c r="K53" s="340"/>
      <c r="L53" s="340"/>
      <c r="M53" s="340"/>
      <c r="N53" s="340"/>
      <c r="O53" s="340"/>
      <c r="P53" s="340"/>
      <c r="Q53" s="340"/>
      <c r="R53" s="340"/>
      <c r="S53" s="340"/>
      <c r="T53" s="340"/>
      <c r="U53" s="340"/>
      <c r="V53" s="340"/>
      <c r="W53" s="340"/>
      <c r="X53" s="350"/>
      <c r="Y53" s="339"/>
      <c r="Z53" s="339"/>
      <c r="AA53" s="339"/>
      <c r="AB53" s="340"/>
      <c r="AC53" s="340"/>
      <c r="AD53" s="350"/>
      <c r="AE53" s="339"/>
      <c r="AF53" s="340"/>
      <c r="AG53" s="339"/>
      <c r="AH53" s="339"/>
      <c r="AI53" s="344"/>
      <c r="AJ53" s="349"/>
      <c r="AK53" s="344"/>
      <c r="AL53" s="344"/>
      <c r="AM53" s="343"/>
      <c r="AN53" s="340"/>
      <c r="AO53" s="350"/>
      <c r="AP53" s="340"/>
      <c r="AQ53" s="340"/>
      <c r="AR53" s="340"/>
      <c r="AS53" s="351"/>
      <c r="AT53" s="350"/>
      <c r="AU53" s="340"/>
      <c r="AV53" s="340"/>
      <c r="AW53" s="340"/>
      <c r="AX53" s="340"/>
      <c r="AY53" s="338"/>
      <c r="AZ53" s="339"/>
      <c r="BA53" s="340"/>
      <c r="BB53" s="340"/>
      <c r="BC53" s="339"/>
      <c r="BD53" s="340"/>
      <c r="BE53" s="340"/>
      <c r="BF53" s="340"/>
      <c r="BG53" s="340"/>
      <c r="BH53" s="340"/>
      <c r="BI53" s="340"/>
      <c r="BJ53" s="340"/>
      <c r="BK53" s="340"/>
      <c r="BL53" s="340"/>
      <c r="BM53" s="350"/>
      <c r="BN53" s="351"/>
      <c r="BO53" s="340"/>
      <c r="BP53" s="340"/>
      <c r="BQ53" s="340"/>
    </row>
    <row r="54" spans="2:69" s="205" customFormat="1" ht="16.5" thickBot="1" x14ac:dyDescent="0.3">
      <c r="B54" s="353"/>
      <c r="C54" s="337"/>
      <c r="D54" s="191"/>
      <c r="E54" s="191"/>
      <c r="F54" s="191" t="s">
        <v>2</v>
      </c>
      <c r="G54" s="354" t="s">
        <v>230</v>
      </c>
      <c r="H54" s="354"/>
      <c r="I54" s="354"/>
      <c r="J54" s="354"/>
      <c r="K54" s="354"/>
      <c r="L54" s="354"/>
      <c r="M54" s="191"/>
      <c r="N54" s="191"/>
      <c r="O54" s="354"/>
      <c r="P54" s="354"/>
      <c r="Q54" s="191"/>
      <c r="R54" s="354"/>
      <c r="S54" s="354"/>
      <c r="T54" s="354"/>
      <c r="U54" s="191"/>
      <c r="V54" s="354"/>
      <c r="W54" s="354"/>
      <c r="X54" s="354"/>
      <c r="Y54" s="354"/>
      <c r="Z54" s="354"/>
      <c r="AA54" s="354"/>
      <c r="AB54" s="354"/>
      <c r="AC54" s="354"/>
      <c r="AD54" s="354"/>
      <c r="AE54" s="354"/>
      <c r="AF54" s="354"/>
      <c r="AG54" s="354"/>
      <c r="AH54" s="354"/>
      <c r="AI54" s="355">
        <v>2016</v>
      </c>
      <c r="AJ54" s="355"/>
      <c r="AK54" s="355"/>
      <c r="AL54" s="355"/>
      <c r="AM54" s="356"/>
      <c r="AN54" s="191"/>
      <c r="AO54" s="294"/>
      <c r="AP54" s="191"/>
      <c r="AQ54" s="191"/>
      <c r="AR54" s="191"/>
      <c r="AS54" s="335"/>
      <c r="AT54" s="294"/>
      <c r="AU54" s="191"/>
      <c r="AV54" s="191"/>
      <c r="AW54" s="191"/>
      <c r="AX54" s="191"/>
      <c r="AY54" s="353"/>
      <c r="AZ54" s="337"/>
      <c r="BA54" s="191"/>
      <c r="BB54" s="191"/>
      <c r="BC54" s="337"/>
      <c r="BD54" s="191"/>
      <c r="BE54" s="191"/>
      <c r="BF54" s="191"/>
      <c r="BG54" s="191"/>
      <c r="BH54" s="191"/>
      <c r="BI54" s="191"/>
      <c r="BJ54" s="191"/>
      <c r="BK54" s="191"/>
      <c r="BL54" s="191"/>
      <c r="BM54" s="294"/>
      <c r="BN54" s="335"/>
      <c r="BO54" s="191"/>
      <c r="BP54" s="191"/>
      <c r="BQ54" s="191"/>
    </row>
    <row r="55" spans="2:69" s="205" customFormat="1" x14ac:dyDescent="0.25">
      <c r="B55" s="353" t="s">
        <v>239</v>
      </c>
      <c r="C55" s="337"/>
      <c r="D55" s="191"/>
      <c r="E55" s="191"/>
      <c r="F55" s="191"/>
      <c r="G55" s="191"/>
      <c r="H55" s="191"/>
      <c r="I55" s="354"/>
      <c r="J55" s="191"/>
      <c r="K55" s="191"/>
      <c r="L55" s="191"/>
      <c r="M55" s="191"/>
      <c r="N55" s="191"/>
      <c r="O55" s="191"/>
      <c r="P55" s="191"/>
      <c r="Q55" s="191"/>
      <c r="R55" s="191"/>
      <c r="S55" s="191"/>
      <c r="T55" s="191"/>
      <c r="U55" s="191"/>
      <c r="V55" s="191"/>
      <c r="W55" s="191"/>
      <c r="X55" s="294"/>
      <c r="Y55" s="191"/>
      <c r="Z55" s="191"/>
      <c r="AA55" s="191"/>
      <c r="AB55" s="191"/>
      <c r="AC55" s="191"/>
      <c r="AD55" s="294"/>
      <c r="AE55" s="191"/>
      <c r="AF55" s="191"/>
      <c r="AG55" s="191"/>
      <c r="AH55" s="191"/>
      <c r="AI55" s="191"/>
      <c r="AJ55" s="294"/>
      <c r="AK55" s="191"/>
      <c r="AL55" s="191"/>
      <c r="AM55" s="191"/>
      <c r="AN55" s="191"/>
      <c r="AO55" s="294"/>
      <c r="AP55" s="191"/>
      <c r="AQ55" s="191"/>
      <c r="AR55" s="191"/>
      <c r="AS55" s="335"/>
      <c r="AT55" s="294"/>
      <c r="AU55" s="191"/>
      <c r="AV55" s="191"/>
      <c r="AW55" s="191"/>
      <c r="AX55" s="191"/>
      <c r="AY55" s="353"/>
      <c r="AZ55" s="337"/>
      <c r="BA55" s="191"/>
      <c r="BB55" s="191"/>
      <c r="BC55" s="337"/>
      <c r="BD55" s="191"/>
      <c r="BE55" s="191"/>
      <c r="BF55" s="191"/>
      <c r="BG55" s="191"/>
      <c r="BH55" s="191"/>
      <c r="BI55" s="191"/>
      <c r="BJ55" s="191"/>
      <c r="BK55" s="191"/>
      <c r="BL55" s="191"/>
      <c r="BM55" s="294"/>
      <c r="BN55" s="335"/>
      <c r="BO55" s="191"/>
      <c r="BP55" s="191"/>
      <c r="BQ55" s="191"/>
    </row>
    <row r="56" spans="2:69" s="205" customFormat="1" x14ac:dyDescent="0.25">
      <c r="B56" s="353" t="s">
        <v>240</v>
      </c>
      <c r="C56" s="337"/>
      <c r="D56" s="191"/>
      <c r="E56" s="191"/>
      <c r="F56" s="191"/>
      <c r="G56" s="191"/>
      <c r="H56" s="191"/>
      <c r="I56" s="354"/>
      <c r="J56" s="191"/>
      <c r="K56" s="191"/>
      <c r="L56" s="191"/>
      <c r="M56" s="191"/>
      <c r="N56" s="191"/>
      <c r="O56" s="191" t="s">
        <v>241</v>
      </c>
      <c r="P56" s="191"/>
      <c r="Q56" s="191"/>
      <c r="R56" s="191"/>
      <c r="S56" s="191"/>
      <c r="T56" s="191"/>
      <c r="U56" s="191"/>
      <c r="V56" s="191"/>
      <c r="W56" s="191" t="s">
        <v>241</v>
      </c>
      <c r="X56" s="294"/>
      <c r="Y56" s="191"/>
      <c r="Z56" s="191"/>
      <c r="AA56" s="191"/>
      <c r="AB56" s="191"/>
      <c r="AC56" s="191" t="s">
        <v>241</v>
      </c>
      <c r="AD56" s="294"/>
      <c r="AE56" s="191"/>
      <c r="AF56" s="191"/>
      <c r="AG56" s="191"/>
      <c r="AH56" s="191"/>
      <c r="AI56" s="191"/>
      <c r="AJ56" s="294"/>
      <c r="AK56" s="191"/>
      <c r="AL56" s="191"/>
      <c r="AM56" s="191"/>
      <c r="AN56" s="191"/>
      <c r="AO56" s="294"/>
      <c r="AP56" s="191"/>
      <c r="AQ56" s="191"/>
      <c r="AR56" s="191"/>
      <c r="AS56" s="335"/>
      <c r="AT56" s="294"/>
      <c r="AU56" s="191"/>
      <c r="AV56" s="191"/>
      <c r="AW56" s="191"/>
      <c r="AX56" s="191"/>
      <c r="AY56" s="353"/>
      <c r="AZ56" s="337"/>
      <c r="BA56" s="191"/>
      <c r="BB56" s="191"/>
      <c r="BC56" s="337"/>
      <c r="BD56" s="191"/>
      <c r="BE56" s="191"/>
      <c r="BF56" s="191"/>
      <c r="BG56" s="191"/>
      <c r="BH56" s="191"/>
      <c r="BI56" s="191"/>
      <c r="BJ56" s="191"/>
      <c r="BK56" s="191"/>
      <c r="BL56" s="191"/>
      <c r="BM56" s="294"/>
      <c r="BN56" s="335"/>
      <c r="BO56" s="191"/>
      <c r="BP56" s="191"/>
      <c r="BQ56" s="191"/>
    </row>
    <row r="57" spans="2:69" s="205" customFormat="1" x14ac:dyDescent="0.25">
      <c r="B57" s="353" t="s">
        <v>242</v>
      </c>
      <c r="C57" s="337"/>
      <c r="D57" s="191"/>
      <c r="E57" s="191"/>
      <c r="F57" s="191"/>
      <c r="G57" s="191"/>
      <c r="H57" s="191"/>
      <c r="I57" s="354"/>
      <c r="J57" s="191"/>
      <c r="K57" s="191"/>
      <c r="L57" s="191"/>
      <c r="M57" s="191"/>
      <c r="N57" s="191"/>
      <c r="O57" s="191"/>
      <c r="P57" s="191"/>
      <c r="Q57" s="191"/>
      <c r="R57" s="191"/>
      <c r="S57" s="191"/>
      <c r="T57" s="191"/>
      <c r="U57" s="191"/>
      <c r="V57" s="191"/>
      <c r="W57" s="191"/>
      <c r="X57" s="294"/>
      <c r="Y57" s="191"/>
      <c r="Z57" s="191"/>
      <c r="AA57" s="191"/>
      <c r="AB57" s="191"/>
      <c r="AC57" s="191"/>
      <c r="AD57" s="294"/>
      <c r="AE57" s="191"/>
      <c r="AF57" s="191"/>
      <c r="AG57" s="191"/>
      <c r="AH57" s="191"/>
      <c r="AI57" s="191"/>
      <c r="AJ57" s="294"/>
      <c r="AK57" s="191"/>
      <c r="AL57" s="191"/>
      <c r="AM57" s="191"/>
      <c r="AN57" s="191"/>
      <c r="AO57" s="294"/>
      <c r="AP57" s="191"/>
      <c r="AQ57" s="191"/>
      <c r="AR57" s="191"/>
      <c r="AS57" s="335"/>
      <c r="AT57" s="294"/>
      <c r="AU57" s="191"/>
      <c r="AV57" s="191"/>
      <c r="AW57" s="191"/>
      <c r="AX57" s="191"/>
      <c r="AY57" s="353"/>
      <c r="AZ57" s="337"/>
      <c r="BA57" s="191"/>
      <c r="BB57" s="191"/>
      <c r="BC57" s="337"/>
      <c r="BD57" s="191"/>
      <c r="BE57" s="191"/>
      <c r="BF57" s="191"/>
      <c r="BG57" s="191"/>
      <c r="BH57" s="191"/>
      <c r="BI57" s="191"/>
      <c r="BJ57" s="191"/>
      <c r="BK57" s="191"/>
      <c r="BL57" s="191"/>
      <c r="BM57" s="294"/>
      <c r="BN57" s="335"/>
      <c r="BO57" s="191"/>
      <c r="BP57" s="191"/>
      <c r="BQ57" s="191"/>
    </row>
    <row r="58" spans="2:69" s="205" customFormat="1" x14ac:dyDescent="0.25">
      <c r="B58" s="353" t="s">
        <v>243</v>
      </c>
      <c r="C58" s="337"/>
      <c r="D58" s="191"/>
      <c r="E58" s="191"/>
      <c r="F58" s="191"/>
      <c r="G58" s="191"/>
      <c r="H58" s="191"/>
      <c r="I58" s="354"/>
      <c r="J58" s="191"/>
      <c r="K58" s="191"/>
      <c r="L58" s="191"/>
      <c r="M58" s="191"/>
      <c r="N58" s="191"/>
      <c r="O58" s="191"/>
      <c r="P58" s="191"/>
      <c r="Q58" s="191"/>
      <c r="R58" s="191"/>
      <c r="S58" s="191"/>
      <c r="T58" s="191"/>
      <c r="U58" s="191"/>
      <c r="V58" s="191"/>
      <c r="W58" s="191"/>
      <c r="X58" s="294"/>
      <c r="Y58" s="191"/>
      <c r="Z58" s="191"/>
      <c r="AA58" s="191"/>
      <c r="AB58" s="191"/>
      <c r="AC58" s="191"/>
      <c r="AD58" s="294"/>
      <c r="AE58" s="191"/>
      <c r="AF58" s="191"/>
      <c r="AG58" s="191"/>
      <c r="AH58" s="191"/>
      <c r="AI58" s="191"/>
      <c r="AJ58" s="294"/>
      <c r="AK58" s="191"/>
      <c r="AL58" s="191"/>
      <c r="AM58" s="191"/>
      <c r="AN58" s="191"/>
      <c r="AO58" s="294"/>
      <c r="AP58" s="191"/>
      <c r="AQ58" s="191"/>
      <c r="AR58" s="191"/>
      <c r="AS58" s="335"/>
      <c r="AT58" s="294"/>
      <c r="AU58" s="191"/>
      <c r="AV58" s="191"/>
      <c r="AW58" s="191"/>
      <c r="AX58" s="191"/>
      <c r="AY58" s="353"/>
      <c r="AZ58" s="337"/>
      <c r="BA58" s="191"/>
      <c r="BB58" s="191"/>
      <c r="BC58" s="337"/>
      <c r="BD58" s="191"/>
      <c r="BE58" s="191"/>
      <c r="BF58" s="191"/>
      <c r="BG58" s="191"/>
      <c r="BH58" s="191"/>
      <c r="BI58" s="191"/>
      <c r="BJ58" s="191"/>
      <c r="BK58" s="191"/>
      <c r="BL58" s="191"/>
      <c r="BM58" s="294"/>
      <c r="BN58" s="335"/>
      <c r="BO58" s="191"/>
      <c r="BP58" s="191"/>
      <c r="BQ58" s="191"/>
    </row>
    <row r="59" spans="2:69" x14ac:dyDescent="0.25">
      <c r="B59" s="353" t="s">
        <v>244</v>
      </c>
      <c r="E59" s="920" t="s">
        <v>245</v>
      </c>
      <c r="F59" s="920"/>
      <c r="G59" s="920"/>
      <c r="H59" s="920"/>
      <c r="I59" s="920"/>
      <c r="J59" s="920"/>
      <c r="K59" s="920"/>
      <c r="L59" s="920"/>
      <c r="M59" s="920"/>
      <c r="N59" s="920"/>
      <c r="O59" s="920"/>
      <c r="P59" s="920"/>
      <c r="Q59" s="920"/>
      <c r="R59" s="920"/>
      <c r="S59" s="920"/>
      <c r="T59" s="920"/>
      <c r="U59" s="920"/>
      <c r="V59" s="920"/>
      <c r="W59" s="920"/>
      <c r="X59" s="920"/>
      <c r="Y59" s="920"/>
      <c r="Z59" s="920"/>
    </row>
    <row r="60" spans="2:69" x14ac:dyDescent="0.25">
      <c r="B60" s="353" t="s">
        <v>246</v>
      </c>
    </row>
    <row r="61" spans="2:69" x14ac:dyDescent="0.25">
      <c r="B61" s="353" t="s">
        <v>247</v>
      </c>
      <c r="E61" s="920" t="s">
        <v>248</v>
      </c>
      <c r="F61" s="920"/>
      <c r="G61" s="920"/>
      <c r="H61" s="920"/>
      <c r="I61" s="920"/>
      <c r="J61" s="920"/>
      <c r="K61" s="920"/>
      <c r="L61" s="920"/>
      <c r="M61" s="920"/>
      <c r="N61" s="920"/>
      <c r="O61" s="920"/>
      <c r="P61" s="920"/>
      <c r="Q61" s="920"/>
      <c r="R61" s="920"/>
      <c r="S61" s="920"/>
      <c r="T61" s="920"/>
      <c r="U61" s="920"/>
      <c r="V61" s="920"/>
      <c r="W61" s="920"/>
      <c r="X61" s="920"/>
      <c r="Y61" s="920"/>
      <c r="Z61" s="920"/>
    </row>
    <row r="63" spans="2:69" x14ac:dyDescent="0.25">
      <c r="B63" s="353" t="s">
        <v>639</v>
      </c>
      <c r="E63" s="920" t="s">
        <v>249</v>
      </c>
      <c r="F63" s="920"/>
      <c r="G63" s="920"/>
      <c r="H63" s="920"/>
      <c r="I63" s="920"/>
      <c r="J63" s="920"/>
      <c r="K63" s="920"/>
      <c r="L63" s="920"/>
      <c r="M63" s="920"/>
      <c r="N63" s="920"/>
      <c r="O63" s="920"/>
      <c r="P63" s="920"/>
      <c r="Q63" s="920"/>
      <c r="R63" s="920"/>
      <c r="S63" s="920"/>
      <c r="T63" s="920"/>
      <c r="U63" s="920"/>
      <c r="V63" s="920"/>
      <c r="W63" s="920"/>
      <c r="X63" s="920"/>
      <c r="Y63" s="920"/>
      <c r="Z63" s="920"/>
      <c r="AA63" s="920"/>
    </row>
    <row r="64" spans="2:69" x14ac:dyDescent="0.25">
      <c r="E64" s="547"/>
      <c r="F64" s="547"/>
      <c r="G64" s="547"/>
      <c r="H64" s="547"/>
      <c r="J64" s="547"/>
      <c r="K64" s="547"/>
      <c r="L64" s="547"/>
      <c r="M64" s="547"/>
      <c r="N64" s="547"/>
      <c r="O64" s="547"/>
      <c r="P64" s="547"/>
      <c r="Q64" s="547"/>
      <c r="R64" s="547"/>
      <c r="S64" s="547"/>
      <c r="T64" s="547"/>
      <c r="U64" s="547"/>
      <c r="V64" s="547"/>
      <c r="W64" s="547"/>
      <c r="X64" s="547"/>
      <c r="Y64" s="547"/>
      <c r="Z64" s="547"/>
      <c r="AA64" s="547"/>
    </row>
    <row r="65" spans="2:15" x14ac:dyDescent="0.25">
      <c r="B65" s="353" t="s">
        <v>640</v>
      </c>
      <c r="C65" s="571">
        <v>17000000</v>
      </c>
      <c r="D65" s="571">
        <v>3413</v>
      </c>
      <c r="E65" s="190">
        <f>SUM(C65*D65)</f>
        <v>58021000000</v>
      </c>
    </row>
    <row r="66" spans="2:15" x14ac:dyDescent="0.25">
      <c r="B66" s="353" t="s">
        <v>14</v>
      </c>
      <c r="C66" s="572">
        <v>60000</v>
      </c>
      <c r="D66" s="572">
        <v>125000</v>
      </c>
      <c r="E66" s="190">
        <f>SUM(C66*D66)</f>
        <v>7500000000</v>
      </c>
    </row>
    <row r="67" spans="2:15" x14ac:dyDescent="0.25">
      <c r="B67" s="353" t="s">
        <v>13</v>
      </c>
      <c r="C67" s="572">
        <v>1260000</v>
      </c>
      <c r="D67" s="572">
        <v>100000</v>
      </c>
      <c r="E67" s="190">
        <f>SUM(C67*D67)</f>
        <v>126000000000</v>
      </c>
    </row>
    <row r="68" spans="2:15" x14ac:dyDescent="0.25">
      <c r="B68" s="353" t="s">
        <v>640</v>
      </c>
      <c r="E68" s="190">
        <f>SUM(E65:E67)</f>
        <v>191521000000</v>
      </c>
      <c r="N68" s="190">
        <f>SUM(E68/1000000)</f>
        <v>191521</v>
      </c>
      <c r="O68" s="190" t="s">
        <v>641</v>
      </c>
    </row>
    <row r="70" spans="2:15" x14ac:dyDescent="0.25">
      <c r="B70" s="353" t="s">
        <v>37</v>
      </c>
      <c r="C70" s="189" t="s">
        <v>642</v>
      </c>
      <c r="D70" s="189" t="s">
        <v>643</v>
      </c>
    </row>
  </sheetData>
  <mergeCells count="16">
    <mergeCell ref="AI2:AL2"/>
    <mergeCell ref="G3:G4"/>
    <mergeCell ref="H3:H4"/>
    <mergeCell ref="K3:K4"/>
    <mergeCell ref="M3:M4"/>
    <mergeCell ref="O3:O4"/>
    <mergeCell ref="E63:AA63"/>
    <mergeCell ref="F2:M2"/>
    <mergeCell ref="N2:U2"/>
    <mergeCell ref="V2:AA2"/>
    <mergeCell ref="AB2:AG2"/>
    <mergeCell ref="P3:P4"/>
    <mergeCell ref="S3:S4"/>
    <mergeCell ref="U3:U4"/>
    <mergeCell ref="E59:Z59"/>
    <mergeCell ref="E61:Z6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BEBDC-FC15-41B3-8883-5B8008A03BFB}">
  <dimension ref="A2:AS207"/>
  <sheetViews>
    <sheetView zoomScale="80" zoomScaleNormal="80" workbookViewId="0">
      <selection activeCell="L9" sqref="L9"/>
    </sheetView>
  </sheetViews>
  <sheetFormatPr defaultRowHeight="15.75" x14ac:dyDescent="0.25"/>
  <cols>
    <col min="1" max="1" width="2.42578125" style="64" customWidth="1"/>
    <col min="2" max="2" width="15.28515625" style="168" customWidth="1"/>
    <col min="3" max="5" width="18.7109375" style="168" customWidth="1"/>
    <col min="6" max="6" width="19.7109375" style="168" customWidth="1"/>
    <col min="7" max="7" width="18.7109375" style="64" customWidth="1"/>
    <col min="8" max="8" width="17" style="64" customWidth="1"/>
    <col min="9" max="9" width="15.42578125" style="491" customWidth="1"/>
    <col min="10" max="10" width="17.28515625" style="492" customWidth="1"/>
    <col min="11" max="12" width="20.140625" style="492" customWidth="1"/>
    <col min="13" max="14" width="18.28515625" style="492" customWidth="1"/>
    <col min="15" max="15" width="23.7109375" style="492" customWidth="1"/>
    <col min="16" max="16" width="15.5703125" style="492" customWidth="1"/>
    <col min="17" max="17" width="16.7109375" style="4" customWidth="1"/>
    <col min="18" max="18" width="17.7109375" style="492" customWidth="1"/>
    <col min="19" max="20" width="16.7109375" style="519" customWidth="1"/>
    <col min="21" max="21" width="16.140625" style="4" customWidth="1"/>
    <col min="22" max="22" width="15.5703125" style="42" customWidth="1"/>
    <col min="23" max="23" width="11.28515625" style="42" customWidth="1"/>
    <col min="24" max="24" width="13.7109375" style="168" customWidth="1"/>
    <col min="25" max="25" width="11.7109375" style="64" customWidth="1"/>
    <col min="26" max="26" width="13.5703125" style="168" customWidth="1"/>
    <col min="27" max="27" width="13.7109375" style="168" customWidth="1"/>
    <col min="28" max="28" width="11.7109375" style="168" customWidth="1"/>
    <col min="29" max="29" width="10.42578125" style="168" customWidth="1"/>
    <col min="30" max="30" width="12.42578125" style="168" customWidth="1"/>
    <col min="31" max="31" width="14.7109375" style="168" customWidth="1"/>
    <col min="32" max="32" width="11" style="168" customWidth="1"/>
    <col min="33" max="33" width="11.42578125" style="168" customWidth="1"/>
    <col min="34" max="34" width="10.28515625" style="168" customWidth="1"/>
    <col min="35" max="35" width="12.5703125" style="168" customWidth="1"/>
    <col min="36" max="36" width="12.7109375" style="168" customWidth="1"/>
    <col min="37" max="37" width="17.28515625" style="168" customWidth="1"/>
    <col min="38" max="38" width="19" style="168" customWidth="1"/>
    <col min="39" max="39" width="18.28515625" style="168" customWidth="1"/>
    <col min="40" max="40" width="9.7109375" style="168" bestFit="1" customWidth="1"/>
    <col min="41" max="257" width="8.85546875" style="168"/>
    <col min="258" max="258" width="5.28515625" style="168" customWidth="1"/>
    <col min="259" max="259" width="20.28515625" style="168" customWidth="1"/>
    <col min="260" max="260" width="17" style="168" customWidth="1"/>
    <col min="261" max="261" width="19.28515625" style="168" customWidth="1"/>
    <col min="262" max="263" width="13.5703125" style="168" customWidth="1"/>
    <col min="264" max="264" width="11" style="168" customWidth="1"/>
    <col min="265" max="265" width="11.7109375" style="168" customWidth="1"/>
    <col min="266" max="266" width="8.85546875" style="168"/>
    <col min="267" max="267" width="12.42578125" style="168" customWidth="1"/>
    <col min="268" max="268" width="11.7109375" style="168" customWidth="1"/>
    <col min="269" max="513" width="8.85546875" style="168"/>
    <col min="514" max="514" width="5.28515625" style="168" customWidth="1"/>
    <col min="515" max="515" width="20.28515625" style="168" customWidth="1"/>
    <col min="516" max="516" width="17" style="168" customWidth="1"/>
    <col min="517" max="517" width="19.28515625" style="168" customWidth="1"/>
    <col min="518" max="519" width="13.5703125" style="168" customWidth="1"/>
    <col min="520" max="520" width="11" style="168" customWidth="1"/>
    <col min="521" max="521" width="11.7109375" style="168" customWidth="1"/>
    <col min="522" max="522" width="8.85546875" style="168"/>
    <col min="523" max="523" width="12.42578125" style="168" customWidth="1"/>
    <col min="524" max="524" width="11.7109375" style="168" customWidth="1"/>
    <col min="525" max="769" width="8.85546875" style="168"/>
    <col min="770" max="770" width="5.28515625" style="168" customWidth="1"/>
    <col min="771" max="771" width="20.28515625" style="168" customWidth="1"/>
    <col min="772" max="772" width="17" style="168" customWidth="1"/>
    <col min="773" max="773" width="19.28515625" style="168" customWidth="1"/>
    <col min="774" max="775" width="13.5703125" style="168" customWidth="1"/>
    <col min="776" max="776" width="11" style="168" customWidth="1"/>
    <col min="777" max="777" width="11.7109375" style="168" customWidth="1"/>
    <col min="778" max="778" width="8.85546875" style="168"/>
    <col min="779" max="779" width="12.42578125" style="168" customWidth="1"/>
    <col min="780" max="780" width="11.7109375" style="168" customWidth="1"/>
    <col min="781" max="1025" width="8.85546875" style="168"/>
    <col min="1026" max="1026" width="5.28515625" style="168" customWidth="1"/>
    <col min="1027" max="1027" width="20.28515625" style="168" customWidth="1"/>
    <col min="1028" max="1028" width="17" style="168" customWidth="1"/>
    <col min="1029" max="1029" width="19.28515625" style="168" customWidth="1"/>
    <col min="1030" max="1031" width="13.5703125" style="168" customWidth="1"/>
    <col min="1032" max="1032" width="11" style="168" customWidth="1"/>
    <col min="1033" max="1033" width="11.7109375" style="168" customWidth="1"/>
    <col min="1034" max="1034" width="8.85546875" style="168"/>
    <col min="1035" max="1035" width="12.42578125" style="168" customWidth="1"/>
    <col min="1036" max="1036" width="11.7109375" style="168" customWidth="1"/>
    <col min="1037" max="1281" width="8.85546875" style="168"/>
    <col min="1282" max="1282" width="5.28515625" style="168" customWidth="1"/>
    <col min="1283" max="1283" width="20.28515625" style="168" customWidth="1"/>
    <col min="1284" max="1284" width="17" style="168" customWidth="1"/>
    <col min="1285" max="1285" width="19.28515625" style="168" customWidth="1"/>
    <col min="1286" max="1287" width="13.5703125" style="168" customWidth="1"/>
    <col min="1288" max="1288" width="11" style="168" customWidth="1"/>
    <col min="1289" max="1289" width="11.7109375" style="168" customWidth="1"/>
    <col min="1290" max="1290" width="8.85546875" style="168"/>
    <col min="1291" max="1291" width="12.42578125" style="168" customWidth="1"/>
    <col min="1292" max="1292" width="11.7109375" style="168" customWidth="1"/>
    <col min="1293" max="1537" width="8.85546875" style="168"/>
    <col min="1538" max="1538" width="5.28515625" style="168" customWidth="1"/>
    <col min="1539" max="1539" width="20.28515625" style="168" customWidth="1"/>
    <col min="1540" max="1540" width="17" style="168" customWidth="1"/>
    <col min="1541" max="1541" width="19.28515625" style="168" customWidth="1"/>
    <col min="1542" max="1543" width="13.5703125" style="168" customWidth="1"/>
    <col min="1544" max="1544" width="11" style="168" customWidth="1"/>
    <col min="1545" max="1545" width="11.7109375" style="168" customWidth="1"/>
    <col min="1546" max="1546" width="8.85546875" style="168"/>
    <col min="1547" max="1547" width="12.42578125" style="168" customWidth="1"/>
    <col min="1548" max="1548" width="11.7109375" style="168" customWidth="1"/>
    <col min="1549" max="1793" width="8.85546875" style="168"/>
    <col min="1794" max="1794" width="5.28515625" style="168" customWidth="1"/>
    <col min="1795" max="1795" width="20.28515625" style="168" customWidth="1"/>
    <col min="1796" max="1796" width="17" style="168" customWidth="1"/>
    <col min="1797" max="1797" width="19.28515625" style="168" customWidth="1"/>
    <col min="1798" max="1799" width="13.5703125" style="168" customWidth="1"/>
    <col min="1800" max="1800" width="11" style="168" customWidth="1"/>
    <col min="1801" max="1801" width="11.7109375" style="168" customWidth="1"/>
    <col min="1802" max="1802" width="8.85546875" style="168"/>
    <col min="1803" max="1803" width="12.42578125" style="168" customWidth="1"/>
    <col min="1804" max="1804" width="11.7109375" style="168" customWidth="1"/>
    <col min="1805" max="2049" width="8.85546875" style="168"/>
    <col min="2050" max="2050" width="5.28515625" style="168" customWidth="1"/>
    <col min="2051" max="2051" width="20.28515625" style="168" customWidth="1"/>
    <col min="2052" max="2052" width="17" style="168" customWidth="1"/>
    <col min="2053" max="2053" width="19.28515625" style="168" customWidth="1"/>
    <col min="2054" max="2055" width="13.5703125" style="168" customWidth="1"/>
    <col min="2056" max="2056" width="11" style="168" customWidth="1"/>
    <col min="2057" max="2057" width="11.7109375" style="168" customWidth="1"/>
    <col min="2058" max="2058" width="8.85546875" style="168"/>
    <col min="2059" max="2059" width="12.42578125" style="168" customWidth="1"/>
    <col min="2060" max="2060" width="11.7109375" style="168" customWidth="1"/>
    <col min="2061" max="2305" width="8.85546875" style="168"/>
    <col min="2306" max="2306" width="5.28515625" style="168" customWidth="1"/>
    <col min="2307" max="2307" width="20.28515625" style="168" customWidth="1"/>
    <col min="2308" max="2308" width="17" style="168" customWidth="1"/>
    <col min="2309" max="2309" width="19.28515625" style="168" customWidth="1"/>
    <col min="2310" max="2311" width="13.5703125" style="168" customWidth="1"/>
    <col min="2312" max="2312" width="11" style="168" customWidth="1"/>
    <col min="2313" max="2313" width="11.7109375" style="168" customWidth="1"/>
    <col min="2314" max="2314" width="8.85546875" style="168"/>
    <col min="2315" max="2315" width="12.42578125" style="168" customWidth="1"/>
    <col min="2316" max="2316" width="11.7109375" style="168" customWidth="1"/>
    <col min="2317" max="2561" width="8.85546875" style="168"/>
    <col min="2562" max="2562" width="5.28515625" style="168" customWidth="1"/>
    <col min="2563" max="2563" width="20.28515625" style="168" customWidth="1"/>
    <col min="2564" max="2564" width="17" style="168" customWidth="1"/>
    <col min="2565" max="2565" width="19.28515625" style="168" customWidth="1"/>
    <col min="2566" max="2567" width="13.5703125" style="168" customWidth="1"/>
    <col min="2568" max="2568" width="11" style="168" customWidth="1"/>
    <col min="2569" max="2569" width="11.7109375" style="168" customWidth="1"/>
    <col min="2570" max="2570" width="8.85546875" style="168"/>
    <col min="2571" max="2571" width="12.42578125" style="168" customWidth="1"/>
    <col min="2572" max="2572" width="11.7109375" style="168" customWidth="1"/>
    <col min="2573" max="2817" width="8.85546875" style="168"/>
    <col min="2818" max="2818" width="5.28515625" style="168" customWidth="1"/>
    <col min="2819" max="2819" width="20.28515625" style="168" customWidth="1"/>
    <col min="2820" max="2820" width="17" style="168" customWidth="1"/>
    <col min="2821" max="2821" width="19.28515625" style="168" customWidth="1"/>
    <col min="2822" max="2823" width="13.5703125" style="168" customWidth="1"/>
    <col min="2824" max="2824" width="11" style="168" customWidth="1"/>
    <col min="2825" max="2825" width="11.7109375" style="168" customWidth="1"/>
    <col min="2826" max="2826" width="8.85546875" style="168"/>
    <col min="2827" max="2827" width="12.42578125" style="168" customWidth="1"/>
    <col min="2828" max="2828" width="11.7109375" style="168" customWidth="1"/>
    <col min="2829" max="3073" width="8.85546875" style="168"/>
    <col min="3074" max="3074" width="5.28515625" style="168" customWidth="1"/>
    <col min="3075" max="3075" width="20.28515625" style="168" customWidth="1"/>
    <col min="3076" max="3076" width="17" style="168" customWidth="1"/>
    <col min="3077" max="3077" width="19.28515625" style="168" customWidth="1"/>
    <col min="3078" max="3079" width="13.5703125" style="168" customWidth="1"/>
    <col min="3080" max="3080" width="11" style="168" customWidth="1"/>
    <col min="3081" max="3081" width="11.7109375" style="168" customWidth="1"/>
    <col min="3082" max="3082" width="8.85546875" style="168"/>
    <col min="3083" max="3083" width="12.42578125" style="168" customWidth="1"/>
    <col min="3084" max="3084" width="11.7109375" style="168" customWidth="1"/>
    <col min="3085" max="3329" width="8.85546875" style="168"/>
    <col min="3330" max="3330" width="5.28515625" style="168" customWidth="1"/>
    <col min="3331" max="3331" width="20.28515625" style="168" customWidth="1"/>
    <col min="3332" max="3332" width="17" style="168" customWidth="1"/>
    <col min="3333" max="3333" width="19.28515625" style="168" customWidth="1"/>
    <col min="3334" max="3335" width="13.5703125" style="168" customWidth="1"/>
    <col min="3336" max="3336" width="11" style="168" customWidth="1"/>
    <col min="3337" max="3337" width="11.7109375" style="168" customWidth="1"/>
    <col min="3338" max="3338" width="8.85546875" style="168"/>
    <col min="3339" max="3339" width="12.42578125" style="168" customWidth="1"/>
    <col min="3340" max="3340" width="11.7109375" style="168" customWidth="1"/>
    <col min="3341" max="3585" width="8.85546875" style="168"/>
    <col min="3586" max="3586" width="5.28515625" style="168" customWidth="1"/>
    <col min="3587" max="3587" width="20.28515625" style="168" customWidth="1"/>
    <col min="3588" max="3588" width="17" style="168" customWidth="1"/>
    <col min="3589" max="3589" width="19.28515625" style="168" customWidth="1"/>
    <col min="3590" max="3591" width="13.5703125" style="168" customWidth="1"/>
    <col min="3592" max="3592" width="11" style="168" customWidth="1"/>
    <col min="3593" max="3593" width="11.7109375" style="168" customWidth="1"/>
    <col min="3594" max="3594" width="8.85546875" style="168"/>
    <col min="3595" max="3595" width="12.42578125" style="168" customWidth="1"/>
    <col min="3596" max="3596" width="11.7109375" style="168" customWidth="1"/>
    <col min="3597" max="3841" width="8.85546875" style="168"/>
    <col min="3842" max="3842" width="5.28515625" style="168" customWidth="1"/>
    <col min="3843" max="3843" width="20.28515625" style="168" customWidth="1"/>
    <col min="3844" max="3844" width="17" style="168" customWidth="1"/>
    <col min="3845" max="3845" width="19.28515625" style="168" customWidth="1"/>
    <col min="3846" max="3847" width="13.5703125" style="168" customWidth="1"/>
    <col min="3848" max="3848" width="11" style="168" customWidth="1"/>
    <col min="3849" max="3849" width="11.7109375" style="168" customWidth="1"/>
    <col min="3850" max="3850" width="8.85546875" style="168"/>
    <col min="3851" max="3851" width="12.42578125" style="168" customWidth="1"/>
    <col min="3852" max="3852" width="11.7109375" style="168" customWidth="1"/>
    <col min="3853" max="4097" width="8.85546875" style="168"/>
    <col min="4098" max="4098" width="5.28515625" style="168" customWidth="1"/>
    <col min="4099" max="4099" width="20.28515625" style="168" customWidth="1"/>
    <col min="4100" max="4100" width="17" style="168" customWidth="1"/>
    <col min="4101" max="4101" width="19.28515625" style="168" customWidth="1"/>
    <col min="4102" max="4103" width="13.5703125" style="168" customWidth="1"/>
    <col min="4104" max="4104" width="11" style="168" customWidth="1"/>
    <col min="4105" max="4105" width="11.7109375" style="168" customWidth="1"/>
    <col min="4106" max="4106" width="8.85546875" style="168"/>
    <col min="4107" max="4107" width="12.42578125" style="168" customWidth="1"/>
    <col min="4108" max="4108" width="11.7109375" style="168" customWidth="1"/>
    <col min="4109" max="4353" width="8.85546875" style="168"/>
    <col min="4354" max="4354" width="5.28515625" style="168" customWidth="1"/>
    <col min="4355" max="4355" width="20.28515625" style="168" customWidth="1"/>
    <col min="4356" max="4356" width="17" style="168" customWidth="1"/>
    <col min="4357" max="4357" width="19.28515625" style="168" customWidth="1"/>
    <col min="4358" max="4359" width="13.5703125" style="168" customWidth="1"/>
    <col min="4360" max="4360" width="11" style="168" customWidth="1"/>
    <col min="4361" max="4361" width="11.7109375" style="168" customWidth="1"/>
    <col min="4362" max="4362" width="8.85546875" style="168"/>
    <col min="4363" max="4363" width="12.42578125" style="168" customWidth="1"/>
    <col min="4364" max="4364" width="11.7109375" style="168" customWidth="1"/>
    <col min="4365" max="4609" width="8.85546875" style="168"/>
    <col min="4610" max="4610" width="5.28515625" style="168" customWidth="1"/>
    <col min="4611" max="4611" width="20.28515625" style="168" customWidth="1"/>
    <col min="4612" max="4612" width="17" style="168" customWidth="1"/>
    <col min="4613" max="4613" width="19.28515625" style="168" customWidth="1"/>
    <col min="4614" max="4615" width="13.5703125" style="168" customWidth="1"/>
    <col min="4616" max="4616" width="11" style="168" customWidth="1"/>
    <col min="4617" max="4617" width="11.7109375" style="168" customWidth="1"/>
    <col min="4618" max="4618" width="8.85546875" style="168"/>
    <col min="4619" max="4619" width="12.42578125" style="168" customWidth="1"/>
    <col min="4620" max="4620" width="11.7109375" style="168" customWidth="1"/>
    <col min="4621" max="4865" width="8.85546875" style="168"/>
    <col min="4866" max="4866" width="5.28515625" style="168" customWidth="1"/>
    <col min="4867" max="4867" width="20.28515625" style="168" customWidth="1"/>
    <col min="4868" max="4868" width="17" style="168" customWidth="1"/>
    <col min="4869" max="4869" width="19.28515625" style="168" customWidth="1"/>
    <col min="4870" max="4871" width="13.5703125" style="168" customWidth="1"/>
    <col min="4872" max="4872" width="11" style="168" customWidth="1"/>
    <col min="4873" max="4873" width="11.7109375" style="168" customWidth="1"/>
    <col min="4874" max="4874" width="8.85546875" style="168"/>
    <col min="4875" max="4875" width="12.42578125" style="168" customWidth="1"/>
    <col min="4876" max="4876" width="11.7109375" style="168" customWidth="1"/>
    <col min="4877" max="5121" width="8.85546875" style="168"/>
    <col min="5122" max="5122" width="5.28515625" style="168" customWidth="1"/>
    <col min="5123" max="5123" width="20.28515625" style="168" customWidth="1"/>
    <col min="5124" max="5124" width="17" style="168" customWidth="1"/>
    <col min="5125" max="5125" width="19.28515625" style="168" customWidth="1"/>
    <col min="5126" max="5127" width="13.5703125" style="168" customWidth="1"/>
    <col min="5128" max="5128" width="11" style="168" customWidth="1"/>
    <col min="5129" max="5129" width="11.7109375" style="168" customWidth="1"/>
    <col min="5130" max="5130" width="8.85546875" style="168"/>
    <col min="5131" max="5131" width="12.42578125" style="168" customWidth="1"/>
    <col min="5132" max="5132" width="11.7109375" style="168" customWidth="1"/>
    <col min="5133" max="5377" width="8.85546875" style="168"/>
    <col min="5378" max="5378" width="5.28515625" style="168" customWidth="1"/>
    <col min="5379" max="5379" width="20.28515625" style="168" customWidth="1"/>
    <col min="5380" max="5380" width="17" style="168" customWidth="1"/>
    <col min="5381" max="5381" width="19.28515625" style="168" customWidth="1"/>
    <col min="5382" max="5383" width="13.5703125" style="168" customWidth="1"/>
    <col min="5384" max="5384" width="11" style="168" customWidth="1"/>
    <col min="5385" max="5385" width="11.7109375" style="168" customWidth="1"/>
    <col min="5386" max="5386" width="8.85546875" style="168"/>
    <col min="5387" max="5387" width="12.42578125" style="168" customWidth="1"/>
    <col min="5388" max="5388" width="11.7109375" style="168" customWidth="1"/>
    <col min="5389" max="5633" width="8.85546875" style="168"/>
    <col min="5634" max="5634" width="5.28515625" style="168" customWidth="1"/>
    <col min="5635" max="5635" width="20.28515625" style="168" customWidth="1"/>
    <col min="5636" max="5636" width="17" style="168" customWidth="1"/>
    <col min="5637" max="5637" width="19.28515625" style="168" customWidth="1"/>
    <col min="5638" max="5639" width="13.5703125" style="168" customWidth="1"/>
    <col min="5640" max="5640" width="11" style="168" customWidth="1"/>
    <col min="5641" max="5641" width="11.7109375" style="168" customWidth="1"/>
    <col min="5642" max="5642" width="8.85546875" style="168"/>
    <col min="5643" max="5643" width="12.42578125" style="168" customWidth="1"/>
    <col min="5644" max="5644" width="11.7109375" style="168" customWidth="1"/>
    <col min="5645" max="5889" width="8.85546875" style="168"/>
    <col min="5890" max="5890" width="5.28515625" style="168" customWidth="1"/>
    <col min="5891" max="5891" width="20.28515625" style="168" customWidth="1"/>
    <col min="5892" max="5892" width="17" style="168" customWidth="1"/>
    <col min="5893" max="5893" width="19.28515625" style="168" customWidth="1"/>
    <col min="5894" max="5895" width="13.5703125" style="168" customWidth="1"/>
    <col min="5896" max="5896" width="11" style="168" customWidth="1"/>
    <col min="5897" max="5897" width="11.7109375" style="168" customWidth="1"/>
    <col min="5898" max="5898" width="8.85546875" style="168"/>
    <col min="5899" max="5899" width="12.42578125" style="168" customWidth="1"/>
    <col min="5900" max="5900" width="11.7109375" style="168" customWidth="1"/>
    <col min="5901" max="6145" width="8.85546875" style="168"/>
    <col min="6146" max="6146" width="5.28515625" style="168" customWidth="1"/>
    <col min="6147" max="6147" width="20.28515625" style="168" customWidth="1"/>
    <col min="6148" max="6148" width="17" style="168" customWidth="1"/>
    <col min="6149" max="6149" width="19.28515625" style="168" customWidth="1"/>
    <col min="6150" max="6151" width="13.5703125" style="168" customWidth="1"/>
    <col min="6152" max="6152" width="11" style="168" customWidth="1"/>
    <col min="6153" max="6153" width="11.7109375" style="168" customWidth="1"/>
    <col min="6154" max="6154" width="8.85546875" style="168"/>
    <col min="6155" max="6155" width="12.42578125" style="168" customWidth="1"/>
    <col min="6156" max="6156" width="11.7109375" style="168" customWidth="1"/>
    <col min="6157" max="6401" width="8.85546875" style="168"/>
    <col min="6402" max="6402" width="5.28515625" style="168" customWidth="1"/>
    <col min="6403" max="6403" width="20.28515625" style="168" customWidth="1"/>
    <col min="6404" max="6404" width="17" style="168" customWidth="1"/>
    <col min="6405" max="6405" width="19.28515625" style="168" customWidth="1"/>
    <col min="6406" max="6407" width="13.5703125" style="168" customWidth="1"/>
    <col min="6408" max="6408" width="11" style="168" customWidth="1"/>
    <col min="6409" max="6409" width="11.7109375" style="168" customWidth="1"/>
    <col min="6410" max="6410" width="8.85546875" style="168"/>
    <col min="6411" max="6411" width="12.42578125" style="168" customWidth="1"/>
    <col min="6412" max="6412" width="11.7109375" style="168" customWidth="1"/>
    <col min="6413" max="6657" width="8.85546875" style="168"/>
    <col min="6658" max="6658" width="5.28515625" style="168" customWidth="1"/>
    <col min="6659" max="6659" width="20.28515625" style="168" customWidth="1"/>
    <col min="6660" max="6660" width="17" style="168" customWidth="1"/>
    <col min="6661" max="6661" width="19.28515625" style="168" customWidth="1"/>
    <col min="6662" max="6663" width="13.5703125" style="168" customWidth="1"/>
    <col min="6664" max="6664" width="11" style="168" customWidth="1"/>
    <col min="6665" max="6665" width="11.7109375" style="168" customWidth="1"/>
    <col min="6666" max="6666" width="8.85546875" style="168"/>
    <col min="6667" max="6667" width="12.42578125" style="168" customWidth="1"/>
    <col min="6668" max="6668" width="11.7109375" style="168" customWidth="1"/>
    <col min="6669" max="6913" width="8.85546875" style="168"/>
    <col min="6914" max="6914" width="5.28515625" style="168" customWidth="1"/>
    <col min="6915" max="6915" width="20.28515625" style="168" customWidth="1"/>
    <col min="6916" max="6916" width="17" style="168" customWidth="1"/>
    <col min="6917" max="6917" width="19.28515625" style="168" customWidth="1"/>
    <col min="6918" max="6919" width="13.5703125" style="168" customWidth="1"/>
    <col min="6920" max="6920" width="11" style="168" customWidth="1"/>
    <col min="6921" max="6921" width="11.7109375" style="168" customWidth="1"/>
    <col min="6922" max="6922" width="8.85546875" style="168"/>
    <col min="6923" max="6923" width="12.42578125" style="168" customWidth="1"/>
    <col min="6924" max="6924" width="11.7109375" style="168" customWidth="1"/>
    <col min="6925" max="7169" width="8.85546875" style="168"/>
    <col min="7170" max="7170" width="5.28515625" style="168" customWidth="1"/>
    <col min="7171" max="7171" width="20.28515625" style="168" customWidth="1"/>
    <col min="7172" max="7172" width="17" style="168" customWidth="1"/>
    <col min="7173" max="7173" width="19.28515625" style="168" customWidth="1"/>
    <col min="7174" max="7175" width="13.5703125" style="168" customWidth="1"/>
    <col min="7176" max="7176" width="11" style="168" customWidth="1"/>
    <col min="7177" max="7177" width="11.7109375" style="168" customWidth="1"/>
    <col min="7178" max="7178" width="8.85546875" style="168"/>
    <col min="7179" max="7179" width="12.42578125" style="168" customWidth="1"/>
    <col min="7180" max="7180" width="11.7109375" style="168" customWidth="1"/>
    <col min="7181" max="7425" width="8.85546875" style="168"/>
    <col min="7426" max="7426" width="5.28515625" style="168" customWidth="1"/>
    <col min="7427" max="7427" width="20.28515625" style="168" customWidth="1"/>
    <col min="7428" max="7428" width="17" style="168" customWidth="1"/>
    <col min="7429" max="7429" width="19.28515625" style="168" customWidth="1"/>
    <col min="7430" max="7431" width="13.5703125" style="168" customWidth="1"/>
    <col min="7432" max="7432" width="11" style="168" customWidth="1"/>
    <col min="7433" max="7433" width="11.7109375" style="168" customWidth="1"/>
    <col min="7434" max="7434" width="8.85546875" style="168"/>
    <col min="7435" max="7435" width="12.42578125" style="168" customWidth="1"/>
    <col min="7436" max="7436" width="11.7109375" style="168" customWidth="1"/>
    <col min="7437" max="7681" width="8.85546875" style="168"/>
    <col min="7682" max="7682" width="5.28515625" style="168" customWidth="1"/>
    <col min="7683" max="7683" width="20.28515625" style="168" customWidth="1"/>
    <col min="7684" max="7684" width="17" style="168" customWidth="1"/>
    <col min="7685" max="7685" width="19.28515625" style="168" customWidth="1"/>
    <col min="7686" max="7687" width="13.5703125" style="168" customWidth="1"/>
    <col min="7688" max="7688" width="11" style="168" customWidth="1"/>
    <col min="7689" max="7689" width="11.7109375" style="168" customWidth="1"/>
    <col min="7690" max="7690" width="8.85546875" style="168"/>
    <col min="7691" max="7691" width="12.42578125" style="168" customWidth="1"/>
    <col min="7692" max="7692" width="11.7109375" style="168" customWidth="1"/>
    <col min="7693" max="7937" width="8.85546875" style="168"/>
    <col min="7938" max="7938" width="5.28515625" style="168" customWidth="1"/>
    <col min="7939" max="7939" width="20.28515625" style="168" customWidth="1"/>
    <col min="7940" max="7940" width="17" style="168" customWidth="1"/>
    <col min="7941" max="7941" width="19.28515625" style="168" customWidth="1"/>
    <col min="7942" max="7943" width="13.5703125" style="168" customWidth="1"/>
    <col min="7944" max="7944" width="11" style="168" customWidth="1"/>
    <col min="7945" max="7945" width="11.7109375" style="168" customWidth="1"/>
    <col min="7946" max="7946" width="8.85546875" style="168"/>
    <col min="7947" max="7947" width="12.42578125" style="168" customWidth="1"/>
    <col min="7948" max="7948" width="11.7109375" style="168" customWidth="1"/>
    <col min="7949" max="8193" width="8.85546875" style="168"/>
    <col min="8194" max="8194" width="5.28515625" style="168" customWidth="1"/>
    <col min="8195" max="8195" width="20.28515625" style="168" customWidth="1"/>
    <col min="8196" max="8196" width="17" style="168" customWidth="1"/>
    <col min="8197" max="8197" width="19.28515625" style="168" customWidth="1"/>
    <col min="8198" max="8199" width="13.5703125" style="168" customWidth="1"/>
    <col min="8200" max="8200" width="11" style="168" customWidth="1"/>
    <col min="8201" max="8201" width="11.7109375" style="168" customWidth="1"/>
    <col min="8202" max="8202" width="8.85546875" style="168"/>
    <col min="8203" max="8203" width="12.42578125" style="168" customWidth="1"/>
    <col min="8204" max="8204" width="11.7109375" style="168" customWidth="1"/>
    <col min="8205" max="8449" width="8.85546875" style="168"/>
    <col min="8450" max="8450" width="5.28515625" style="168" customWidth="1"/>
    <col min="8451" max="8451" width="20.28515625" style="168" customWidth="1"/>
    <col min="8452" max="8452" width="17" style="168" customWidth="1"/>
    <col min="8453" max="8453" width="19.28515625" style="168" customWidth="1"/>
    <col min="8454" max="8455" width="13.5703125" style="168" customWidth="1"/>
    <col min="8456" max="8456" width="11" style="168" customWidth="1"/>
    <col min="8457" max="8457" width="11.7109375" style="168" customWidth="1"/>
    <col min="8458" max="8458" width="8.85546875" style="168"/>
    <col min="8459" max="8459" width="12.42578125" style="168" customWidth="1"/>
    <col min="8460" max="8460" width="11.7109375" style="168" customWidth="1"/>
    <col min="8461" max="8705" width="8.85546875" style="168"/>
    <col min="8706" max="8706" width="5.28515625" style="168" customWidth="1"/>
    <col min="8707" max="8707" width="20.28515625" style="168" customWidth="1"/>
    <col min="8708" max="8708" width="17" style="168" customWidth="1"/>
    <col min="8709" max="8709" width="19.28515625" style="168" customWidth="1"/>
    <col min="8710" max="8711" width="13.5703125" style="168" customWidth="1"/>
    <col min="8712" max="8712" width="11" style="168" customWidth="1"/>
    <col min="8713" max="8713" width="11.7109375" style="168" customWidth="1"/>
    <col min="8714" max="8714" width="8.85546875" style="168"/>
    <col min="8715" max="8715" width="12.42578125" style="168" customWidth="1"/>
    <col min="8716" max="8716" width="11.7109375" style="168" customWidth="1"/>
    <col min="8717" max="8961" width="8.85546875" style="168"/>
    <col min="8962" max="8962" width="5.28515625" style="168" customWidth="1"/>
    <col min="8963" max="8963" width="20.28515625" style="168" customWidth="1"/>
    <col min="8964" max="8964" width="17" style="168" customWidth="1"/>
    <col min="8965" max="8965" width="19.28515625" style="168" customWidth="1"/>
    <col min="8966" max="8967" width="13.5703125" style="168" customWidth="1"/>
    <col min="8968" max="8968" width="11" style="168" customWidth="1"/>
    <col min="8969" max="8969" width="11.7109375" style="168" customWidth="1"/>
    <col min="8970" max="8970" width="8.85546875" style="168"/>
    <col min="8971" max="8971" width="12.42578125" style="168" customWidth="1"/>
    <col min="8972" max="8972" width="11.7109375" style="168" customWidth="1"/>
    <col min="8973" max="9217" width="8.85546875" style="168"/>
    <col min="9218" max="9218" width="5.28515625" style="168" customWidth="1"/>
    <col min="9219" max="9219" width="20.28515625" style="168" customWidth="1"/>
    <col min="9220" max="9220" width="17" style="168" customWidth="1"/>
    <col min="9221" max="9221" width="19.28515625" style="168" customWidth="1"/>
    <col min="9222" max="9223" width="13.5703125" style="168" customWidth="1"/>
    <col min="9224" max="9224" width="11" style="168" customWidth="1"/>
    <col min="9225" max="9225" width="11.7109375" style="168" customWidth="1"/>
    <col min="9226" max="9226" width="8.85546875" style="168"/>
    <col min="9227" max="9227" width="12.42578125" style="168" customWidth="1"/>
    <col min="9228" max="9228" width="11.7109375" style="168" customWidth="1"/>
    <col min="9229" max="9473" width="8.85546875" style="168"/>
    <col min="9474" max="9474" width="5.28515625" style="168" customWidth="1"/>
    <col min="9475" max="9475" width="20.28515625" style="168" customWidth="1"/>
    <col min="9476" max="9476" width="17" style="168" customWidth="1"/>
    <col min="9477" max="9477" width="19.28515625" style="168" customWidth="1"/>
    <col min="9478" max="9479" width="13.5703125" style="168" customWidth="1"/>
    <col min="9480" max="9480" width="11" style="168" customWidth="1"/>
    <col min="9481" max="9481" width="11.7109375" style="168" customWidth="1"/>
    <col min="9482" max="9482" width="8.85546875" style="168"/>
    <col min="9483" max="9483" width="12.42578125" style="168" customWidth="1"/>
    <col min="9484" max="9484" width="11.7109375" style="168" customWidth="1"/>
    <col min="9485" max="9729" width="8.85546875" style="168"/>
    <col min="9730" max="9730" width="5.28515625" style="168" customWidth="1"/>
    <col min="9731" max="9731" width="20.28515625" style="168" customWidth="1"/>
    <col min="9732" max="9732" width="17" style="168" customWidth="1"/>
    <col min="9733" max="9733" width="19.28515625" style="168" customWidth="1"/>
    <col min="9734" max="9735" width="13.5703125" style="168" customWidth="1"/>
    <col min="9736" max="9736" width="11" style="168" customWidth="1"/>
    <col min="9737" max="9737" width="11.7109375" style="168" customWidth="1"/>
    <col min="9738" max="9738" width="8.85546875" style="168"/>
    <col min="9739" max="9739" width="12.42578125" style="168" customWidth="1"/>
    <col min="9740" max="9740" width="11.7109375" style="168" customWidth="1"/>
    <col min="9741" max="9985" width="8.85546875" style="168"/>
    <col min="9986" max="9986" width="5.28515625" style="168" customWidth="1"/>
    <col min="9987" max="9987" width="20.28515625" style="168" customWidth="1"/>
    <col min="9988" max="9988" width="17" style="168" customWidth="1"/>
    <col min="9989" max="9989" width="19.28515625" style="168" customWidth="1"/>
    <col min="9990" max="9991" width="13.5703125" style="168" customWidth="1"/>
    <col min="9992" max="9992" width="11" style="168" customWidth="1"/>
    <col min="9993" max="9993" width="11.7109375" style="168" customWidth="1"/>
    <col min="9994" max="9994" width="8.85546875" style="168"/>
    <col min="9995" max="9995" width="12.42578125" style="168" customWidth="1"/>
    <col min="9996" max="9996" width="11.7109375" style="168" customWidth="1"/>
    <col min="9997" max="10241" width="8.85546875" style="168"/>
    <col min="10242" max="10242" width="5.28515625" style="168" customWidth="1"/>
    <col min="10243" max="10243" width="20.28515625" style="168" customWidth="1"/>
    <col min="10244" max="10244" width="17" style="168" customWidth="1"/>
    <col min="10245" max="10245" width="19.28515625" style="168" customWidth="1"/>
    <col min="10246" max="10247" width="13.5703125" style="168" customWidth="1"/>
    <col min="10248" max="10248" width="11" style="168" customWidth="1"/>
    <col min="10249" max="10249" width="11.7109375" style="168" customWidth="1"/>
    <col min="10250" max="10250" width="8.85546875" style="168"/>
    <col min="10251" max="10251" width="12.42578125" style="168" customWidth="1"/>
    <col min="10252" max="10252" width="11.7109375" style="168" customWidth="1"/>
    <col min="10253" max="10497" width="8.85546875" style="168"/>
    <col min="10498" max="10498" width="5.28515625" style="168" customWidth="1"/>
    <col min="10499" max="10499" width="20.28515625" style="168" customWidth="1"/>
    <col min="10500" max="10500" width="17" style="168" customWidth="1"/>
    <col min="10501" max="10501" width="19.28515625" style="168" customWidth="1"/>
    <col min="10502" max="10503" width="13.5703125" style="168" customWidth="1"/>
    <col min="10504" max="10504" width="11" style="168" customWidth="1"/>
    <col min="10505" max="10505" width="11.7109375" style="168" customWidth="1"/>
    <col min="10506" max="10506" width="8.85546875" style="168"/>
    <col min="10507" max="10507" width="12.42578125" style="168" customWidth="1"/>
    <col min="10508" max="10508" width="11.7109375" style="168" customWidth="1"/>
    <col min="10509" max="10753" width="8.85546875" style="168"/>
    <col min="10754" max="10754" width="5.28515625" style="168" customWidth="1"/>
    <col min="10755" max="10755" width="20.28515625" style="168" customWidth="1"/>
    <col min="10756" max="10756" width="17" style="168" customWidth="1"/>
    <col min="10757" max="10757" width="19.28515625" style="168" customWidth="1"/>
    <col min="10758" max="10759" width="13.5703125" style="168" customWidth="1"/>
    <col min="10760" max="10760" width="11" style="168" customWidth="1"/>
    <col min="10761" max="10761" width="11.7109375" style="168" customWidth="1"/>
    <col min="10762" max="10762" width="8.85546875" style="168"/>
    <col min="10763" max="10763" width="12.42578125" style="168" customWidth="1"/>
    <col min="10764" max="10764" width="11.7109375" style="168" customWidth="1"/>
    <col min="10765" max="11009" width="8.85546875" style="168"/>
    <col min="11010" max="11010" width="5.28515625" style="168" customWidth="1"/>
    <col min="11011" max="11011" width="20.28515625" style="168" customWidth="1"/>
    <col min="11012" max="11012" width="17" style="168" customWidth="1"/>
    <col min="11013" max="11013" width="19.28515625" style="168" customWidth="1"/>
    <col min="11014" max="11015" width="13.5703125" style="168" customWidth="1"/>
    <col min="11016" max="11016" width="11" style="168" customWidth="1"/>
    <col min="11017" max="11017" width="11.7109375" style="168" customWidth="1"/>
    <col min="11018" max="11018" width="8.85546875" style="168"/>
    <col min="11019" max="11019" width="12.42578125" style="168" customWidth="1"/>
    <col min="11020" max="11020" width="11.7109375" style="168" customWidth="1"/>
    <col min="11021" max="11265" width="8.85546875" style="168"/>
    <col min="11266" max="11266" width="5.28515625" style="168" customWidth="1"/>
    <col min="11267" max="11267" width="20.28515625" style="168" customWidth="1"/>
    <col min="11268" max="11268" width="17" style="168" customWidth="1"/>
    <col min="11269" max="11269" width="19.28515625" style="168" customWidth="1"/>
    <col min="11270" max="11271" width="13.5703125" style="168" customWidth="1"/>
    <col min="11272" max="11272" width="11" style="168" customWidth="1"/>
    <col min="11273" max="11273" width="11.7109375" style="168" customWidth="1"/>
    <col min="11274" max="11274" width="8.85546875" style="168"/>
    <col min="11275" max="11275" width="12.42578125" style="168" customWidth="1"/>
    <col min="11276" max="11276" width="11.7109375" style="168" customWidth="1"/>
    <col min="11277" max="11521" width="8.85546875" style="168"/>
    <col min="11522" max="11522" width="5.28515625" style="168" customWidth="1"/>
    <col min="11523" max="11523" width="20.28515625" style="168" customWidth="1"/>
    <col min="11524" max="11524" width="17" style="168" customWidth="1"/>
    <col min="11525" max="11525" width="19.28515625" style="168" customWidth="1"/>
    <col min="11526" max="11527" width="13.5703125" style="168" customWidth="1"/>
    <col min="11528" max="11528" width="11" style="168" customWidth="1"/>
    <col min="11529" max="11529" width="11.7109375" style="168" customWidth="1"/>
    <col min="11530" max="11530" width="8.85546875" style="168"/>
    <col min="11531" max="11531" width="12.42578125" style="168" customWidth="1"/>
    <col min="11532" max="11532" width="11.7109375" style="168" customWidth="1"/>
    <col min="11533" max="11777" width="8.85546875" style="168"/>
    <col min="11778" max="11778" width="5.28515625" style="168" customWidth="1"/>
    <col min="11779" max="11779" width="20.28515625" style="168" customWidth="1"/>
    <col min="11780" max="11780" width="17" style="168" customWidth="1"/>
    <col min="11781" max="11781" width="19.28515625" style="168" customWidth="1"/>
    <col min="11782" max="11783" width="13.5703125" style="168" customWidth="1"/>
    <col min="11784" max="11784" width="11" style="168" customWidth="1"/>
    <col min="11785" max="11785" width="11.7109375" style="168" customWidth="1"/>
    <col min="11786" max="11786" width="8.85546875" style="168"/>
    <col min="11787" max="11787" width="12.42578125" style="168" customWidth="1"/>
    <col min="11788" max="11788" width="11.7109375" style="168" customWidth="1"/>
    <col min="11789" max="12033" width="8.85546875" style="168"/>
    <col min="12034" max="12034" width="5.28515625" style="168" customWidth="1"/>
    <col min="12035" max="12035" width="20.28515625" style="168" customWidth="1"/>
    <col min="12036" max="12036" width="17" style="168" customWidth="1"/>
    <col min="12037" max="12037" width="19.28515625" style="168" customWidth="1"/>
    <col min="12038" max="12039" width="13.5703125" style="168" customWidth="1"/>
    <col min="12040" max="12040" width="11" style="168" customWidth="1"/>
    <col min="12041" max="12041" width="11.7109375" style="168" customWidth="1"/>
    <col min="12042" max="12042" width="8.85546875" style="168"/>
    <col min="12043" max="12043" width="12.42578125" style="168" customWidth="1"/>
    <col min="12044" max="12044" width="11.7109375" style="168" customWidth="1"/>
    <col min="12045" max="12289" width="8.85546875" style="168"/>
    <col min="12290" max="12290" width="5.28515625" style="168" customWidth="1"/>
    <col min="12291" max="12291" width="20.28515625" style="168" customWidth="1"/>
    <col min="12292" max="12292" width="17" style="168" customWidth="1"/>
    <col min="12293" max="12293" width="19.28515625" style="168" customWidth="1"/>
    <col min="12294" max="12295" width="13.5703125" style="168" customWidth="1"/>
    <col min="12296" max="12296" width="11" style="168" customWidth="1"/>
    <col min="12297" max="12297" width="11.7109375" style="168" customWidth="1"/>
    <col min="12298" max="12298" width="8.85546875" style="168"/>
    <col min="12299" max="12299" width="12.42578125" style="168" customWidth="1"/>
    <col min="12300" max="12300" width="11.7109375" style="168" customWidth="1"/>
    <col min="12301" max="12545" width="8.85546875" style="168"/>
    <col min="12546" max="12546" width="5.28515625" style="168" customWidth="1"/>
    <col min="12547" max="12547" width="20.28515625" style="168" customWidth="1"/>
    <col min="12548" max="12548" width="17" style="168" customWidth="1"/>
    <col min="12549" max="12549" width="19.28515625" style="168" customWidth="1"/>
    <col min="12550" max="12551" width="13.5703125" style="168" customWidth="1"/>
    <col min="12552" max="12552" width="11" style="168" customWidth="1"/>
    <col min="12553" max="12553" width="11.7109375" style="168" customWidth="1"/>
    <col min="12554" max="12554" width="8.85546875" style="168"/>
    <col min="12555" max="12555" width="12.42578125" style="168" customWidth="1"/>
    <col min="12556" max="12556" width="11.7109375" style="168" customWidth="1"/>
    <col min="12557" max="12801" width="8.85546875" style="168"/>
    <col min="12802" max="12802" width="5.28515625" style="168" customWidth="1"/>
    <col min="12803" max="12803" width="20.28515625" style="168" customWidth="1"/>
    <col min="12804" max="12804" width="17" style="168" customWidth="1"/>
    <col min="12805" max="12805" width="19.28515625" style="168" customWidth="1"/>
    <col min="12806" max="12807" width="13.5703125" style="168" customWidth="1"/>
    <col min="12808" max="12808" width="11" style="168" customWidth="1"/>
    <col min="12809" max="12809" width="11.7109375" style="168" customWidth="1"/>
    <col min="12810" max="12810" width="8.85546875" style="168"/>
    <col min="12811" max="12811" width="12.42578125" style="168" customWidth="1"/>
    <col min="12812" max="12812" width="11.7109375" style="168" customWidth="1"/>
    <col min="12813" max="13057" width="8.85546875" style="168"/>
    <col min="13058" max="13058" width="5.28515625" style="168" customWidth="1"/>
    <col min="13059" max="13059" width="20.28515625" style="168" customWidth="1"/>
    <col min="13060" max="13060" width="17" style="168" customWidth="1"/>
    <col min="13061" max="13061" width="19.28515625" style="168" customWidth="1"/>
    <col min="13062" max="13063" width="13.5703125" style="168" customWidth="1"/>
    <col min="13064" max="13064" width="11" style="168" customWidth="1"/>
    <col min="13065" max="13065" width="11.7109375" style="168" customWidth="1"/>
    <col min="13066" max="13066" width="8.85546875" style="168"/>
    <col min="13067" max="13067" width="12.42578125" style="168" customWidth="1"/>
    <col min="13068" max="13068" width="11.7109375" style="168" customWidth="1"/>
    <col min="13069" max="13313" width="8.85546875" style="168"/>
    <col min="13314" max="13314" width="5.28515625" style="168" customWidth="1"/>
    <col min="13315" max="13315" width="20.28515625" style="168" customWidth="1"/>
    <col min="13316" max="13316" width="17" style="168" customWidth="1"/>
    <col min="13317" max="13317" width="19.28515625" style="168" customWidth="1"/>
    <col min="13318" max="13319" width="13.5703125" style="168" customWidth="1"/>
    <col min="13320" max="13320" width="11" style="168" customWidth="1"/>
    <col min="13321" max="13321" width="11.7109375" style="168" customWidth="1"/>
    <col min="13322" max="13322" width="8.85546875" style="168"/>
    <col min="13323" max="13323" width="12.42578125" style="168" customWidth="1"/>
    <col min="13324" max="13324" width="11.7109375" style="168" customWidth="1"/>
    <col min="13325" max="13569" width="8.85546875" style="168"/>
    <col min="13570" max="13570" width="5.28515625" style="168" customWidth="1"/>
    <col min="13571" max="13571" width="20.28515625" style="168" customWidth="1"/>
    <col min="13572" max="13572" width="17" style="168" customWidth="1"/>
    <col min="13573" max="13573" width="19.28515625" style="168" customWidth="1"/>
    <col min="13574" max="13575" width="13.5703125" style="168" customWidth="1"/>
    <col min="13576" max="13576" width="11" style="168" customWidth="1"/>
    <col min="13577" max="13577" width="11.7109375" style="168" customWidth="1"/>
    <col min="13578" max="13578" width="8.85546875" style="168"/>
    <col min="13579" max="13579" width="12.42578125" style="168" customWidth="1"/>
    <col min="13580" max="13580" width="11.7109375" style="168" customWidth="1"/>
    <col min="13581" max="13825" width="8.85546875" style="168"/>
    <col min="13826" max="13826" width="5.28515625" style="168" customWidth="1"/>
    <col min="13827" max="13827" width="20.28515625" style="168" customWidth="1"/>
    <col min="13828" max="13828" width="17" style="168" customWidth="1"/>
    <col min="13829" max="13829" width="19.28515625" style="168" customWidth="1"/>
    <col min="13830" max="13831" width="13.5703125" style="168" customWidth="1"/>
    <col min="13832" max="13832" width="11" style="168" customWidth="1"/>
    <col min="13833" max="13833" width="11.7109375" style="168" customWidth="1"/>
    <col min="13834" max="13834" width="8.85546875" style="168"/>
    <col min="13835" max="13835" width="12.42578125" style="168" customWidth="1"/>
    <col min="13836" max="13836" width="11.7109375" style="168" customWidth="1"/>
    <col min="13837" max="14081" width="8.85546875" style="168"/>
    <col min="14082" max="14082" width="5.28515625" style="168" customWidth="1"/>
    <col min="14083" max="14083" width="20.28515625" style="168" customWidth="1"/>
    <col min="14084" max="14084" width="17" style="168" customWidth="1"/>
    <col min="14085" max="14085" width="19.28515625" style="168" customWidth="1"/>
    <col min="14086" max="14087" width="13.5703125" style="168" customWidth="1"/>
    <col min="14088" max="14088" width="11" style="168" customWidth="1"/>
    <col min="14089" max="14089" width="11.7109375" style="168" customWidth="1"/>
    <col min="14090" max="14090" width="8.85546875" style="168"/>
    <col min="14091" max="14091" width="12.42578125" style="168" customWidth="1"/>
    <col min="14092" max="14092" width="11.7109375" style="168" customWidth="1"/>
    <col min="14093" max="14337" width="8.85546875" style="168"/>
    <col min="14338" max="14338" width="5.28515625" style="168" customWidth="1"/>
    <col min="14339" max="14339" width="20.28515625" style="168" customWidth="1"/>
    <col min="14340" max="14340" width="17" style="168" customWidth="1"/>
    <col min="14341" max="14341" width="19.28515625" style="168" customWidth="1"/>
    <col min="14342" max="14343" width="13.5703125" style="168" customWidth="1"/>
    <col min="14344" max="14344" width="11" style="168" customWidth="1"/>
    <col min="14345" max="14345" width="11.7109375" style="168" customWidth="1"/>
    <col min="14346" max="14346" width="8.85546875" style="168"/>
    <col min="14347" max="14347" width="12.42578125" style="168" customWidth="1"/>
    <col min="14348" max="14348" width="11.7109375" style="168" customWidth="1"/>
    <col min="14349" max="14593" width="8.85546875" style="168"/>
    <col min="14594" max="14594" width="5.28515625" style="168" customWidth="1"/>
    <col min="14595" max="14595" width="20.28515625" style="168" customWidth="1"/>
    <col min="14596" max="14596" width="17" style="168" customWidth="1"/>
    <col min="14597" max="14597" width="19.28515625" style="168" customWidth="1"/>
    <col min="14598" max="14599" width="13.5703125" style="168" customWidth="1"/>
    <col min="14600" max="14600" width="11" style="168" customWidth="1"/>
    <col min="14601" max="14601" width="11.7109375" style="168" customWidth="1"/>
    <col min="14602" max="14602" width="8.85546875" style="168"/>
    <col min="14603" max="14603" width="12.42578125" style="168" customWidth="1"/>
    <col min="14604" max="14604" width="11.7109375" style="168" customWidth="1"/>
    <col min="14605" max="14849" width="8.85546875" style="168"/>
    <col min="14850" max="14850" width="5.28515625" style="168" customWidth="1"/>
    <col min="14851" max="14851" width="20.28515625" style="168" customWidth="1"/>
    <col min="14852" max="14852" width="17" style="168" customWidth="1"/>
    <col min="14853" max="14853" width="19.28515625" style="168" customWidth="1"/>
    <col min="14854" max="14855" width="13.5703125" style="168" customWidth="1"/>
    <col min="14856" max="14856" width="11" style="168" customWidth="1"/>
    <col min="14857" max="14857" width="11.7109375" style="168" customWidth="1"/>
    <col min="14858" max="14858" width="8.85546875" style="168"/>
    <col min="14859" max="14859" width="12.42578125" style="168" customWidth="1"/>
    <col min="14860" max="14860" width="11.7109375" style="168" customWidth="1"/>
    <col min="14861" max="15105" width="8.85546875" style="168"/>
    <col min="15106" max="15106" width="5.28515625" style="168" customWidth="1"/>
    <col min="15107" max="15107" width="20.28515625" style="168" customWidth="1"/>
    <col min="15108" max="15108" width="17" style="168" customWidth="1"/>
    <col min="15109" max="15109" width="19.28515625" style="168" customWidth="1"/>
    <col min="15110" max="15111" width="13.5703125" style="168" customWidth="1"/>
    <col min="15112" max="15112" width="11" style="168" customWidth="1"/>
    <col min="15113" max="15113" width="11.7109375" style="168" customWidth="1"/>
    <col min="15114" max="15114" width="8.85546875" style="168"/>
    <col min="15115" max="15115" width="12.42578125" style="168" customWidth="1"/>
    <col min="15116" max="15116" width="11.7109375" style="168" customWidth="1"/>
    <col min="15117" max="15361" width="8.85546875" style="168"/>
    <col min="15362" max="15362" width="5.28515625" style="168" customWidth="1"/>
    <col min="15363" max="15363" width="20.28515625" style="168" customWidth="1"/>
    <col min="15364" max="15364" width="17" style="168" customWidth="1"/>
    <col min="15365" max="15365" width="19.28515625" style="168" customWidth="1"/>
    <col min="15366" max="15367" width="13.5703125" style="168" customWidth="1"/>
    <col min="15368" max="15368" width="11" style="168" customWidth="1"/>
    <col min="15369" max="15369" width="11.7109375" style="168" customWidth="1"/>
    <col min="15370" max="15370" width="8.85546875" style="168"/>
    <col min="15371" max="15371" width="12.42578125" style="168" customWidth="1"/>
    <col min="15372" max="15372" width="11.7109375" style="168" customWidth="1"/>
    <col min="15373" max="15617" width="8.85546875" style="168"/>
    <col min="15618" max="15618" width="5.28515625" style="168" customWidth="1"/>
    <col min="15619" max="15619" width="20.28515625" style="168" customWidth="1"/>
    <col min="15620" max="15620" width="17" style="168" customWidth="1"/>
    <col min="15621" max="15621" width="19.28515625" style="168" customWidth="1"/>
    <col min="15622" max="15623" width="13.5703125" style="168" customWidth="1"/>
    <col min="15624" max="15624" width="11" style="168" customWidth="1"/>
    <col min="15625" max="15625" width="11.7109375" style="168" customWidth="1"/>
    <col min="15626" max="15626" width="8.85546875" style="168"/>
    <col min="15627" max="15627" width="12.42578125" style="168" customWidth="1"/>
    <col min="15628" max="15628" width="11.7109375" style="168" customWidth="1"/>
    <col min="15629" max="15873" width="8.85546875" style="168"/>
    <col min="15874" max="15874" width="5.28515625" style="168" customWidth="1"/>
    <col min="15875" max="15875" width="20.28515625" style="168" customWidth="1"/>
    <col min="15876" max="15876" width="17" style="168" customWidth="1"/>
    <col min="15877" max="15877" width="19.28515625" style="168" customWidth="1"/>
    <col min="15878" max="15879" width="13.5703125" style="168" customWidth="1"/>
    <col min="15880" max="15880" width="11" style="168" customWidth="1"/>
    <col min="15881" max="15881" width="11.7109375" style="168" customWidth="1"/>
    <col min="15882" max="15882" width="8.85546875" style="168"/>
    <col min="15883" max="15883" width="12.42578125" style="168" customWidth="1"/>
    <col min="15884" max="15884" width="11.7109375" style="168" customWidth="1"/>
    <col min="15885" max="16129" width="8.85546875" style="168"/>
    <col min="16130" max="16130" width="5.28515625" style="168" customWidth="1"/>
    <col min="16131" max="16131" width="20.28515625" style="168" customWidth="1"/>
    <col min="16132" max="16132" width="17" style="168" customWidth="1"/>
    <col min="16133" max="16133" width="19.28515625" style="168" customWidth="1"/>
    <col min="16134" max="16135" width="13.5703125" style="168" customWidth="1"/>
    <col min="16136" max="16136" width="11" style="168" customWidth="1"/>
    <col min="16137" max="16137" width="11.7109375" style="168" customWidth="1"/>
    <col min="16138" max="16138" width="8.85546875" style="168"/>
    <col min="16139" max="16139" width="12.42578125" style="168" customWidth="1"/>
    <col min="16140" max="16140" width="11.7109375" style="168" customWidth="1"/>
    <col min="16141" max="16379" width="8.85546875" style="168"/>
    <col min="16380" max="16384" width="9.28515625" style="168" customWidth="1"/>
  </cols>
  <sheetData>
    <row r="2" spans="1:39" ht="18.75" x14ac:dyDescent="0.3">
      <c r="C2" s="65" t="s">
        <v>708</v>
      </c>
    </row>
    <row r="3" spans="1:39" ht="18.75" x14ac:dyDescent="0.3">
      <c r="C3" s="65" t="s">
        <v>886</v>
      </c>
      <c r="H3" s="64" t="s">
        <v>893</v>
      </c>
      <c r="I3" s="491" t="s">
        <v>892</v>
      </c>
      <c r="J3" s="492" t="s">
        <v>891</v>
      </c>
    </row>
    <row r="4" spans="1:39" ht="18.75" x14ac:dyDescent="0.3">
      <c r="C4" s="65" t="s">
        <v>887</v>
      </c>
      <c r="K4" s="4">
        <v>25204999.345802374</v>
      </c>
      <c r="L4" s="492" t="s">
        <v>881</v>
      </c>
    </row>
    <row r="5" spans="1:39" x14ac:dyDescent="0.25">
      <c r="H5" s="168"/>
      <c r="I5" s="168"/>
      <c r="J5" s="168"/>
    </row>
    <row r="6" spans="1:39" ht="18.75" x14ac:dyDescent="0.3">
      <c r="C6" s="65" t="s">
        <v>888</v>
      </c>
      <c r="E6" s="168" t="s">
        <v>889</v>
      </c>
      <c r="H6" s="800">
        <v>25000</v>
      </c>
      <c r="I6" s="491">
        <v>4</v>
      </c>
      <c r="J6" s="492">
        <v>8</v>
      </c>
      <c r="K6" s="492">
        <f>SUM(H6*I6*J6)</f>
        <v>800000</v>
      </c>
    </row>
    <row r="7" spans="1:39" ht="18.75" x14ac:dyDescent="0.3">
      <c r="C7" s="65"/>
      <c r="E7" s="168" t="s">
        <v>890</v>
      </c>
    </row>
    <row r="8" spans="1:39" ht="18.75" x14ac:dyDescent="0.3">
      <c r="C8" s="65" t="s">
        <v>168</v>
      </c>
      <c r="K8" s="492">
        <f>SUM(K4:K7)</f>
        <v>26004999.345802374</v>
      </c>
      <c r="L8" s="492">
        <f>SUM(K8-K4)</f>
        <v>800000</v>
      </c>
    </row>
    <row r="9" spans="1:39" s="509" customFormat="1" x14ac:dyDescent="0.25">
      <c r="B9" s="510"/>
      <c r="F9" s="511"/>
      <c r="I9" s="512"/>
      <c r="J9" s="513"/>
      <c r="K9" s="514"/>
      <c r="L9" s="514"/>
      <c r="O9" s="513"/>
      <c r="P9" s="513"/>
      <c r="Q9" s="515"/>
      <c r="R9" s="513"/>
      <c r="S9" s="515"/>
      <c r="T9" s="515"/>
      <c r="U9" s="515"/>
      <c r="V9" s="516"/>
      <c r="W9" s="516"/>
      <c r="X9" s="511"/>
      <c r="Y9" s="511"/>
      <c r="Z9" s="511"/>
      <c r="AA9" s="511"/>
      <c r="AB9" s="511"/>
      <c r="AC9" s="511"/>
      <c r="AD9" s="511"/>
      <c r="AE9" s="511"/>
      <c r="AF9" s="511"/>
      <c r="AG9" s="511"/>
      <c r="AH9" s="511"/>
      <c r="AI9" s="511"/>
      <c r="AJ9" s="511"/>
      <c r="AK9" s="511"/>
      <c r="AL9" s="511"/>
      <c r="AM9" s="511"/>
    </row>
    <row r="10" spans="1:39" x14ac:dyDescent="0.25">
      <c r="A10" s="168"/>
      <c r="B10" s="168" t="s">
        <v>364</v>
      </c>
      <c r="C10" s="680">
        <v>111492001</v>
      </c>
      <c r="D10" s="681" t="s">
        <v>709</v>
      </c>
      <c r="E10" s="680"/>
      <c r="G10" s="491"/>
      <c r="H10" s="682" t="s">
        <v>710</v>
      </c>
      <c r="I10" s="492"/>
      <c r="O10" s="492">
        <v>3000298657001</v>
      </c>
      <c r="Y10" s="168"/>
    </row>
    <row r="11" spans="1:39" x14ac:dyDescent="0.25">
      <c r="A11" s="168"/>
      <c r="B11" s="168" t="s">
        <v>711</v>
      </c>
      <c r="C11" s="680">
        <v>298661001</v>
      </c>
      <c r="D11" s="628" t="s">
        <v>712</v>
      </c>
      <c r="E11" s="680"/>
      <c r="G11" s="491"/>
      <c r="H11" s="682" t="s">
        <v>713</v>
      </c>
      <c r="I11" s="492"/>
      <c r="Y11" s="168"/>
    </row>
    <row r="12" spans="1:39" x14ac:dyDescent="0.25">
      <c r="C12" s="680">
        <v>3000298657001</v>
      </c>
      <c r="D12" s="683" t="s">
        <v>714</v>
      </c>
      <c r="E12" s="680"/>
      <c r="G12" s="491"/>
      <c r="H12" s="682" t="s">
        <v>715</v>
      </c>
      <c r="I12" s="492"/>
      <c r="P12" s="4"/>
      <c r="Q12" s="492"/>
    </row>
    <row r="13" spans="1:39" x14ac:dyDescent="0.25">
      <c r="A13" s="168"/>
      <c r="B13" s="168" t="s">
        <v>164</v>
      </c>
      <c r="C13" s="680">
        <v>4000297958001</v>
      </c>
      <c r="D13" s="628" t="s">
        <v>164</v>
      </c>
      <c r="E13" s="680"/>
      <c r="G13" s="491"/>
      <c r="H13" s="492"/>
      <c r="I13" s="492"/>
      <c r="J13" s="168"/>
      <c r="K13" s="168"/>
      <c r="L13" s="168"/>
      <c r="P13" s="4"/>
      <c r="Q13" s="492"/>
      <c r="Y13" s="168"/>
    </row>
    <row r="14" spans="1:39" x14ac:dyDescent="0.25">
      <c r="A14" s="168"/>
      <c r="B14" s="168" t="s">
        <v>716</v>
      </c>
      <c r="C14" s="684">
        <v>298654001</v>
      </c>
      <c r="D14" s="628" t="s">
        <v>717</v>
      </c>
      <c r="E14" s="684"/>
      <c r="G14" s="491"/>
      <c r="H14" s="492"/>
      <c r="I14" s="492"/>
      <c r="J14" s="168"/>
      <c r="K14" s="168"/>
      <c r="L14" s="168" t="s">
        <v>718</v>
      </c>
      <c r="P14" s="4"/>
      <c r="Q14" s="492"/>
      <c r="Y14" s="168"/>
    </row>
    <row r="15" spans="1:39" x14ac:dyDescent="0.25">
      <c r="A15" s="168"/>
      <c r="B15" s="168" t="s">
        <v>719</v>
      </c>
      <c r="C15" s="683">
        <v>298661001</v>
      </c>
      <c r="D15" s="168" t="s">
        <v>720</v>
      </c>
      <c r="E15" s="683"/>
      <c r="G15" s="168"/>
      <c r="H15" s="168"/>
      <c r="I15" s="168"/>
      <c r="J15" s="168"/>
      <c r="K15" s="168"/>
      <c r="L15" s="168"/>
      <c r="P15" s="4"/>
      <c r="Q15" s="492"/>
      <c r="Y15" s="168"/>
    </row>
    <row r="16" spans="1:39" x14ac:dyDescent="0.25">
      <c r="A16" s="168"/>
      <c r="B16" s="168" t="s">
        <v>721</v>
      </c>
      <c r="C16" s="685">
        <v>2000298659001</v>
      </c>
      <c r="D16" s="168" t="s">
        <v>151</v>
      </c>
      <c r="E16" s="685"/>
      <c r="G16" s="685"/>
      <c r="P16" s="4"/>
      <c r="Q16" s="492"/>
      <c r="Y16" s="168"/>
    </row>
    <row r="17" spans="1:45" x14ac:dyDescent="0.25">
      <c r="A17" s="168"/>
      <c r="B17" s="168" t="s">
        <v>722</v>
      </c>
      <c r="C17" s="686" t="s">
        <v>723</v>
      </c>
      <c r="D17" s="168" t="s">
        <v>169</v>
      </c>
      <c r="E17" s="687"/>
      <c r="G17" s="680"/>
      <c r="H17" s="628"/>
      <c r="P17" s="4"/>
      <c r="Q17" s="492"/>
      <c r="Y17" s="168"/>
    </row>
    <row r="18" spans="1:45" x14ac:dyDescent="0.25">
      <c r="A18" s="168"/>
      <c r="B18" s="168" t="s">
        <v>724</v>
      </c>
      <c r="G18" s="680"/>
      <c r="H18" s="628"/>
      <c r="M18" s="492" t="s">
        <v>725</v>
      </c>
      <c r="P18" s="4"/>
      <c r="Q18" s="492"/>
      <c r="Y18" s="168"/>
    </row>
    <row r="19" spans="1:45" x14ac:dyDescent="0.25">
      <c r="A19" s="168"/>
      <c r="G19" s="680"/>
      <c r="M19" s="492" t="s">
        <v>726</v>
      </c>
      <c r="O19" s="688"/>
      <c r="P19" s="688"/>
      <c r="Q19" s="688"/>
      <c r="Y19" s="168"/>
    </row>
    <row r="20" spans="1:45" x14ac:dyDescent="0.25">
      <c r="A20" s="168"/>
      <c r="B20" s="168" t="s">
        <v>727</v>
      </c>
      <c r="G20" s="683"/>
      <c r="I20" s="491" t="s">
        <v>728</v>
      </c>
      <c r="M20" s="492" t="s">
        <v>729</v>
      </c>
      <c r="O20" s="688"/>
      <c r="P20" s="688"/>
      <c r="Q20" s="688"/>
      <c r="Y20" s="168"/>
    </row>
    <row r="21" spans="1:45" x14ac:dyDescent="0.25">
      <c r="A21" s="168"/>
      <c r="C21" s="168" t="s">
        <v>730</v>
      </c>
      <c r="D21" s="168" t="s">
        <v>731</v>
      </c>
      <c r="E21" s="491"/>
      <c r="F21" s="492"/>
      <c r="G21" s="168" t="s">
        <v>732</v>
      </c>
      <c r="H21" s="492"/>
      <c r="I21" s="491">
        <v>298661001</v>
      </c>
      <c r="M21" s="492">
        <v>4000297988001</v>
      </c>
      <c r="O21" s="4"/>
      <c r="Q21" s="492"/>
      <c r="R21" s="519"/>
      <c r="S21" s="4"/>
      <c r="T21" s="4"/>
      <c r="U21" s="42"/>
      <c r="W21" s="168"/>
      <c r="Y21" s="168"/>
    </row>
    <row r="22" spans="1:45" x14ac:dyDescent="0.25">
      <c r="C22" s="168" t="s">
        <v>733</v>
      </c>
      <c r="D22" s="168" t="s">
        <v>734</v>
      </c>
      <c r="E22" s="491"/>
      <c r="F22" s="492"/>
      <c r="G22" s="168" t="s">
        <v>735</v>
      </c>
      <c r="H22" s="492"/>
      <c r="I22" s="168" t="s">
        <v>736</v>
      </c>
      <c r="J22" s="168"/>
      <c r="K22" s="168"/>
      <c r="L22" s="168"/>
      <c r="O22" s="4"/>
      <c r="Q22" s="492"/>
      <c r="R22" s="519"/>
      <c r="S22" s="4"/>
      <c r="T22" s="4"/>
      <c r="U22" s="42"/>
      <c r="W22" s="168"/>
    </row>
    <row r="23" spans="1:45" ht="16.5" thickBot="1" x14ac:dyDescent="0.3">
      <c r="F23" s="683"/>
      <c r="G23" s="168"/>
      <c r="H23" s="491"/>
      <c r="I23" s="492"/>
      <c r="J23" s="168"/>
      <c r="O23" s="4"/>
      <c r="Q23" s="492"/>
      <c r="R23" s="519"/>
      <c r="S23" s="4"/>
      <c r="T23" s="4"/>
      <c r="U23" s="42"/>
      <c r="W23" s="168"/>
    </row>
    <row r="24" spans="1:45" s="64" customFormat="1" x14ac:dyDescent="0.25">
      <c r="B24" s="689"/>
      <c r="C24" s="81" t="s">
        <v>737</v>
      </c>
      <c r="D24" s="81" t="s">
        <v>738</v>
      </c>
      <c r="E24" s="81"/>
      <c r="F24" s="81" t="s">
        <v>737</v>
      </c>
      <c r="G24" s="81" t="s">
        <v>739</v>
      </c>
      <c r="H24" s="690" t="s">
        <v>739</v>
      </c>
      <c r="I24" s="690" t="s">
        <v>739</v>
      </c>
      <c r="J24" s="81" t="s">
        <v>737</v>
      </c>
      <c r="K24" s="690" t="s">
        <v>739</v>
      </c>
      <c r="L24" s="691"/>
      <c r="M24" s="690"/>
      <c r="N24" s="690"/>
      <c r="O24" s="692" t="s">
        <v>737</v>
      </c>
      <c r="P24" s="690" t="s">
        <v>737</v>
      </c>
      <c r="Q24" s="690" t="s">
        <v>737</v>
      </c>
      <c r="R24" s="693"/>
      <c r="S24" s="692"/>
      <c r="T24" s="692" t="s">
        <v>739</v>
      </c>
      <c r="U24" s="81"/>
      <c r="V24" s="81"/>
      <c r="W24" s="81"/>
      <c r="X24" s="81"/>
      <c r="Y24" s="81" t="s">
        <v>740</v>
      </c>
      <c r="Z24" s="81"/>
      <c r="AA24" s="81"/>
      <c r="AB24" s="81"/>
      <c r="AC24" s="81"/>
      <c r="AD24" s="81"/>
      <c r="AE24" s="694"/>
      <c r="AF24" s="689"/>
      <c r="AG24" s="81"/>
      <c r="AH24" s="81"/>
      <c r="AI24" s="81" t="s">
        <v>885</v>
      </c>
      <c r="AJ24" s="81"/>
      <c r="AK24" s="81"/>
      <c r="AL24" s="694"/>
      <c r="AM24" s="700"/>
    </row>
    <row r="25" spans="1:45" ht="16.5" thickBot="1" x14ac:dyDescent="0.3">
      <c r="A25" s="168"/>
      <c r="B25" s="176">
        <v>2020</v>
      </c>
      <c r="C25" s="42" t="s">
        <v>741</v>
      </c>
      <c r="D25" s="42"/>
      <c r="E25" s="42"/>
      <c r="F25" s="695"/>
      <c r="G25" s="42"/>
      <c r="H25" s="492"/>
      <c r="I25" s="492" t="s">
        <v>742</v>
      </c>
      <c r="J25" s="42"/>
      <c r="K25" s="492" t="s">
        <v>743</v>
      </c>
      <c r="L25" s="696"/>
      <c r="M25" s="697" t="s">
        <v>744</v>
      </c>
      <c r="N25" s="698"/>
      <c r="O25" s="699"/>
      <c r="P25" s="697"/>
      <c r="Q25" s="492"/>
      <c r="R25" s="519"/>
      <c r="S25" s="4"/>
      <c r="T25" s="4"/>
      <c r="U25" s="42"/>
      <c r="X25" s="42"/>
      <c r="Y25" s="42"/>
      <c r="Z25" s="42"/>
      <c r="AA25" s="42"/>
      <c r="AB25" s="42"/>
      <c r="AC25" s="42"/>
      <c r="AD25" s="42"/>
      <c r="AE25" s="179"/>
      <c r="AF25" s="173"/>
      <c r="AG25" s="36"/>
      <c r="AH25" s="36"/>
      <c r="AI25" s="36"/>
      <c r="AJ25" s="36"/>
      <c r="AK25" s="36"/>
      <c r="AL25" s="175"/>
      <c r="AM25" s="177"/>
    </row>
    <row r="26" spans="1:45" s="64" customFormat="1" ht="16.5" thickBot="1" x14ac:dyDescent="0.3">
      <c r="B26" s="115"/>
      <c r="C26" s="47" t="s">
        <v>745</v>
      </c>
      <c r="D26" s="47" t="s">
        <v>746</v>
      </c>
      <c r="E26" s="700" t="s">
        <v>747</v>
      </c>
      <c r="F26" s="47"/>
      <c r="G26" s="47"/>
      <c r="H26" s="492" t="s">
        <v>488</v>
      </c>
      <c r="I26" s="492"/>
      <c r="J26" s="47" t="s">
        <v>748</v>
      </c>
      <c r="K26" s="492"/>
      <c r="L26" s="696" t="s">
        <v>749</v>
      </c>
      <c r="M26" s="701" t="s">
        <v>750</v>
      </c>
      <c r="N26" s="701"/>
      <c r="O26" s="691"/>
      <c r="P26" s="702" t="s">
        <v>494</v>
      </c>
      <c r="Q26" s="703" t="s">
        <v>492</v>
      </c>
      <c r="R26" s="704" t="s">
        <v>751</v>
      </c>
      <c r="S26" s="692" t="s">
        <v>489</v>
      </c>
      <c r="T26" s="702" t="s">
        <v>151</v>
      </c>
      <c r="U26" s="689" t="s">
        <v>752</v>
      </c>
      <c r="V26" s="700" t="s">
        <v>122</v>
      </c>
      <c r="W26" s="81" t="s">
        <v>753</v>
      </c>
      <c r="X26" s="700" t="s">
        <v>131</v>
      </c>
      <c r="Y26" s="81" t="s">
        <v>490</v>
      </c>
      <c r="Z26" s="700" t="s">
        <v>135</v>
      </c>
      <c r="AA26" s="81" t="s">
        <v>137</v>
      </c>
      <c r="AB26" s="700" t="s">
        <v>754</v>
      </c>
      <c r="AC26" s="81" t="s">
        <v>755</v>
      </c>
      <c r="AD26" s="700" t="s">
        <v>754</v>
      </c>
      <c r="AE26" s="81" t="s">
        <v>139</v>
      </c>
      <c r="AF26" s="700" t="s">
        <v>141</v>
      </c>
      <c r="AG26" s="81" t="s">
        <v>142</v>
      </c>
      <c r="AH26" s="700" t="s">
        <v>144</v>
      </c>
      <c r="AI26" s="81" t="s">
        <v>756</v>
      </c>
      <c r="AJ26" s="700" t="s">
        <v>203</v>
      </c>
      <c r="AK26" s="40" t="s">
        <v>146</v>
      </c>
      <c r="AL26" s="33" t="s">
        <v>147</v>
      </c>
      <c r="AM26" s="585" t="s">
        <v>168</v>
      </c>
      <c r="AN26" s="47"/>
      <c r="AO26" s="47"/>
      <c r="AP26" s="47"/>
      <c r="AQ26" s="47"/>
      <c r="AR26" s="47"/>
      <c r="AS26" s="47"/>
    </row>
    <row r="27" spans="1:45" x14ac:dyDescent="0.25">
      <c r="B27" s="176"/>
      <c r="C27" s="42" t="s">
        <v>757</v>
      </c>
      <c r="D27" s="42" t="s">
        <v>758</v>
      </c>
      <c r="E27" s="177"/>
      <c r="F27" s="47" t="s">
        <v>759</v>
      </c>
      <c r="G27" s="47" t="s">
        <v>364</v>
      </c>
      <c r="H27" s="492"/>
      <c r="I27" s="492" t="s">
        <v>485</v>
      </c>
      <c r="J27" s="691" t="s">
        <v>164</v>
      </c>
      <c r="K27" s="492" t="s">
        <v>169</v>
      </c>
      <c r="L27" s="696" t="s">
        <v>590</v>
      </c>
      <c r="M27" s="42" t="s">
        <v>760</v>
      </c>
      <c r="N27" s="42"/>
      <c r="O27" s="696" t="s">
        <v>761</v>
      </c>
      <c r="P27" s="705" t="s">
        <v>762</v>
      </c>
      <c r="Q27" s="706" t="s">
        <v>763</v>
      </c>
      <c r="R27" s="707" t="s">
        <v>764</v>
      </c>
      <c r="S27" s="4" t="s">
        <v>765</v>
      </c>
      <c r="T27" s="705"/>
      <c r="U27" s="176"/>
      <c r="V27" s="177"/>
      <c r="X27" s="177"/>
      <c r="Y27" s="47"/>
      <c r="Z27" s="177"/>
      <c r="AA27" s="42"/>
      <c r="AB27" s="177" t="s">
        <v>766</v>
      </c>
      <c r="AC27" s="42" t="s">
        <v>767</v>
      </c>
      <c r="AD27" s="177" t="s">
        <v>768</v>
      </c>
      <c r="AE27" s="42"/>
      <c r="AF27" s="177"/>
      <c r="AG27" s="42"/>
      <c r="AH27" s="177"/>
      <c r="AI27" s="42"/>
      <c r="AJ27" s="177"/>
      <c r="AK27" s="42"/>
      <c r="AL27" s="177"/>
      <c r="AM27" s="177"/>
    </row>
    <row r="28" spans="1:45" s="684" customFormat="1" ht="16.5" thickBot="1" x14ac:dyDescent="0.3">
      <c r="A28" s="685"/>
      <c r="B28" s="708"/>
      <c r="C28" s="709">
        <v>298654001</v>
      </c>
      <c r="D28" s="687" t="s">
        <v>769</v>
      </c>
      <c r="E28" s="710"/>
      <c r="F28" s="711">
        <v>2000298659001</v>
      </c>
      <c r="G28" s="695">
        <v>111492001</v>
      </c>
      <c r="H28" s="695" t="s">
        <v>770</v>
      </c>
      <c r="I28" s="688">
        <v>3000298657001</v>
      </c>
      <c r="J28" s="712">
        <v>4000297958001</v>
      </c>
      <c r="K28" s="688">
        <v>400297972001</v>
      </c>
      <c r="L28" s="712"/>
      <c r="M28" s="713" t="s">
        <v>718</v>
      </c>
      <c r="N28" s="714"/>
      <c r="O28" s="710" t="s">
        <v>771</v>
      </c>
      <c r="P28" s="710" t="s">
        <v>772</v>
      </c>
      <c r="Q28" s="715" t="s">
        <v>773</v>
      </c>
      <c r="R28" s="716">
        <v>6001032420001</v>
      </c>
      <c r="S28" s="717">
        <v>8000298658001</v>
      </c>
      <c r="T28" s="716"/>
      <c r="U28" s="715"/>
      <c r="V28" s="718"/>
      <c r="W28" s="719"/>
      <c r="X28" s="718"/>
      <c r="Y28" s="720"/>
      <c r="Z28" s="718"/>
      <c r="AA28" s="719"/>
      <c r="AB28" s="718"/>
      <c r="AC28" s="719"/>
      <c r="AD28" s="718"/>
      <c r="AE28" s="719"/>
      <c r="AF28" s="718"/>
      <c r="AG28" s="719"/>
      <c r="AH28" s="718"/>
      <c r="AI28" s="719"/>
      <c r="AJ28" s="718"/>
      <c r="AK28" s="719"/>
      <c r="AL28" s="718"/>
      <c r="AM28" s="710"/>
    </row>
    <row r="29" spans="1:45" s="684" customFormat="1" ht="16.5" thickBot="1" x14ac:dyDescent="0.3">
      <c r="A29" s="685"/>
      <c r="B29" s="708"/>
      <c r="C29" s="721"/>
      <c r="D29" s="722"/>
      <c r="E29" s="723" t="s">
        <v>774</v>
      </c>
      <c r="F29" s="724"/>
      <c r="G29" s="725" t="s">
        <v>775</v>
      </c>
      <c r="H29" s="725"/>
      <c r="I29" s="726" t="s">
        <v>776</v>
      </c>
      <c r="J29" s="727"/>
      <c r="K29" s="726"/>
      <c r="L29" s="727"/>
      <c r="M29" s="726"/>
      <c r="N29" s="726"/>
      <c r="O29" s="723"/>
      <c r="P29" s="723"/>
      <c r="Q29" s="722"/>
      <c r="R29" s="727"/>
      <c r="S29" s="728"/>
      <c r="T29" s="727"/>
      <c r="U29" s="721"/>
      <c r="V29" s="723"/>
      <c r="W29" s="722"/>
      <c r="X29" s="723"/>
      <c r="Y29" s="724"/>
      <c r="Z29" s="723"/>
      <c r="AA29" s="722"/>
      <c r="AB29" s="723"/>
      <c r="AC29" s="722"/>
      <c r="AD29" s="723"/>
      <c r="AE29" s="722"/>
      <c r="AF29" s="723"/>
      <c r="AG29" s="722"/>
      <c r="AH29" s="723"/>
      <c r="AI29" s="722"/>
      <c r="AJ29" s="723"/>
      <c r="AK29" s="722"/>
      <c r="AL29" s="723"/>
      <c r="AM29" s="826"/>
    </row>
    <row r="30" spans="1:45" x14ac:dyDescent="0.25">
      <c r="B30" s="729" t="s">
        <v>260</v>
      </c>
      <c r="C30" s="730">
        <v>1088340</v>
      </c>
      <c r="D30" s="730">
        <v>2220</v>
      </c>
      <c r="E30" s="731">
        <f t="shared" ref="E30:E41" si="0">SUM(C30:D30)</f>
        <v>1090560</v>
      </c>
      <c r="F30" s="46">
        <v>16007</v>
      </c>
      <c r="G30" s="46">
        <v>60000</v>
      </c>
      <c r="H30" s="492">
        <v>110000</v>
      </c>
      <c r="I30" s="492">
        <v>10000</v>
      </c>
      <c r="J30" s="696">
        <v>98736</v>
      </c>
      <c r="K30" s="492">
        <v>100000</v>
      </c>
      <c r="L30" s="696">
        <v>10000</v>
      </c>
      <c r="M30" s="492">
        <v>2025.8</v>
      </c>
      <c r="O30" s="732">
        <v>10322</v>
      </c>
      <c r="P30" s="732">
        <v>2169</v>
      </c>
      <c r="Q30" s="730">
        <v>18094</v>
      </c>
      <c r="R30" s="705">
        <v>47872</v>
      </c>
      <c r="S30" s="733">
        <v>37400</v>
      </c>
      <c r="T30" s="705">
        <v>75000</v>
      </c>
      <c r="U30" s="733">
        <v>38077.51581027668</v>
      </c>
      <c r="V30" s="705">
        <v>30199.409090909092</v>
      </c>
      <c r="W30" s="4">
        <v>34138.462450592888</v>
      </c>
      <c r="X30" s="705">
        <v>52520.711462450592</v>
      </c>
      <c r="Y30" s="4">
        <v>7300</v>
      </c>
      <c r="Z30" s="705">
        <v>51207.693675889321</v>
      </c>
      <c r="AA30" s="4">
        <v>74842.013833992096</v>
      </c>
      <c r="AB30" s="705">
        <v>21396.937849802369</v>
      </c>
      <c r="AC30" s="4">
        <v>21400</v>
      </c>
      <c r="AD30" s="705">
        <v>29422.102561264823</v>
      </c>
      <c r="AE30" s="4">
        <v>40703.551383399208</v>
      </c>
      <c r="AF30" s="705">
        <v>56459.764822134377</v>
      </c>
      <c r="AG30" s="4">
        <v>22321.302371541504</v>
      </c>
      <c r="AH30" s="705">
        <v>61711.835968379448</v>
      </c>
      <c r="AI30" s="4">
        <v>4300</v>
      </c>
      <c r="AJ30" s="705">
        <v>98476.333992094864</v>
      </c>
      <c r="AK30" s="4">
        <v>18382.249011857708</v>
      </c>
      <c r="AL30" s="705">
        <v>13130.177865612648</v>
      </c>
      <c r="AM30" s="177"/>
    </row>
    <row r="31" spans="1:45" x14ac:dyDescent="0.25">
      <c r="B31" s="729" t="s">
        <v>777</v>
      </c>
      <c r="C31" s="730">
        <v>1495252</v>
      </c>
      <c r="D31" s="730">
        <v>2220</v>
      </c>
      <c r="E31" s="731">
        <f t="shared" si="0"/>
        <v>1497472</v>
      </c>
      <c r="F31" s="46">
        <v>86611</v>
      </c>
      <c r="G31" s="46">
        <v>60000</v>
      </c>
      <c r="H31" s="492">
        <v>110000</v>
      </c>
      <c r="I31" s="492">
        <v>10000</v>
      </c>
      <c r="J31" s="696">
        <v>140624</v>
      </c>
      <c r="K31" s="492">
        <v>100000</v>
      </c>
      <c r="L31" s="734">
        <v>10000</v>
      </c>
      <c r="M31" s="492">
        <v>2025.8</v>
      </c>
      <c r="O31" s="732">
        <v>10322</v>
      </c>
      <c r="P31" s="732">
        <v>2169</v>
      </c>
      <c r="Q31" s="42">
        <v>18573</v>
      </c>
      <c r="R31" s="705">
        <v>44880</v>
      </c>
      <c r="S31" s="733">
        <v>82280</v>
      </c>
      <c r="T31" s="705">
        <v>75000</v>
      </c>
      <c r="U31" s="733">
        <v>38077.51581027668</v>
      </c>
      <c r="V31" s="705">
        <v>30199.409090909092</v>
      </c>
      <c r="W31" s="4">
        <v>34138.462450592888</v>
      </c>
      <c r="X31" s="705">
        <v>52520.711462450592</v>
      </c>
      <c r="Y31" s="735">
        <v>7300</v>
      </c>
      <c r="Z31" s="705">
        <v>51207.693675889321</v>
      </c>
      <c r="AA31" s="4">
        <v>74842.013833992096</v>
      </c>
      <c r="AB31" s="705">
        <v>21396.937849802369</v>
      </c>
      <c r="AC31" s="4">
        <v>21400</v>
      </c>
      <c r="AD31" s="705">
        <v>29422.102561264823</v>
      </c>
      <c r="AE31" s="4">
        <v>40703.551383399208</v>
      </c>
      <c r="AF31" s="705">
        <v>56459.764822134377</v>
      </c>
      <c r="AG31" s="4">
        <v>22321.302371541504</v>
      </c>
      <c r="AH31" s="705">
        <v>61711.835968379448</v>
      </c>
      <c r="AI31" s="736">
        <v>4300</v>
      </c>
      <c r="AJ31" s="705">
        <v>98476.333992094864</v>
      </c>
      <c r="AK31" s="4">
        <v>18382.249011857708</v>
      </c>
      <c r="AL31" s="705">
        <v>13130.177865612648</v>
      </c>
      <c r="AM31" s="177"/>
    </row>
    <row r="32" spans="1:45" x14ac:dyDescent="0.25">
      <c r="B32" s="729" t="s">
        <v>778</v>
      </c>
      <c r="C32" s="730">
        <v>1100308</v>
      </c>
      <c r="D32" s="730">
        <v>2220</v>
      </c>
      <c r="E32" s="731">
        <f t="shared" si="0"/>
        <v>1102528</v>
      </c>
      <c r="F32" s="47">
        <v>17959</v>
      </c>
      <c r="G32" s="46">
        <v>60000</v>
      </c>
      <c r="H32" s="492">
        <v>110000</v>
      </c>
      <c r="I32" s="492">
        <v>10000</v>
      </c>
      <c r="J32" s="696">
        <v>97240</v>
      </c>
      <c r="K32" s="492">
        <v>100000</v>
      </c>
      <c r="L32" s="696">
        <v>10000</v>
      </c>
      <c r="M32" s="492">
        <v>2025.8</v>
      </c>
      <c r="O32" s="732">
        <v>10322</v>
      </c>
      <c r="P32" s="177">
        <v>1870</v>
      </c>
      <c r="Q32" s="730">
        <v>10764</v>
      </c>
      <c r="R32" s="705">
        <v>45254</v>
      </c>
      <c r="S32" s="733">
        <v>54604</v>
      </c>
      <c r="T32" s="705">
        <v>75000</v>
      </c>
      <c r="U32" s="733">
        <v>38077.51581027668</v>
      </c>
      <c r="V32" s="705">
        <v>30199.409090909092</v>
      </c>
      <c r="W32" s="4">
        <v>34138.462450592888</v>
      </c>
      <c r="X32" s="705">
        <v>52520.711462450592</v>
      </c>
      <c r="Y32" s="735">
        <v>7300</v>
      </c>
      <c r="Z32" s="705">
        <v>51207.693675889321</v>
      </c>
      <c r="AA32" s="4">
        <v>74842.013833992096</v>
      </c>
      <c r="AB32" s="705">
        <v>21396.937849802369</v>
      </c>
      <c r="AC32" s="4">
        <v>21400</v>
      </c>
      <c r="AD32" s="705">
        <v>29422.102561264823</v>
      </c>
      <c r="AE32" s="4">
        <v>40703.551383399208</v>
      </c>
      <c r="AF32" s="705">
        <v>56459.764822134377</v>
      </c>
      <c r="AG32" s="4">
        <v>22321.302371541504</v>
      </c>
      <c r="AH32" s="705">
        <v>61711.835968379448</v>
      </c>
      <c r="AI32" s="736">
        <v>4300</v>
      </c>
      <c r="AJ32" s="705">
        <v>98476.333992094864</v>
      </c>
      <c r="AK32" s="4">
        <v>18382.249011857708</v>
      </c>
      <c r="AL32" s="705">
        <v>13130.177865612648</v>
      </c>
      <c r="AM32" s="177"/>
    </row>
    <row r="33" spans="2:39" x14ac:dyDescent="0.25">
      <c r="B33" s="729" t="s">
        <v>779</v>
      </c>
      <c r="C33" s="730">
        <v>579700</v>
      </c>
      <c r="D33" s="730">
        <v>2220</v>
      </c>
      <c r="E33" s="731">
        <f t="shared" si="0"/>
        <v>581920</v>
      </c>
      <c r="F33" s="46">
        <v>4054</v>
      </c>
      <c r="G33" s="46">
        <v>60000</v>
      </c>
      <c r="H33" s="492">
        <v>110000</v>
      </c>
      <c r="I33" s="492">
        <v>10000</v>
      </c>
      <c r="J33" s="696">
        <v>1</v>
      </c>
      <c r="K33" s="492">
        <v>100000</v>
      </c>
      <c r="L33" s="696">
        <v>25000</v>
      </c>
      <c r="M33" s="492">
        <v>2025.8</v>
      </c>
      <c r="O33" s="732">
        <v>10322</v>
      </c>
      <c r="P33" s="705">
        <v>898</v>
      </c>
      <c r="Q33" s="492">
        <v>2453</v>
      </c>
      <c r="R33" s="705">
        <v>26928</v>
      </c>
      <c r="S33" s="733">
        <v>8228</v>
      </c>
      <c r="T33" s="705">
        <v>75000</v>
      </c>
      <c r="U33" s="733">
        <v>38077.51581027668</v>
      </c>
      <c r="V33" s="705">
        <v>30199.409090909092</v>
      </c>
      <c r="W33" s="4">
        <v>34138.462450592888</v>
      </c>
      <c r="X33" s="705">
        <v>52520.711462450592</v>
      </c>
      <c r="Y33" s="735">
        <v>7300</v>
      </c>
      <c r="Z33" s="705">
        <v>51207.693675889321</v>
      </c>
      <c r="AA33" s="4">
        <v>74842.013833992096</v>
      </c>
      <c r="AB33" s="705">
        <v>21396.937849802369</v>
      </c>
      <c r="AC33" s="4">
        <v>21400</v>
      </c>
      <c r="AD33" s="705">
        <v>29422.102561264823</v>
      </c>
      <c r="AE33" s="4">
        <v>40703.551383399208</v>
      </c>
      <c r="AF33" s="705">
        <v>56459.764822134377</v>
      </c>
      <c r="AG33" s="4">
        <v>22321.302371541504</v>
      </c>
      <c r="AH33" s="705">
        <v>61711.835968379448</v>
      </c>
      <c r="AI33" s="736">
        <v>4300</v>
      </c>
      <c r="AJ33" s="705">
        <v>98476.333992094864</v>
      </c>
      <c r="AK33" s="4">
        <v>18382.249011857708</v>
      </c>
      <c r="AL33" s="705">
        <v>13130.177865612648</v>
      </c>
      <c r="AM33" s="177"/>
    </row>
    <row r="34" spans="2:39" x14ac:dyDescent="0.25">
      <c r="B34" s="729" t="s">
        <v>778</v>
      </c>
      <c r="C34" s="730">
        <v>415140</v>
      </c>
      <c r="D34" s="730">
        <v>2220</v>
      </c>
      <c r="E34" s="731">
        <f t="shared" si="0"/>
        <v>417360</v>
      </c>
      <c r="F34" s="46">
        <v>54462</v>
      </c>
      <c r="G34" s="46">
        <v>60000</v>
      </c>
      <c r="H34" s="492">
        <v>110000</v>
      </c>
      <c r="I34" s="492">
        <v>10000</v>
      </c>
      <c r="J34" s="696">
        <v>83028</v>
      </c>
      <c r="K34" s="492">
        <v>100000</v>
      </c>
      <c r="L34" s="696">
        <v>25000</v>
      </c>
      <c r="M34" s="492">
        <v>2025.8</v>
      </c>
      <c r="O34" s="732">
        <v>10322</v>
      </c>
      <c r="P34" s="705">
        <v>1122</v>
      </c>
      <c r="Q34" s="492">
        <v>2812</v>
      </c>
      <c r="R34" s="705">
        <v>38522</v>
      </c>
      <c r="S34" s="733">
        <v>6732</v>
      </c>
      <c r="T34" s="705">
        <v>75000</v>
      </c>
      <c r="U34" s="733">
        <v>38077.51581027668</v>
      </c>
      <c r="V34" s="705">
        <v>30199.409090909092</v>
      </c>
      <c r="W34" s="4">
        <v>34138.462450592888</v>
      </c>
      <c r="X34" s="705">
        <v>52520.711462450592</v>
      </c>
      <c r="Y34" s="735">
        <v>7300</v>
      </c>
      <c r="Z34" s="705">
        <v>51207.693675889321</v>
      </c>
      <c r="AA34" s="4">
        <v>74842.013833992096</v>
      </c>
      <c r="AB34" s="705">
        <v>21396.937849802369</v>
      </c>
      <c r="AC34" s="4">
        <v>21400</v>
      </c>
      <c r="AD34" s="705">
        <v>29422.102561264823</v>
      </c>
      <c r="AE34" s="4">
        <v>40703.551383399208</v>
      </c>
      <c r="AF34" s="705">
        <v>56459.764822134377</v>
      </c>
      <c r="AG34" s="4">
        <v>22321.302371541504</v>
      </c>
      <c r="AH34" s="705">
        <v>61711.835968379448</v>
      </c>
      <c r="AI34" s="736">
        <v>4300</v>
      </c>
      <c r="AJ34" s="705">
        <v>98476.333992094864</v>
      </c>
      <c r="AK34" s="4">
        <v>18382.249011857708</v>
      </c>
      <c r="AL34" s="705">
        <v>13130.177865612648</v>
      </c>
      <c r="AM34" s="177"/>
    </row>
    <row r="35" spans="2:39" x14ac:dyDescent="0.25">
      <c r="B35" s="729" t="s">
        <v>265</v>
      </c>
      <c r="C35" s="730">
        <v>498168</v>
      </c>
      <c r="D35" s="730">
        <v>2220</v>
      </c>
      <c r="E35" s="731">
        <f t="shared" si="0"/>
        <v>500388</v>
      </c>
      <c r="F35" s="47">
        <v>2289</v>
      </c>
      <c r="G35" s="46">
        <v>60000</v>
      </c>
      <c r="H35" s="492">
        <v>110000</v>
      </c>
      <c r="I35" s="492">
        <v>10000</v>
      </c>
      <c r="J35" s="696">
        <v>44880</v>
      </c>
      <c r="K35" s="492">
        <v>100000</v>
      </c>
      <c r="L35" s="696">
        <v>25000</v>
      </c>
      <c r="M35" s="492">
        <v>2025.8</v>
      </c>
      <c r="O35" s="732">
        <v>10322</v>
      </c>
      <c r="P35" s="705">
        <v>1496</v>
      </c>
      <c r="Q35" s="492">
        <v>5371</v>
      </c>
      <c r="R35" s="705">
        <v>96118</v>
      </c>
      <c r="S35" s="733">
        <v>8976</v>
      </c>
      <c r="T35" s="705">
        <v>75000</v>
      </c>
      <c r="U35" s="733">
        <v>38077.51581027668</v>
      </c>
      <c r="V35" s="705">
        <v>30199.409090909092</v>
      </c>
      <c r="W35" s="4">
        <v>34138.462450592888</v>
      </c>
      <c r="X35" s="705">
        <v>52520.711462450592</v>
      </c>
      <c r="Y35" s="735">
        <v>7300</v>
      </c>
      <c r="Z35" s="705">
        <v>51207.693675889321</v>
      </c>
      <c r="AA35" s="4">
        <v>74842.013833992096</v>
      </c>
      <c r="AB35" s="705">
        <v>21396.937849802369</v>
      </c>
      <c r="AC35" s="4">
        <v>21400</v>
      </c>
      <c r="AD35" s="705">
        <v>29422.102561264823</v>
      </c>
      <c r="AE35" s="4">
        <v>40703.551383399208</v>
      </c>
      <c r="AF35" s="705">
        <v>56459.764822134377</v>
      </c>
      <c r="AG35" s="4">
        <v>22321.302371541504</v>
      </c>
      <c r="AH35" s="705">
        <v>61711.835968379448</v>
      </c>
      <c r="AI35" s="736">
        <v>4300</v>
      </c>
      <c r="AJ35" s="705">
        <v>98476.333992094864</v>
      </c>
      <c r="AK35" s="4">
        <v>18382.249011857708</v>
      </c>
      <c r="AL35" s="705">
        <v>13130.177865612648</v>
      </c>
      <c r="AM35" s="177"/>
    </row>
    <row r="36" spans="2:39" x14ac:dyDescent="0.25">
      <c r="B36" s="729" t="s">
        <v>780</v>
      </c>
      <c r="C36" s="730">
        <v>346324</v>
      </c>
      <c r="D36" s="730">
        <v>2220</v>
      </c>
      <c r="E36" s="731">
        <f t="shared" si="0"/>
        <v>348544</v>
      </c>
      <c r="F36" s="47">
        <v>3695</v>
      </c>
      <c r="G36" s="46">
        <v>60000</v>
      </c>
      <c r="H36" s="492">
        <v>110000</v>
      </c>
      <c r="I36" s="492">
        <v>10000</v>
      </c>
      <c r="J36" s="696">
        <v>70312</v>
      </c>
      <c r="K36" s="492">
        <v>100000</v>
      </c>
      <c r="L36" s="696">
        <v>25000</v>
      </c>
      <c r="M36" s="492">
        <v>2025.8</v>
      </c>
      <c r="O36" s="732">
        <v>10322</v>
      </c>
      <c r="P36" s="705">
        <v>1122</v>
      </c>
      <c r="Q36" s="492">
        <v>18580</v>
      </c>
      <c r="R36" s="705">
        <v>372878</v>
      </c>
      <c r="S36" s="733">
        <v>16456</v>
      </c>
      <c r="T36" s="705">
        <v>75000</v>
      </c>
      <c r="U36" s="733">
        <v>38077.51581027668</v>
      </c>
      <c r="V36" s="705">
        <v>30199.409090909092</v>
      </c>
      <c r="W36" s="4">
        <v>34138.462450592888</v>
      </c>
      <c r="X36" s="705">
        <v>52520.711462450592</v>
      </c>
      <c r="Y36" s="735">
        <v>7300</v>
      </c>
      <c r="Z36" s="705">
        <v>51207.693675889321</v>
      </c>
      <c r="AA36" s="4">
        <v>74842.013833992096</v>
      </c>
      <c r="AB36" s="705">
        <v>21396.937849802369</v>
      </c>
      <c r="AC36" s="4">
        <v>21400</v>
      </c>
      <c r="AD36" s="705">
        <v>29422.102561264823</v>
      </c>
      <c r="AE36" s="4">
        <v>40703.551383399208</v>
      </c>
      <c r="AF36" s="705">
        <v>56459.764822134377</v>
      </c>
      <c r="AG36" s="4">
        <v>22321.302371541504</v>
      </c>
      <c r="AH36" s="705">
        <v>61711.835968379448</v>
      </c>
      <c r="AI36" s="736">
        <v>4300</v>
      </c>
      <c r="AJ36" s="705">
        <v>98476.333992094864</v>
      </c>
      <c r="AK36" s="4">
        <v>18382.249011857708</v>
      </c>
      <c r="AL36" s="705">
        <v>13130.177865612648</v>
      </c>
      <c r="AM36" s="177"/>
    </row>
    <row r="37" spans="2:39" x14ac:dyDescent="0.25">
      <c r="B37" s="729" t="s">
        <v>779</v>
      </c>
      <c r="C37" s="730">
        <v>362032</v>
      </c>
      <c r="D37" s="730">
        <v>2220</v>
      </c>
      <c r="E37" s="731">
        <f t="shared" si="0"/>
        <v>364252</v>
      </c>
      <c r="F37" s="47">
        <v>7742</v>
      </c>
      <c r="G37" s="46">
        <v>60000</v>
      </c>
      <c r="H37" s="492">
        <v>110000</v>
      </c>
      <c r="I37" s="492">
        <v>10000</v>
      </c>
      <c r="J37" s="696">
        <v>54604</v>
      </c>
      <c r="K37" s="492">
        <v>100000</v>
      </c>
      <c r="L37" s="696">
        <v>25000</v>
      </c>
      <c r="M37" s="492">
        <v>2025.8</v>
      </c>
      <c r="O37" s="732">
        <v>10322</v>
      </c>
      <c r="P37" s="705">
        <v>1496</v>
      </c>
      <c r="Q37" s="492">
        <v>16755</v>
      </c>
      <c r="R37" s="705">
        <v>277882</v>
      </c>
      <c r="S37" s="733">
        <v>23188</v>
      </c>
      <c r="T37" s="705">
        <v>75000</v>
      </c>
      <c r="U37" s="733">
        <v>38077.51581027668</v>
      </c>
      <c r="V37" s="705">
        <v>30199.409090909092</v>
      </c>
      <c r="W37" s="4">
        <v>34138.462450592888</v>
      </c>
      <c r="X37" s="705">
        <v>52520.711462450592</v>
      </c>
      <c r="Y37" s="735">
        <v>7300</v>
      </c>
      <c r="Z37" s="705">
        <v>51207.693675889321</v>
      </c>
      <c r="AA37" s="4">
        <v>74842.013833992096</v>
      </c>
      <c r="AB37" s="705">
        <v>21396.937849802369</v>
      </c>
      <c r="AC37" s="4">
        <v>21400</v>
      </c>
      <c r="AD37" s="705">
        <v>29422.102561264823</v>
      </c>
      <c r="AE37" s="4">
        <v>40703.551383399208</v>
      </c>
      <c r="AF37" s="705">
        <v>56459.764822134377</v>
      </c>
      <c r="AG37" s="4">
        <v>22321.302371541504</v>
      </c>
      <c r="AH37" s="705">
        <v>61711.835968379448</v>
      </c>
      <c r="AI37" s="736">
        <v>4300</v>
      </c>
      <c r="AJ37" s="705">
        <v>98476.333992094864</v>
      </c>
      <c r="AK37" s="4">
        <v>18382.249011857708</v>
      </c>
      <c r="AL37" s="705">
        <v>13130.177865612648</v>
      </c>
      <c r="AM37" s="177"/>
    </row>
    <row r="38" spans="2:39" x14ac:dyDescent="0.25">
      <c r="B38" s="729" t="s">
        <v>781</v>
      </c>
      <c r="C38" s="730">
        <v>409904</v>
      </c>
      <c r="D38" s="730">
        <v>2220</v>
      </c>
      <c r="E38" s="731">
        <f t="shared" si="0"/>
        <v>412124</v>
      </c>
      <c r="F38" s="46">
        <v>53572</v>
      </c>
      <c r="G38" s="46">
        <v>60000</v>
      </c>
      <c r="H38" s="492">
        <v>110000</v>
      </c>
      <c r="I38" s="492">
        <v>10000</v>
      </c>
      <c r="J38" s="696">
        <v>7480</v>
      </c>
      <c r="K38" s="492">
        <v>100000</v>
      </c>
      <c r="L38" s="696">
        <v>155000</v>
      </c>
      <c r="M38" s="492">
        <v>2025.8</v>
      </c>
      <c r="O38" s="732">
        <v>10322</v>
      </c>
      <c r="P38" s="705">
        <v>1870</v>
      </c>
      <c r="Q38" s="492">
        <v>12439</v>
      </c>
      <c r="R38" s="705">
        <v>207944</v>
      </c>
      <c r="S38" s="733">
        <v>34408</v>
      </c>
      <c r="T38" s="705">
        <v>75000</v>
      </c>
      <c r="U38" s="733">
        <v>38077.51581027668</v>
      </c>
      <c r="V38" s="705">
        <v>30199.409090909092</v>
      </c>
      <c r="W38" s="4">
        <v>34138.462450592888</v>
      </c>
      <c r="X38" s="705">
        <v>52520.711462450592</v>
      </c>
      <c r="Y38" s="735">
        <v>7300</v>
      </c>
      <c r="Z38" s="705">
        <v>51207.693675889321</v>
      </c>
      <c r="AA38" s="4">
        <v>74842.013833992096</v>
      </c>
      <c r="AB38" s="705">
        <v>21396.937849802369</v>
      </c>
      <c r="AC38" s="4">
        <v>21400</v>
      </c>
      <c r="AD38" s="705">
        <v>29422.102561264823</v>
      </c>
      <c r="AE38" s="4">
        <v>40703.551383399208</v>
      </c>
      <c r="AF38" s="705">
        <v>56459.764822134377</v>
      </c>
      <c r="AG38" s="4">
        <v>22321.302371541504</v>
      </c>
      <c r="AH38" s="705">
        <v>61711.835968379448</v>
      </c>
      <c r="AI38" s="736">
        <v>4300</v>
      </c>
      <c r="AJ38" s="705">
        <v>98476.333992094864</v>
      </c>
      <c r="AK38" s="4">
        <v>18382.249011857708</v>
      </c>
      <c r="AL38" s="705">
        <v>13130.177865612648</v>
      </c>
      <c r="AM38" s="177"/>
    </row>
    <row r="39" spans="2:39" x14ac:dyDescent="0.25">
      <c r="B39" s="729" t="s">
        <v>782</v>
      </c>
      <c r="C39" s="730">
        <v>349316</v>
      </c>
      <c r="D39" s="730">
        <v>2220</v>
      </c>
      <c r="E39" s="731">
        <f t="shared" si="0"/>
        <v>351536</v>
      </c>
      <c r="F39" s="47">
        <v>75039</v>
      </c>
      <c r="G39" s="46">
        <v>60000</v>
      </c>
      <c r="H39" s="492">
        <v>110000</v>
      </c>
      <c r="I39" s="492">
        <v>10000</v>
      </c>
      <c r="J39" s="696">
        <v>748</v>
      </c>
      <c r="K39" s="492">
        <v>100000</v>
      </c>
      <c r="L39" s="696">
        <v>155000</v>
      </c>
      <c r="M39" s="492">
        <v>2025.8</v>
      </c>
      <c r="O39" s="732">
        <v>10322</v>
      </c>
      <c r="P39" s="705">
        <v>1197</v>
      </c>
      <c r="Q39" s="492">
        <v>6134</v>
      </c>
      <c r="R39" s="705">
        <v>135388</v>
      </c>
      <c r="S39" s="733">
        <v>29172</v>
      </c>
      <c r="T39" s="705">
        <v>75000</v>
      </c>
      <c r="U39" s="733">
        <v>38077.51581027668</v>
      </c>
      <c r="V39" s="705">
        <v>30199.409090909092</v>
      </c>
      <c r="W39" s="4">
        <v>34138.462450592888</v>
      </c>
      <c r="X39" s="705">
        <v>52520.711462450592</v>
      </c>
      <c r="Y39" s="735">
        <v>7300</v>
      </c>
      <c r="Z39" s="705">
        <v>51207.693675889321</v>
      </c>
      <c r="AA39" s="4">
        <v>74842.013833992096</v>
      </c>
      <c r="AB39" s="705">
        <v>21396.937849802369</v>
      </c>
      <c r="AC39" s="4">
        <v>21400</v>
      </c>
      <c r="AD39" s="705">
        <v>29422.102561264823</v>
      </c>
      <c r="AE39" s="4">
        <v>40703.551383399208</v>
      </c>
      <c r="AF39" s="705">
        <v>56459.764822134377</v>
      </c>
      <c r="AG39" s="4">
        <v>22321.302371541504</v>
      </c>
      <c r="AH39" s="705">
        <v>61711.835968379448</v>
      </c>
      <c r="AI39" s="736">
        <v>4300</v>
      </c>
      <c r="AJ39" s="705">
        <v>98476.333992094864</v>
      </c>
      <c r="AK39" s="4">
        <v>18382.249011857708</v>
      </c>
      <c r="AL39" s="705">
        <v>13130.177865612648</v>
      </c>
      <c r="AM39" s="177"/>
    </row>
    <row r="40" spans="2:39" x14ac:dyDescent="0.25">
      <c r="B40" s="729" t="s">
        <v>783</v>
      </c>
      <c r="C40" s="730">
        <v>654500</v>
      </c>
      <c r="D40" s="730">
        <v>2220</v>
      </c>
      <c r="E40" s="731">
        <f t="shared" si="0"/>
        <v>656720</v>
      </c>
      <c r="F40" s="46">
        <v>56915</v>
      </c>
      <c r="G40" s="46">
        <v>60000</v>
      </c>
      <c r="H40" s="492">
        <v>110000</v>
      </c>
      <c r="I40" s="492">
        <v>10000</v>
      </c>
      <c r="J40" s="696">
        <v>98736</v>
      </c>
      <c r="K40" s="492">
        <v>100000</v>
      </c>
      <c r="L40" s="696">
        <v>155000</v>
      </c>
      <c r="M40" s="492">
        <v>2025.8</v>
      </c>
      <c r="O40" s="696">
        <v>523600</v>
      </c>
      <c r="P40" s="705">
        <v>1197</v>
      </c>
      <c r="Q40" s="492">
        <v>3845</v>
      </c>
      <c r="R40" s="705">
        <v>32164</v>
      </c>
      <c r="S40" s="733">
        <v>17204</v>
      </c>
      <c r="T40" s="705">
        <v>75000</v>
      </c>
      <c r="U40" s="733">
        <v>38077.51581027668</v>
      </c>
      <c r="V40" s="705">
        <v>30199.409090909092</v>
      </c>
      <c r="W40" s="4">
        <v>34138.462450592888</v>
      </c>
      <c r="X40" s="705">
        <v>52520.711462450592</v>
      </c>
      <c r="Y40" s="735">
        <v>7300</v>
      </c>
      <c r="Z40" s="705">
        <v>51207.693675889321</v>
      </c>
      <c r="AA40" s="4">
        <v>74842.013833992096</v>
      </c>
      <c r="AB40" s="705">
        <v>21396.937849802369</v>
      </c>
      <c r="AC40" s="4">
        <v>21400</v>
      </c>
      <c r="AD40" s="705">
        <v>29422.102561264823</v>
      </c>
      <c r="AE40" s="4">
        <v>40703.551383399208</v>
      </c>
      <c r="AF40" s="705">
        <v>56459.764822134377</v>
      </c>
      <c r="AG40" s="4">
        <v>22321.302371541504</v>
      </c>
      <c r="AH40" s="705">
        <v>61711.835968379448</v>
      </c>
      <c r="AI40" s="736">
        <v>4300</v>
      </c>
      <c r="AJ40" s="705">
        <v>98476.333992094864</v>
      </c>
      <c r="AK40" s="4">
        <v>18382.249011857708</v>
      </c>
      <c r="AL40" s="705">
        <v>13130.177865612648</v>
      </c>
      <c r="AM40" s="177"/>
    </row>
    <row r="41" spans="2:39" ht="16.5" thickBot="1" x14ac:dyDescent="0.3">
      <c r="B41" s="729" t="s">
        <v>784</v>
      </c>
      <c r="C41" s="730">
        <v>647020</v>
      </c>
      <c r="D41" s="730">
        <v>2220</v>
      </c>
      <c r="E41" s="731">
        <f t="shared" si="0"/>
        <v>649240</v>
      </c>
      <c r="F41" s="46">
        <v>22926</v>
      </c>
      <c r="G41" s="46">
        <v>60000</v>
      </c>
      <c r="H41" s="492">
        <v>110000</v>
      </c>
      <c r="I41" s="492">
        <v>10000</v>
      </c>
      <c r="J41" s="696">
        <v>136136</v>
      </c>
      <c r="K41" s="492">
        <v>100000</v>
      </c>
      <c r="L41" s="696">
        <v>155000</v>
      </c>
      <c r="M41" s="492">
        <v>2025.8</v>
      </c>
      <c r="O41" s="696">
        <v>385220</v>
      </c>
      <c r="P41" s="705">
        <v>1122</v>
      </c>
      <c r="Q41" s="492">
        <v>3269</v>
      </c>
      <c r="R41" s="705">
        <v>25058</v>
      </c>
      <c r="S41" s="733">
        <v>8976</v>
      </c>
      <c r="T41" s="705">
        <v>75000</v>
      </c>
      <c r="U41" s="733">
        <v>38077.51581027668</v>
      </c>
      <c r="V41" s="705">
        <v>30199.409090909092</v>
      </c>
      <c r="W41" s="4">
        <v>34138.462450592888</v>
      </c>
      <c r="X41" s="705">
        <v>52520.711462450592</v>
      </c>
      <c r="Y41" s="735">
        <v>7300</v>
      </c>
      <c r="Z41" s="705">
        <v>51207.693675889321</v>
      </c>
      <c r="AA41" s="4">
        <v>74842.013833992096</v>
      </c>
      <c r="AB41" s="705">
        <v>21396.937849802369</v>
      </c>
      <c r="AC41" s="4">
        <v>21400</v>
      </c>
      <c r="AD41" s="705">
        <v>29422.102561264823</v>
      </c>
      <c r="AE41" s="4">
        <v>40703.551383399208</v>
      </c>
      <c r="AF41" s="705">
        <v>56459.764822134377</v>
      </c>
      <c r="AG41" s="4">
        <v>22321.302371541504</v>
      </c>
      <c r="AH41" s="705">
        <v>61711.835968379448</v>
      </c>
      <c r="AI41" s="736">
        <v>4300</v>
      </c>
      <c r="AJ41" s="705">
        <v>98476.333992094864</v>
      </c>
      <c r="AK41" s="4">
        <v>18382.249011857708</v>
      </c>
      <c r="AL41" s="705">
        <v>13130.177865612648</v>
      </c>
      <c r="AM41" s="177"/>
    </row>
    <row r="42" spans="2:39" ht="16.5" thickBot="1" x14ac:dyDescent="0.3">
      <c r="B42" s="737" t="s">
        <v>168</v>
      </c>
      <c r="C42" s="738">
        <f t="shared" ref="C42:M42" si="1">SUM(C30:C41)</f>
        <v>7946004</v>
      </c>
      <c r="D42" s="738">
        <f t="shared" si="1"/>
        <v>26640</v>
      </c>
      <c r="E42" s="739">
        <f t="shared" si="1"/>
        <v>7972644</v>
      </c>
      <c r="F42" s="740">
        <f t="shared" si="1"/>
        <v>401271</v>
      </c>
      <c r="G42" s="740">
        <f t="shared" si="1"/>
        <v>720000</v>
      </c>
      <c r="H42" s="741">
        <f t="shared" si="1"/>
        <v>1320000</v>
      </c>
      <c r="I42" s="741">
        <f t="shared" si="1"/>
        <v>120000</v>
      </c>
      <c r="J42" s="742">
        <f t="shared" si="1"/>
        <v>832525</v>
      </c>
      <c r="K42" s="741">
        <f t="shared" si="1"/>
        <v>1200000</v>
      </c>
      <c r="L42" s="742">
        <f t="shared" si="1"/>
        <v>775000</v>
      </c>
      <c r="M42" s="741">
        <f t="shared" si="1"/>
        <v>24309.599999999995</v>
      </c>
      <c r="N42" s="741"/>
      <c r="O42" s="742">
        <f t="shared" ref="O42:T42" si="2">SUM(O30:O41)</f>
        <v>1012040</v>
      </c>
      <c r="P42" s="743">
        <f t="shared" si="2"/>
        <v>17728</v>
      </c>
      <c r="Q42" s="741">
        <f t="shared" si="2"/>
        <v>119089</v>
      </c>
      <c r="R42" s="743">
        <f t="shared" si="2"/>
        <v>1350888</v>
      </c>
      <c r="S42" s="744">
        <f t="shared" si="2"/>
        <v>327624</v>
      </c>
      <c r="T42" s="743">
        <f t="shared" si="2"/>
        <v>900000</v>
      </c>
      <c r="U42" s="745">
        <f t="shared" ref="U42:AL42" si="3">SUM(U30:U41)</f>
        <v>456930.18972332013</v>
      </c>
      <c r="V42" s="746">
        <f t="shared" si="3"/>
        <v>362392.90909090918</v>
      </c>
      <c r="W42" s="747">
        <f t="shared" si="3"/>
        <v>409661.54940711468</v>
      </c>
      <c r="X42" s="746">
        <f t="shared" si="3"/>
        <v>630248.53754940687</v>
      </c>
      <c r="Y42" s="748">
        <f t="shared" si="3"/>
        <v>87600</v>
      </c>
      <c r="Z42" s="746">
        <f t="shared" si="3"/>
        <v>614492.32411067188</v>
      </c>
      <c r="AA42" s="747">
        <f t="shared" si="3"/>
        <v>898104.16600790492</v>
      </c>
      <c r="AB42" s="746">
        <f t="shared" si="3"/>
        <v>256763.25419762844</v>
      </c>
      <c r="AC42" s="747">
        <f t="shared" si="3"/>
        <v>256800</v>
      </c>
      <c r="AD42" s="746">
        <f t="shared" si="3"/>
        <v>353065.23073517787</v>
      </c>
      <c r="AE42" s="747">
        <f t="shared" si="3"/>
        <v>488442.61660079058</v>
      </c>
      <c r="AF42" s="746">
        <f t="shared" si="3"/>
        <v>677517.17786561267</v>
      </c>
      <c r="AG42" s="747">
        <f t="shared" si="3"/>
        <v>267855.62845849805</v>
      </c>
      <c r="AH42" s="746">
        <f t="shared" si="3"/>
        <v>740542.03162055323</v>
      </c>
      <c r="AI42" s="747">
        <f t="shared" si="3"/>
        <v>51600</v>
      </c>
      <c r="AJ42" s="746">
        <f t="shared" si="3"/>
        <v>1181716.0079051384</v>
      </c>
      <c r="AK42" s="747">
        <f t="shared" si="3"/>
        <v>220586.98814229245</v>
      </c>
      <c r="AL42" s="746">
        <f t="shared" si="3"/>
        <v>157562.13438735172</v>
      </c>
      <c r="AM42" s="827">
        <f>SUM(E42:AL42)</f>
        <v>25204999.345802374</v>
      </c>
    </row>
    <row r="43" spans="2:39" ht="16.5" thickBot="1" x14ac:dyDescent="0.3">
      <c r="B43" s="729"/>
      <c r="C43" s="42"/>
      <c r="D43" s="42"/>
      <c r="E43" s="177"/>
      <c r="F43" s="47"/>
      <c r="G43" s="47"/>
      <c r="H43" s="492"/>
      <c r="I43" s="492"/>
      <c r="J43" s="749"/>
      <c r="L43" s="696"/>
      <c r="M43" s="698"/>
      <c r="N43" s="750">
        <f>SUM(3250*7.48)</f>
        <v>24310</v>
      </c>
      <c r="O43" s="749"/>
      <c r="P43" s="751"/>
      <c r="Q43" s="492"/>
      <c r="R43" s="752"/>
      <c r="S43" s="699"/>
      <c r="T43" s="705"/>
      <c r="U43" s="176"/>
      <c r="V43" s="177"/>
      <c r="X43" s="177"/>
      <c r="Y43" s="47"/>
      <c r="Z43" s="177"/>
      <c r="AA43" s="42"/>
      <c r="AB43" s="177"/>
      <c r="AC43" s="42"/>
      <c r="AD43" s="177"/>
      <c r="AE43" s="42"/>
      <c r="AF43" s="177"/>
      <c r="AG43" s="42"/>
      <c r="AH43" s="177"/>
      <c r="AI43" s="42"/>
      <c r="AJ43" s="177"/>
      <c r="AK43" s="42"/>
      <c r="AL43" s="177"/>
      <c r="AM43" s="177"/>
    </row>
    <row r="44" spans="2:39" x14ac:dyDescent="0.25">
      <c r="B44" s="176"/>
      <c r="C44" s="42"/>
      <c r="D44" s="42"/>
      <c r="E44" s="177"/>
      <c r="F44" s="47"/>
      <c r="G44" s="47"/>
      <c r="H44" s="492"/>
      <c r="I44" s="492"/>
      <c r="L44" s="696"/>
      <c r="N44" s="492" t="s">
        <v>785</v>
      </c>
      <c r="O44" s="492">
        <v>1012044</v>
      </c>
      <c r="P44" s="4"/>
      <c r="Q44" s="492"/>
      <c r="R44" s="707"/>
      <c r="S44" s="4"/>
      <c r="T44" s="705"/>
      <c r="U44" s="176"/>
      <c r="V44" s="177"/>
      <c r="X44" s="177"/>
      <c r="Y44" s="47"/>
      <c r="Z44" s="177"/>
      <c r="AA44" s="42"/>
      <c r="AB44" s="177"/>
      <c r="AC44" s="42"/>
      <c r="AD44" s="177"/>
      <c r="AE44" s="42"/>
      <c r="AF44" s="177"/>
      <c r="AG44" s="42"/>
      <c r="AH44" s="177"/>
      <c r="AI44" s="42"/>
      <c r="AJ44" s="177"/>
      <c r="AK44" s="42"/>
      <c r="AL44" s="177"/>
      <c r="AM44" s="177"/>
    </row>
    <row r="45" spans="2:39" s="64" customFormat="1" ht="16.5" thickBot="1" x14ac:dyDescent="0.3">
      <c r="B45" s="115" t="s">
        <v>786</v>
      </c>
      <c r="C45" s="101"/>
      <c r="D45" s="101"/>
      <c r="E45" s="753"/>
      <c r="F45" s="101"/>
      <c r="G45" s="101" t="s">
        <v>787</v>
      </c>
      <c r="H45" s="698" t="s">
        <v>788</v>
      </c>
      <c r="I45" s="698" t="s">
        <v>788</v>
      </c>
      <c r="J45" s="698" t="s">
        <v>789</v>
      </c>
      <c r="K45" s="698" t="s">
        <v>788</v>
      </c>
      <c r="L45" s="749" t="s">
        <v>790</v>
      </c>
      <c r="M45" s="698" t="s">
        <v>789</v>
      </c>
      <c r="N45" s="698">
        <f>SUM(24310/12)</f>
        <v>2025.8333333333333</v>
      </c>
      <c r="O45" s="698" t="s">
        <v>789</v>
      </c>
      <c r="P45" s="699" t="s">
        <v>789</v>
      </c>
      <c r="Q45" s="698" t="s">
        <v>789</v>
      </c>
      <c r="R45" s="754" t="s">
        <v>789</v>
      </c>
      <c r="S45" s="699" t="s">
        <v>789</v>
      </c>
      <c r="T45" s="751" t="s">
        <v>788</v>
      </c>
      <c r="U45" s="755" t="s">
        <v>789</v>
      </c>
      <c r="V45" s="753" t="s">
        <v>789</v>
      </c>
      <c r="W45" s="101" t="s">
        <v>789</v>
      </c>
      <c r="X45" s="753" t="s">
        <v>789</v>
      </c>
      <c r="Y45" s="101" t="s">
        <v>791</v>
      </c>
      <c r="Z45" s="753" t="s">
        <v>789</v>
      </c>
      <c r="AA45" s="101" t="s">
        <v>789</v>
      </c>
      <c r="AB45" s="753" t="s">
        <v>789</v>
      </c>
      <c r="AC45" s="101" t="s">
        <v>789</v>
      </c>
      <c r="AD45" s="753" t="s">
        <v>789</v>
      </c>
      <c r="AE45" s="101" t="s">
        <v>789</v>
      </c>
      <c r="AF45" s="753" t="s">
        <v>789</v>
      </c>
      <c r="AG45" s="101" t="s">
        <v>789</v>
      </c>
      <c r="AH45" s="753" t="s">
        <v>789</v>
      </c>
      <c r="AI45" s="101" t="s">
        <v>788</v>
      </c>
      <c r="AJ45" s="753" t="s">
        <v>789</v>
      </c>
      <c r="AK45" s="101" t="s">
        <v>789</v>
      </c>
      <c r="AL45" s="753" t="s">
        <v>789</v>
      </c>
      <c r="AM45" s="753"/>
    </row>
    <row r="46" spans="2:39" s="509" customFormat="1" x14ac:dyDescent="0.25">
      <c r="C46" s="511"/>
      <c r="D46" s="511"/>
      <c r="E46" s="511"/>
      <c r="H46" s="512"/>
      <c r="I46" s="513"/>
      <c r="J46" s="514"/>
      <c r="K46" s="513"/>
      <c r="L46" s="513"/>
      <c r="M46" s="513"/>
      <c r="N46" s="513"/>
      <c r="O46" s="513"/>
      <c r="P46" s="515"/>
      <c r="Q46" s="513"/>
      <c r="R46" s="515"/>
      <c r="S46" s="515"/>
      <c r="T46" s="515"/>
      <c r="U46" s="516" t="s">
        <v>792</v>
      </c>
      <c r="V46" s="516"/>
      <c r="W46" s="511"/>
      <c r="Y46" s="511"/>
      <c r="Z46" s="511"/>
      <c r="AA46" s="511"/>
      <c r="AB46" s="511" t="s">
        <v>792</v>
      </c>
      <c r="AC46" s="511"/>
      <c r="AD46" s="511"/>
      <c r="AE46" s="511"/>
      <c r="AF46" s="511"/>
      <c r="AG46" s="511"/>
      <c r="AH46" s="511"/>
      <c r="AI46" s="511"/>
      <c r="AJ46" s="511"/>
      <c r="AK46" s="511"/>
      <c r="AL46" s="511"/>
      <c r="AM46" s="511"/>
    </row>
    <row r="47" spans="2:39" s="509" customFormat="1" x14ac:dyDescent="0.25">
      <c r="B47" s="756" t="s">
        <v>793</v>
      </c>
      <c r="C47" s="509" t="s">
        <v>757</v>
      </c>
      <c r="H47" s="512"/>
      <c r="I47" s="514"/>
      <c r="J47" s="514"/>
      <c r="K47" s="514"/>
      <c r="L47" s="514"/>
      <c r="M47" s="514"/>
      <c r="N47" s="514"/>
      <c r="O47" s="514"/>
      <c r="P47" s="517"/>
      <c r="Q47" s="514"/>
      <c r="R47" s="517"/>
      <c r="S47" s="517"/>
      <c r="T47" s="517"/>
      <c r="U47" s="518"/>
      <c r="V47" s="518"/>
    </row>
    <row r="48" spans="2:39" s="509" customFormat="1" x14ac:dyDescent="0.25">
      <c r="B48" s="756"/>
      <c r="C48" s="509" t="s">
        <v>794</v>
      </c>
      <c r="D48" s="509" t="s">
        <v>795</v>
      </c>
      <c r="E48" s="509" t="s">
        <v>796</v>
      </c>
      <c r="H48" s="512"/>
      <c r="I48" s="514"/>
      <c r="J48" s="514"/>
      <c r="K48" s="514"/>
      <c r="L48" s="514"/>
      <c r="M48" s="514"/>
      <c r="N48" s="514"/>
      <c r="O48" s="514"/>
      <c r="P48" s="517"/>
      <c r="Q48" s="514"/>
      <c r="R48" s="517"/>
      <c r="S48" s="517"/>
      <c r="T48" s="517"/>
      <c r="U48" s="518"/>
      <c r="V48" s="518"/>
    </row>
    <row r="49" spans="1:26" s="509" customFormat="1" x14ac:dyDescent="0.25">
      <c r="B49" s="756"/>
      <c r="C49" s="509">
        <v>47520</v>
      </c>
      <c r="D49" s="509">
        <v>642</v>
      </c>
      <c r="E49" s="757">
        <f>SUM(D49/C49)</f>
        <v>1.351010101010101E-2</v>
      </c>
      <c r="H49" s="512"/>
      <c r="I49" s="514"/>
      <c r="J49" s="514"/>
      <c r="K49" s="514"/>
      <c r="L49" s="514"/>
      <c r="M49" s="514"/>
      <c r="N49" s="514"/>
      <c r="O49" s="514"/>
      <c r="P49" s="517"/>
      <c r="Q49" s="514"/>
      <c r="R49" s="517"/>
      <c r="S49" s="517"/>
      <c r="T49" s="517"/>
      <c r="U49" s="518"/>
      <c r="V49" s="518"/>
    </row>
    <row r="50" spans="1:26" x14ac:dyDescent="0.25">
      <c r="B50" s="168" t="s">
        <v>797</v>
      </c>
      <c r="D50" s="168" t="s">
        <v>798</v>
      </c>
      <c r="E50" s="168" t="s">
        <v>799</v>
      </c>
      <c r="F50" s="64"/>
      <c r="G50" s="64" t="s">
        <v>800</v>
      </c>
      <c r="H50" s="491">
        <f>SUM(30/E49)</f>
        <v>2220.5607476635514</v>
      </c>
      <c r="I50" s="492" t="s">
        <v>595</v>
      </c>
      <c r="P50" s="493"/>
      <c r="Q50" s="492"/>
      <c r="R50" s="39"/>
      <c r="S50" s="493"/>
      <c r="T50" s="493"/>
      <c r="U50" s="42"/>
      <c r="W50" s="168"/>
    </row>
    <row r="51" spans="1:26" s="6" customFormat="1" ht="16.5" thickBot="1" x14ac:dyDescent="0.3">
      <c r="A51" s="19"/>
      <c r="G51" s="19"/>
      <c r="I51" s="758"/>
      <c r="J51" s="759"/>
      <c r="K51" s="759"/>
      <c r="L51" s="759"/>
      <c r="M51" s="759"/>
      <c r="N51" s="759"/>
      <c r="O51" s="759"/>
      <c r="P51" s="759"/>
      <c r="Q51" s="29"/>
      <c r="R51" s="759"/>
      <c r="S51" s="760"/>
      <c r="T51" s="760"/>
      <c r="U51" s="29"/>
      <c r="V51" s="39"/>
      <c r="W51" s="39"/>
      <c r="Y51" s="19"/>
      <c r="Z51" s="761"/>
    </row>
    <row r="52" spans="1:26" x14ac:dyDescent="0.25">
      <c r="A52" s="3"/>
      <c r="B52" s="20" t="s">
        <v>801</v>
      </c>
      <c r="C52" s="170"/>
      <c r="D52" s="170"/>
      <c r="E52" s="170"/>
      <c r="F52" s="170"/>
      <c r="G52" s="81"/>
      <c r="H52" s="40"/>
      <c r="I52" s="762"/>
      <c r="J52" s="762"/>
      <c r="K52" s="930"/>
      <c r="L52" s="763"/>
      <c r="M52" s="764"/>
      <c r="N52" s="765"/>
      <c r="O52" s="765"/>
      <c r="P52" s="764"/>
      <c r="Q52" s="26"/>
      <c r="R52" s="764"/>
      <c r="S52" s="40"/>
      <c r="T52" s="40"/>
      <c r="U52" s="26"/>
      <c r="V52" s="766"/>
      <c r="W52" s="34"/>
      <c r="X52" s="32"/>
      <c r="Y52" s="6"/>
      <c r="Z52" s="761"/>
    </row>
    <row r="53" spans="1:26" s="64" customFormat="1" x14ac:dyDescent="0.25">
      <c r="A53" s="3"/>
      <c r="B53" s="767" t="s">
        <v>85</v>
      </c>
      <c r="C53" s="39" t="s">
        <v>86</v>
      </c>
      <c r="D53" s="39"/>
      <c r="E53" s="39"/>
      <c r="F53" s="759" t="s">
        <v>802</v>
      </c>
      <c r="G53" s="41"/>
      <c r="H53" s="41" t="s">
        <v>803</v>
      </c>
      <c r="I53" s="47"/>
      <c r="J53" s="759"/>
      <c r="K53" s="931"/>
      <c r="L53" s="768"/>
      <c r="M53" s="769"/>
      <c r="N53" s="770"/>
      <c r="O53" s="771"/>
      <c r="P53" s="772"/>
      <c r="Q53" s="772"/>
      <c r="R53" s="773"/>
      <c r="S53" s="41"/>
      <c r="T53" s="41"/>
      <c r="U53" s="22"/>
      <c r="V53" s="13"/>
      <c r="W53" s="29"/>
      <c r="X53" s="57"/>
      <c r="Y53" s="19"/>
      <c r="Z53" s="761"/>
    </row>
    <row r="54" spans="1:26" s="64" customFormat="1" ht="16.5" thickBot="1" x14ac:dyDescent="0.3">
      <c r="A54" s="3"/>
      <c r="B54" s="774"/>
      <c r="C54" s="101"/>
      <c r="D54" s="101"/>
      <c r="E54" s="101"/>
      <c r="F54" s="775"/>
      <c r="G54" s="101"/>
      <c r="H54" s="45"/>
      <c r="I54" s="101"/>
      <c r="J54" s="775"/>
      <c r="K54" s="932"/>
      <c r="L54" s="776"/>
      <c r="M54" s="777"/>
      <c r="N54" s="778"/>
      <c r="O54" s="778"/>
      <c r="P54" s="777"/>
      <c r="Q54" s="44"/>
      <c r="R54" s="777"/>
      <c r="S54" s="45"/>
      <c r="T54" s="45"/>
      <c r="U54" s="44"/>
      <c r="V54" s="779"/>
      <c r="W54" s="63"/>
      <c r="X54" s="57"/>
      <c r="Y54" s="19"/>
      <c r="Z54" s="761"/>
    </row>
    <row r="55" spans="1:26" s="64" customFormat="1" x14ac:dyDescent="0.25">
      <c r="A55" s="3"/>
      <c r="B55" s="780" t="s">
        <v>804</v>
      </c>
      <c r="C55" s="47"/>
      <c r="D55" s="700"/>
      <c r="E55" s="47"/>
      <c r="F55" s="759"/>
      <c r="G55" s="47"/>
      <c r="H55" s="41"/>
      <c r="J55" s="759"/>
      <c r="K55" s="773"/>
      <c r="L55" s="773"/>
      <c r="M55" s="773"/>
      <c r="N55" s="781"/>
      <c r="O55" s="781"/>
      <c r="P55" s="773"/>
      <c r="Q55" s="782"/>
      <c r="R55" s="773"/>
      <c r="S55" s="41"/>
      <c r="T55" s="41"/>
      <c r="U55" s="782"/>
      <c r="V55" s="695"/>
      <c r="W55" s="29"/>
      <c r="X55" s="57"/>
      <c r="Y55" s="19"/>
      <c r="Z55" s="761"/>
    </row>
    <row r="56" spans="1:26" s="64" customFormat="1" x14ac:dyDescent="0.25">
      <c r="B56" s="38" t="s">
        <v>805</v>
      </c>
      <c r="C56" s="41" t="s">
        <v>757</v>
      </c>
      <c r="D56" s="783" t="s">
        <v>806</v>
      </c>
      <c r="E56" s="41"/>
      <c r="F56" s="759" t="s">
        <v>807</v>
      </c>
      <c r="G56" s="41"/>
      <c r="H56" s="41"/>
      <c r="J56" s="759"/>
      <c r="K56" s="773"/>
      <c r="L56" s="773"/>
      <c r="M56" s="773"/>
      <c r="N56" s="781"/>
      <c r="O56" s="781"/>
      <c r="P56" s="773"/>
      <c r="Q56" s="784"/>
      <c r="R56" s="773"/>
      <c r="S56" s="785"/>
      <c r="T56" s="785"/>
      <c r="U56" s="784"/>
      <c r="V56" s="47"/>
      <c r="W56" s="29"/>
      <c r="X56" s="57"/>
      <c r="Y56" s="19"/>
      <c r="Z56" s="761"/>
    </row>
    <row r="57" spans="1:26" s="64" customFormat="1" x14ac:dyDescent="0.25">
      <c r="B57" s="38" t="s">
        <v>805</v>
      </c>
      <c r="C57" s="41" t="s">
        <v>808</v>
      </c>
      <c r="D57" s="62">
        <v>7972644</v>
      </c>
      <c r="E57" s="41"/>
      <c r="F57" s="759" t="s">
        <v>809</v>
      </c>
      <c r="G57" s="933" t="s">
        <v>810</v>
      </c>
      <c r="H57" s="41"/>
      <c r="J57" s="759"/>
      <c r="K57" s="773"/>
      <c r="L57" s="773"/>
      <c r="M57" s="773"/>
      <c r="N57" s="781"/>
      <c r="O57" s="781"/>
      <c r="P57" s="773"/>
      <c r="Q57" s="784"/>
      <c r="R57" s="773"/>
      <c r="S57" s="785"/>
      <c r="T57" s="785"/>
      <c r="U57" s="784"/>
      <c r="V57" s="29"/>
      <c r="W57" s="39"/>
      <c r="X57" s="57"/>
      <c r="Y57" s="19"/>
      <c r="Z57" s="761"/>
    </row>
    <row r="58" spans="1:26" s="64" customFormat="1" ht="16.5" thickBot="1" x14ac:dyDescent="0.3">
      <c r="B58" s="35" t="s">
        <v>811</v>
      </c>
      <c r="C58" s="45"/>
      <c r="D58" s="23"/>
      <c r="E58" s="45"/>
      <c r="F58" s="45"/>
      <c r="G58" s="934"/>
      <c r="H58" s="45" t="s">
        <v>812</v>
      </c>
      <c r="I58" s="775" t="s">
        <v>812</v>
      </c>
      <c r="J58" s="775"/>
      <c r="K58" s="777"/>
      <c r="L58" s="777"/>
      <c r="M58" s="777"/>
      <c r="N58" s="778"/>
      <c r="O58" s="778"/>
      <c r="P58" s="777"/>
      <c r="Q58" s="786"/>
      <c r="R58" s="777"/>
      <c r="S58" s="787"/>
      <c r="T58" s="787"/>
      <c r="U58" s="786"/>
      <c r="V58" s="63"/>
      <c r="W58" s="788"/>
      <c r="X58" s="57"/>
      <c r="Y58" s="19"/>
      <c r="Z58" s="761"/>
    </row>
    <row r="59" spans="1:26" ht="16.5" thickBot="1" x14ac:dyDescent="0.3">
      <c r="B59" s="789" t="s">
        <v>813</v>
      </c>
      <c r="C59" s="790"/>
      <c r="D59" s="790" t="s">
        <v>7</v>
      </c>
      <c r="E59" s="790" t="s">
        <v>814</v>
      </c>
      <c r="F59" s="791" t="s">
        <v>814</v>
      </c>
      <c r="G59" s="631"/>
      <c r="H59" s="631"/>
      <c r="I59" s="741" t="s">
        <v>815</v>
      </c>
      <c r="J59" s="741"/>
      <c r="K59" s="742"/>
      <c r="L59" s="742"/>
      <c r="M59" s="743"/>
      <c r="N59" s="792"/>
      <c r="O59" s="793"/>
      <c r="P59" s="742"/>
      <c r="Q59" s="743"/>
      <c r="R59" s="742"/>
      <c r="S59" s="794"/>
      <c r="T59" s="794"/>
      <c r="U59" s="743"/>
      <c r="V59" s="790"/>
      <c r="W59" s="790"/>
      <c r="X59" s="795" t="s">
        <v>816</v>
      </c>
      <c r="Z59" s="761"/>
    </row>
    <row r="60" spans="1:26" x14ac:dyDescent="0.25">
      <c r="B60" s="176" t="s">
        <v>752</v>
      </c>
      <c r="C60" s="39" t="s">
        <v>817</v>
      </c>
      <c r="D60" s="46">
        <v>29000</v>
      </c>
      <c r="E60" s="39">
        <f>SUM(D60/506000)</f>
        <v>5.731225296442688E-2</v>
      </c>
      <c r="F60" s="796">
        <v>5.731225296442688E-2</v>
      </c>
      <c r="G60" s="41">
        <f>SUM(F60*7972644)</f>
        <v>456930.18972332019</v>
      </c>
      <c r="H60" s="46">
        <f>SUM(G60/12)</f>
        <v>38077.51581027668</v>
      </c>
      <c r="I60" s="492">
        <v>38077.51581027668</v>
      </c>
      <c r="K60" s="696"/>
      <c r="L60" s="696"/>
      <c r="M60" s="702"/>
      <c r="N60" s="797"/>
      <c r="O60" s="798"/>
      <c r="P60" s="696"/>
      <c r="Q60" s="702"/>
      <c r="R60" s="691"/>
      <c r="U60" s="702"/>
      <c r="X60" s="177"/>
      <c r="Z60" s="761"/>
    </row>
    <row r="61" spans="1:26" x14ac:dyDescent="0.25">
      <c r="B61" s="176" t="s">
        <v>122</v>
      </c>
      <c r="C61" s="42"/>
      <c r="D61" s="46">
        <v>23000</v>
      </c>
      <c r="E61" s="39">
        <f t="shared" ref="E61:E77" si="4">SUM(D61/506000)</f>
        <v>4.5454545454545456E-2</v>
      </c>
      <c r="F61" s="177">
        <v>4.5454545454545456E-2</v>
      </c>
      <c r="G61" s="41">
        <f t="shared" ref="G61:G77" si="5">SUM(F61*7972644)</f>
        <v>362392.90909090912</v>
      </c>
      <c r="H61" s="46">
        <f t="shared" ref="H61:H78" si="6">SUM(G61/12)</f>
        <v>30199.409090909092</v>
      </c>
      <c r="I61" s="492">
        <v>30199.409090909092</v>
      </c>
      <c r="K61" s="696"/>
      <c r="L61" s="696"/>
      <c r="M61" s="705"/>
      <c r="N61" s="797"/>
      <c r="O61" s="798"/>
      <c r="P61" s="696"/>
      <c r="Q61" s="705"/>
      <c r="R61" s="696"/>
      <c r="U61" s="705"/>
      <c r="X61" s="177"/>
      <c r="Z61" s="761"/>
    </row>
    <row r="62" spans="1:26" x14ac:dyDescent="0.25">
      <c r="B62" s="176" t="s">
        <v>753</v>
      </c>
      <c r="C62" s="42"/>
      <c r="D62" s="46">
        <v>26000</v>
      </c>
      <c r="E62" s="39">
        <f t="shared" si="4"/>
        <v>5.1383399209486168E-2</v>
      </c>
      <c r="F62" s="177">
        <v>5.1383399209486168E-2</v>
      </c>
      <c r="G62" s="41">
        <f t="shared" si="5"/>
        <v>409661.54940711462</v>
      </c>
      <c r="H62" s="46">
        <f t="shared" si="6"/>
        <v>34138.462450592888</v>
      </c>
      <c r="I62" s="492">
        <v>34138.462450592888</v>
      </c>
      <c r="K62" s="696"/>
      <c r="L62" s="696"/>
      <c r="M62" s="705"/>
      <c r="N62" s="797"/>
      <c r="O62" s="798"/>
      <c r="P62" s="696"/>
      <c r="Q62" s="705"/>
      <c r="R62" s="696"/>
      <c r="U62" s="705"/>
      <c r="X62" s="177"/>
      <c r="Z62" s="761"/>
    </row>
    <row r="63" spans="1:26" x14ac:dyDescent="0.25">
      <c r="B63" s="176" t="s">
        <v>131</v>
      </c>
      <c r="C63" s="42"/>
      <c r="D63" s="46">
        <v>40000</v>
      </c>
      <c r="E63" s="39">
        <f t="shared" si="4"/>
        <v>7.9051383399209488E-2</v>
      </c>
      <c r="F63" s="177">
        <v>7.9051383399209488E-2</v>
      </c>
      <c r="G63" s="41">
        <f t="shared" si="5"/>
        <v>630248.5375494071</v>
      </c>
      <c r="H63" s="46">
        <f t="shared" si="6"/>
        <v>52520.711462450592</v>
      </c>
      <c r="I63" s="492">
        <v>52520.711462450592</v>
      </c>
      <c r="K63" s="696"/>
      <c r="L63" s="696"/>
      <c r="M63" s="705"/>
      <c r="N63" s="797"/>
      <c r="O63" s="798"/>
      <c r="P63" s="696"/>
      <c r="Q63" s="705"/>
      <c r="R63" s="696"/>
      <c r="U63" s="705"/>
      <c r="W63" s="730"/>
      <c r="X63" s="696">
        <f>SUM(V63*W63)</f>
        <v>0</v>
      </c>
    </row>
    <row r="64" spans="1:26" x14ac:dyDescent="0.25">
      <c r="B64" s="729" t="s">
        <v>110</v>
      </c>
      <c r="C64" s="42"/>
      <c r="D64" s="46"/>
      <c r="E64" s="39">
        <f t="shared" si="4"/>
        <v>0</v>
      </c>
      <c r="F64" s="177">
        <v>0</v>
      </c>
      <c r="G64" s="41">
        <f t="shared" si="5"/>
        <v>0</v>
      </c>
      <c r="H64" s="46">
        <f t="shared" si="6"/>
        <v>0</v>
      </c>
      <c r="I64" s="492">
        <v>0</v>
      </c>
      <c r="K64" s="696"/>
      <c r="L64" s="696"/>
      <c r="M64" s="705"/>
      <c r="N64" s="797"/>
      <c r="O64" s="798"/>
      <c r="P64" s="696"/>
      <c r="Q64" s="705"/>
      <c r="R64" s="696"/>
      <c r="U64" s="705"/>
      <c r="X64" s="696"/>
    </row>
    <row r="65" spans="1:25" x14ac:dyDescent="0.25">
      <c r="B65" s="176" t="s">
        <v>135</v>
      </c>
      <c r="C65" s="42" t="s">
        <v>136</v>
      </c>
      <c r="D65" s="46">
        <v>39000</v>
      </c>
      <c r="E65" s="39">
        <f t="shared" si="4"/>
        <v>7.7075098814229248E-2</v>
      </c>
      <c r="F65" s="177">
        <v>7.7075098814229248E-2</v>
      </c>
      <c r="G65" s="41">
        <f t="shared" si="5"/>
        <v>614492.32411067188</v>
      </c>
      <c r="H65" s="46">
        <f t="shared" si="6"/>
        <v>51207.693675889321</v>
      </c>
      <c r="I65" s="492">
        <v>51207.693675889321</v>
      </c>
      <c r="K65" s="696"/>
      <c r="L65" s="696"/>
      <c r="M65" s="705"/>
      <c r="N65" s="797"/>
      <c r="O65" s="798"/>
      <c r="P65" s="696"/>
      <c r="Q65" s="705"/>
      <c r="R65" s="696"/>
      <c r="U65" s="705"/>
      <c r="X65" s="177"/>
    </row>
    <row r="66" spans="1:25" x14ac:dyDescent="0.25">
      <c r="B66" s="176" t="s">
        <v>137</v>
      </c>
      <c r="C66" s="42"/>
      <c r="D66" s="46">
        <v>57000</v>
      </c>
      <c r="E66" s="39">
        <f t="shared" si="4"/>
        <v>0.11264822134387352</v>
      </c>
      <c r="F66" s="177">
        <v>0.11264822134387352</v>
      </c>
      <c r="G66" s="41">
        <f t="shared" si="5"/>
        <v>898104.16600790515</v>
      </c>
      <c r="H66" s="46">
        <f t="shared" si="6"/>
        <v>74842.013833992096</v>
      </c>
      <c r="I66" s="492">
        <v>74842.013833992096</v>
      </c>
      <c r="K66" s="696"/>
      <c r="L66" s="696"/>
      <c r="M66" s="705"/>
      <c r="N66" s="797"/>
      <c r="O66" s="798"/>
      <c r="P66" s="696"/>
      <c r="Q66" s="705"/>
      <c r="R66" s="696"/>
      <c r="U66" s="705"/>
      <c r="X66" s="799"/>
    </row>
    <row r="67" spans="1:25" x14ac:dyDescent="0.25">
      <c r="A67" s="168"/>
      <c r="B67" s="176" t="s">
        <v>754</v>
      </c>
      <c r="C67" s="42" t="s">
        <v>818</v>
      </c>
      <c r="D67" s="800">
        <v>16296</v>
      </c>
      <c r="E67" s="39">
        <f t="shared" si="4"/>
        <v>3.2205533596837942E-2</v>
      </c>
      <c r="F67" s="177">
        <v>3.2205533596837942E-2</v>
      </c>
      <c r="G67" s="41">
        <f t="shared" si="5"/>
        <v>256763.25419762844</v>
      </c>
      <c r="H67" s="46">
        <f t="shared" si="6"/>
        <v>21396.937849802369</v>
      </c>
      <c r="I67" s="492">
        <v>21396.937849802369</v>
      </c>
      <c r="K67" s="696"/>
      <c r="L67" s="696"/>
      <c r="M67" s="705"/>
      <c r="N67" s="797"/>
      <c r="O67" s="798"/>
      <c r="P67" s="696"/>
      <c r="Q67" s="705"/>
      <c r="R67" s="696"/>
      <c r="U67" s="705"/>
      <c r="X67" s="177"/>
    </row>
    <row r="68" spans="1:25" x14ac:dyDescent="0.25">
      <c r="A68" s="168"/>
      <c r="B68" s="176" t="s">
        <v>755</v>
      </c>
      <c r="C68" s="42" t="s">
        <v>819</v>
      </c>
      <c r="D68" s="800">
        <v>16296</v>
      </c>
      <c r="E68" s="39">
        <f t="shared" si="4"/>
        <v>3.2205533596837942E-2</v>
      </c>
      <c r="F68" s="177">
        <v>3.2205533596837942E-2</v>
      </c>
      <c r="G68" s="41">
        <f t="shared" si="5"/>
        <v>256763.25419762844</v>
      </c>
      <c r="H68" s="46">
        <f t="shared" si="6"/>
        <v>21396.937849802369</v>
      </c>
      <c r="I68" s="492">
        <v>21396.937849802369</v>
      </c>
      <c r="K68" s="696"/>
      <c r="L68" s="696"/>
      <c r="M68" s="705"/>
      <c r="N68" s="797"/>
      <c r="O68" s="798"/>
      <c r="P68" s="696"/>
      <c r="Q68" s="705"/>
      <c r="R68" s="696"/>
      <c r="U68" s="705"/>
      <c r="X68" s="177"/>
    </row>
    <row r="69" spans="1:25" x14ac:dyDescent="0.25">
      <c r="A69" s="168"/>
      <c r="B69" s="176" t="s">
        <v>754</v>
      </c>
      <c r="C69" s="42" t="s">
        <v>820</v>
      </c>
      <c r="D69" s="800">
        <v>22408</v>
      </c>
      <c r="E69" s="39">
        <f t="shared" si="4"/>
        <v>4.4284584980237157E-2</v>
      </c>
      <c r="F69" s="177">
        <v>4.4284584980237157E-2</v>
      </c>
      <c r="G69" s="41">
        <f t="shared" si="5"/>
        <v>353065.23073517787</v>
      </c>
      <c r="H69" s="46">
        <f t="shared" si="6"/>
        <v>29422.102561264823</v>
      </c>
      <c r="I69" s="492">
        <v>29422.102561264823</v>
      </c>
      <c r="K69" s="696"/>
      <c r="L69" s="696"/>
      <c r="M69" s="705"/>
      <c r="N69" s="797"/>
      <c r="O69" s="798"/>
      <c r="P69" s="696"/>
      <c r="Q69" s="705"/>
      <c r="R69" s="696"/>
      <c r="U69" s="705"/>
      <c r="X69" s="177"/>
    </row>
    <row r="70" spans="1:25" x14ac:dyDescent="0.25">
      <c r="A70" s="168"/>
      <c r="B70" s="176" t="s">
        <v>139</v>
      </c>
      <c r="C70" s="42"/>
      <c r="D70" s="46">
        <v>31000</v>
      </c>
      <c r="E70" s="39">
        <f t="shared" si="4"/>
        <v>6.1264822134387352E-2</v>
      </c>
      <c r="F70" s="177">
        <v>6.1264822134387352E-2</v>
      </c>
      <c r="G70" s="41">
        <f t="shared" si="5"/>
        <v>488442.61660079053</v>
      </c>
      <c r="H70" s="46">
        <f t="shared" si="6"/>
        <v>40703.551383399208</v>
      </c>
      <c r="I70" s="492">
        <v>40703.551383399208</v>
      </c>
      <c r="K70" s="696"/>
      <c r="L70" s="696"/>
      <c r="M70" s="705"/>
      <c r="N70" s="797"/>
      <c r="O70" s="798"/>
      <c r="P70" s="696"/>
      <c r="Q70" s="705"/>
      <c r="R70" s="696"/>
      <c r="U70" s="705"/>
      <c r="X70" s="177"/>
    </row>
    <row r="71" spans="1:25" x14ac:dyDescent="0.25">
      <c r="A71" s="168"/>
      <c r="B71" s="176" t="s">
        <v>141</v>
      </c>
      <c r="C71" s="42"/>
      <c r="D71" s="46">
        <v>43000</v>
      </c>
      <c r="E71" s="39">
        <f t="shared" si="4"/>
        <v>8.4980237154150193E-2</v>
      </c>
      <c r="F71" s="177">
        <v>8.4980237154150193E-2</v>
      </c>
      <c r="G71" s="41">
        <f t="shared" si="5"/>
        <v>677517.17786561255</v>
      </c>
      <c r="H71" s="46">
        <f t="shared" si="6"/>
        <v>56459.764822134377</v>
      </c>
      <c r="I71" s="492">
        <v>56459.764822134377</v>
      </c>
      <c r="K71" s="696"/>
      <c r="L71" s="696"/>
      <c r="M71" s="705"/>
      <c r="N71" s="797"/>
      <c r="O71" s="798"/>
      <c r="P71" s="696"/>
      <c r="Q71" s="705"/>
      <c r="R71" s="696"/>
      <c r="U71" s="705"/>
      <c r="X71" s="177"/>
    </row>
    <row r="72" spans="1:25" x14ac:dyDescent="0.25">
      <c r="A72" s="168"/>
      <c r="B72" s="176" t="s">
        <v>142</v>
      </c>
      <c r="C72" s="42"/>
      <c r="D72" s="46">
        <v>17000</v>
      </c>
      <c r="E72" s="39">
        <f t="shared" si="4"/>
        <v>3.3596837944664032E-2</v>
      </c>
      <c r="F72" s="177">
        <v>3.3596837944664032E-2</v>
      </c>
      <c r="G72" s="41">
        <f t="shared" si="5"/>
        <v>267855.62845849805</v>
      </c>
      <c r="H72" s="46">
        <f t="shared" si="6"/>
        <v>22321.302371541504</v>
      </c>
      <c r="I72" s="492">
        <v>22321.302371541504</v>
      </c>
      <c r="K72" s="696"/>
      <c r="L72" s="696"/>
      <c r="M72" s="705"/>
      <c r="N72" s="797"/>
      <c r="O72" s="798"/>
      <c r="P72" s="696"/>
      <c r="Q72" s="705"/>
      <c r="R72" s="696"/>
      <c r="U72" s="705"/>
      <c r="X72" s="177"/>
    </row>
    <row r="73" spans="1:25" x14ac:dyDescent="0.25">
      <c r="A73" s="168"/>
      <c r="B73" s="176" t="s">
        <v>144</v>
      </c>
      <c r="C73" s="42"/>
      <c r="D73" s="46">
        <v>47000</v>
      </c>
      <c r="E73" s="39">
        <f t="shared" si="4"/>
        <v>9.2885375494071151E-2</v>
      </c>
      <c r="F73" s="177">
        <v>9.2885375494071151E-2</v>
      </c>
      <c r="G73" s="41">
        <f t="shared" si="5"/>
        <v>740542.03162055335</v>
      </c>
      <c r="H73" s="46">
        <f t="shared" si="6"/>
        <v>61711.835968379448</v>
      </c>
      <c r="I73" s="492">
        <v>61711.835968379448</v>
      </c>
      <c r="K73" s="696"/>
      <c r="L73" s="696"/>
      <c r="M73" s="705"/>
      <c r="N73" s="797"/>
      <c r="O73" s="798"/>
      <c r="P73" s="696"/>
      <c r="Q73" s="705"/>
      <c r="R73" s="696"/>
      <c r="U73" s="705"/>
      <c r="W73" s="730"/>
      <c r="X73" s="177"/>
    </row>
    <row r="74" spans="1:25" x14ac:dyDescent="0.25">
      <c r="A74" s="168"/>
      <c r="B74" s="115" t="s">
        <v>821</v>
      </c>
      <c r="C74" s="42"/>
      <c r="D74" s="46"/>
      <c r="E74" s="39">
        <f t="shared" si="4"/>
        <v>0</v>
      </c>
      <c r="F74" s="177">
        <v>0</v>
      </c>
      <c r="G74" s="41">
        <f t="shared" si="5"/>
        <v>0</v>
      </c>
      <c r="H74" s="46">
        <f t="shared" si="6"/>
        <v>0</v>
      </c>
      <c r="I74" s="492">
        <v>0</v>
      </c>
      <c r="J74" s="801"/>
      <c r="K74" s="802"/>
      <c r="L74" s="802"/>
      <c r="M74" s="705"/>
      <c r="N74" s="797"/>
      <c r="O74" s="803"/>
      <c r="P74" s="802"/>
      <c r="Q74" s="705"/>
      <c r="R74" s="696"/>
      <c r="U74" s="705"/>
      <c r="X74" s="177"/>
    </row>
    <row r="75" spans="1:25" x14ac:dyDescent="0.25">
      <c r="A75" s="168"/>
      <c r="B75" s="176" t="s">
        <v>203</v>
      </c>
      <c r="C75" s="42"/>
      <c r="D75" s="46">
        <v>75000</v>
      </c>
      <c r="E75" s="39">
        <f t="shared" si="4"/>
        <v>0.14822134387351779</v>
      </c>
      <c r="F75" s="177">
        <v>0.14822134387351779</v>
      </c>
      <c r="G75" s="41">
        <f t="shared" si="5"/>
        <v>1181716.0079051384</v>
      </c>
      <c r="H75" s="46">
        <f t="shared" si="6"/>
        <v>98476.333992094864</v>
      </c>
      <c r="I75" s="492">
        <v>98476.333992094864</v>
      </c>
      <c r="K75" s="696"/>
      <c r="L75" s="696"/>
      <c r="M75" s="705"/>
      <c r="N75" s="797"/>
      <c r="O75" s="798"/>
      <c r="P75" s="696"/>
      <c r="Q75" s="705"/>
      <c r="R75" s="696"/>
      <c r="U75" s="705"/>
      <c r="X75" s="177"/>
    </row>
    <row r="76" spans="1:25" x14ac:dyDescent="0.25">
      <c r="A76" s="168"/>
      <c r="B76" s="767" t="s">
        <v>146</v>
      </c>
      <c r="C76" s="42"/>
      <c r="D76" s="46">
        <v>14000</v>
      </c>
      <c r="E76" s="39">
        <f t="shared" si="4"/>
        <v>2.766798418972332E-2</v>
      </c>
      <c r="F76" s="177">
        <v>2.766798418972332E-2</v>
      </c>
      <c r="G76" s="41">
        <f t="shared" si="5"/>
        <v>220586.98814229248</v>
      </c>
      <c r="H76" s="46">
        <f t="shared" si="6"/>
        <v>18382.249011857708</v>
      </c>
      <c r="I76" s="492">
        <v>18382.249011857708</v>
      </c>
      <c r="K76" s="696"/>
      <c r="L76" s="696"/>
      <c r="M76" s="705"/>
      <c r="N76" s="797"/>
      <c r="O76" s="798"/>
      <c r="P76" s="696"/>
      <c r="Q76" s="705"/>
      <c r="R76" s="696"/>
      <c r="U76" s="705"/>
      <c r="W76" s="519"/>
      <c r="X76" s="177"/>
      <c r="Y76" s="168"/>
    </row>
    <row r="77" spans="1:25" ht="16.5" thickBot="1" x14ac:dyDescent="0.3">
      <c r="A77" s="168"/>
      <c r="B77" s="767" t="s">
        <v>147</v>
      </c>
      <c r="C77" s="42"/>
      <c r="D77" s="46">
        <v>10000</v>
      </c>
      <c r="E77" s="39">
        <f t="shared" si="4"/>
        <v>1.9762845849802372E-2</v>
      </c>
      <c r="F77" s="177">
        <v>1.9762845849802372E-2</v>
      </c>
      <c r="G77" s="41">
        <f t="shared" si="5"/>
        <v>157562.13438735178</v>
      </c>
      <c r="H77" s="46">
        <f t="shared" si="6"/>
        <v>13130.177865612648</v>
      </c>
      <c r="I77" s="492">
        <v>13130.177865612648</v>
      </c>
      <c r="K77" s="696"/>
      <c r="L77" s="696"/>
      <c r="M77" s="705"/>
      <c r="N77" s="797"/>
      <c r="O77" s="798"/>
      <c r="P77" s="696"/>
      <c r="Q77" s="705"/>
      <c r="R77" s="696"/>
      <c r="U77" s="705"/>
      <c r="W77" s="519"/>
      <c r="X77" s="177"/>
      <c r="Y77" s="168"/>
    </row>
    <row r="78" spans="1:25" ht="16.5" thickBot="1" x14ac:dyDescent="0.3">
      <c r="A78" s="168"/>
      <c r="B78" s="789" t="s">
        <v>822</v>
      </c>
      <c r="C78" s="790"/>
      <c r="D78" s="738">
        <f>SUM(D60:D77)</f>
        <v>506000</v>
      </c>
      <c r="E78" s="790"/>
      <c r="F78" s="795"/>
      <c r="G78" s="631">
        <f>SUM(G60:G77)</f>
        <v>7972644</v>
      </c>
      <c r="H78" s="740">
        <f t="shared" si="6"/>
        <v>664387</v>
      </c>
      <c r="I78" s="741"/>
      <c r="J78" s="741"/>
      <c r="K78" s="742"/>
      <c r="L78" s="742"/>
      <c r="M78" s="743"/>
      <c r="N78" s="792"/>
      <c r="O78" s="793"/>
      <c r="P78" s="742"/>
      <c r="Q78" s="743"/>
      <c r="R78" s="742"/>
      <c r="S78" s="794"/>
      <c r="T78" s="794"/>
      <c r="U78" s="743"/>
      <c r="V78" s="790"/>
      <c r="W78" s="790"/>
      <c r="X78" s="177"/>
      <c r="Y78" s="168"/>
    </row>
    <row r="79" spans="1:25" ht="16.5" thickBot="1" x14ac:dyDescent="0.3">
      <c r="A79" s="168"/>
      <c r="B79" s="42"/>
      <c r="C79" s="42"/>
      <c r="D79" s="42"/>
      <c r="E79" s="42"/>
      <c r="F79" s="174"/>
      <c r="G79" s="47"/>
      <c r="H79" s="46"/>
      <c r="I79" s="492"/>
      <c r="M79" s="4"/>
      <c r="N79" s="4"/>
      <c r="R79" s="804" t="s">
        <v>823</v>
      </c>
      <c r="X79" s="177"/>
      <c r="Y79" s="168"/>
    </row>
    <row r="80" spans="1:25" ht="16.5" thickBot="1" x14ac:dyDescent="0.3">
      <c r="A80" s="168"/>
      <c r="M80" s="4"/>
      <c r="N80" s="4"/>
      <c r="X80" s="177"/>
      <c r="Y80" s="168"/>
    </row>
    <row r="81" spans="1:25" ht="16.5" thickBot="1" x14ac:dyDescent="0.3">
      <c r="A81" s="168"/>
      <c r="B81" s="805"/>
      <c r="C81" s="170"/>
      <c r="D81" s="170"/>
      <c r="E81" s="170"/>
      <c r="F81" s="170"/>
      <c r="G81" s="81"/>
      <c r="H81" s="40"/>
      <c r="I81" s="762"/>
      <c r="J81" s="34" t="s">
        <v>824</v>
      </c>
      <c r="K81" s="935" t="s">
        <v>825</v>
      </c>
      <c r="L81" s="806"/>
      <c r="M81" s="26" t="s">
        <v>824</v>
      </c>
      <c r="N81" s="271"/>
      <c r="O81" s="765" t="s">
        <v>66</v>
      </c>
      <c r="P81" s="26" t="s">
        <v>824</v>
      </c>
      <c r="Q81" s="26" t="s">
        <v>824</v>
      </c>
      <c r="R81" s="764" t="s">
        <v>824</v>
      </c>
      <c r="S81" s="40"/>
      <c r="T81" s="40"/>
      <c r="U81" s="26" t="s">
        <v>824</v>
      </c>
      <c r="V81" s="766" t="s">
        <v>826</v>
      </c>
      <c r="X81" s="177"/>
      <c r="Y81" s="168"/>
    </row>
    <row r="82" spans="1:25" ht="16.5" thickBot="1" x14ac:dyDescent="0.3">
      <c r="B82" s="767" t="s">
        <v>85</v>
      </c>
      <c r="C82" s="39" t="s">
        <v>86</v>
      </c>
      <c r="D82" s="39"/>
      <c r="E82" s="39"/>
      <c r="F82" s="39"/>
      <c r="G82" s="41"/>
      <c r="H82" s="41" t="s">
        <v>803</v>
      </c>
      <c r="I82" s="741" t="s">
        <v>827</v>
      </c>
      <c r="J82" s="29" t="s">
        <v>828</v>
      </c>
      <c r="K82" s="936"/>
      <c r="L82" s="807"/>
      <c r="M82" s="22" t="s">
        <v>829</v>
      </c>
      <c r="N82" s="60"/>
      <c r="O82" s="808">
        <v>2015</v>
      </c>
      <c r="P82" s="22" t="s">
        <v>830</v>
      </c>
      <c r="Q82" s="22" t="s">
        <v>829</v>
      </c>
      <c r="R82" s="773" t="s">
        <v>828</v>
      </c>
      <c r="S82" s="41" t="s">
        <v>831</v>
      </c>
      <c r="T82" s="41"/>
      <c r="U82" s="22" t="s">
        <v>829</v>
      </c>
      <c r="V82" s="13">
        <v>2012</v>
      </c>
      <c r="X82" s="177"/>
      <c r="Y82" s="168"/>
    </row>
    <row r="83" spans="1:25" ht="16.5" thickBot="1" x14ac:dyDescent="0.3">
      <c r="B83" s="774"/>
      <c r="C83" s="101"/>
      <c r="D83" s="101"/>
      <c r="E83" s="101"/>
      <c r="F83" s="101"/>
      <c r="G83" s="101"/>
      <c r="H83" s="45"/>
      <c r="I83" s="775"/>
      <c r="J83" s="63" t="s">
        <v>832</v>
      </c>
      <c r="K83" s="937"/>
      <c r="L83" s="809"/>
      <c r="M83" s="44" t="s">
        <v>833</v>
      </c>
      <c r="N83" s="59"/>
      <c r="O83" s="778" t="s">
        <v>834</v>
      </c>
      <c r="P83" s="44" t="s">
        <v>833</v>
      </c>
      <c r="Q83" s="44" t="s">
        <v>833</v>
      </c>
      <c r="R83" s="777" t="s">
        <v>833</v>
      </c>
      <c r="S83" s="45"/>
      <c r="T83" s="45"/>
      <c r="U83" s="44" t="s">
        <v>833</v>
      </c>
      <c r="V83" s="779" t="s">
        <v>835</v>
      </c>
      <c r="X83" s="177"/>
      <c r="Y83" s="168"/>
    </row>
    <row r="84" spans="1:25" x14ac:dyDescent="0.25">
      <c r="A84" s="628"/>
      <c r="B84" s="176" t="s">
        <v>836</v>
      </c>
      <c r="C84" s="47" t="s">
        <v>152</v>
      </c>
      <c r="D84" s="47"/>
      <c r="E84" s="47"/>
      <c r="F84" s="47" t="s">
        <v>711</v>
      </c>
      <c r="G84" s="47"/>
      <c r="H84" s="810">
        <v>109000</v>
      </c>
      <c r="J84" s="4">
        <v>1400505</v>
      </c>
      <c r="K84" s="705"/>
      <c r="L84" s="705"/>
      <c r="M84" s="705">
        <v>188825</v>
      </c>
      <c r="N84" s="797"/>
      <c r="O84" s="797">
        <v>235678</v>
      </c>
      <c r="P84" s="705"/>
      <c r="Q84" s="705">
        <v>188825</v>
      </c>
      <c r="R84" s="696">
        <f t="shared" ref="R84:R91" si="7">(J84/7.48)</f>
        <v>187233.28877005348</v>
      </c>
      <c r="S84" s="811" t="s">
        <v>837</v>
      </c>
      <c r="T84" s="811"/>
      <c r="U84" s="705">
        <v>188825</v>
      </c>
      <c r="V84" s="695">
        <v>3837</v>
      </c>
      <c r="X84" s="177"/>
      <c r="Y84" s="168"/>
    </row>
    <row r="85" spans="1:25" x14ac:dyDescent="0.25">
      <c r="A85" s="628"/>
      <c r="B85" s="812" t="s">
        <v>160</v>
      </c>
      <c r="C85" s="47" t="s">
        <v>161</v>
      </c>
      <c r="D85" s="47"/>
      <c r="E85" s="47"/>
      <c r="F85" s="47" t="s">
        <v>838</v>
      </c>
      <c r="G85" s="47"/>
      <c r="H85" s="42"/>
      <c r="J85" s="4">
        <v>1646515</v>
      </c>
      <c r="K85" s="705"/>
      <c r="L85" s="705"/>
      <c r="M85" s="705"/>
      <c r="N85" s="797"/>
      <c r="O85" s="797">
        <v>2400</v>
      </c>
      <c r="P85" s="705"/>
      <c r="Q85" s="705"/>
      <c r="R85" s="696">
        <f t="shared" si="7"/>
        <v>220122.32620320853</v>
      </c>
      <c r="S85" s="811" t="s">
        <v>839</v>
      </c>
      <c r="T85" s="811"/>
      <c r="U85" s="705"/>
      <c r="V85" s="785">
        <v>4511</v>
      </c>
      <c r="X85" s="177"/>
      <c r="Y85" s="168"/>
    </row>
    <row r="86" spans="1:25" x14ac:dyDescent="0.25">
      <c r="A86" s="628"/>
      <c r="B86" s="812"/>
      <c r="C86" s="47" t="s">
        <v>840</v>
      </c>
      <c r="D86" s="47"/>
      <c r="E86" s="47"/>
      <c r="F86" s="47" t="s">
        <v>841</v>
      </c>
      <c r="G86" s="47"/>
      <c r="H86" s="42"/>
      <c r="J86" s="4"/>
      <c r="K86" s="705"/>
      <c r="L86" s="705"/>
      <c r="M86" s="705"/>
      <c r="N86" s="797"/>
      <c r="O86" s="797"/>
      <c r="P86" s="705"/>
      <c r="Q86" s="705"/>
      <c r="R86" s="696"/>
      <c r="S86" s="811"/>
      <c r="T86" s="811"/>
      <c r="U86" s="705"/>
      <c r="V86" s="785"/>
      <c r="X86" s="177"/>
      <c r="Y86" s="168"/>
    </row>
    <row r="87" spans="1:25" x14ac:dyDescent="0.25">
      <c r="A87" s="168"/>
      <c r="B87" s="812" t="s">
        <v>169</v>
      </c>
      <c r="C87" s="168" t="s">
        <v>842</v>
      </c>
      <c r="F87" s="47" t="s">
        <v>723</v>
      </c>
      <c r="G87" s="47"/>
      <c r="H87" s="42"/>
      <c r="J87" s="4">
        <v>767960</v>
      </c>
      <c r="K87" s="705"/>
      <c r="L87" s="705"/>
      <c r="M87" s="705">
        <v>33500</v>
      </c>
      <c r="N87" s="797"/>
      <c r="O87" s="797">
        <v>25350</v>
      </c>
      <c r="P87" s="705"/>
      <c r="Q87" s="705">
        <v>33500</v>
      </c>
      <c r="R87" s="696">
        <f t="shared" si="7"/>
        <v>102668.44919786096</v>
      </c>
      <c r="S87" s="811" t="s">
        <v>843</v>
      </c>
      <c r="T87" s="811"/>
      <c r="U87" s="705">
        <v>33500</v>
      </c>
      <c r="V87" s="785">
        <v>2104</v>
      </c>
      <c r="X87" s="177"/>
      <c r="Y87" s="168"/>
    </row>
    <row r="88" spans="1:25" x14ac:dyDescent="0.25">
      <c r="A88" s="168"/>
      <c r="B88" s="812"/>
      <c r="C88" s="47" t="s">
        <v>170</v>
      </c>
      <c r="D88" s="47"/>
      <c r="E88" s="47"/>
      <c r="F88" s="47" t="s">
        <v>711</v>
      </c>
      <c r="G88" s="47"/>
      <c r="H88" s="42"/>
      <c r="J88" s="4"/>
      <c r="K88" s="705"/>
      <c r="L88" s="705"/>
      <c r="M88" s="705"/>
      <c r="N88" s="797"/>
      <c r="O88" s="797"/>
      <c r="P88" s="705"/>
      <c r="Q88" s="705"/>
      <c r="R88" s="696"/>
      <c r="S88" s="811"/>
      <c r="T88" s="811"/>
      <c r="U88" s="705"/>
      <c r="V88" s="785"/>
      <c r="X88" s="177"/>
      <c r="Y88" s="168"/>
    </row>
    <row r="89" spans="1:25" x14ac:dyDescent="0.25">
      <c r="A89" s="628"/>
      <c r="B89" s="176" t="s">
        <v>138</v>
      </c>
      <c r="C89" s="168" t="s">
        <v>763</v>
      </c>
      <c r="F89" s="168" t="s">
        <v>844</v>
      </c>
      <c r="H89" s="46">
        <v>28000</v>
      </c>
      <c r="I89" s="491">
        <v>2</v>
      </c>
      <c r="J89" s="492">
        <f>SUM(H89*I89)</f>
        <v>56000</v>
      </c>
      <c r="K89" s="696"/>
      <c r="L89" s="696"/>
      <c r="M89" s="705">
        <v>36358</v>
      </c>
      <c r="N89" s="797"/>
      <c r="O89" s="798">
        <v>35000</v>
      </c>
      <c r="P89" s="696"/>
      <c r="Q89" s="705">
        <v>36358</v>
      </c>
      <c r="R89" s="696">
        <f t="shared" si="7"/>
        <v>7486.6310160427802</v>
      </c>
      <c r="S89" s="811" t="s">
        <v>845</v>
      </c>
      <c r="T89" s="811"/>
      <c r="U89" s="705">
        <v>36358</v>
      </c>
      <c r="V89" s="695"/>
      <c r="W89" s="4"/>
      <c r="X89" s="177"/>
      <c r="Y89" s="168"/>
    </row>
    <row r="90" spans="1:25" x14ac:dyDescent="0.25">
      <c r="A90" s="628"/>
      <c r="B90" s="115" t="s">
        <v>846</v>
      </c>
      <c r="C90" s="813" t="s">
        <v>716</v>
      </c>
      <c r="D90" s="813"/>
      <c r="E90" s="813"/>
      <c r="F90" s="813" t="s">
        <v>847</v>
      </c>
      <c r="G90" s="4"/>
      <c r="H90" s="46">
        <v>26000</v>
      </c>
      <c r="I90" s="492">
        <v>2</v>
      </c>
      <c r="J90" s="492">
        <f>SUM(H90*I90)</f>
        <v>52000</v>
      </c>
      <c r="K90" s="696"/>
      <c r="L90" s="696"/>
      <c r="M90" s="705"/>
      <c r="N90" s="797"/>
      <c r="O90" s="798"/>
      <c r="P90" s="696"/>
      <c r="Q90" s="705"/>
      <c r="R90" s="696">
        <f t="shared" si="7"/>
        <v>6951.8716577540099</v>
      </c>
      <c r="U90" s="705"/>
      <c r="V90" s="695"/>
      <c r="W90" s="4"/>
      <c r="X90" s="177"/>
      <c r="Y90" s="168"/>
    </row>
    <row r="91" spans="1:25" x14ac:dyDescent="0.25">
      <c r="B91" s="176" t="s">
        <v>848</v>
      </c>
      <c r="C91" s="42" t="s">
        <v>174</v>
      </c>
      <c r="D91" s="42"/>
      <c r="E91" s="42"/>
      <c r="F91" s="42"/>
      <c r="G91" s="47"/>
      <c r="H91" s="46">
        <v>59000</v>
      </c>
      <c r="I91" s="492">
        <v>35</v>
      </c>
      <c r="J91" s="492">
        <f>SUM(H91*I91)</f>
        <v>2065000</v>
      </c>
      <c r="K91" s="696"/>
      <c r="L91" s="696"/>
      <c r="M91" s="705">
        <v>275075</v>
      </c>
      <c r="N91" s="797"/>
      <c r="O91" s="798">
        <v>275000</v>
      </c>
      <c r="P91" s="696"/>
      <c r="Q91" s="705">
        <v>275075</v>
      </c>
      <c r="R91" s="696">
        <f t="shared" si="7"/>
        <v>276069.5187165775</v>
      </c>
      <c r="S91" s="519" t="s">
        <v>849</v>
      </c>
      <c r="U91" s="705">
        <v>275075</v>
      </c>
      <c r="W91" s="519"/>
      <c r="X91" s="177"/>
      <c r="Y91" s="168"/>
    </row>
    <row r="92" spans="1:25" x14ac:dyDescent="0.25">
      <c r="B92" s="176"/>
      <c r="C92" s="42"/>
      <c r="D92" s="42"/>
      <c r="E92" s="42"/>
      <c r="F92" s="42"/>
      <c r="G92" s="47"/>
      <c r="H92" s="42"/>
      <c r="I92" s="492"/>
      <c r="K92" s="696"/>
      <c r="L92" s="696"/>
      <c r="M92" s="705" t="s">
        <v>850</v>
      </c>
      <c r="N92" s="797"/>
      <c r="O92" s="798"/>
      <c r="P92" s="696"/>
      <c r="Q92" s="705" t="s">
        <v>850</v>
      </c>
      <c r="R92" s="696"/>
      <c r="S92" s="519" t="s">
        <v>509</v>
      </c>
      <c r="U92" s="705" t="s">
        <v>850</v>
      </c>
      <c r="X92" s="177"/>
      <c r="Y92" s="168"/>
    </row>
    <row r="93" spans="1:25" x14ac:dyDescent="0.25">
      <c r="B93" s="176" t="s">
        <v>143</v>
      </c>
      <c r="C93" s="42"/>
      <c r="D93" s="42"/>
      <c r="E93" s="42"/>
      <c r="F93" s="42"/>
      <c r="G93" s="47"/>
      <c r="H93" s="46">
        <v>44000</v>
      </c>
      <c r="I93" s="492">
        <v>2</v>
      </c>
      <c r="J93" s="492">
        <f>SUM(H93*I93)</f>
        <v>88000</v>
      </c>
      <c r="K93" s="696"/>
      <c r="L93" s="696"/>
      <c r="M93" s="705">
        <v>11750</v>
      </c>
      <c r="N93" s="797"/>
      <c r="O93" s="798">
        <v>11500</v>
      </c>
      <c r="P93" s="696"/>
      <c r="Q93" s="705">
        <v>11750</v>
      </c>
      <c r="R93" s="696">
        <f>(J93/7.48)</f>
        <v>11764.705882352941</v>
      </c>
      <c r="S93" s="519" t="s">
        <v>851</v>
      </c>
      <c r="U93" s="705">
        <v>11750</v>
      </c>
      <c r="X93" s="177"/>
      <c r="Y93" s="168"/>
    </row>
    <row r="94" spans="1:25" x14ac:dyDescent="0.25">
      <c r="B94" s="176"/>
      <c r="C94" s="42"/>
      <c r="D94" s="42"/>
      <c r="E94" s="42"/>
      <c r="F94" s="42"/>
      <c r="G94" s="47"/>
      <c r="H94" s="46"/>
      <c r="I94" s="492"/>
      <c r="K94" s="696"/>
      <c r="L94" s="696"/>
      <c r="M94" s="705" t="s">
        <v>850</v>
      </c>
      <c r="N94" s="797"/>
      <c r="O94" s="798"/>
      <c r="P94" s="696"/>
      <c r="Q94" s="705" t="s">
        <v>850</v>
      </c>
      <c r="R94" s="696"/>
      <c r="S94" s="519" t="s">
        <v>509</v>
      </c>
      <c r="U94" s="705" t="s">
        <v>850</v>
      </c>
      <c r="X94" s="177"/>
      <c r="Y94" s="168"/>
    </row>
    <row r="95" spans="1:25" x14ac:dyDescent="0.25">
      <c r="A95" s="168"/>
      <c r="B95" s="812" t="s">
        <v>177</v>
      </c>
      <c r="C95" s="47" t="s">
        <v>177</v>
      </c>
      <c r="D95" s="47"/>
      <c r="E95" s="47"/>
      <c r="F95" s="47" t="s">
        <v>852</v>
      </c>
      <c r="G95" s="47"/>
      <c r="H95" s="47">
        <v>2500</v>
      </c>
      <c r="I95" s="492">
        <v>1</v>
      </c>
      <c r="J95" s="492">
        <f>SUM(H95*I95)</f>
        <v>2500</v>
      </c>
      <c r="K95" s="696"/>
      <c r="L95" s="696"/>
      <c r="M95" s="814"/>
      <c r="N95" s="815"/>
      <c r="O95" s="798"/>
      <c r="P95" s="696"/>
      <c r="Q95" s="814"/>
      <c r="R95" s="696">
        <f>(J95/7.48)</f>
        <v>334.22459893048125</v>
      </c>
      <c r="S95" s="168"/>
      <c r="T95" s="168"/>
      <c r="U95" s="814"/>
      <c r="V95" s="785"/>
      <c r="W95" s="4"/>
      <c r="X95" s="177"/>
      <c r="Y95" s="168"/>
    </row>
    <row r="96" spans="1:25" x14ac:dyDescent="0.25">
      <c r="A96" s="168"/>
      <c r="B96" s="812" t="s">
        <v>180</v>
      </c>
      <c r="C96" s="662" t="s">
        <v>853</v>
      </c>
      <c r="D96" s="662"/>
      <c r="E96" s="662"/>
      <c r="F96" s="662" t="s">
        <v>854</v>
      </c>
      <c r="G96" s="47"/>
      <c r="H96" s="730">
        <v>100000</v>
      </c>
      <c r="I96" s="491">
        <v>3</v>
      </c>
      <c r="J96" s="492">
        <f>SUM(H96*I96)</f>
        <v>300000</v>
      </c>
      <c r="K96" s="696"/>
      <c r="L96" s="696"/>
      <c r="M96" s="705">
        <v>40100</v>
      </c>
      <c r="N96" s="797"/>
      <c r="O96" s="798">
        <v>40000</v>
      </c>
      <c r="P96" s="696"/>
      <c r="Q96" s="705">
        <v>40100</v>
      </c>
      <c r="R96" s="696">
        <f>(J96/7.48)</f>
        <v>40106.951871657751</v>
      </c>
      <c r="S96" s="811" t="s">
        <v>855</v>
      </c>
      <c r="T96" s="811"/>
      <c r="U96" s="705">
        <v>40100</v>
      </c>
      <c r="V96" s="785"/>
      <c r="W96" s="4"/>
      <c r="X96" s="177"/>
      <c r="Y96" s="168"/>
    </row>
    <row r="97" spans="1:25" x14ac:dyDescent="0.25">
      <c r="A97" s="168"/>
      <c r="B97" s="115"/>
      <c r="C97" s="662"/>
      <c r="D97" s="662"/>
      <c r="E97" s="662"/>
      <c r="F97" s="662"/>
      <c r="G97" s="47"/>
      <c r="H97" s="42"/>
      <c r="I97" s="492"/>
      <c r="K97" s="696"/>
      <c r="L97" s="696"/>
      <c r="M97" s="816" t="s">
        <v>856</v>
      </c>
      <c r="N97" s="817"/>
      <c r="O97" s="798"/>
      <c r="P97" s="696"/>
      <c r="Q97" s="816" t="s">
        <v>856</v>
      </c>
      <c r="R97" s="696"/>
      <c r="S97" s="47" t="s">
        <v>509</v>
      </c>
      <c r="T97" s="47"/>
      <c r="U97" s="816" t="s">
        <v>856</v>
      </c>
      <c r="V97" s="785"/>
      <c r="W97" s="4"/>
      <c r="X97" s="177"/>
      <c r="Y97" s="168"/>
    </row>
    <row r="98" spans="1:25" x14ac:dyDescent="0.25">
      <c r="B98" s="812" t="s">
        <v>184</v>
      </c>
      <c r="C98" s="47" t="s">
        <v>185</v>
      </c>
      <c r="D98" s="47"/>
      <c r="E98" s="47"/>
      <c r="F98" s="47" t="s">
        <v>857</v>
      </c>
      <c r="G98" s="47"/>
      <c r="H98" s="46">
        <v>16000</v>
      </c>
      <c r="I98" s="492">
        <v>2</v>
      </c>
      <c r="J98" s="492">
        <f>SUM(H98*I98)</f>
        <v>32000</v>
      </c>
      <c r="K98" s="696"/>
      <c r="L98" s="696"/>
      <c r="M98" s="705"/>
      <c r="N98" s="797"/>
      <c r="O98" s="798">
        <v>62550</v>
      </c>
      <c r="P98" s="696"/>
      <c r="Q98" s="705"/>
      <c r="R98" s="696">
        <f>(J98/7.48)</f>
        <v>4278.0748663101604</v>
      </c>
      <c r="U98" s="705"/>
      <c r="W98" s="730"/>
      <c r="X98" s="177"/>
      <c r="Y98" s="168"/>
    </row>
    <row r="99" spans="1:25" x14ac:dyDescent="0.25">
      <c r="B99" s="812"/>
      <c r="C99" s="47"/>
      <c r="D99" s="47"/>
      <c r="E99" s="47"/>
      <c r="F99" s="47"/>
      <c r="G99" s="47"/>
      <c r="H99" s="46"/>
      <c r="I99" s="492"/>
      <c r="K99" s="696"/>
      <c r="L99" s="696"/>
      <c r="M99" s="705"/>
      <c r="N99" s="797"/>
      <c r="O99" s="798"/>
      <c r="P99" s="696"/>
      <c r="Q99" s="705"/>
      <c r="R99" s="696"/>
      <c r="S99" s="519" t="s">
        <v>509</v>
      </c>
      <c r="U99" s="705"/>
      <c r="X99" s="177"/>
      <c r="Y99" s="168"/>
    </row>
    <row r="100" spans="1:25" x14ac:dyDescent="0.25">
      <c r="A100" s="168"/>
      <c r="B100" s="812" t="s">
        <v>192</v>
      </c>
      <c r="C100" s="47" t="s">
        <v>189</v>
      </c>
      <c r="D100" s="47"/>
      <c r="E100" s="47"/>
      <c r="F100" s="47" t="s">
        <v>858</v>
      </c>
      <c r="G100" s="47"/>
      <c r="H100" s="42"/>
      <c r="J100" s="4">
        <v>1082590</v>
      </c>
      <c r="K100" s="705"/>
      <c r="L100" s="705"/>
      <c r="M100" s="705">
        <v>60860</v>
      </c>
      <c r="N100" s="797"/>
      <c r="O100" s="797">
        <v>116550</v>
      </c>
      <c r="P100" s="705"/>
      <c r="Q100" s="705">
        <v>60860</v>
      </c>
      <c r="R100" s="696">
        <f>(J100/7.48)</f>
        <v>144731.28342245988</v>
      </c>
      <c r="S100" s="811" t="s">
        <v>859</v>
      </c>
      <c r="T100" s="811"/>
      <c r="U100" s="705">
        <v>60860</v>
      </c>
      <c r="V100" s="785"/>
      <c r="W100" s="4"/>
      <c r="X100" s="177"/>
      <c r="Y100" s="168"/>
    </row>
    <row r="101" spans="1:25" x14ac:dyDescent="0.25">
      <c r="A101" s="168"/>
      <c r="B101" s="812"/>
      <c r="C101" s="47" t="s">
        <v>189</v>
      </c>
      <c r="D101" s="47"/>
      <c r="E101" s="47"/>
      <c r="F101" s="47" t="s">
        <v>858</v>
      </c>
      <c r="G101" s="47"/>
      <c r="H101" s="42"/>
      <c r="I101" s="492"/>
      <c r="K101" s="696"/>
      <c r="L101" s="696"/>
      <c r="M101" s="818"/>
      <c r="N101" s="819"/>
      <c r="O101" s="798"/>
      <c r="P101" s="696"/>
      <c r="Q101" s="818"/>
      <c r="R101" s="696"/>
      <c r="S101" s="47"/>
      <c r="T101" s="47"/>
      <c r="U101" s="818"/>
      <c r="V101" s="785"/>
      <c r="W101" s="4"/>
      <c r="X101" s="177"/>
      <c r="Y101" s="168"/>
    </row>
    <row r="102" spans="1:25" x14ac:dyDescent="0.25">
      <c r="B102" s="767" t="s">
        <v>196</v>
      </c>
      <c r="C102" s="39" t="s">
        <v>197</v>
      </c>
      <c r="D102" s="39"/>
      <c r="E102" s="39"/>
      <c r="F102" s="39"/>
      <c r="G102" s="41"/>
      <c r="H102" s="46">
        <v>69000</v>
      </c>
      <c r="I102" s="491">
        <v>2</v>
      </c>
      <c r="J102" s="492">
        <f>SUM(H102*I102)</f>
        <v>138000</v>
      </c>
      <c r="K102" s="696"/>
      <c r="L102" s="696"/>
      <c r="M102" s="705">
        <v>18450</v>
      </c>
      <c r="N102" s="797"/>
      <c r="O102" s="798">
        <v>18500</v>
      </c>
      <c r="P102" s="696"/>
      <c r="Q102" s="705">
        <v>18450</v>
      </c>
      <c r="R102" s="696">
        <f>(J102/7.48)</f>
        <v>18449.197860962566</v>
      </c>
      <c r="S102" s="811" t="s">
        <v>860</v>
      </c>
      <c r="T102" s="811"/>
      <c r="U102" s="705">
        <v>18450</v>
      </c>
      <c r="V102" s="39"/>
      <c r="W102" s="730"/>
      <c r="X102" s="177"/>
      <c r="Y102" s="168"/>
    </row>
    <row r="103" spans="1:25" x14ac:dyDescent="0.25">
      <c r="B103" s="729" t="s">
        <v>861</v>
      </c>
      <c r="C103" s="42"/>
      <c r="D103" s="42"/>
      <c r="E103" s="42"/>
      <c r="F103" s="42"/>
      <c r="G103" s="47"/>
      <c r="H103" s="46"/>
      <c r="I103" s="492"/>
      <c r="K103" s="696"/>
      <c r="L103" s="696"/>
      <c r="M103" s="705"/>
      <c r="N103" s="797"/>
      <c r="O103" s="798"/>
      <c r="P103" s="696"/>
      <c r="Q103" s="705"/>
      <c r="R103" s="696"/>
      <c r="S103" s="519" t="s">
        <v>862</v>
      </c>
      <c r="U103" s="705"/>
      <c r="X103" s="177"/>
    </row>
    <row r="104" spans="1:25" x14ac:dyDescent="0.25">
      <c r="B104" s="729"/>
      <c r="C104" s="42"/>
      <c r="D104" s="42"/>
      <c r="E104" s="42"/>
      <c r="F104" s="42"/>
      <c r="G104" s="47"/>
      <c r="H104" s="46"/>
      <c r="I104" s="492"/>
      <c r="K104" s="696"/>
      <c r="L104" s="696"/>
      <c r="M104" s="705"/>
      <c r="N104" s="797"/>
      <c r="O104" s="798"/>
      <c r="P104" s="696"/>
      <c r="Q104" s="705"/>
      <c r="R104" s="696"/>
      <c r="U104" s="705"/>
      <c r="X104" s="177"/>
    </row>
    <row r="105" spans="1:25" x14ac:dyDescent="0.25">
      <c r="B105" s="812" t="s">
        <v>760</v>
      </c>
      <c r="C105" s="47" t="s">
        <v>201</v>
      </c>
      <c r="D105" s="47"/>
      <c r="E105" s="47"/>
      <c r="F105" s="47"/>
      <c r="G105" s="47"/>
      <c r="H105" s="46">
        <v>15000</v>
      </c>
      <c r="I105" s="492">
        <v>1</v>
      </c>
      <c r="J105" s="492">
        <f>SUM(H105*I105)</f>
        <v>15000</v>
      </c>
      <c r="K105" s="705">
        <v>3500</v>
      </c>
      <c r="L105" s="705"/>
      <c r="M105" s="705">
        <v>2001</v>
      </c>
      <c r="N105" s="797"/>
      <c r="O105" s="798">
        <v>2500</v>
      </c>
      <c r="P105" s="696"/>
      <c r="Q105" s="705">
        <v>2001</v>
      </c>
      <c r="R105" s="696">
        <f>(J105/7.48)</f>
        <v>2005.3475935828876</v>
      </c>
      <c r="U105" s="705">
        <v>2001</v>
      </c>
      <c r="W105" s="730"/>
      <c r="X105" s="177"/>
    </row>
    <row r="106" spans="1:25" x14ac:dyDescent="0.25">
      <c r="B106" s="176"/>
      <c r="C106" s="42"/>
      <c r="D106" s="42"/>
      <c r="E106" s="42"/>
      <c r="F106" s="42"/>
      <c r="G106" s="47"/>
      <c r="H106" s="46"/>
      <c r="I106" s="492"/>
      <c r="K106" s="696"/>
      <c r="L106" s="696"/>
      <c r="M106" s="705"/>
      <c r="N106" s="797"/>
      <c r="O106" s="798"/>
      <c r="P106" s="696"/>
      <c r="Q106" s="705"/>
      <c r="R106" s="696"/>
      <c r="S106" s="519" t="s">
        <v>862</v>
      </c>
      <c r="U106" s="705"/>
      <c r="X106" s="177"/>
    </row>
    <row r="107" spans="1:25" x14ac:dyDescent="0.25">
      <c r="B107" s="176"/>
      <c r="C107" s="42"/>
      <c r="D107" s="42"/>
      <c r="E107" s="42"/>
      <c r="F107" s="42"/>
      <c r="G107" s="47"/>
      <c r="H107" s="46"/>
      <c r="I107" s="492"/>
      <c r="K107" s="696"/>
      <c r="L107" s="696"/>
      <c r="M107" s="705"/>
      <c r="N107" s="797"/>
      <c r="O107" s="798"/>
      <c r="P107" s="696"/>
      <c r="Q107" s="705"/>
      <c r="R107" s="696"/>
      <c r="U107" s="705"/>
      <c r="X107" s="177"/>
    </row>
    <row r="108" spans="1:25" x14ac:dyDescent="0.25">
      <c r="B108" s="176" t="s">
        <v>207</v>
      </c>
      <c r="C108" s="39" t="s">
        <v>208</v>
      </c>
      <c r="D108" s="39"/>
      <c r="E108" s="39"/>
      <c r="F108" s="39" t="s">
        <v>863</v>
      </c>
      <c r="G108" s="41"/>
      <c r="H108" s="46">
        <v>114000</v>
      </c>
      <c r="J108" s="4">
        <v>671600</v>
      </c>
      <c r="K108" s="705"/>
      <c r="L108" s="705"/>
      <c r="M108" s="705">
        <v>74600</v>
      </c>
      <c r="N108" s="797"/>
      <c r="O108" s="797">
        <v>71300</v>
      </c>
      <c r="P108" s="705"/>
      <c r="Q108" s="705">
        <v>74600</v>
      </c>
      <c r="R108" s="696">
        <f>(J108/7.48)</f>
        <v>89786.096256684483</v>
      </c>
      <c r="S108" s="811" t="s">
        <v>864</v>
      </c>
      <c r="T108" s="811"/>
      <c r="U108" s="705">
        <v>74600</v>
      </c>
      <c r="V108" s="785">
        <v>1840</v>
      </c>
      <c r="X108" s="177"/>
      <c r="Y108" s="168"/>
    </row>
    <row r="109" spans="1:25" x14ac:dyDescent="0.25">
      <c r="A109" s="628"/>
      <c r="B109" s="115" t="s">
        <v>150</v>
      </c>
      <c r="C109" s="42" t="s">
        <v>865</v>
      </c>
      <c r="D109" s="42"/>
      <c r="E109" s="42"/>
      <c r="F109" s="42" t="s">
        <v>866</v>
      </c>
      <c r="G109" s="47"/>
      <c r="H109" s="730">
        <v>8000</v>
      </c>
      <c r="I109" s="492"/>
      <c r="J109" s="42"/>
      <c r="K109" s="177"/>
      <c r="L109" s="177"/>
      <c r="M109" s="818">
        <v>3080</v>
      </c>
      <c r="N109" s="819"/>
      <c r="O109" s="820">
        <v>2750</v>
      </c>
      <c r="P109" s="177"/>
      <c r="Q109" s="818">
        <v>3080</v>
      </c>
      <c r="R109" s="696"/>
      <c r="S109" s="47"/>
      <c r="T109" s="47"/>
      <c r="U109" s="818">
        <v>3080</v>
      </c>
      <c r="X109" s="177"/>
      <c r="Y109" s="168"/>
    </row>
    <row r="110" spans="1:25" x14ac:dyDescent="0.25">
      <c r="A110" s="168"/>
      <c r="B110" s="812" t="s">
        <v>215</v>
      </c>
      <c r="C110" s="662" t="s">
        <v>867</v>
      </c>
      <c r="D110" s="662"/>
      <c r="E110" s="662"/>
      <c r="F110" s="662" t="s">
        <v>868</v>
      </c>
      <c r="G110" s="47"/>
      <c r="H110" s="42"/>
      <c r="J110" s="4">
        <v>12319389</v>
      </c>
      <c r="K110" s="705"/>
      <c r="L110" s="705"/>
      <c r="M110" s="705">
        <v>1495500</v>
      </c>
      <c r="N110" s="797"/>
      <c r="O110" s="797">
        <v>1694000</v>
      </c>
      <c r="P110" s="705"/>
      <c r="Q110" s="705">
        <v>1495500</v>
      </c>
      <c r="R110" s="705">
        <f>(J110/7.48)</f>
        <v>1646977.1390374331</v>
      </c>
      <c r="S110" s="811" t="s">
        <v>869</v>
      </c>
      <c r="T110" s="811"/>
      <c r="U110" s="705">
        <v>1495500</v>
      </c>
      <c r="V110" s="785">
        <v>33752</v>
      </c>
      <c r="X110" s="177"/>
      <c r="Y110" s="168"/>
    </row>
    <row r="111" spans="1:25" ht="16.5" thickBot="1" x14ac:dyDescent="0.3">
      <c r="A111" s="47"/>
      <c r="B111" s="176"/>
      <c r="C111" s="42"/>
      <c r="D111" s="42"/>
      <c r="E111" s="42"/>
      <c r="F111" s="42"/>
      <c r="G111" s="47"/>
      <c r="H111" s="46"/>
      <c r="I111" s="492"/>
      <c r="K111" s="749"/>
      <c r="L111" s="696"/>
      <c r="M111" s="705" t="s">
        <v>870</v>
      </c>
      <c r="N111" s="797"/>
      <c r="O111" s="798"/>
      <c r="P111" s="696"/>
      <c r="Q111" s="705" t="s">
        <v>870</v>
      </c>
      <c r="R111" s="696"/>
      <c r="U111" s="705" t="s">
        <v>870</v>
      </c>
      <c r="X111" s="177"/>
      <c r="Y111" s="168"/>
    </row>
    <row r="112" spans="1:25" x14ac:dyDescent="0.25">
      <c r="A112" s="47"/>
      <c r="B112" s="42"/>
      <c r="C112" s="42" t="s">
        <v>759</v>
      </c>
      <c r="D112" s="42"/>
      <c r="E112" s="42"/>
      <c r="F112" s="42" t="s">
        <v>871</v>
      </c>
      <c r="G112" s="47"/>
      <c r="H112" s="47"/>
      <c r="I112" s="492"/>
      <c r="M112" s="4"/>
      <c r="N112" s="4"/>
    </row>
    <row r="113" spans="1:26" x14ac:dyDescent="0.25">
      <c r="A113" s="47"/>
      <c r="B113" s="42"/>
      <c r="C113" s="42" t="s">
        <v>729</v>
      </c>
      <c r="D113" s="42"/>
      <c r="E113" s="42"/>
      <c r="F113" s="42" t="s">
        <v>872</v>
      </c>
      <c r="G113" s="47"/>
      <c r="H113" s="46"/>
      <c r="I113" s="821"/>
      <c r="M113" s="168"/>
      <c r="N113" s="168"/>
      <c r="Q113" s="168"/>
    </row>
    <row r="114" spans="1:26" x14ac:dyDescent="0.25">
      <c r="A114" s="47"/>
      <c r="B114" s="42"/>
      <c r="C114" s="42"/>
      <c r="D114" s="42"/>
      <c r="E114" s="42"/>
      <c r="F114" s="42"/>
      <c r="G114" s="47"/>
      <c r="H114" s="46"/>
      <c r="I114" s="492"/>
      <c r="M114" s="4"/>
      <c r="N114" s="4"/>
    </row>
    <row r="115" spans="1:26" s="6" customFormat="1" x14ac:dyDescent="0.25">
      <c r="A115" s="41"/>
      <c r="B115" s="39"/>
      <c r="G115" s="41"/>
      <c r="H115" s="41"/>
      <c r="I115" s="759"/>
      <c r="J115" s="759"/>
      <c r="K115" s="759"/>
      <c r="L115" s="759"/>
      <c r="M115" s="759"/>
      <c r="N115" s="759"/>
      <c r="O115" s="759"/>
      <c r="P115" s="759"/>
      <c r="Q115" s="29"/>
      <c r="R115" s="759"/>
      <c r="S115" s="760"/>
      <c r="T115" s="760"/>
      <c r="U115" s="29"/>
      <c r="V115" s="39"/>
      <c r="W115" s="39"/>
      <c r="Y115" s="19"/>
    </row>
    <row r="116" spans="1:26" ht="16.5" thickBot="1" x14ac:dyDescent="0.3">
      <c r="A116" s="47"/>
      <c r="B116" s="39" t="s">
        <v>873</v>
      </c>
      <c r="C116" s="42"/>
      <c r="D116" s="42"/>
      <c r="E116" s="42"/>
      <c r="F116" s="42"/>
      <c r="G116" s="47"/>
      <c r="H116" s="47"/>
      <c r="I116" s="492"/>
      <c r="V116" s="39"/>
    </row>
    <row r="117" spans="1:26" x14ac:dyDescent="0.25">
      <c r="A117" s="47"/>
      <c r="B117" s="822"/>
      <c r="C117" s="170"/>
      <c r="D117" s="170"/>
      <c r="E117" s="170"/>
      <c r="F117" s="170"/>
      <c r="G117" s="81"/>
      <c r="H117" s="81"/>
      <c r="I117" s="690"/>
      <c r="J117" s="690"/>
      <c r="K117" s="690"/>
      <c r="L117" s="690"/>
      <c r="M117" s="690"/>
      <c r="N117" s="690"/>
      <c r="O117" s="690"/>
      <c r="P117" s="690"/>
      <c r="Q117" s="692"/>
      <c r="R117" s="690"/>
      <c r="S117" s="693"/>
      <c r="T117" s="693"/>
      <c r="U117" s="692"/>
      <c r="V117" s="21"/>
      <c r="W117" s="170"/>
      <c r="X117" s="170"/>
      <c r="Y117" s="81"/>
      <c r="Z117" s="172"/>
    </row>
    <row r="118" spans="1:26" x14ac:dyDescent="0.25">
      <c r="A118" s="47"/>
      <c r="B118" s="176"/>
      <c r="C118" s="42"/>
      <c r="D118" s="42"/>
      <c r="E118" s="42"/>
      <c r="F118" s="42"/>
      <c r="G118" s="47" t="s">
        <v>260</v>
      </c>
      <c r="H118" s="46" t="s">
        <v>261</v>
      </c>
      <c r="I118" s="492" t="s">
        <v>369</v>
      </c>
      <c r="J118" s="492" t="s">
        <v>263</v>
      </c>
      <c r="O118" s="492" t="s">
        <v>264</v>
      </c>
      <c r="P118" s="492" t="s">
        <v>265</v>
      </c>
      <c r="Q118" s="4" t="s">
        <v>266</v>
      </c>
      <c r="R118" s="492" t="s">
        <v>267</v>
      </c>
      <c r="S118" s="168" t="s">
        <v>267</v>
      </c>
      <c r="T118" s="168"/>
      <c r="U118" s="519" t="s">
        <v>268</v>
      </c>
      <c r="V118" s="4" t="s">
        <v>269</v>
      </c>
      <c r="W118" s="47" t="s">
        <v>270</v>
      </c>
      <c r="X118" s="47" t="s">
        <v>271</v>
      </c>
      <c r="Y118" s="47" t="s">
        <v>168</v>
      </c>
      <c r="Z118" s="179"/>
    </row>
    <row r="119" spans="1:26" x14ac:dyDescent="0.25">
      <c r="A119" s="47"/>
      <c r="B119" s="38" t="s">
        <v>805</v>
      </c>
      <c r="C119" s="41" t="s">
        <v>757</v>
      </c>
      <c r="D119" s="41"/>
      <c r="E119" s="41"/>
      <c r="F119" s="759" t="s">
        <v>807</v>
      </c>
      <c r="G119" s="41">
        <v>0</v>
      </c>
      <c r="H119" s="46">
        <v>72282</v>
      </c>
      <c r="I119" s="492">
        <v>0</v>
      </c>
      <c r="J119" s="492">
        <v>67751</v>
      </c>
      <c r="O119" s="492">
        <v>0</v>
      </c>
      <c r="P119" s="492">
        <v>0</v>
      </c>
      <c r="Q119" s="4">
        <v>66954</v>
      </c>
      <c r="V119" s="39">
        <v>68237</v>
      </c>
      <c r="X119" s="42"/>
      <c r="Y119" s="47"/>
      <c r="Z119" s="179"/>
    </row>
    <row r="120" spans="1:26" x14ac:dyDescent="0.25">
      <c r="A120" s="47"/>
      <c r="B120" s="38" t="s">
        <v>805</v>
      </c>
      <c r="C120" s="41" t="s">
        <v>808</v>
      </c>
      <c r="D120" s="41"/>
      <c r="E120" s="41"/>
      <c r="F120" s="759" t="s">
        <v>809</v>
      </c>
      <c r="G120" s="41"/>
      <c r="H120" s="47"/>
      <c r="I120" s="492"/>
      <c r="X120" s="42"/>
      <c r="Y120" s="47"/>
      <c r="Z120" s="179"/>
    </row>
    <row r="121" spans="1:26" ht="16.5" thickBot="1" x14ac:dyDescent="0.3">
      <c r="A121" s="47"/>
      <c r="B121" s="35" t="s">
        <v>811</v>
      </c>
      <c r="C121" s="45"/>
      <c r="D121" s="45"/>
      <c r="E121" s="45"/>
      <c r="F121" s="45"/>
      <c r="G121" s="45"/>
      <c r="H121" s="47"/>
      <c r="I121" s="492"/>
      <c r="X121" s="42"/>
      <c r="Y121" s="47"/>
      <c r="Z121" s="179"/>
    </row>
    <row r="122" spans="1:26" ht="16.5" thickBot="1" x14ac:dyDescent="0.3">
      <c r="A122" s="47"/>
      <c r="B122" s="789" t="s">
        <v>813</v>
      </c>
      <c r="C122" s="790"/>
      <c r="D122" s="790"/>
      <c r="E122" s="790"/>
      <c r="F122" s="790"/>
      <c r="G122" s="631"/>
      <c r="H122" s="47"/>
      <c r="I122" s="492"/>
      <c r="X122" s="42"/>
      <c r="Y122" s="47"/>
      <c r="Z122" s="179"/>
    </row>
    <row r="123" spans="1:26" x14ac:dyDescent="0.25">
      <c r="A123" s="47"/>
      <c r="B123" s="176" t="s">
        <v>752</v>
      </c>
      <c r="C123" s="39" t="s">
        <v>817</v>
      </c>
      <c r="D123" s="39"/>
      <c r="E123" s="39"/>
      <c r="F123" s="39" t="s">
        <v>874</v>
      </c>
      <c r="G123" s="41"/>
      <c r="H123" s="46">
        <v>266</v>
      </c>
      <c r="I123" s="492"/>
      <c r="J123" s="492">
        <v>276</v>
      </c>
      <c r="O123" s="492">
        <v>0</v>
      </c>
      <c r="P123" s="492">
        <v>0</v>
      </c>
      <c r="Q123" s="4">
        <v>257</v>
      </c>
      <c r="V123" s="39">
        <v>266</v>
      </c>
      <c r="X123" s="42"/>
      <c r="Y123" s="47"/>
      <c r="Z123" s="179"/>
    </row>
    <row r="124" spans="1:26" x14ac:dyDescent="0.25">
      <c r="A124" s="47"/>
      <c r="B124" s="176" t="s">
        <v>122</v>
      </c>
      <c r="C124" s="42"/>
      <c r="D124" s="42"/>
      <c r="E124" s="42"/>
      <c r="F124" s="42"/>
      <c r="G124" s="47"/>
      <c r="H124" s="47"/>
      <c r="I124" s="492"/>
      <c r="X124" s="42"/>
      <c r="Y124" s="47"/>
      <c r="Z124" s="179"/>
    </row>
    <row r="125" spans="1:26" x14ac:dyDescent="0.25">
      <c r="B125" s="176" t="s">
        <v>836</v>
      </c>
      <c r="C125" s="47" t="s">
        <v>152</v>
      </c>
      <c r="D125" s="47"/>
      <c r="E125" s="47"/>
      <c r="F125" s="47" t="s">
        <v>711</v>
      </c>
      <c r="G125" s="47"/>
      <c r="H125" s="47"/>
      <c r="I125" s="492"/>
      <c r="X125" s="42"/>
      <c r="Y125" s="47"/>
      <c r="Z125" s="179"/>
    </row>
    <row r="126" spans="1:26" x14ac:dyDescent="0.25">
      <c r="B126" s="812" t="s">
        <v>160</v>
      </c>
      <c r="C126" s="47" t="s">
        <v>161</v>
      </c>
      <c r="D126" s="47"/>
      <c r="E126" s="47"/>
      <c r="F126" s="47" t="s">
        <v>838</v>
      </c>
      <c r="G126" s="47">
        <v>1184</v>
      </c>
      <c r="H126" s="47">
        <v>1332</v>
      </c>
      <c r="I126" s="492">
        <v>1233</v>
      </c>
      <c r="J126" s="492">
        <v>2644</v>
      </c>
      <c r="O126" s="492">
        <v>0</v>
      </c>
      <c r="P126" s="492">
        <v>0</v>
      </c>
      <c r="Q126" s="4">
        <v>2763</v>
      </c>
      <c r="S126" s="519">
        <v>96528</v>
      </c>
      <c r="V126" s="42">
        <v>908</v>
      </c>
      <c r="X126" s="42"/>
      <c r="Y126" s="47"/>
      <c r="Z126" s="179"/>
    </row>
    <row r="127" spans="1:26" x14ac:dyDescent="0.25">
      <c r="B127" s="812"/>
      <c r="C127" s="47" t="s">
        <v>840</v>
      </c>
      <c r="D127" s="47"/>
      <c r="E127" s="47"/>
      <c r="F127" s="47" t="s">
        <v>841</v>
      </c>
      <c r="G127" s="47"/>
      <c r="H127" s="47">
        <v>117</v>
      </c>
      <c r="I127" s="492"/>
      <c r="J127" s="492">
        <v>114</v>
      </c>
      <c r="O127" s="492">
        <v>0</v>
      </c>
      <c r="Q127" s="4">
        <v>121</v>
      </c>
      <c r="U127" s="4">
        <v>89</v>
      </c>
      <c r="V127" s="42">
        <v>24</v>
      </c>
      <c r="X127" s="42"/>
      <c r="Y127" s="47"/>
      <c r="Z127" s="179"/>
    </row>
    <row r="128" spans="1:26" x14ac:dyDescent="0.25">
      <c r="B128" s="812" t="s">
        <v>169</v>
      </c>
      <c r="C128" s="42" t="s">
        <v>842</v>
      </c>
      <c r="D128" s="42"/>
      <c r="E128" s="42"/>
      <c r="F128" s="47" t="s">
        <v>723</v>
      </c>
      <c r="G128" s="47"/>
      <c r="H128" s="47">
        <v>878</v>
      </c>
      <c r="I128" s="492"/>
      <c r="J128" s="492">
        <v>767</v>
      </c>
      <c r="O128" s="492">
        <v>0</v>
      </c>
      <c r="Q128" s="4">
        <v>680</v>
      </c>
      <c r="X128" s="42"/>
      <c r="Y128" s="47"/>
      <c r="Z128" s="179"/>
    </row>
    <row r="129" spans="1:26" x14ac:dyDescent="0.25">
      <c r="B129" s="812"/>
      <c r="C129" s="47" t="s">
        <v>170</v>
      </c>
      <c r="D129" s="47"/>
      <c r="E129" s="47"/>
      <c r="F129" s="47" t="s">
        <v>711</v>
      </c>
      <c r="G129" s="47"/>
      <c r="H129" s="47"/>
      <c r="I129" s="492"/>
      <c r="X129" s="42"/>
      <c r="Y129" s="47"/>
      <c r="Z129" s="179"/>
    </row>
    <row r="130" spans="1:26" x14ac:dyDescent="0.25">
      <c r="B130" s="176" t="s">
        <v>138</v>
      </c>
      <c r="C130" s="42" t="s">
        <v>763</v>
      </c>
      <c r="D130" s="42"/>
      <c r="E130" s="42"/>
      <c r="F130" s="42" t="s">
        <v>844</v>
      </c>
      <c r="G130" s="47"/>
      <c r="H130" s="47"/>
      <c r="I130" s="492">
        <v>1273</v>
      </c>
      <c r="O130" s="492">
        <v>0</v>
      </c>
      <c r="P130" s="492">
        <v>2753</v>
      </c>
      <c r="R130" s="492">
        <v>2960</v>
      </c>
      <c r="X130" s="42"/>
      <c r="Y130" s="47"/>
      <c r="Z130" s="179"/>
    </row>
    <row r="131" spans="1:26" x14ac:dyDescent="0.25">
      <c r="B131" s="115" t="s">
        <v>846</v>
      </c>
      <c r="C131" s="813" t="s">
        <v>716</v>
      </c>
      <c r="D131" s="813"/>
      <c r="E131" s="813"/>
      <c r="F131" s="813" t="s">
        <v>847</v>
      </c>
      <c r="G131" s="4"/>
      <c r="H131" s="47"/>
      <c r="I131" s="492"/>
      <c r="X131" s="42"/>
      <c r="Y131" s="47"/>
      <c r="Z131" s="179"/>
    </row>
    <row r="132" spans="1:26" x14ac:dyDescent="0.25">
      <c r="A132" s="168"/>
      <c r="B132" s="176" t="s">
        <v>848</v>
      </c>
      <c r="C132" s="42" t="s">
        <v>174</v>
      </c>
      <c r="D132" s="42"/>
      <c r="E132" s="42"/>
      <c r="F132" s="42"/>
      <c r="G132" s="47"/>
      <c r="H132" s="47"/>
      <c r="I132" s="492"/>
      <c r="V132" s="39"/>
      <c r="X132" s="42"/>
      <c r="Y132" s="42"/>
      <c r="Z132" s="179"/>
    </row>
    <row r="133" spans="1:26" x14ac:dyDescent="0.25">
      <c r="B133" s="176"/>
      <c r="C133" s="42"/>
      <c r="D133" s="42"/>
      <c r="E133" s="42"/>
      <c r="F133" s="42"/>
      <c r="G133" s="47"/>
      <c r="H133" s="47"/>
      <c r="I133" s="492"/>
      <c r="X133" s="42"/>
      <c r="Y133" s="47"/>
      <c r="Z133" s="179"/>
    </row>
    <row r="134" spans="1:26" s="6" customFormat="1" x14ac:dyDescent="0.25">
      <c r="A134" s="19"/>
      <c r="B134" s="176" t="s">
        <v>143</v>
      </c>
      <c r="C134" s="42"/>
      <c r="D134" s="42"/>
      <c r="E134" s="42"/>
      <c r="F134" s="42"/>
      <c r="G134" s="47"/>
      <c r="H134" s="41"/>
      <c r="I134" s="759"/>
      <c r="J134" s="759"/>
      <c r="K134" s="759"/>
      <c r="L134" s="759"/>
      <c r="M134" s="759"/>
      <c r="N134" s="759"/>
      <c r="O134" s="759"/>
      <c r="P134" s="759"/>
      <c r="Q134" s="29"/>
      <c r="R134" s="759"/>
      <c r="S134" s="760"/>
      <c r="T134" s="760"/>
      <c r="U134" s="29"/>
      <c r="V134" s="39"/>
      <c r="W134" s="39"/>
      <c r="X134" s="39"/>
      <c r="Y134" s="41"/>
      <c r="Z134" s="823"/>
    </row>
    <row r="135" spans="1:26" x14ac:dyDescent="0.25">
      <c r="B135" s="176"/>
      <c r="C135" s="42"/>
      <c r="D135" s="42"/>
      <c r="E135" s="42"/>
      <c r="F135" s="42"/>
      <c r="G135" s="47"/>
      <c r="H135" s="47"/>
      <c r="I135" s="492"/>
      <c r="X135" s="42"/>
      <c r="Y135" s="47"/>
      <c r="Z135" s="179"/>
    </row>
    <row r="136" spans="1:26" x14ac:dyDescent="0.25">
      <c r="B136" s="812" t="s">
        <v>177</v>
      </c>
      <c r="C136" s="47" t="s">
        <v>177</v>
      </c>
      <c r="D136" s="47"/>
      <c r="E136" s="47"/>
      <c r="F136" s="47" t="s">
        <v>852</v>
      </c>
      <c r="G136" s="47">
        <v>115</v>
      </c>
      <c r="H136" s="47"/>
      <c r="I136" s="492"/>
      <c r="J136" s="492">
        <v>117</v>
      </c>
      <c r="O136" s="492">
        <v>0</v>
      </c>
      <c r="Q136" s="4">
        <v>115</v>
      </c>
      <c r="U136" s="4">
        <v>115</v>
      </c>
      <c r="X136" s="42"/>
      <c r="Y136" s="47"/>
      <c r="Z136" s="179"/>
    </row>
    <row r="137" spans="1:26" x14ac:dyDescent="0.25">
      <c r="B137" s="812" t="s">
        <v>180</v>
      </c>
      <c r="C137" s="662" t="s">
        <v>853</v>
      </c>
      <c r="D137" s="662"/>
      <c r="E137" s="662"/>
      <c r="F137" s="662" t="s">
        <v>854</v>
      </c>
      <c r="G137" s="47">
        <v>0</v>
      </c>
      <c r="H137" s="47">
        <v>2457</v>
      </c>
      <c r="I137" s="492"/>
      <c r="J137" s="492">
        <v>2475</v>
      </c>
      <c r="O137" s="492">
        <v>0</v>
      </c>
      <c r="Q137" s="4">
        <v>6441</v>
      </c>
      <c r="V137" s="42">
        <v>6711</v>
      </c>
      <c r="X137" s="42"/>
      <c r="Y137" s="47"/>
      <c r="Z137" s="179"/>
    </row>
    <row r="138" spans="1:26" x14ac:dyDescent="0.25">
      <c r="A138" s="168"/>
      <c r="B138" s="115"/>
      <c r="C138" s="662"/>
      <c r="D138" s="662"/>
      <c r="E138" s="662"/>
      <c r="F138" s="662"/>
      <c r="G138" s="47"/>
      <c r="H138" s="42"/>
      <c r="I138" s="824"/>
      <c r="X138" s="42"/>
      <c r="Y138" s="42"/>
      <c r="Z138" s="179"/>
    </row>
    <row r="139" spans="1:26" x14ac:dyDescent="0.25">
      <c r="B139" s="812" t="s">
        <v>184</v>
      </c>
      <c r="C139" s="47" t="s">
        <v>185</v>
      </c>
      <c r="D139" s="47"/>
      <c r="E139" s="47"/>
      <c r="F139" s="47" t="s">
        <v>857</v>
      </c>
      <c r="G139" s="47"/>
      <c r="H139" s="47">
        <v>553</v>
      </c>
      <c r="I139" s="492"/>
      <c r="J139" s="492">
        <v>414</v>
      </c>
      <c r="O139" s="492">
        <v>0</v>
      </c>
      <c r="Q139" s="4">
        <v>1786</v>
      </c>
      <c r="V139" s="42">
        <v>2733</v>
      </c>
      <c r="X139" s="42"/>
      <c r="Y139" s="47"/>
      <c r="Z139" s="179"/>
    </row>
    <row r="140" spans="1:26" x14ac:dyDescent="0.25">
      <c r="A140" s="168"/>
      <c r="B140" s="812"/>
      <c r="C140" s="47"/>
      <c r="D140" s="47"/>
      <c r="E140" s="47"/>
      <c r="F140" s="47"/>
      <c r="G140" s="47"/>
      <c r="H140" s="42"/>
      <c r="I140" s="824"/>
      <c r="X140" s="42"/>
      <c r="Y140" s="42"/>
      <c r="Z140" s="179"/>
    </row>
    <row r="141" spans="1:26" x14ac:dyDescent="0.25">
      <c r="B141" s="812" t="s">
        <v>192</v>
      </c>
      <c r="C141" s="47" t="s">
        <v>189</v>
      </c>
      <c r="D141" s="47"/>
      <c r="E141" s="47"/>
      <c r="F141" s="47" t="s">
        <v>858</v>
      </c>
      <c r="G141" s="47"/>
      <c r="H141" s="47">
        <v>2102</v>
      </c>
      <c r="I141" s="492"/>
      <c r="Q141" s="4">
        <v>1648</v>
      </c>
      <c r="X141" s="42"/>
      <c r="Y141" s="47"/>
      <c r="Z141" s="179"/>
    </row>
    <row r="142" spans="1:26" x14ac:dyDescent="0.25">
      <c r="B142" s="812"/>
      <c r="C142" s="47" t="s">
        <v>189</v>
      </c>
      <c r="D142" s="47"/>
      <c r="E142" s="47"/>
      <c r="F142" s="47" t="s">
        <v>858</v>
      </c>
      <c r="G142" s="47"/>
      <c r="H142" s="47"/>
      <c r="I142" s="492"/>
      <c r="X142" s="42"/>
      <c r="Y142" s="47"/>
      <c r="Z142" s="179"/>
    </row>
    <row r="143" spans="1:26" x14ac:dyDescent="0.25">
      <c r="B143" s="767" t="s">
        <v>196</v>
      </c>
      <c r="C143" s="39" t="s">
        <v>197</v>
      </c>
      <c r="D143" s="39"/>
      <c r="E143" s="39"/>
      <c r="F143" s="39"/>
      <c r="G143" s="41"/>
      <c r="H143" s="47"/>
      <c r="I143" s="492"/>
      <c r="X143" s="42"/>
      <c r="Y143" s="47"/>
      <c r="Z143" s="179"/>
    </row>
    <row r="144" spans="1:26" x14ac:dyDescent="0.25">
      <c r="A144" s="168"/>
      <c r="B144" s="729" t="s">
        <v>861</v>
      </c>
      <c r="C144" s="42"/>
      <c r="D144" s="42"/>
      <c r="E144" s="42"/>
      <c r="F144" s="42"/>
      <c r="G144" s="47"/>
      <c r="H144" s="42"/>
      <c r="I144" s="824"/>
      <c r="X144" s="42"/>
      <c r="Y144" s="42"/>
      <c r="Z144" s="179"/>
    </row>
    <row r="145" spans="1:26" x14ac:dyDescent="0.25">
      <c r="B145" s="729"/>
      <c r="C145" s="42"/>
      <c r="D145" s="42"/>
      <c r="E145" s="42"/>
      <c r="F145" s="42"/>
      <c r="G145" s="47"/>
      <c r="H145" s="47"/>
      <c r="I145" s="492"/>
      <c r="X145" s="42"/>
      <c r="Y145" s="47"/>
      <c r="Z145" s="179"/>
    </row>
    <row r="146" spans="1:26" x14ac:dyDescent="0.25">
      <c r="B146" s="812" t="s">
        <v>875</v>
      </c>
      <c r="C146" s="47" t="s">
        <v>201</v>
      </c>
      <c r="D146" s="47"/>
      <c r="E146" s="47"/>
      <c r="F146" s="47"/>
      <c r="G146" s="47"/>
      <c r="H146" s="47"/>
      <c r="I146" s="492"/>
      <c r="X146" s="42"/>
      <c r="Y146" s="47"/>
      <c r="Z146" s="179"/>
    </row>
    <row r="147" spans="1:26" x14ac:dyDescent="0.25">
      <c r="B147" s="176"/>
      <c r="C147" s="42"/>
      <c r="D147" s="42"/>
      <c r="E147" s="42"/>
      <c r="F147" s="42"/>
      <c r="G147" s="47"/>
      <c r="H147" s="47"/>
      <c r="I147" s="492"/>
      <c r="X147" s="42"/>
      <c r="Y147" s="47"/>
      <c r="Z147" s="179"/>
    </row>
    <row r="148" spans="1:26" x14ac:dyDescent="0.25">
      <c r="B148" s="176"/>
      <c r="C148" s="42"/>
      <c r="D148" s="42"/>
      <c r="E148" s="42"/>
      <c r="F148" s="42"/>
      <c r="G148" s="47"/>
      <c r="H148" s="47"/>
      <c r="I148" s="492"/>
      <c r="X148" s="42"/>
      <c r="Y148" s="47"/>
      <c r="Z148" s="179"/>
    </row>
    <row r="149" spans="1:26" x14ac:dyDescent="0.25">
      <c r="A149" s="168"/>
      <c r="B149" s="176" t="s">
        <v>207</v>
      </c>
      <c r="C149" s="39" t="s">
        <v>208</v>
      </c>
      <c r="D149" s="39"/>
      <c r="E149" s="39"/>
      <c r="F149" s="39" t="s">
        <v>863</v>
      </c>
      <c r="G149" s="41">
        <v>612</v>
      </c>
      <c r="H149" s="42">
        <v>306</v>
      </c>
      <c r="I149" s="824">
        <v>286</v>
      </c>
      <c r="J149" s="492">
        <v>1174</v>
      </c>
      <c r="O149" s="492">
        <v>0</v>
      </c>
      <c r="Q149" s="492">
        <v>387</v>
      </c>
      <c r="R149" s="492">
        <v>197</v>
      </c>
      <c r="U149" s="4">
        <v>336</v>
      </c>
      <c r="V149" s="42">
        <v>614</v>
      </c>
      <c r="X149" s="42"/>
      <c r="Y149" s="42"/>
      <c r="Z149" s="179"/>
    </row>
    <row r="150" spans="1:26" x14ac:dyDescent="0.25">
      <c r="A150" s="168"/>
      <c r="B150" s="115" t="s">
        <v>150</v>
      </c>
      <c r="C150" s="42" t="s">
        <v>865</v>
      </c>
      <c r="D150" s="42"/>
      <c r="E150" s="42"/>
      <c r="F150" s="42" t="s">
        <v>866</v>
      </c>
      <c r="G150" s="47"/>
      <c r="H150" s="42">
        <v>117</v>
      </c>
      <c r="I150" s="824"/>
      <c r="J150" s="492">
        <v>117</v>
      </c>
      <c r="O150" s="492">
        <v>0</v>
      </c>
      <c r="Q150" s="492">
        <v>118</v>
      </c>
      <c r="V150" s="48">
        <v>110</v>
      </c>
      <c r="X150" s="42"/>
      <c r="Y150" s="42"/>
      <c r="Z150" s="179"/>
    </row>
    <row r="151" spans="1:26" x14ac:dyDescent="0.25">
      <c r="A151" s="168"/>
      <c r="B151" s="812" t="s">
        <v>215</v>
      </c>
      <c r="C151" s="662" t="s">
        <v>867</v>
      </c>
      <c r="D151" s="662"/>
      <c r="E151" s="662"/>
      <c r="F151" s="662" t="s">
        <v>868</v>
      </c>
      <c r="G151" s="46">
        <v>17170</v>
      </c>
      <c r="H151" s="42">
        <v>13124</v>
      </c>
      <c r="I151" s="824">
        <v>13815</v>
      </c>
      <c r="J151" s="492">
        <v>34143</v>
      </c>
      <c r="O151" s="492">
        <v>0</v>
      </c>
      <c r="Q151" s="492">
        <v>18047</v>
      </c>
      <c r="R151" s="492">
        <v>4589</v>
      </c>
      <c r="S151" s="519">
        <v>11594</v>
      </c>
      <c r="V151" s="42">
        <v>16468</v>
      </c>
      <c r="X151" s="42"/>
      <c r="Y151" s="42"/>
      <c r="Z151" s="179"/>
    </row>
    <row r="152" spans="1:26" x14ac:dyDescent="0.25">
      <c r="A152" s="168"/>
      <c r="B152" s="176"/>
      <c r="C152" s="42"/>
      <c r="D152" s="42"/>
      <c r="E152" s="42"/>
      <c r="F152" s="42"/>
      <c r="G152" s="47"/>
      <c r="H152" s="47"/>
      <c r="I152" s="492"/>
      <c r="Q152" s="492"/>
      <c r="X152" s="42"/>
      <c r="Y152" s="42"/>
      <c r="Z152" s="179"/>
    </row>
    <row r="153" spans="1:26" x14ac:dyDescent="0.25">
      <c r="A153" s="168"/>
      <c r="B153" s="176"/>
      <c r="C153" s="42" t="s">
        <v>759</v>
      </c>
      <c r="D153" s="42"/>
      <c r="E153" s="42"/>
      <c r="F153" s="42" t="s">
        <v>871</v>
      </c>
      <c r="G153" s="47"/>
      <c r="H153" s="47"/>
      <c r="I153" s="492">
        <v>6059</v>
      </c>
      <c r="Q153" s="492"/>
      <c r="S153" s="519">
        <v>3197</v>
      </c>
      <c r="X153" s="42"/>
      <c r="Y153" s="42"/>
      <c r="Z153" s="179"/>
    </row>
    <row r="154" spans="1:26" x14ac:dyDescent="0.25">
      <c r="A154" s="168"/>
      <c r="B154" s="176"/>
      <c r="C154" s="42" t="s">
        <v>729</v>
      </c>
      <c r="D154" s="42"/>
      <c r="E154" s="42"/>
      <c r="F154" s="42" t="s">
        <v>872</v>
      </c>
      <c r="G154" s="47">
        <v>115</v>
      </c>
      <c r="H154" s="47"/>
      <c r="I154" s="492"/>
      <c r="J154" s="492">
        <v>117</v>
      </c>
      <c r="O154" s="492">
        <v>0</v>
      </c>
      <c r="Q154" s="492">
        <v>115</v>
      </c>
      <c r="U154" s="4">
        <v>115</v>
      </c>
      <c r="X154" s="42"/>
      <c r="Y154" s="42"/>
      <c r="Z154" s="179"/>
    </row>
    <row r="155" spans="1:26" x14ac:dyDescent="0.25">
      <c r="A155" s="168"/>
      <c r="B155" s="176" t="s">
        <v>168</v>
      </c>
      <c r="C155" s="42"/>
      <c r="D155" s="42"/>
      <c r="E155" s="42"/>
      <c r="F155" s="42"/>
      <c r="G155" s="47">
        <f>SUM(G119:G154)</f>
        <v>19196</v>
      </c>
      <c r="H155" s="46">
        <f>SUM(H119:H154)</f>
        <v>93534</v>
      </c>
      <c r="I155" s="492">
        <f>SUM(I119:I154)</f>
        <v>22666</v>
      </c>
      <c r="J155" s="492">
        <f>SUM(J119:J154)</f>
        <v>110109</v>
      </c>
      <c r="O155" s="492">
        <v>0</v>
      </c>
      <c r="P155" s="492">
        <f>SUM(P119:P154)</f>
        <v>2753</v>
      </c>
      <c r="Q155" s="492">
        <f>SUM(Q119:Q154)</f>
        <v>99432</v>
      </c>
      <c r="R155" s="168"/>
      <c r="X155" s="42"/>
      <c r="Y155" s="42"/>
      <c r="Z155" s="179"/>
    </row>
    <row r="156" spans="1:26" x14ac:dyDescent="0.25">
      <c r="A156" s="168"/>
      <c r="B156" s="176"/>
      <c r="C156" s="42"/>
      <c r="D156" s="42"/>
      <c r="E156" s="42"/>
      <c r="F156" s="42"/>
      <c r="G156" s="47"/>
      <c r="H156" s="47"/>
      <c r="I156" s="492"/>
      <c r="X156" s="42"/>
      <c r="Y156" s="42"/>
      <c r="Z156" s="179"/>
    </row>
    <row r="157" spans="1:26" x14ac:dyDescent="0.25">
      <c r="A157" s="168"/>
      <c r="B157" s="176"/>
      <c r="C157" s="42" t="s">
        <v>876</v>
      </c>
      <c r="D157" s="42"/>
      <c r="E157" s="42"/>
      <c r="F157" s="42"/>
      <c r="G157" s="47"/>
      <c r="H157" s="47"/>
      <c r="I157" s="492"/>
      <c r="V157" s="42">
        <v>612</v>
      </c>
      <c r="X157" s="42"/>
      <c r="Y157" s="42"/>
      <c r="Z157" s="179"/>
    </row>
    <row r="158" spans="1:26" ht="16.5" thickBot="1" x14ac:dyDescent="0.3">
      <c r="A158" s="168"/>
      <c r="B158" s="173"/>
      <c r="C158" s="36"/>
      <c r="D158" s="36"/>
      <c r="E158" s="36"/>
      <c r="F158" s="36"/>
      <c r="G158" s="101"/>
      <c r="H158" s="101"/>
      <c r="I158" s="698"/>
      <c r="J158" s="698"/>
      <c r="K158" s="698"/>
      <c r="L158" s="698"/>
      <c r="M158" s="698"/>
      <c r="N158" s="698"/>
      <c r="O158" s="698"/>
      <c r="P158" s="698"/>
      <c r="Q158" s="699"/>
      <c r="R158" s="698"/>
      <c r="S158" s="825"/>
      <c r="T158" s="825"/>
      <c r="U158" s="699"/>
      <c r="V158" s="36">
        <f>SUM(V119:V157)</f>
        <v>96683</v>
      </c>
      <c r="W158" s="36"/>
      <c r="X158" s="36"/>
      <c r="Y158" s="36"/>
      <c r="Z158" s="175"/>
    </row>
    <row r="159" spans="1:26" x14ac:dyDescent="0.25">
      <c r="A159" s="168"/>
      <c r="H159" s="628"/>
      <c r="Y159" s="168"/>
    </row>
    <row r="161" spans="1:40" x14ac:dyDescent="0.25">
      <c r="C161" s="6" t="s">
        <v>588</v>
      </c>
      <c r="D161" s="6"/>
      <c r="E161" s="6"/>
      <c r="Q161" s="493"/>
      <c r="S161" s="39"/>
      <c r="T161" s="39"/>
      <c r="U161" s="493"/>
    </row>
    <row r="162" spans="1:40" x14ac:dyDescent="0.25">
      <c r="B162" s="6"/>
      <c r="K162" s="492" t="s">
        <v>589</v>
      </c>
      <c r="Q162" s="493"/>
      <c r="S162" s="39"/>
      <c r="T162" s="39"/>
      <c r="U162" s="493"/>
    </row>
    <row r="163" spans="1:40" ht="16.5" thickBot="1" x14ac:dyDescent="0.3">
      <c r="B163" s="6"/>
      <c r="F163" s="294" t="s">
        <v>151</v>
      </c>
      <c r="G163" s="205" t="s">
        <v>155</v>
      </c>
      <c r="H163" s="205" t="s">
        <v>180</v>
      </c>
      <c r="I163" s="205" t="s">
        <v>484</v>
      </c>
      <c r="J163" s="205" t="s">
        <v>485</v>
      </c>
      <c r="K163" s="352" t="s">
        <v>590</v>
      </c>
      <c r="L163" s="352"/>
      <c r="M163" s="205" t="s">
        <v>486</v>
      </c>
      <c r="N163" s="205"/>
      <c r="O163" s="205" t="s">
        <v>487</v>
      </c>
      <c r="P163" s="205" t="s">
        <v>488</v>
      </c>
      <c r="Q163" s="205" t="s">
        <v>489</v>
      </c>
      <c r="R163" s="205" t="s">
        <v>490</v>
      </c>
      <c r="S163" s="205" t="s">
        <v>491</v>
      </c>
      <c r="T163" s="205"/>
      <c r="U163" s="294" t="s">
        <v>492</v>
      </c>
      <c r="V163" s="205" t="s">
        <v>493</v>
      </c>
      <c r="W163" s="205" t="s">
        <v>494</v>
      </c>
      <c r="X163" s="205" t="s">
        <v>495</v>
      </c>
      <c r="Y163" s="205" t="s">
        <v>496</v>
      </c>
      <c r="Z163" s="205" t="s">
        <v>497</v>
      </c>
      <c r="AA163" s="205" t="s">
        <v>498</v>
      </c>
      <c r="AB163" s="205" t="s">
        <v>499</v>
      </c>
      <c r="AC163" s="205" t="s">
        <v>500</v>
      </c>
      <c r="AD163" s="205" t="s">
        <v>501</v>
      </c>
      <c r="AE163" s="205" t="s">
        <v>502</v>
      </c>
      <c r="AF163" s="205" t="s">
        <v>503</v>
      </c>
      <c r="AG163" s="205" t="s">
        <v>504</v>
      </c>
      <c r="AH163" s="494" t="s">
        <v>164</v>
      </c>
      <c r="AI163" s="205" t="s">
        <v>364</v>
      </c>
      <c r="AJ163" s="205" t="s">
        <v>226</v>
      </c>
      <c r="AK163" s="205" t="s">
        <v>505</v>
      </c>
      <c r="AL163" s="205" t="s">
        <v>591</v>
      </c>
      <c r="AM163" s="205" t="s">
        <v>592</v>
      </c>
      <c r="AN163" s="168" t="s">
        <v>877</v>
      </c>
    </row>
    <row r="164" spans="1:40" s="504" customFormat="1" x14ac:dyDescent="0.25">
      <c r="A164" s="107"/>
      <c r="B164" s="495"/>
      <c r="C164" s="496"/>
      <c r="D164" s="502"/>
      <c r="E164" s="502"/>
      <c r="F164" s="497" t="s">
        <v>509</v>
      </c>
      <c r="G164" s="498" t="s">
        <v>509</v>
      </c>
      <c r="H164" s="498" t="s">
        <v>509</v>
      </c>
      <c r="I164" s="499" t="s">
        <v>509</v>
      </c>
      <c r="J164" s="499" t="s">
        <v>509</v>
      </c>
      <c r="K164" s="499" t="s">
        <v>509</v>
      </c>
      <c r="L164" s="499"/>
      <c r="M164" s="499" t="s">
        <v>509</v>
      </c>
      <c r="N164" s="499"/>
      <c r="O164" s="497" t="s">
        <v>509</v>
      </c>
      <c r="P164" s="499" t="s">
        <v>509</v>
      </c>
      <c r="Q164" s="500" t="s">
        <v>509</v>
      </c>
      <c r="R164" s="499" t="s">
        <v>509</v>
      </c>
      <c r="S164" s="501"/>
      <c r="T164" s="501"/>
      <c r="U164" s="500" t="s">
        <v>509</v>
      </c>
      <c r="V164" s="497" t="s">
        <v>509</v>
      </c>
      <c r="W164" s="502" t="s">
        <v>509</v>
      </c>
      <c r="X164" s="497" t="s">
        <v>509</v>
      </c>
      <c r="Y164" s="497" t="s">
        <v>509</v>
      </c>
      <c r="Z164" s="497" t="s">
        <v>509</v>
      </c>
      <c r="AA164" s="497" t="s">
        <v>509</v>
      </c>
      <c r="AB164" s="497" t="s">
        <v>509</v>
      </c>
      <c r="AC164" s="502" t="s">
        <v>509</v>
      </c>
      <c r="AD164" s="502" t="s">
        <v>509</v>
      </c>
      <c r="AE164" s="502" t="s">
        <v>509</v>
      </c>
      <c r="AF164" s="502" t="s">
        <v>509</v>
      </c>
      <c r="AG164" s="502" t="s">
        <v>509</v>
      </c>
      <c r="AH164" s="502" t="s">
        <v>509</v>
      </c>
      <c r="AI164" s="497" t="s">
        <v>509</v>
      </c>
      <c r="AJ164" s="497" t="s">
        <v>509</v>
      </c>
      <c r="AK164" s="497" t="s">
        <v>509</v>
      </c>
      <c r="AL164" s="497" t="s">
        <v>509</v>
      </c>
      <c r="AM164" s="497" t="s">
        <v>509</v>
      </c>
    </row>
    <row r="165" spans="1:40" s="504" customFormat="1" ht="32.25" thickBot="1" x14ac:dyDescent="0.3">
      <c r="A165" s="107"/>
      <c r="B165" s="495"/>
      <c r="C165" s="505" t="s">
        <v>593</v>
      </c>
      <c r="D165" s="506"/>
      <c r="E165" s="506"/>
      <c r="F165" s="506" t="s">
        <v>512</v>
      </c>
      <c r="G165" s="506" t="s">
        <v>513</v>
      </c>
      <c r="H165" s="506" t="s">
        <v>514</v>
      </c>
      <c r="I165" s="506" t="s">
        <v>515</v>
      </c>
      <c r="J165" s="506" t="s">
        <v>516</v>
      </c>
      <c r="K165" s="506" t="s">
        <v>594</v>
      </c>
      <c r="L165" s="506"/>
      <c r="M165" s="506" t="s">
        <v>517</v>
      </c>
      <c r="N165" s="506"/>
      <c r="O165" s="506" t="s">
        <v>518</v>
      </c>
      <c r="P165" s="506" t="s">
        <v>519</v>
      </c>
      <c r="Q165" s="506" t="s">
        <v>520</v>
      </c>
      <c r="R165" s="506" t="s">
        <v>521</v>
      </c>
      <c r="S165" s="506" t="s">
        <v>522</v>
      </c>
      <c r="T165" s="506"/>
      <c r="U165" s="506" t="s">
        <v>523</v>
      </c>
      <c r="V165" s="506" t="s">
        <v>524</v>
      </c>
      <c r="W165" s="506" t="s">
        <v>525</v>
      </c>
      <c r="X165" s="506" t="s">
        <v>526</v>
      </c>
      <c r="Y165" s="506" t="s">
        <v>527</v>
      </c>
      <c r="Z165" s="506" t="s">
        <v>528</v>
      </c>
      <c r="AA165" s="506" t="s">
        <v>529</v>
      </c>
      <c r="AB165" s="506" t="s">
        <v>530</v>
      </c>
      <c r="AC165" s="506" t="s">
        <v>531</v>
      </c>
      <c r="AD165" s="506" t="s">
        <v>532</v>
      </c>
      <c r="AE165" s="506" t="s">
        <v>533</v>
      </c>
      <c r="AF165" s="506" t="s">
        <v>534</v>
      </c>
      <c r="AG165" s="506" t="s">
        <v>535</v>
      </c>
      <c r="AH165" s="506" t="s">
        <v>536</v>
      </c>
      <c r="AI165" s="506" t="s">
        <v>537</v>
      </c>
      <c r="AJ165" s="506"/>
      <c r="AK165" s="507">
        <v>48000</v>
      </c>
      <c r="AL165" s="507">
        <v>48000</v>
      </c>
      <c r="AM165" s="508">
        <v>49000</v>
      </c>
    </row>
    <row r="166" spans="1:40" s="64" customFormat="1" x14ac:dyDescent="0.25">
      <c r="B166" s="19"/>
      <c r="F166" s="64" t="s">
        <v>595</v>
      </c>
      <c r="G166" s="64" t="s">
        <v>595</v>
      </c>
      <c r="H166" s="64" t="s">
        <v>595</v>
      </c>
      <c r="I166" s="64" t="s">
        <v>595</v>
      </c>
      <c r="J166" s="64" t="s">
        <v>595</v>
      </c>
      <c r="M166" s="64" t="s">
        <v>595</v>
      </c>
      <c r="P166" s="64" t="s">
        <v>595</v>
      </c>
      <c r="Q166" s="64" t="s">
        <v>595</v>
      </c>
      <c r="R166" s="64" t="s">
        <v>595</v>
      </c>
      <c r="S166" s="64" t="s">
        <v>595</v>
      </c>
      <c r="U166" s="64" t="s">
        <v>595</v>
      </c>
      <c r="V166" s="64" t="s">
        <v>595</v>
      </c>
      <c r="W166" s="64" t="s">
        <v>595</v>
      </c>
      <c r="X166" s="64" t="s">
        <v>595</v>
      </c>
      <c r="Y166" s="64" t="s">
        <v>595</v>
      </c>
      <c r="Z166" s="64" t="s">
        <v>595</v>
      </c>
      <c r="AA166" s="64" t="s">
        <v>595</v>
      </c>
    </row>
    <row r="167" spans="1:40" s="509" customFormat="1" x14ac:dyDescent="0.25">
      <c r="B167" s="510"/>
      <c r="C167" s="509" t="s">
        <v>260</v>
      </c>
      <c r="F167" s="511">
        <v>103000</v>
      </c>
      <c r="G167" s="509">
        <v>64000</v>
      </c>
      <c r="H167" s="509">
        <v>40000</v>
      </c>
      <c r="I167" s="512">
        <v>122000</v>
      </c>
      <c r="J167" s="513">
        <v>11000</v>
      </c>
      <c r="K167" s="514">
        <v>10000</v>
      </c>
      <c r="L167" s="514"/>
      <c r="M167" s="513">
        <v>211000</v>
      </c>
      <c r="N167" s="513"/>
      <c r="O167" s="513">
        <v>929000</v>
      </c>
      <c r="P167" s="513">
        <v>165500</v>
      </c>
      <c r="Q167" s="515">
        <v>46667</v>
      </c>
      <c r="R167" s="513">
        <v>7300</v>
      </c>
      <c r="S167" s="515">
        <v>4300</v>
      </c>
      <c r="T167" s="515"/>
      <c r="U167" s="515">
        <v>22450</v>
      </c>
      <c r="V167" s="516">
        <v>113400</v>
      </c>
      <c r="W167" s="516">
        <v>1920</v>
      </c>
      <c r="X167" s="511">
        <v>14400</v>
      </c>
      <c r="Y167" s="511">
        <v>7750</v>
      </c>
      <c r="Z167" s="511">
        <v>5650</v>
      </c>
      <c r="AA167" s="511">
        <v>41100</v>
      </c>
      <c r="AB167" s="511">
        <v>1870</v>
      </c>
      <c r="AC167" s="511">
        <v>2820</v>
      </c>
      <c r="AD167" s="511">
        <v>10640</v>
      </c>
      <c r="AE167" s="511">
        <v>9950</v>
      </c>
      <c r="AF167" s="511">
        <v>2300</v>
      </c>
      <c r="AG167" s="511">
        <v>2170</v>
      </c>
      <c r="AH167" s="511">
        <v>60100</v>
      </c>
      <c r="AI167" s="511">
        <v>71900</v>
      </c>
      <c r="AJ167" s="511">
        <v>2330</v>
      </c>
      <c r="AK167" s="511">
        <v>4100</v>
      </c>
      <c r="AL167" s="511">
        <v>3950</v>
      </c>
      <c r="AM167" s="511">
        <v>3985</v>
      </c>
      <c r="AN167" s="509">
        <v>40000</v>
      </c>
    </row>
    <row r="168" spans="1:40" s="509" customFormat="1" x14ac:dyDescent="0.25">
      <c r="B168" s="510"/>
      <c r="C168" s="509" t="s">
        <v>261</v>
      </c>
      <c r="F168" s="511">
        <v>103000</v>
      </c>
      <c r="G168" s="509">
        <v>64000</v>
      </c>
      <c r="H168" s="509">
        <v>40000</v>
      </c>
      <c r="I168" s="512">
        <v>122000</v>
      </c>
      <c r="J168" s="513">
        <v>11000</v>
      </c>
      <c r="K168" s="514">
        <v>10000</v>
      </c>
      <c r="L168" s="514"/>
      <c r="M168" s="513">
        <v>211000</v>
      </c>
      <c r="N168" s="513"/>
      <c r="O168" s="513">
        <v>929000</v>
      </c>
      <c r="P168" s="513">
        <v>165500</v>
      </c>
      <c r="Q168" s="515">
        <v>46000</v>
      </c>
      <c r="R168" s="513">
        <v>7300</v>
      </c>
      <c r="S168" s="515">
        <v>4300</v>
      </c>
      <c r="T168" s="515"/>
      <c r="U168" s="515">
        <v>22450</v>
      </c>
      <c r="V168" s="516">
        <v>113400</v>
      </c>
      <c r="W168" s="516">
        <v>1900</v>
      </c>
      <c r="X168" s="511">
        <v>14400</v>
      </c>
      <c r="Y168" s="511">
        <v>7750</v>
      </c>
      <c r="Z168" s="511">
        <v>5650</v>
      </c>
      <c r="AA168" s="511">
        <v>41100</v>
      </c>
      <c r="AB168" s="511">
        <v>1850</v>
      </c>
      <c r="AC168" s="511">
        <v>2820</v>
      </c>
      <c r="AD168" s="511">
        <v>10640</v>
      </c>
      <c r="AE168" s="511">
        <v>9950</v>
      </c>
      <c r="AF168" s="511">
        <v>2300</v>
      </c>
      <c r="AG168" s="511">
        <v>2170</v>
      </c>
      <c r="AH168" s="511">
        <v>60100</v>
      </c>
      <c r="AI168" s="511">
        <v>71900</v>
      </c>
      <c r="AJ168" s="511">
        <v>2330</v>
      </c>
      <c r="AK168" s="511">
        <v>4100</v>
      </c>
      <c r="AL168" s="511">
        <v>3950</v>
      </c>
      <c r="AM168" s="511">
        <v>3985</v>
      </c>
      <c r="AN168" s="509">
        <v>40000</v>
      </c>
    </row>
    <row r="169" spans="1:40" s="509" customFormat="1" x14ac:dyDescent="0.25">
      <c r="B169" s="510"/>
      <c r="C169" s="509" t="s">
        <v>369</v>
      </c>
      <c r="F169" s="511">
        <v>103000</v>
      </c>
      <c r="G169" s="509">
        <v>64000</v>
      </c>
      <c r="H169" s="509">
        <v>40000</v>
      </c>
      <c r="I169" s="512">
        <v>122000</v>
      </c>
      <c r="J169" s="513">
        <v>11000</v>
      </c>
      <c r="K169" s="514">
        <v>10000</v>
      </c>
      <c r="L169" s="514"/>
      <c r="M169" s="513">
        <v>211000</v>
      </c>
      <c r="N169" s="513"/>
      <c r="O169" s="513">
        <v>929000</v>
      </c>
      <c r="P169" s="513">
        <v>165500</v>
      </c>
      <c r="Q169" s="515">
        <v>46000</v>
      </c>
      <c r="R169" s="513">
        <v>7300</v>
      </c>
      <c r="S169" s="515">
        <v>4300</v>
      </c>
      <c r="T169" s="515"/>
      <c r="U169" s="515">
        <v>22450</v>
      </c>
      <c r="V169" s="516">
        <v>113400</v>
      </c>
      <c r="W169" s="516">
        <v>1900</v>
      </c>
      <c r="X169" s="511">
        <v>14400</v>
      </c>
      <c r="Y169" s="511">
        <v>7750</v>
      </c>
      <c r="Z169" s="511">
        <v>5650</v>
      </c>
      <c r="AA169" s="511">
        <v>41100</v>
      </c>
      <c r="AB169" s="511">
        <v>1850</v>
      </c>
      <c r="AC169" s="511">
        <v>2820</v>
      </c>
      <c r="AD169" s="511">
        <v>10640</v>
      </c>
      <c r="AE169" s="511">
        <v>9950</v>
      </c>
      <c r="AF169" s="511">
        <v>2300</v>
      </c>
      <c r="AG169" s="511">
        <v>2170</v>
      </c>
      <c r="AH169" s="511">
        <v>60100</v>
      </c>
      <c r="AI169" s="511">
        <v>71900</v>
      </c>
      <c r="AJ169" s="511">
        <v>2330</v>
      </c>
      <c r="AK169" s="511">
        <v>4100</v>
      </c>
      <c r="AL169" s="511">
        <v>3950</v>
      </c>
      <c r="AM169" s="511">
        <v>3985</v>
      </c>
      <c r="AN169" s="509">
        <v>40000</v>
      </c>
    </row>
    <row r="170" spans="1:40" s="509" customFormat="1" x14ac:dyDescent="0.25">
      <c r="B170" s="510"/>
      <c r="C170" s="509" t="s">
        <v>263</v>
      </c>
      <c r="F170" s="511">
        <v>103000</v>
      </c>
      <c r="G170" s="509">
        <v>64000</v>
      </c>
      <c r="H170" s="509">
        <v>40000</v>
      </c>
      <c r="I170" s="512">
        <v>122000</v>
      </c>
      <c r="J170" s="513">
        <v>11000</v>
      </c>
      <c r="K170" s="514">
        <v>25000</v>
      </c>
      <c r="L170" s="514"/>
      <c r="M170" s="513">
        <v>211000</v>
      </c>
      <c r="N170" s="513"/>
      <c r="O170" s="513">
        <v>929000</v>
      </c>
      <c r="P170" s="513">
        <v>165500</v>
      </c>
      <c r="Q170" s="515">
        <v>46000</v>
      </c>
      <c r="R170" s="513">
        <v>7300</v>
      </c>
      <c r="S170" s="515">
        <v>4300</v>
      </c>
      <c r="T170" s="515"/>
      <c r="U170" s="515">
        <v>22450</v>
      </c>
      <c r="V170" s="516">
        <v>113400</v>
      </c>
      <c r="W170" s="516">
        <v>1900</v>
      </c>
      <c r="X170" s="511">
        <v>14400</v>
      </c>
      <c r="Y170" s="511">
        <v>7750</v>
      </c>
      <c r="Z170" s="511">
        <v>5650</v>
      </c>
      <c r="AA170" s="511">
        <v>41100</v>
      </c>
      <c r="AB170" s="511">
        <v>1850</v>
      </c>
      <c r="AC170" s="511">
        <v>2820</v>
      </c>
      <c r="AD170" s="511">
        <v>10640</v>
      </c>
      <c r="AE170" s="511">
        <v>9950</v>
      </c>
      <c r="AF170" s="511">
        <v>2300</v>
      </c>
      <c r="AG170" s="511">
        <v>2170</v>
      </c>
      <c r="AH170" s="511">
        <v>60100</v>
      </c>
      <c r="AI170" s="511">
        <v>71900</v>
      </c>
      <c r="AJ170" s="511">
        <v>2330</v>
      </c>
      <c r="AK170" s="511">
        <v>4100</v>
      </c>
      <c r="AL170" s="511">
        <v>3950</v>
      </c>
      <c r="AM170" s="511">
        <v>3985</v>
      </c>
      <c r="AN170" s="509">
        <v>40000</v>
      </c>
    </row>
    <row r="171" spans="1:40" s="509" customFormat="1" x14ac:dyDescent="0.25">
      <c r="B171" s="510"/>
      <c r="C171" s="509" t="s">
        <v>264</v>
      </c>
      <c r="F171" s="511">
        <v>103000</v>
      </c>
      <c r="G171" s="509">
        <v>64000</v>
      </c>
      <c r="H171" s="509">
        <v>40000</v>
      </c>
      <c r="I171" s="512">
        <v>122000</v>
      </c>
      <c r="J171" s="513">
        <v>11000</v>
      </c>
      <c r="K171" s="514">
        <v>25000</v>
      </c>
      <c r="L171" s="514"/>
      <c r="M171" s="513">
        <v>211000</v>
      </c>
      <c r="N171" s="513"/>
      <c r="O171" s="513">
        <v>929000</v>
      </c>
      <c r="P171" s="513">
        <v>165500</v>
      </c>
      <c r="Q171" s="515">
        <v>46000</v>
      </c>
      <c r="R171" s="513">
        <v>7300</v>
      </c>
      <c r="S171" s="515">
        <v>4300</v>
      </c>
      <c r="T171" s="515"/>
      <c r="U171" s="515">
        <v>22450</v>
      </c>
      <c r="V171" s="516">
        <v>113400</v>
      </c>
      <c r="W171" s="516">
        <v>1900</v>
      </c>
      <c r="X171" s="511">
        <v>14400</v>
      </c>
      <c r="Y171" s="511">
        <v>7750</v>
      </c>
      <c r="Z171" s="511">
        <v>5650</v>
      </c>
      <c r="AA171" s="511">
        <v>41100</v>
      </c>
      <c r="AB171" s="511">
        <v>1850</v>
      </c>
      <c r="AC171" s="511">
        <v>2820</v>
      </c>
      <c r="AD171" s="511">
        <v>10640</v>
      </c>
      <c r="AE171" s="511">
        <v>9950</v>
      </c>
      <c r="AF171" s="511">
        <v>2300</v>
      </c>
      <c r="AG171" s="511">
        <v>2170</v>
      </c>
      <c r="AH171" s="511">
        <v>60100</v>
      </c>
      <c r="AI171" s="511">
        <v>71900</v>
      </c>
      <c r="AJ171" s="511">
        <v>2330</v>
      </c>
      <c r="AK171" s="511">
        <v>4100</v>
      </c>
      <c r="AL171" s="511">
        <v>3950</v>
      </c>
      <c r="AM171" s="511">
        <v>3985</v>
      </c>
      <c r="AN171" s="509">
        <v>40000</v>
      </c>
    </row>
    <row r="172" spans="1:40" s="509" customFormat="1" x14ac:dyDescent="0.25">
      <c r="B172" s="510"/>
      <c r="C172" s="509" t="s">
        <v>265</v>
      </c>
      <c r="F172" s="511">
        <v>103000</v>
      </c>
      <c r="G172" s="509">
        <v>64000</v>
      </c>
      <c r="H172" s="509">
        <v>40000</v>
      </c>
      <c r="I172" s="512">
        <v>122000</v>
      </c>
      <c r="J172" s="513">
        <v>11000</v>
      </c>
      <c r="K172" s="514">
        <v>25000</v>
      </c>
      <c r="L172" s="514"/>
      <c r="M172" s="513">
        <v>211000</v>
      </c>
      <c r="N172" s="513"/>
      <c r="O172" s="513">
        <v>929000</v>
      </c>
      <c r="P172" s="513">
        <v>165500</v>
      </c>
      <c r="Q172" s="515">
        <v>46000</v>
      </c>
      <c r="R172" s="513">
        <v>7300</v>
      </c>
      <c r="S172" s="515">
        <v>4300</v>
      </c>
      <c r="T172" s="515"/>
      <c r="U172" s="515">
        <v>22450</v>
      </c>
      <c r="V172" s="516">
        <v>113400</v>
      </c>
      <c r="W172" s="516">
        <v>1900</v>
      </c>
      <c r="X172" s="511">
        <v>14400</v>
      </c>
      <c r="Y172" s="511">
        <v>7750</v>
      </c>
      <c r="Z172" s="511">
        <v>5650</v>
      </c>
      <c r="AA172" s="511">
        <v>41100</v>
      </c>
      <c r="AB172" s="511">
        <v>1850</v>
      </c>
      <c r="AC172" s="511">
        <v>2820</v>
      </c>
      <c r="AD172" s="511">
        <v>10640</v>
      </c>
      <c r="AE172" s="511">
        <v>9950</v>
      </c>
      <c r="AF172" s="511">
        <v>2300</v>
      </c>
      <c r="AG172" s="511">
        <v>2170</v>
      </c>
      <c r="AH172" s="511">
        <v>60100</v>
      </c>
      <c r="AI172" s="511">
        <v>71900</v>
      </c>
      <c r="AJ172" s="511">
        <v>2330</v>
      </c>
      <c r="AK172" s="511">
        <v>4100</v>
      </c>
      <c r="AL172" s="511">
        <v>3950</v>
      </c>
      <c r="AM172" s="511">
        <v>3985</v>
      </c>
      <c r="AN172" s="509">
        <v>40000</v>
      </c>
    </row>
    <row r="173" spans="1:40" s="509" customFormat="1" x14ac:dyDescent="0.25">
      <c r="B173" s="510"/>
      <c r="C173" s="509" t="s">
        <v>266</v>
      </c>
      <c r="F173" s="511">
        <v>103000</v>
      </c>
      <c r="G173" s="509">
        <v>64000</v>
      </c>
      <c r="H173" s="509">
        <v>40000</v>
      </c>
      <c r="I173" s="512">
        <v>122000</v>
      </c>
      <c r="J173" s="513">
        <v>11000</v>
      </c>
      <c r="K173" s="514">
        <v>25000</v>
      </c>
      <c r="L173" s="514"/>
      <c r="M173" s="513">
        <v>211000</v>
      </c>
      <c r="N173" s="513"/>
      <c r="O173" s="513">
        <v>929000</v>
      </c>
      <c r="P173" s="513">
        <v>165500</v>
      </c>
      <c r="Q173" s="515">
        <v>46000</v>
      </c>
      <c r="R173" s="513">
        <v>7300</v>
      </c>
      <c r="S173" s="515">
        <v>4300</v>
      </c>
      <c r="T173" s="515"/>
      <c r="U173" s="515">
        <v>22450</v>
      </c>
      <c r="V173" s="516">
        <v>113400</v>
      </c>
      <c r="W173" s="516">
        <v>1900</v>
      </c>
      <c r="X173" s="511">
        <v>14400</v>
      </c>
      <c r="Y173" s="511">
        <v>7750</v>
      </c>
      <c r="Z173" s="511">
        <v>5650</v>
      </c>
      <c r="AA173" s="511">
        <v>41100</v>
      </c>
      <c r="AB173" s="511">
        <v>1850</v>
      </c>
      <c r="AC173" s="511">
        <v>2820</v>
      </c>
      <c r="AD173" s="511">
        <v>10640</v>
      </c>
      <c r="AE173" s="511">
        <v>9950</v>
      </c>
      <c r="AF173" s="511">
        <v>2300</v>
      </c>
      <c r="AG173" s="511">
        <v>2170</v>
      </c>
      <c r="AH173" s="511">
        <v>60100</v>
      </c>
      <c r="AI173" s="511">
        <v>71900</v>
      </c>
      <c r="AJ173" s="511">
        <v>2330</v>
      </c>
      <c r="AK173" s="511">
        <v>4100</v>
      </c>
      <c r="AL173" s="511">
        <v>3950</v>
      </c>
      <c r="AM173" s="511">
        <v>3985</v>
      </c>
      <c r="AN173" s="509">
        <v>40000</v>
      </c>
    </row>
    <row r="174" spans="1:40" s="509" customFormat="1" x14ac:dyDescent="0.25">
      <c r="B174" s="510"/>
      <c r="C174" s="509" t="s">
        <v>267</v>
      </c>
      <c r="F174" s="511">
        <v>103000</v>
      </c>
      <c r="G174" s="509">
        <v>64000</v>
      </c>
      <c r="H174" s="509">
        <v>40000</v>
      </c>
      <c r="I174" s="512">
        <v>122000</v>
      </c>
      <c r="J174" s="513">
        <v>11000</v>
      </c>
      <c r="K174" s="514">
        <v>25000</v>
      </c>
      <c r="L174" s="514"/>
      <c r="M174" s="513">
        <v>211000</v>
      </c>
      <c r="N174" s="513"/>
      <c r="O174" s="513">
        <v>929000</v>
      </c>
      <c r="P174" s="513">
        <v>165500</v>
      </c>
      <c r="Q174" s="515">
        <v>46000</v>
      </c>
      <c r="R174" s="513">
        <v>7300</v>
      </c>
      <c r="S174" s="515">
        <v>4300</v>
      </c>
      <c r="T174" s="515"/>
      <c r="U174" s="515">
        <v>22450</v>
      </c>
      <c r="V174" s="516">
        <v>113400</v>
      </c>
      <c r="W174" s="516">
        <v>1900</v>
      </c>
      <c r="X174" s="511">
        <v>14400</v>
      </c>
      <c r="Y174" s="511">
        <v>7750</v>
      </c>
      <c r="Z174" s="511">
        <v>5650</v>
      </c>
      <c r="AA174" s="511">
        <v>41100</v>
      </c>
      <c r="AB174" s="511">
        <v>1850</v>
      </c>
      <c r="AC174" s="511">
        <v>2820</v>
      </c>
      <c r="AD174" s="511">
        <v>10640</v>
      </c>
      <c r="AE174" s="511">
        <v>9950</v>
      </c>
      <c r="AF174" s="511">
        <v>2300</v>
      </c>
      <c r="AG174" s="511">
        <v>2170</v>
      </c>
      <c r="AH174" s="511">
        <v>60100</v>
      </c>
      <c r="AI174" s="511">
        <v>71900</v>
      </c>
      <c r="AJ174" s="511">
        <v>2330</v>
      </c>
      <c r="AK174" s="511">
        <v>4100</v>
      </c>
      <c r="AL174" s="511">
        <v>3950</v>
      </c>
      <c r="AM174" s="511">
        <v>3985</v>
      </c>
      <c r="AN174" s="509">
        <v>40000</v>
      </c>
    </row>
    <row r="175" spans="1:40" s="509" customFormat="1" x14ac:dyDescent="0.25">
      <c r="B175" s="510"/>
      <c r="C175" s="509" t="s">
        <v>268</v>
      </c>
      <c r="F175" s="511">
        <v>103000</v>
      </c>
      <c r="G175" s="509">
        <v>64000</v>
      </c>
      <c r="H175" s="509">
        <v>40000</v>
      </c>
      <c r="I175" s="512">
        <v>122000</v>
      </c>
      <c r="J175" s="513">
        <v>11000</v>
      </c>
      <c r="K175" s="514">
        <v>155000</v>
      </c>
      <c r="L175" s="514"/>
      <c r="M175" s="513">
        <v>211000</v>
      </c>
      <c r="N175" s="513"/>
      <c r="O175" s="513">
        <v>929000</v>
      </c>
      <c r="P175" s="513">
        <v>165500</v>
      </c>
      <c r="Q175" s="515">
        <v>46000</v>
      </c>
      <c r="R175" s="513">
        <v>7300</v>
      </c>
      <c r="S175" s="515">
        <v>4300</v>
      </c>
      <c r="T175" s="515"/>
      <c r="U175" s="515">
        <v>22450</v>
      </c>
      <c r="V175" s="516">
        <v>113400</v>
      </c>
      <c r="W175" s="516">
        <v>1900</v>
      </c>
      <c r="X175" s="511">
        <v>14400</v>
      </c>
      <c r="Y175" s="511">
        <v>7750</v>
      </c>
      <c r="Z175" s="511">
        <v>5650</v>
      </c>
      <c r="AA175" s="511">
        <v>41100</v>
      </c>
      <c r="AB175" s="511">
        <v>1850</v>
      </c>
      <c r="AC175" s="511">
        <v>2820</v>
      </c>
      <c r="AD175" s="511">
        <v>10640</v>
      </c>
      <c r="AE175" s="511">
        <v>9950</v>
      </c>
      <c r="AF175" s="511">
        <v>2300</v>
      </c>
      <c r="AG175" s="511">
        <v>2170</v>
      </c>
      <c r="AH175" s="511">
        <v>60100</v>
      </c>
      <c r="AI175" s="511">
        <v>71900</v>
      </c>
      <c r="AJ175" s="511">
        <v>2330</v>
      </c>
      <c r="AK175" s="511">
        <v>4100</v>
      </c>
      <c r="AL175" s="511">
        <v>3950</v>
      </c>
      <c r="AM175" s="511">
        <v>3985</v>
      </c>
      <c r="AN175" s="509">
        <v>40000</v>
      </c>
    </row>
    <row r="176" spans="1:40" s="509" customFormat="1" x14ac:dyDescent="0.25">
      <c r="B176" s="510"/>
      <c r="C176" s="509" t="s">
        <v>269</v>
      </c>
      <c r="F176" s="511">
        <v>103000</v>
      </c>
      <c r="G176" s="509">
        <v>64000</v>
      </c>
      <c r="H176" s="509">
        <v>40000</v>
      </c>
      <c r="I176" s="512">
        <v>122000</v>
      </c>
      <c r="J176" s="513">
        <v>11000</v>
      </c>
      <c r="K176" s="514">
        <v>155000</v>
      </c>
      <c r="L176" s="514"/>
      <c r="M176" s="513">
        <v>211000</v>
      </c>
      <c r="N176" s="513"/>
      <c r="O176" s="513">
        <v>929000</v>
      </c>
      <c r="P176" s="513">
        <v>165500</v>
      </c>
      <c r="Q176" s="515">
        <v>46000</v>
      </c>
      <c r="R176" s="513">
        <v>7300</v>
      </c>
      <c r="S176" s="515">
        <v>4300</v>
      </c>
      <c r="T176" s="515"/>
      <c r="U176" s="515">
        <v>22450</v>
      </c>
      <c r="V176" s="516">
        <v>113400</v>
      </c>
      <c r="W176" s="516">
        <v>1900</v>
      </c>
      <c r="X176" s="511">
        <v>14400</v>
      </c>
      <c r="Y176" s="511">
        <v>7750</v>
      </c>
      <c r="Z176" s="511">
        <v>5650</v>
      </c>
      <c r="AA176" s="511">
        <v>41100</v>
      </c>
      <c r="AB176" s="511">
        <v>1870</v>
      </c>
      <c r="AC176" s="511">
        <v>2820</v>
      </c>
      <c r="AD176" s="511">
        <v>10640</v>
      </c>
      <c r="AE176" s="511">
        <v>9950</v>
      </c>
      <c r="AF176" s="511">
        <v>2300</v>
      </c>
      <c r="AG176" s="511">
        <v>2170</v>
      </c>
      <c r="AH176" s="511">
        <v>60100</v>
      </c>
      <c r="AI176" s="511">
        <v>71900</v>
      </c>
      <c r="AJ176" s="511">
        <v>2330</v>
      </c>
      <c r="AK176" s="511">
        <v>4100</v>
      </c>
      <c r="AL176" s="511">
        <v>3950</v>
      </c>
      <c r="AM176" s="511">
        <v>3985</v>
      </c>
      <c r="AN176" s="509">
        <v>40000</v>
      </c>
    </row>
    <row r="177" spans="1:40" s="509" customFormat="1" x14ac:dyDescent="0.25">
      <c r="B177" s="510"/>
      <c r="C177" s="509" t="s">
        <v>270</v>
      </c>
      <c r="F177" s="511">
        <v>103000</v>
      </c>
      <c r="G177" s="509">
        <v>64000</v>
      </c>
      <c r="H177" s="509">
        <v>40000</v>
      </c>
      <c r="I177" s="512">
        <v>122000</v>
      </c>
      <c r="J177" s="513">
        <v>11000</v>
      </c>
      <c r="K177" s="514">
        <v>155000</v>
      </c>
      <c r="L177" s="514"/>
      <c r="M177" s="513">
        <v>211000</v>
      </c>
      <c r="N177" s="513"/>
      <c r="O177" s="513">
        <v>929000</v>
      </c>
      <c r="P177" s="513">
        <v>165500</v>
      </c>
      <c r="Q177" s="515">
        <v>46000</v>
      </c>
      <c r="R177" s="513">
        <v>7300</v>
      </c>
      <c r="S177" s="515">
        <v>4300</v>
      </c>
      <c r="T177" s="515"/>
      <c r="U177" s="515">
        <v>22450</v>
      </c>
      <c r="V177" s="516">
        <v>113400</v>
      </c>
      <c r="W177" s="516">
        <v>1900</v>
      </c>
      <c r="X177" s="511">
        <v>14400</v>
      </c>
      <c r="Y177" s="511">
        <v>7750</v>
      </c>
      <c r="Z177" s="511">
        <v>5650</v>
      </c>
      <c r="AA177" s="511">
        <v>41100</v>
      </c>
      <c r="AB177" s="511">
        <v>1870</v>
      </c>
      <c r="AC177" s="511">
        <v>2820</v>
      </c>
      <c r="AD177" s="511">
        <v>10640</v>
      </c>
      <c r="AE177" s="511">
        <v>9950</v>
      </c>
      <c r="AF177" s="511">
        <v>2300</v>
      </c>
      <c r="AG177" s="511">
        <v>2170</v>
      </c>
      <c r="AH177" s="511">
        <v>60100</v>
      </c>
      <c r="AI177" s="511">
        <v>71900</v>
      </c>
      <c r="AJ177" s="511">
        <v>2330</v>
      </c>
      <c r="AK177" s="511">
        <v>4100</v>
      </c>
      <c r="AL177" s="511">
        <v>3950</v>
      </c>
      <c r="AM177" s="511">
        <v>3985</v>
      </c>
      <c r="AN177" s="509">
        <v>40000</v>
      </c>
    </row>
    <row r="178" spans="1:40" s="509" customFormat="1" x14ac:dyDescent="0.25">
      <c r="B178" s="510"/>
      <c r="C178" s="509" t="s">
        <v>271</v>
      </c>
      <c r="F178" s="511">
        <v>103000</v>
      </c>
      <c r="G178" s="509">
        <v>64000</v>
      </c>
      <c r="H178" s="509">
        <v>40000</v>
      </c>
      <c r="I178" s="512">
        <v>122000</v>
      </c>
      <c r="J178" s="513">
        <v>11000</v>
      </c>
      <c r="K178" s="514">
        <v>155000</v>
      </c>
      <c r="L178" s="514"/>
      <c r="M178" s="513">
        <v>211000</v>
      </c>
      <c r="N178" s="513"/>
      <c r="O178" s="513">
        <v>929000</v>
      </c>
      <c r="P178" s="513">
        <v>165500</v>
      </c>
      <c r="Q178" s="515">
        <v>46000</v>
      </c>
      <c r="R178" s="513">
        <v>7300</v>
      </c>
      <c r="S178" s="515">
        <v>4300</v>
      </c>
      <c r="T178" s="515"/>
      <c r="U178" s="515">
        <v>22450</v>
      </c>
      <c r="V178" s="516">
        <v>113400</v>
      </c>
      <c r="W178" s="516">
        <v>1900</v>
      </c>
      <c r="X178" s="511">
        <v>14400</v>
      </c>
      <c r="Y178" s="511">
        <v>7750</v>
      </c>
      <c r="Z178" s="511">
        <v>5650</v>
      </c>
      <c r="AA178" s="511">
        <v>41100</v>
      </c>
      <c r="AB178" s="511">
        <v>1850</v>
      </c>
      <c r="AC178" s="511">
        <v>2820</v>
      </c>
      <c r="AD178" s="511">
        <v>10640</v>
      </c>
      <c r="AE178" s="511">
        <v>9950</v>
      </c>
      <c r="AF178" s="511">
        <v>2330</v>
      </c>
      <c r="AG178" s="511">
        <v>2170</v>
      </c>
      <c r="AH178" s="511">
        <v>60100</v>
      </c>
      <c r="AI178" s="511">
        <v>71900</v>
      </c>
      <c r="AJ178" s="511">
        <v>2330</v>
      </c>
      <c r="AK178" s="511">
        <v>4100</v>
      </c>
      <c r="AL178" s="511">
        <v>3950</v>
      </c>
      <c r="AM178" s="511">
        <v>3985</v>
      </c>
      <c r="AN178" s="509">
        <v>40000</v>
      </c>
    </row>
    <row r="180" spans="1:40" ht="16.5" thickBot="1" x14ac:dyDescent="0.3">
      <c r="O180" s="492" t="s">
        <v>789</v>
      </c>
    </row>
    <row r="181" spans="1:40" x14ac:dyDescent="0.25">
      <c r="A181" s="3"/>
      <c r="B181" s="805"/>
      <c r="C181" s="170"/>
      <c r="D181" s="170"/>
      <c r="E181" s="170"/>
      <c r="F181" s="170"/>
      <c r="G181" s="81" t="s">
        <v>66</v>
      </c>
      <c r="H181" s="40"/>
      <c r="I181" s="762"/>
      <c r="J181" s="762"/>
      <c r="K181" s="930" t="s">
        <v>878</v>
      </c>
      <c r="L181" s="763"/>
      <c r="M181" s="764" t="s">
        <v>66</v>
      </c>
      <c r="N181" s="765"/>
      <c r="O181" s="765" t="s">
        <v>66</v>
      </c>
      <c r="P181" s="764" t="s">
        <v>66</v>
      </c>
      <c r="Q181" s="26" t="s">
        <v>879</v>
      </c>
      <c r="R181" s="764" t="s">
        <v>828</v>
      </c>
      <c r="S181" s="40"/>
      <c r="T181" s="40"/>
      <c r="U181" s="26" t="s">
        <v>879</v>
      </c>
      <c r="V181" s="766" t="s">
        <v>826</v>
      </c>
      <c r="W181" s="34" t="s">
        <v>824</v>
      </c>
      <c r="X181" s="32"/>
      <c r="Y181" s="6"/>
      <c r="Z181" s="761"/>
    </row>
    <row r="182" spans="1:40" s="64" customFormat="1" x14ac:dyDescent="0.25">
      <c r="A182" s="3"/>
      <c r="B182" s="767" t="s">
        <v>85</v>
      </c>
      <c r="C182" s="39" t="s">
        <v>86</v>
      </c>
      <c r="D182" s="39"/>
      <c r="E182" s="39"/>
      <c r="F182" s="759" t="s">
        <v>802</v>
      </c>
      <c r="G182" s="41">
        <v>2016</v>
      </c>
      <c r="H182" s="41" t="s">
        <v>803</v>
      </c>
      <c r="I182" s="47"/>
      <c r="J182" s="759"/>
      <c r="K182" s="931"/>
      <c r="L182" s="768"/>
      <c r="M182" s="769">
        <v>2017</v>
      </c>
      <c r="N182" s="770"/>
      <c r="O182" s="771">
        <v>2015</v>
      </c>
      <c r="P182" s="772">
        <v>2015</v>
      </c>
      <c r="Q182" s="772">
        <v>2014</v>
      </c>
      <c r="R182" s="773" t="s">
        <v>880</v>
      </c>
      <c r="S182" s="41"/>
      <c r="T182" s="41"/>
      <c r="U182" s="22">
        <v>2014</v>
      </c>
      <c r="V182" s="13">
        <v>2012</v>
      </c>
      <c r="W182" s="29" t="s">
        <v>828</v>
      </c>
      <c r="X182" s="57"/>
      <c r="Y182" s="19"/>
      <c r="Z182" s="761"/>
    </row>
    <row r="183" spans="1:40" s="64" customFormat="1" ht="16.5" thickBot="1" x14ac:dyDescent="0.3">
      <c r="A183" s="3"/>
      <c r="B183" s="774"/>
      <c r="C183" s="101"/>
      <c r="D183" s="101"/>
      <c r="E183" s="101"/>
      <c r="F183" s="775"/>
      <c r="G183" s="101"/>
      <c r="H183" s="45"/>
      <c r="I183" s="101"/>
      <c r="J183" s="775"/>
      <c r="K183" s="932"/>
      <c r="L183" s="776"/>
      <c r="M183" s="777" t="s">
        <v>834</v>
      </c>
      <c r="N183" s="778"/>
      <c r="O183" s="778" t="s">
        <v>834</v>
      </c>
      <c r="P183" s="777" t="s">
        <v>106</v>
      </c>
      <c r="Q183" s="44" t="s">
        <v>834</v>
      </c>
      <c r="R183" s="777" t="s">
        <v>834</v>
      </c>
      <c r="S183" s="45"/>
      <c r="T183" s="45"/>
      <c r="U183" s="44" t="s">
        <v>834</v>
      </c>
      <c r="V183" s="779" t="s">
        <v>835</v>
      </c>
      <c r="W183" s="63" t="s">
        <v>832</v>
      </c>
      <c r="X183" s="57"/>
      <c r="Y183" s="19"/>
      <c r="Z183" s="761"/>
    </row>
    <row r="184" spans="1:40" s="64" customFormat="1" x14ac:dyDescent="0.25">
      <c r="A184" s="3"/>
      <c r="B184" s="780" t="s">
        <v>804</v>
      </c>
      <c r="C184" s="47"/>
      <c r="D184" s="47"/>
      <c r="E184" s="47"/>
      <c r="F184" s="759"/>
      <c r="G184" s="47"/>
      <c r="H184" s="41"/>
      <c r="J184" s="759"/>
      <c r="K184" s="773"/>
      <c r="L184" s="773"/>
      <c r="M184" s="773"/>
      <c r="N184" s="781"/>
      <c r="O184" s="781"/>
      <c r="P184" s="773"/>
      <c r="Q184" s="782"/>
      <c r="R184" s="773"/>
      <c r="S184" s="41"/>
      <c r="T184" s="41"/>
      <c r="U184" s="782"/>
      <c r="V184" s="695"/>
      <c r="W184" s="29"/>
      <c r="X184" s="57"/>
      <c r="Y184" s="19"/>
      <c r="Z184" s="761"/>
    </row>
    <row r="185" spans="1:40" s="64" customFormat="1" x14ac:dyDescent="0.25">
      <c r="B185" s="38" t="s">
        <v>805</v>
      </c>
      <c r="C185" s="41" t="s">
        <v>757</v>
      </c>
      <c r="D185" s="41"/>
      <c r="E185" s="41"/>
      <c r="F185" s="759" t="s">
        <v>807</v>
      </c>
      <c r="G185" s="41"/>
      <c r="H185" s="41"/>
      <c r="J185" s="759"/>
      <c r="K185" s="773"/>
      <c r="L185" s="773"/>
      <c r="M185" s="773"/>
      <c r="N185" s="781"/>
      <c r="O185" s="781"/>
      <c r="P185" s="773"/>
      <c r="Q185" s="784">
        <v>2747840</v>
      </c>
      <c r="R185" s="773"/>
      <c r="S185" s="785"/>
      <c r="T185" s="785"/>
      <c r="U185" s="784">
        <v>2747840</v>
      </c>
      <c r="V185" s="47"/>
      <c r="W185" s="29">
        <v>7231015</v>
      </c>
      <c r="X185" s="57"/>
      <c r="Y185" s="19"/>
      <c r="Z185" s="761"/>
    </row>
    <row r="186" spans="1:40" s="64" customFormat="1" x14ac:dyDescent="0.25">
      <c r="B186" s="38" t="s">
        <v>805</v>
      </c>
      <c r="C186" s="41" t="s">
        <v>808</v>
      </c>
      <c r="D186" s="41"/>
      <c r="E186" s="41"/>
      <c r="F186" s="759" t="s">
        <v>809</v>
      </c>
      <c r="G186" s="41"/>
      <c r="H186" s="41"/>
      <c r="J186" s="759"/>
      <c r="K186" s="773"/>
      <c r="L186" s="773"/>
      <c r="M186" s="773"/>
      <c r="N186" s="781"/>
      <c r="O186" s="781"/>
      <c r="P186" s="773"/>
      <c r="Q186" s="784" t="s">
        <v>856</v>
      </c>
      <c r="R186" s="773"/>
      <c r="S186" s="785"/>
      <c r="T186" s="785"/>
      <c r="U186" s="784" t="s">
        <v>856</v>
      </c>
      <c r="V186" s="29">
        <v>224</v>
      </c>
      <c r="W186" s="39">
        <v>81760</v>
      </c>
      <c r="X186" s="57"/>
      <c r="Y186" s="19"/>
      <c r="Z186" s="761"/>
    </row>
    <row r="187" spans="1:40" s="64" customFormat="1" ht="16.5" thickBot="1" x14ac:dyDescent="0.3">
      <c r="B187" s="35" t="s">
        <v>811</v>
      </c>
      <c r="C187" s="45"/>
      <c r="D187" s="45"/>
      <c r="E187" s="45"/>
      <c r="F187" s="45"/>
      <c r="G187" s="45"/>
      <c r="H187" s="45"/>
      <c r="I187" s="775"/>
      <c r="J187" s="775"/>
      <c r="K187" s="777"/>
      <c r="L187" s="777"/>
      <c r="M187" s="777"/>
      <c r="N187" s="778"/>
      <c r="O187" s="778"/>
      <c r="P187" s="777"/>
      <c r="Q187" s="786"/>
      <c r="R187" s="777"/>
      <c r="S187" s="787"/>
      <c r="T187" s="787"/>
      <c r="U187" s="786"/>
      <c r="V187" s="63"/>
      <c r="W187" s="788">
        <f>SUM(W185:W186)</f>
        <v>7312775</v>
      </c>
      <c r="X187" s="57"/>
      <c r="Y187" s="19"/>
      <c r="Z187" s="761"/>
    </row>
    <row r="188" spans="1:40" ht="16.5" thickBot="1" x14ac:dyDescent="0.3">
      <c r="B188" s="789" t="s">
        <v>813</v>
      </c>
      <c r="C188" s="790"/>
      <c r="D188" s="790"/>
      <c r="E188" s="790"/>
      <c r="F188" s="790"/>
      <c r="G188" s="631"/>
      <c r="H188" s="631"/>
      <c r="I188" s="741" t="s">
        <v>827</v>
      </c>
      <c r="J188" s="741" t="s">
        <v>881</v>
      </c>
      <c r="K188" s="742"/>
      <c r="L188" s="742"/>
      <c r="M188" s="743" t="s">
        <v>862</v>
      </c>
      <c r="N188" s="792"/>
      <c r="O188" s="793" t="s">
        <v>862</v>
      </c>
      <c r="P188" s="742"/>
      <c r="Q188" s="743" t="s">
        <v>882</v>
      </c>
      <c r="R188" s="742" t="s">
        <v>883</v>
      </c>
      <c r="S188" s="794"/>
      <c r="T188" s="794"/>
      <c r="U188" s="743" t="s">
        <v>882</v>
      </c>
      <c r="V188" s="790"/>
      <c r="W188" s="790"/>
      <c r="X188" s="795" t="s">
        <v>816</v>
      </c>
      <c r="Z188" s="761"/>
    </row>
    <row r="189" spans="1:40" x14ac:dyDescent="0.25">
      <c r="B189" s="176" t="s">
        <v>752</v>
      </c>
      <c r="C189" s="39" t="s">
        <v>817</v>
      </c>
      <c r="D189" s="39"/>
      <c r="E189" s="39"/>
      <c r="F189" s="39" t="s">
        <v>874</v>
      </c>
      <c r="G189" s="41"/>
      <c r="H189" s="46">
        <v>29000</v>
      </c>
      <c r="I189" s="492">
        <v>35</v>
      </c>
      <c r="J189" s="492">
        <f>SUM(H189*I189)</f>
        <v>1015000</v>
      </c>
      <c r="K189" s="696"/>
      <c r="L189" s="696"/>
      <c r="M189" s="702">
        <v>135000</v>
      </c>
      <c r="N189" s="797"/>
      <c r="O189" s="798">
        <v>130000</v>
      </c>
      <c r="P189" s="696"/>
      <c r="Q189" s="702">
        <v>135000</v>
      </c>
      <c r="R189" s="691">
        <f t="shared" ref="R189:R190" si="8">(J189/7.48)</f>
        <v>135695.18716577539</v>
      </c>
      <c r="S189" s="519" t="s">
        <v>134</v>
      </c>
      <c r="U189" s="702">
        <v>135000</v>
      </c>
      <c r="X189" s="177"/>
      <c r="Z189" s="761"/>
    </row>
    <row r="190" spans="1:40" x14ac:dyDescent="0.25">
      <c r="B190" s="176" t="s">
        <v>122</v>
      </c>
      <c r="C190" s="42"/>
      <c r="D190" s="42"/>
      <c r="E190" s="42"/>
      <c r="F190" s="42"/>
      <c r="G190" s="47"/>
      <c r="H190" s="46">
        <v>23000</v>
      </c>
      <c r="I190" s="492">
        <v>3</v>
      </c>
      <c r="J190" s="492">
        <f>SUM(H190*I190)</f>
        <v>69000</v>
      </c>
      <c r="K190" s="696"/>
      <c r="L190" s="696"/>
      <c r="M190" s="705">
        <v>9000</v>
      </c>
      <c r="N190" s="797"/>
      <c r="O190" s="798">
        <v>8500</v>
      </c>
      <c r="P190" s="696"/>
      <c r="Q190" s="705">
        <v>9000</v>
      </c>
      <c r="R190" s="696">
        <f t="shared" si="8"/>
        <v>9224.5989304812829</v>
      </c>
      <c r="S190" s="519" t="s">
        <v>134</v>
      </c>
      <c r="U190" s="705">
        <v>9000</v>
      </c>
      <c r="X190" s="177"/>
      <c r="Z190" s="761"/>
    </row>
    <row r="191" spans="1:40" x14ac:dyDescent="0.25">
      <c r="B191" s="176" t="s">
        <v>753</v>
      </c>
      <c r="C191" s="42"/>
      <c r="D191" s="42"/>
      <c r="E191" s="42"/>
      <c r="F191" s="42"/>
      <c r="G191" s="47"/>
      <c r="H191" s="46">
        <v>26000</v>
      </c>
      <c r="I191" s="492">
        <v>3</v>
      </c>
      <c r="K191" s="696"/>
      <c r="L191" s="696"/>
      <c r="M191" s="705">
        <v>6900</v>
      </c>
      <c r="N191" s="797"/>
      <c r="O191" s="798">
        <v>7000</v>
      </c>
      <c r="P191" s="696"/>
      <c r="Q191" s="705">
        <v>6900</v>
      </c>
      <c r="R191" s="696">
        <v>6952</v>
      </c>
      <c r="S191" s="519" t="s">
        <v>134</v>
      </c>
      <c r="U191" s="705">
        <v>6900</v>
      </c>
      <c r="X191" s="177"/>
      <c r="Z191" s="761"/>
    </row>
    <row r="192" spans="1:40" x14ac:dyDescent="0.25">
      <c r="B192" s="176" t="s">
        <v>131</v>
      </c>
      <c r="C192" s="42"/>
      <c r="D192" s="42"/>
      <c r="E192" s="42"/>
      <c r="F192" s="42"/>
      <c r="G192" s="47"/>
      <c r="H192" s="46">
        <v>40000</v>
      </c>
      <c r="I192" s="492">
        <v>3</v>
      </c>
      <c r="J192" s="492">
        <f>SUM(H192*I192)</f>
        <v>120000</v>
      </c>
      <c r="K192" s="696"/>
      <c r="L192" s="696"/>
      <c r="M192" s="705">
        <v>16100</v>
      </c>
      <c r="N192" s="797"/>
      <c r="O192" s="798">
        <v>16000</v>
      </c>
      <c r="P192" s="696"/>
      <c r="Q192" s="705">
        <v>16100</v>
      </c>
      <c r="R192" s="696">
        <f t="shared" ref="R192:R206" si="9">(J192/7.48)</f>
        <v>16042.780748663101</v>
      </c>
      <c r="S192" s="519" t="s">
        <v>134</v>
      </c>
      <c r="U192" s="705">
        <v>16100</v>
      </c>
      <c r="W192" s="730">
        <v>1120000</v>
      </c>
      <c r="X192" s="696">
        <f>SUM(V192*W192)</f>
        <v>0</v>
      </c>
    </row>
    <row r="193" spans="1:25" x14ac:dyDescent="0.25">
      <c r="B193" s="729" t="s">
        <v>110</v>
      </c>
      <c r="C193" s="42"/>
      <c r="D193" s="42"/>
      <c r="E193" s="42"/>
      <c r="F193" s="42"/>
      <c r="G193" s="47"/>
      <c r="H193" s="46"/>
      <c r="I193" s="492" t="s">
        <v>509</v>
      </c>
      <c r="J193" s="492">
        <v>1000000</v>
      </c>
      <c r="K193" s="696"/>
      <c r="L193" s="696"/>
      <c r="M193" s="705">
        <v>133689</v>
      </c>
      <c r="N193" s="797"/>
      <c r="O193" s="798">
        <v>133000</v>
      </c>
      <c r="P193" s="696"/>
      <c r="Q193" s="705">
        <v>133689</v>
      </c>
      <c r="R193" s="696">
        <f t="shared" si="9"/>
        <v>133689.83957219252</v>
      </c>
      <c r="S193" s="519" t="s">
        <v>134</v>
      </c>
      <c r="U193" s="705">
        <v>133689</v>
      </c>
      <c r="X193" s="696"/>
    </row>
    <row r="194" spans="1:25" x14ac:dyDescent="0.25">
      <c r="B194" s="176" t="s">
        <v>135</v>
      </c>
      <c r="C194" s="42" t="s">
        <v>136</v>
      </c>
      <c r="D194" s="42"/>
      <c r="E194" s="42"/>
      <c r="F194" s="42"/>
      <c r="G194" s="47"/>
      <c r="H194" s="46">
        <v>39000</v>
      </c>
      <c r="I194" s="492">
        <v>35</v>
      </c>
      <c r="J194" s="492">
        <f t="shared" ref="J194:J202" si="10">SUM(H194*I194)</f>
        <v>1365000</v>
      </c>
      <c r="K194" s="696"/>
      <c r="L194" s="696"/>
      <c r="M194" s="705">
        <v>182400</v>
      </c>
      <c r="N194" s="797"/>
      <c r="O194" s="798">
        <v>182000</v>
      </c>
      <c r="P194" s="696"/>
      <c r="Q194" s="705">
        <v>182400</v>
      </c>
      <c r="R194" s="696">
        <f t="shared" si="9"/>
        <v>182486.63101604278</v>
      </c>
      <c r="S194" s="519" t="s">
        <v>134</v>
      </c>
      <c r="U194" s="705">
        <v>182400</v>
      </c>
      <c r="X194" s="177"/>
    </row>
    <row r="195" spans="1:25" x14ac:dyDescent="0.25">
      <c r="B195" s="176" t="s">
        <v>137</v>
      </c>
      <c r="C195" s="42"/>
      <c r="D195" s="42"/>
      <c r="E195" s="42"/>
      <c r="F195" s="42"/>
      <c r="G195" s="47"/>
      <c r="H195" s="46">
        <v>57000</v>
      </c>
      <c r="I195" s="492">
        <v>3</v>
      </c>
      <c r="J195" s="492">
        <f t="shared" si="10"/>
        <v>171000</v>
      </c>
      <c r="K195" s="696"/>
      <c r="L195" s="696"/>
      <c r="M195" s="705">
        <v>22800</v>
      </c>
      <c r="N195" s="797"/>
      <c r="O195" s="798">
        <v>23000</v>
      </c>
      <c r="P195" s="696"/>
      <c r="Q195" s="705">
        <v>22800</v>
      </c>
      <c r="R195" s="696">
        <f t="shared" si="9"/>
        <v>22860.962566844919</v>
      </c>
      <c r="S195" s="519" t="s">
        <v>134</v>
      </c>
      <c r="U195" s="705">
        <v>22800</v>
      </c>
      <c r="X195" s="799"/>
    </row>
    <row r="196" spans="1:25" x14ac:dyDescent="0.25">
      <c r="A196" s="168"/>
      <c r="B196" s="176" t="s">
        <v>754</v>
      </c>
      <c r="C196" s="42" t="s">
        <v>818</v>
      </c>
      <c r="D196" s="42"/>
      <c r="E196" s="42"/>
      <c r="F196" s="42"/>
      <c r="G196" s="47"/>
      <c r="H196" s="800">
        <v>16296</v>
      </c>
      <c r="I196" s="492">
        <v>3</v>
      </c>
      <c r="J196" s="492">
        <f t="shared" si="10"/>
        <v>48888</v>
      </c>
      <c r="K196" s="696"/>
      <c r="L196" s="696"/>
      <c r="M196" s="705">
        <v>6575</v>
      </c>
      <c r="N196" s="797"/>
      <c r="O196" s="798">
        <v>6500</v>
      </c>
      <c r="P196" s="696"/>
      <c r="Q196" s="705">
        <v>6575</v>
      </c>
      <c r="R196" s="696">
        <f t="shared" si="9"/>
        <v>6535.8288770053468</v>
      </c>
      <c r="S196" s="519" t="s">
        <v>134</v>
      </c>
      <c r="U196" s="705">
        <v>6575</v>
      </c>
      <c r="X196" s="177"/>
    </row>
    <row r="197" spans="1:25" x14ac:dyDescent="0.25">
      <c r="A197" s="168"/>
      <c r="B197" s="176" t="s">
        <v>755</v>
      </c>
      <c r="C197" s="42" t="s">
        <v>819</v>
      </c>
      <c r="D197" s="42"/>
      <c r="E197" s="42"/>
      <c r="F197" s="42"/>
      <c r="G197" s="47"/>
      <c r="H197" s="800">
        <v>16296</v>
      </c>
      <c r="I197" s="492">
        <v>2</v>
      </c>
      <c r="J197" s="492">
        <f t="shared" si="10"/>
        <v>32592</v>
      </c>
      <c r="K197" s="696"/>
      <c r="L197" s="696"/>
      <c r="M197" s="705">
        <v>4350</v>
      </c>
      <c r="N197" s="797"/>
      <c r="O197" s="798">
        <v>4250</v>
      </c>
      <c r="P197" s="696"/>
      <c r="Q197" s="705">
        <v>4350</v>
      </c>
      <c r="R197" s="696">
        <f t="shared" si="9"/>
        <v>4357.2192513368982</v>
      </c>
      <c r="S197" s="519" t="s">
        <v>134</v>
      </c>
      <c r="U197" s="705">
        <v>4350</v>
      </c>
      <c r="X197" s="177"/>
    </row>
    <row r="198" spans="1:25" x14ac:dyDescent="0.25">
      <c r="A198" s="168"/>
      <c r="B198" s="176" t="s">
        <v>754</v>
      </c>
      <c r="C198" s="42" t="s">
        <v>820</v>
      </c>
      <c r="D198" s="42"/>
      <c r="E198" s="42"/>
      <c r="F198" s="42"/>
      <c r="G198" s="47"/>
      <c r="H198" s="800">
        <v>22408</v>
      </c>
      <c r="I198" s="492">
        <v>2.5</v>
      </c>
      <c r="J198" s="492">
        <f t="shared" si="10"/>
        <v>56020</v>
      </c>
      <c r="K198" s="696"/>
      <c r="L198" s="696"/>
      <c r="M198" s="705">
        <v>6900</v>
      </c>
      <c r="N198" s="797"/>
      <c r="O198" s="798">
        <v>7000</v>
      </c>
      <c r="P198" s="696"/>
      <c r="Q198" s="705">
        <v>6900</v>
      </c>
      <c r="R198" s="696">
        <f t="shared" si="9"/>
        <v>7489.3048128342243</v>
      </c>
      <c r="S198" s="519" t="s">
        <v>134</v>
      </c>
      <c r="U198" s="705">
        <v>6900</v>
      </c>
      <c r="X198" s="177"/>
    </row>
    <row r="199" spans="1:25" x14ac:dyDescent="0.25">
      <c r="A199" s="168"/>
      <c r="B199" s="176" t="s">
        <v>139</v>
      </c>
      <c r="C199" s="42"/>
      <c r="D199" s="42"/>
      <c r="E199" s="42"/>
      <c r="F199" s="42"/>
      <c r="G199" s="47"/>
      <c r="H199" s="46">
        <v>31000</v>
      </c>
      <c r="I199" s="492">
        <v>3</v>
      </c>
      <c r="J199" s="492">
        <f t="shared" si="10"/>
        <v>93000</v>
      </c>
      <c r="K199" s="696"/>
      <c r="L199" s="696"/>
      <c r="M199" s="705">
        <v>12400</v>
      </c>
      <c r="N199" s="797"/>
      <c r="O199" s="798">
        <v>12500</v>
      </c>
      <c r="P199" s="696"/>
      <c r="Q199" s="705">
        <v>12400</v>
      </c>
      <c r="R199" s="696">
        <f t="shared" si="9"/>
        <v>12433.155080213903</v>
      </c>
      <c r="S199" s="519" t="s">
        <v>134</v>
      </c>
      <c r="U199" s="705">
        <v>12400</v>
      </c>
      <c r="X199" s="177"/>
    </row>
    <row r="200" spans="1:25" x14ac:dyDescent="0.25">
      <c r="A200" s="168"/>
      <c r="B200" s="176" t="s">
        <v>141</v>
      </c>
      <c r="C200" s="42"/>
      <c r="D200" s="42"/>
      <c r="E200" s="42"/>
      <c r="F200" s="42"/>
      <c r="G200" s="47"/>
      <c r="H200" s="46">
        <v>43000</v>
      </c>
      <c r="I200" s="492">
        <v>3</v>
      </c>
      <c r="J200" s="492">
        <f t="shared" si="10"/>
        <v>129000</v>
      </c>
      <c r="K200" s="696"/>
      <c r="L200" s="696"/>
      <c r="M200" s="705">
        <v>17250</v>
      </c>
      <c r="N200" s="797"/>
      <c r="O200" s="798">
        <v>17000</v>
      </c>
      <c r="P200" s="696"/>
      <c r="Q200" s="705">
        <v>17250</v>
      </c>
      <c r="R200" s="696">
        <f t="shared" si="9"/>
        <v>17245.989304812832</v>
      </c>
      <c r="S200" s="519" t="s">
        <v>134</v>
      </c>
      <c r="U200" s="705">
        <v>17250</v>
      </c>
      <c r="X200" s="177"/>
    </row>
    <row r="201" spans="1:25" x14ac:dyDescent="0.25">
      <c r="A201" s="168"/>
      <c r="B201" s="176" t="s">
        <v>142</v>
      </c>
      <c r="C201" s="42"/>
      <c r="D201" s="42"/>
      <c r="E201" s="42"/>
      <c r="F201" s="42"/>
      <c r="G201" s="47"/>
      <c r="H201" s="46">
        <v>17000</v>
      </c>
      <c r="I201" s="492">
        <v>2</v>
      </c>
      <c r="J201" s="492">
        <f t="shared" si="10"/>
        <v>34000</v>
      </c>
      <c r="K201" s="696"/>
      <c r="L201" s="696"/>
      <c r="M201" s="705">
        <v>4500</v>
      </c>
      <c r="N201" s="797"/>
      <c r="O201" s="798">
        <v>4750</v>
      </c>
      <c r="P201" s="696"/>
      <c r="Q201" s="705">
        <v>4500</v>
      </c>
      <c r="R201" s="696">
        <f t="shared" si="9"/>
        <v>4545.454545454545</v>
      </c>
      <c r="S201" s="519" t="s">
        <v>134</v>
      </c>
      <c r="U201" s="705">
        <v>4500</v>
      </c>
      <c r="X201" s="177"/>
    </row>
    <row r="202" spans="1:25" x14ac:dyDescent="0.25">
      <c r="A202" s="168"/>
      <c r="B202" s="176" t="s">
        <v>144</v>
      </c>
      <c r="C202" s="42"/>
      <c r="D202" s="42"/>
      <c r="E202" s="42"/>
      <c r="F202" s="42"/>
      <c r="G202" s="47"/>
      <c r="H202" s="46">
        <v>47000</v>
      </c>
      <c r="I202" s="492">
        <v>3</v>
      </c>
      <c r="J202" s="492">
        <f t="shared" si="10"/>
        <v>141000</v>
      </c>
      <c r="K202" s="696"/>
      <c r="L202" s="696"/>
      <c r="M202" s="705">
        <v>18750</v>
      </c>
      <c r="N202" s="797"/>
      <c r="O202" s="798">
        <v>18500</v>
      </c>
      <c r="P202" s="696"/>
      <c r="Q202" s="705">
        <v>18750</v>
      </c>
      <c r="R202" s="696">
        <f t="shared" si="9"/>
        <v>18850.267379679142</v>
      </c>
      <c r="S202" s="519" t="s">
        <v>134</v>
      </c>
      <c r="U202" s="705">
        <v>18750</v>
      </c>
      <c r="W202" s="730">
        <v>501000</v>
      </c>
      <c r="X202" s="177"/>
    </row>
    <row r="203" spans="1:25" x14ac:dyDescent="0.25">
      <c r="A203" s="168"/>
      <c r="B203" s="729" t="s">
        <v>884</v>
      </c>
      <c r="C203" s="42"/>
      <c r="D203" s="42"/>
      <c r="E203" s="42"/>
      <c r="F203" s="42"/>
      <c r="G203" s="47"/>
      <c r="H203" s="46"/>
      <c r="I203" s="492" t="s">
        <v>509</v>
      </c>
      <c r="J203" s="801">
        <v>360000</v>
      </c>
      <c r="K203" s="802"/>
      <c r="L203" s="802"/>
      <c r="M203" s="705">
        <v>48000</v>
      </c>
      <c r="N203" s="797"/>
      <c r="O203" s="803">
        <v>48250</v>
      </c>
      <c r="P203" s="802"/>
      <c r="Q203" s="705">
        <v>48000</v>
      </c>
      <c r="R203" s="696">
        <f t="shared" si="9"/>
        <v>48128.342245989305</v>
      </c>
      <c r="S203" s="519" t="s">
        <v>134</v>
      </c>
      <c r="U203" s="705">
        <v>48000</v>
      </c>
      <c r="X203" s="177"/>
    </row>
    <row r="204" spans="1:25" x14ac:dyDescent="0.25">
      <c r="A204" s="168"/>
      <c r="B204" s="176" t="s">
        <v>203</v>
      </c>
      <c r="C204" s="42"/>
      <c r="D204" s="42"/>
      <c r="E204" s="42"/>
      <c r="F204" s="42"/>
      <c r="G204" s="47"/>
      <c r="H204" s="46">
        <v>75000</v>
      </c>
      <c r="I204" s="492">
        <v>35</v>
      </c>
      <c r="J204" s="492">
        <f>SUM(H204*I204)</f>
        <v>2625000</v>
      </c>
      <c r="K204" s="696"/>
      <c r="L204" s="696"/>
      <c r="M204" s="705">
        <v>350900</v>
      </c>
      <c r="N204" s="797"/>
      <c r="O204" s="798">
        <v>350000</v>
      </c>
      <c r="P204" s="696"/>
      <c r="Q204" s="705">
        <v>350900</v>
      </c>
      <c r="R204" s="696">
        <f t="shared" si="9"/>
        <v>350935.82887700532</v>
      </c>
      <c r="S204" s="519" t="s">
        <v>134</v>
      </c>
      <c r="U204" s="705">
        <v>350900</v>
      </c>
      <c r="X204" s="177"/>
    </row>
    <row r="205" spans="1:25" x14ac:dyDescent="0.25">
      <c r="A205" s="168"/>
      <c r="B205" s="767" t="s">
        <v>146</v>
      </c>
      <c r="C205" s="42"/>
      <c r="D205" s="42"/>
      <c r="E205" s="42"/>
      <c r="F205" s="42"/>
      <c r="G205" s="47"/>
      <c r="H205" s="46">
        <v>14000</v>
      </c>
      <c r="I205" s="492">
        <v>2</v>
      </c>
      <c r="J205" s="492">
        <f>SUM(H205*I205)</f>
        <v>28000</v>
      </c>
      <c r="K205" s="696"/>
      <c r="L205" s="696"/>
      <c r="M205" s="705">
        <v>3750</v>
      </c>
      <c r="N205" s="797"/>
      <c r="O205" s="798">
        <v>4000</v>
      </c>
      <c r="P205" s="696"/>
      <c r="Q205" s="705">
        <v>3750</v>
      </c>
      <c r="R205" s="696">
        <f t="shared" si="9"/>
        <v>3743.3155080213901</v>
      </c>
      <c r="S205" s="519" t="s">
        <v>134</v>
      </c>
      <c r="U205" s="705">
        <v>3750</v>
      </c>
      <c r="W205" s="519"/>
      <c r="X205" s="177"/>
      <c r="Y205" s="168"/>
    </row>
    <row r="206" spans="1:25" ht="16.5" thickBot="1" x14ac:dyDescent="0.3">
      <c r="A206" s="168"/>
      <c r="B206" s="767" t="s">
        <v>147</v>
      </c>
      <c r="C206" s="42"/>
      <c r="D206" s="42"/>
      <c r="E206" s="42"/>
      <c r="F206" s="42"/>
      <c r="G206" s="47"/>
      <c r="H206" s="46">
        <v>10000</v>
      </c>
      <c r="I206" s="492">
        <v>2</v>
      </c>
      <c r="J206" s="492">
        <f>SUM(H206*I206)</f>
        <v>20000</v>
      </c>
      <c r="K206" s="696"/>
      <c r="L206" s="696"/>
      <c r="M206" s="705">
        <v>2675</v>
      </c>
      <c r="N206" s="797"/>
      <c r="O206" s="798">
        <v>2600</v>
      </c>
      <c r="P206" s="696"/>
      <c r="Q206" s="705">
        <v>2675</v>
      </c>
      <c r="R206" s="696">
        <f t="shared" si="9"/>
        <v>2673.79679144385</v>
      </c>
      <c r="S206" s="519" t="s">
        <v>134</v>
      </c>
      <c r="U206" s="705">
        <v>2675</v>
      </c>
      <c r="W206" s="519"/>
      <c r="X206" s="177"/>
      <c r="Y206" s="168"/>
    </row>
    <row r="207" spans="1:25" ht="16.5" thickBot="1" x14ac:dyDescent="0.3">
      <c r="A207" s="168"/>
      <c r="B207" s="789" t="s">
        <v>822</v>
      </c>
      <c r="C207" s="790"/>
      <c r="D207" s="790"/>
      <c r="E207" s="790"/>
      <c r="F207" s="790"/>
      <c r="G207" s="631"/>
      <c r="H207" s="740">
        <f>SUM(H188:H206)</f>
        <v>506000</v>
      </c>
      <c r="I207" s="741"/>
      <c r="J207" s="741">
        <f>SUM(J189:J206)</f>
        <v>7307500</v>
      </c>
      <c r="K207" s="742"/>
      <c r="L207" s="742"/>
      <c r="M207" s="743">
        <f>SUM(M189:M206)</f>
        <v>981939</v>
      </c>
      <c r="N207" s="792"/>
      <c r="O207" s="793">
        <f>SUM(O189:O206)</f>
        <v>974850</v>
      </c>
      <c r="P207" s="742"/>
      <c r="Q207" s="743">
        <f>SUM(Q189:Q206)</f>
        <v>981939</v>
      </c>
      <c r="R207" s="742"/>
      <c r="S207" s="794"/>
      <c r="T207" s="794"/>
      <c r="U207" s="743">
        <f>SUM(U189:U206)</f>
        <v>981939</v>
      </c>
      <c r="V207" s="790"/>
      <c r="W207" s="790"/>
      <c r="X207" s="177"/>
      <c r="Y207" s="168"/>
    </row>
  </sheetData>
  <mergeCells count="4">
    <mergeCell ref="K52:K54"/>
    <mergeCell ref="G57:G58"/>
    <mergeCell ref="K81:K83"/>
    <mergeCell ref="K181:K18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2ECC2-4EC7-4FCC-B1A2-9CE82967D17A}">
  <dimension ref="B2:S186"/>
  <sheetViews>
    <sheetView topLeftCell="A16" zoomScaleNormal="100" workbookViewId="0">
      <selection activeCell="J52" sqref="J52"/>
    </sheetView>
  </sheetViews>
  <sheetFormatPr defaultColWidth="8.7109375" defaultRowHeight="15.75" x14ac:dyDescent="0.25"/>
  <cols>
    <col min="1" max="1" width="8.7109375" style="168"/>
    <col min="2" max="2" width="4.7109375" style="168" customWidth="1"/>
    <col min="3" max="3" width="12.140625" style="168" customWidth="1"/>
    <col min="4" max="4" width="11.85546875" style="168" customWidth="1"/>
    <col min="5" max="6" width="8.7109375" style="168"/>
    <col min="7" max="7" width="11.5703125" style="168" customWidth="1"/>
    <col min="8" max="8" width="13.42578125" style="168" customWidth="1"/>
    <col min="9" max="9" width="11" style="168" customWidth="1"/>
    <col min="10" max="12" width="11.5703125" style="168" customWidth="1"/>
    <col min="13" max="13" width="12.7109375" style="168" customWidth="1"/>
    <col min="14" max="14" width="16.7109375" style="168" customWidth="1"/>
    <col min="15" max="15" width="8.42578125" style="168" customWidth="1"/>
    <col min="16" max="16" width="9.42578125" style="168" customWidth="1"/>
    <col min="17" max="17" width="11.7109375" style="168" customWidth="1"/>
    <col min="18" max="16384" width="8.7109375" style="168"/>
  </cols>
  <sheetData>
    <row r="2" spans="2:15" x14ac:dyDescent="0.25">
      <c r="C2" s="168" t="s">
        <v>618</v>
      </c>
      <c r="H2" s="168" t="s">
        <v>645</v>
      </c>
      <c r="K2" s="533" t="s">
        <v>616</v>
      </c>
      <c r="L2" s="533"/>
      <c r="O2" s="168" t="s">
        <v>617</v>
      </c>
    </row>
    <row r="3" spans="2:15" ht="16.5" thickBot="1" x14ac:dyDescent="0.3"/>
    <row r="4" spans="2:15" x14ac:dyDescent="0.25">
      <c r="B4" s="169"/>
      <c r="C4" s="170" t="s">
        <v>362</v>
      </c>
      <c r="D4" s="170" t="s">
        <v>363</v>
      </c>
      <c r="E4" s="170" t="s">
        <v>364</v>
      </c>
      <c r="F4" s="170" t="s">
        <v>365</v>
      </c>
      <c r="G4" s="171" t="s">
        <v>366</v>
      </c>
      <c r="H4" s="170" t="s">
        <v>273</v>
      </c>
      <c r="I4" s="171" t="s">
        <v>367</v>
      </c>
      <c r="J4" s="170" t="s">
        <v>468</v>
      </c>
      <c r="K4" s="171" t="s">
        <v>475</v>
      </c>
      <c r="L4" s="172" t="s">
        <v>666</v>
      </c>
      <c r="M4" s="172" t="s">
        <v>350</v>
      </c>
    </row>
    <row r="5" spans="2:15" ht="16.5" thickBot="1" x14ac:dyDescent="0.3">
      <c r="B5" s="173"/>
      <c r="C5" s="36"/>
      <c r="D5" s="36"/>
      <c r="E5" s="36"/>
      <c r="F5" s="36"/>
      <c r="G5" s="174"/>
      <c r="H5" s="36"/>
      <c r="I5" s="174" t="s">
        <v>644</v>
      </c>
      <c r="J5" s="36"/>
      <c r="K5" s="174"/>
      <c r="L5" s="175"/>
      <c r="M5" s="175"/>
    </row>
    <row r="6" spans="2:15" x14ac:dyDescent="0.25">
      <c r="B6" s="176"/>
      <c r="C6" s="42" t="s">
        <v>260</v>
      </c>
      <c r="D6" s="42" t="s">
        <v>368</v>
      </c>
      <c r="E6" s="42">
        <v>1.3</v>
      </c>
      <c r="F6" s="42">
        <v>36.5</v>
      </c>
      <c r="G6" s="177">
        <f t="shared" ref="G6:G23" si="0">SUM(E6:F6)</f>
        <v>37.799999999999997</v>
      </c>
      <c r="H6" s="48">
        <f>SUM(G6+G7)</f>
        <v>112.19999999999999</v>
      </c>
      <c r="I6" s="178">
        <f>SUM(G6/H6)</f>
        <v>0.33689839572192515</v>
      </c>
      <c r="J6" s="42"/>
      <c r="K6" s="177"/>
      <c r="L6" s="179"/>
      <c r="M6" s="179"/>
    </row>
    <row r="7" spans="2:15" ht="16.5" thickBot="1" x14ac:dyDescent="0.3">
      <c r="B7" s="173"/>
      <c r="C7" s="36"/>
      <c r="D7" s="36" t="s">
        <v>62</v>
      </c>
      <c r="E7" s="36">
        <v>3.1</v>
      </c>
      <c r="F7" s="36">
        <v>71.3</v>
      </c>
      <c r="G7" s="174">
        <f t="shared" si="0"/>
        <v>74.399999999999991</v>
      </c>
      <c r="H7" s="48"/>
      <c r="I7" s="178"/>
      <c r="J7" s="36"/>
      <c r="K7" s="174"/>
      <c r="L7" s="175"/>
      <c r="M7" s="175"/>
    </row>
    <row r="8" spans="2:15" x14ac:dyDescent="0.25">
      <c r="B8" s="176"/>
      <c r="C8" s="42" t="s">
        <v>261</v>
      </c>
      <c r="D8" s="42" t="s">
        <v>368</v>
      </c>
      <c r="E8" s="42">
        <v>0.4</v>
      </c>
      <c r="F8" s="42">
        <v>26.6</v>
      </c>
      <c r="G8" s="177">
        <f t="shared" si="0"/>
        <v>27</v>
      </c>
      <c r="H8" s="48">
        <f t="shared" ref="H8:H28" si="1">SUM(G8+G9)</f>
        <v>88.8</v>
      </c>
      <c r="I8" s="178">
        <f t="shared" ref="I8:I28" si="2">SUM(G8/H8)</f>
        <v>0.30405405405405406</v>
      </c>
      <c r="J8" s="42"/>
      <c r="K8" s="177"/>
      <c r="L8" s="179"/>
      <c r="M8" s="179"/>
    </row>
    <row r="9" spans="2:15" x14ac:dyDescent="0.25">
      <c r="B9" s="181"/>
      <c r="C9" s="182"/>
      <c r="D9" s="182" t="s">
        <v>62</v>
      </c>
      <c r="E9" s="182">
        <v>3</v>
      </c>
      <c r="F9" s="182">
        <v>58.8</v>
      </c>
      <c r="G9" s="183">
        <f t="shared" si="0"/>
        <v>61.8</v>
      </c>
      <c r="H9" s="48"/>
      <c r="I9" s="178"/>
      <c r="J9" s="182"/>
      <c r="K9" s="183"/>
      <c r="L9" s="185"/>
      <c r="M9" s="185"/>
    </row>
    <row r="10" spans="2:15" x14ac:dyDescent="0.25">
      <c r="B10" s="176"/>
      <c r="C10" s="42" t="s">
        <v>369</v>
      </c>
      <c r="D10" s="42" t="s">
        <v>368</v>
      </c>
      <c r="E10" s="42">
        <v>0.3</v>
      </c>
      <c r="F10" s="42">
        <v>23.8</v>
      </c>
      <c r="G10" s="177">
        <f t="shared" si="0"/>
        <v>24.1</v>
      </c>
      <c r="H10" s="48">
        <f t="shared" si="1"/>
        <v>67.400000000000006</v>
      </c>
      <c r="I10" s="178">
        <f t="shared" si="2"/>
        <v>0.35756676557863498</v>
      </c>
      <c r="J10" s="42"/>
      <c r="K10" s="177"/>
      <c r="L10" s="179"/>
      <c r="M10" s="179"/>
    </row>
    <row r="11" spans="2:15" x14ac:dyDescent="0.25">
      <c r="B11" s="181"/>
      <c r="C11" s="182"/>
      <c r="D11" s="182" t="s">
        <v>62</v>
      </c>
      <c r="E11" s="182">
        <v>2.9</v>
      </c>
      <c r="F11" s="182">
        <v>40.4</v>
      </c>
      <c r="G11" s="183">
        <f t="shared" si="0"/>
        <v>43.3</v>
      </c>
      <c r="H11" s="48"/>
      <c r="I11" s="178"/>
      <c r="J11" s="182"/>
      <c r="K11" s="183"/>
      <c r="L11" s="185"/>
      <c r="M11" s="185"/>
    </row>
    <row r="12" spans="2:15" x14ac:dyDescent="0.25">
      <c r="B12" s="176"/>
      <c r="C12" s="42" t="s">
        <v>263</v>
      </c>
      <c r="D12" s="42" t="s">
        <v>368</v>
      </c>
      <c r="E12" s="42">
        <v>0.2</v>
      </c>
      <c r="F12" s="42">
        <v>9.5</v>
      </c>
      <c r="G12" s="177">
        <f t="shared" si="0"/>
        <v>9.6999999999999993</v>
      </c>
      <c r="H12" s="48">
        <f t="shared" si="1"/>
        <v>28.3</v>
      </c>
      <c r="I12" s="178">
        <f t="shared" si="2"/>
        <v>0.34275618374558303</v>
      </c>
      <c r="J12" s="42"/>
      <c r="K12" s="177"/>
      <c r="L12" s="179"/>
      <c r="M12" s="179"/>
    </row>
    <row r="13" spans="2:15" x14ac:dyDescent="0.25">
      <c r="B13" s="181"/>
      <c r="C13" s="182"/>
      <c r="D13" s="182" t="s">
        <v>62</v>
      </c>
      <c r="E13" s="182">
        <v>1.8</v>
      </c>
      <c r="F13" s="182">
        <v>16.8</v>
      </c>
      <c r="G13" s="183">
        <f t="shared" si="0"/>
        <v>18.600000000000001</v>
      </c>
      <c r="H13" s="48"/>
      <c r="I13" s="178"/>
      <c r="J13" s="182"/>
      <c r="K13" s="183"/>
      <c r="L13" s="185"/>
      <c r="M13" s="185"/>
    </row>
    <row r="14" spans="2:15" x14ac:dyDescent="0.25">
      <c r="B14" s="176"/>
      <c r="C14" s="42" t="s">
        <v>264</v>
      </c>
      <c r="D14" s="42" t="s">
        <v>368</v>
      </c>
      <c r="E14" s="42">
        <v>0.2</v>
      </c>
      <c r="F14" s="42">
        <v>11.1</v>
      </c>
      <c r="G14" s="177">
        <f t="shared" si="0"/>
        <v>11.299999999999999</v>
      </c>
      <c r="H14" s="48">
        <f t="shared" si="1"/>
        <v>41.699999999999996</v>
      </c>
      <c r="I14" s="178">
        <f t="shared" si="2"/>
        <v>0.27098321342925658</v>
      </c>
      <c r="J14" s="42"/>
      <c r="K14" s="177"/>
      <c r="L14" s="179"/>
      <c r="M14" s="179"/>
    </row>
    <row r="15" spans="2:15" x14ac:dyDescent="0.25">
      <c r="B15" s="181"/>
      <c r="C15" s="182"/>
      <c r="D15" s="182" t="s">
        <v>62</v>
      </c>
      <c r="E15" s="182">
        <v>0.9</v>
      </c>
      <c r="F15" s="182">
        <v>29.5</v>
      </c>
      <c r="G15" s="183">
        <f t="shared" si="0"/>
        <v>30.4</v>
      </c>
      <c r="H15" s="48"/>
      <c r="I15" s="178"/>
      <c r="J15" s="182"/>
      <c r="K15" s="183"/>
      <c r="L15" s="185"/>
      <c r="M15" s="185"/>
    </row>
    <row r="16" spans="2:15" x14ac:dyDescent="0.25">
      <c r="B16" s="176"/>
      <c r="C16" s="42" t="s">
        <v>265</v>
      </c>
      <c r="D16" s="42" t="s">
        <v>368</v>
      </c>
      <c r="E16" s="42">
        <v>0.3</v>
      </c>
      <c r="F16" s="42">
        <v>15.8</v>
      </c>
      <c r="G16" s="177">
        <f t="shared" si="0"/>
        <v>16.100000000000001</v>
      </c>
      <c r="H16" s="48">
        <f t="shared" si="1"/>
        <v>44</v>
      </c>
      <c r="I16" s="178">
        <f t="shared" si="2"/>
        <v>0.36590909090909096</v>
      </c>
      <c r="J16" s="42"/>
      <c r="K16" s="177"/>
      <c r="L16" s="179"/>
      <c r="M16" s="179"/>
    </row>
    <row r="17" spans="2:13" x14ac:dyDescent="0.25">
      <c r="B17" s="181"/>
      <c r="C17" s="182"/>
      <c r="D17" s="182" t="s">
        <v>62</v>
      </c>
      <c r="E17" s="182">
        <v>2.6</v>
      </c>
      <c r="F17" s="182">
        <v>25.3</v>
      </c>
      <c r="G17" s="183">
        <f t="shared" si="0"/>
        <v>27.900000000000002</v>
      </c>
      <c r="H17" s="48"/>
      <c r="I17" s="178"/>
      <c r="J17" s="182"/>
      <c r="K17" s="183"/>
      <c r="L17" s="185"/>
      <c r="M17" s="185"/>
    </row>
    <row r="18" spans="2:13" x14ac:dyDescent="0.25">
      <c r="B18" s="176"/>
      <c r="C18" s="42" t="s">
        <v>266</v>
      </c>
      <c r="D18" s="42" t="s">
        <v>368</v>
      </c>
      <c r="E18" s="42">
        <v>0.3</v>
      </c>
      <c r="F18" s="42">
        <v>30.1</v>
      </c>
      <c r="G18" s="177">
        <f t="shared" si="0"/>
        <v>30.400000000000002</v>
      </c>
      <c r="H18" s="48">
        <f t="shared" si="1"/>
        <v>68</v>
      </c>
      <c r="I18" s="178">
        <f t="shared" si="2"/>
        <v>0.44705882352941179</v>
      </c>
      <c r="J18" s="42"/>
      <c r="K18" s="177"/>
      <c r="L18" s="179"/>
      <c r="M18" s="179"/>
    </row>
    <row r="19" spans="2:13" x14ac:dyDescent="0.25">
      <c r="B19" s="181"/>
      <c r="C19" s="182"/>
      <c r="D19" s="182" t="s">
        <v>62</v>
      </c>
      <c r="E19" s="182">
        <v>2.5</v>
      </c>
      <c r="F19" s="182">
        <v>35.1</v>
      </c>
      <c r="G19" s="183">
        <f t="shared" si="0"/>
        <v>37.6</v>
      </c>
      <c r="H19" s="48"/>
      <c r="I19" s="178"/>
      <c r="J19" s="182"/>
      <c r="K19" s="183"/>
      <c r="L19" s="185"/>
      <c r="M19" s="185"/>
    </row>
    <row r="20" spans="2:13" x14ac:dyDescent="0.25">
      <c r="B20" s="176"/>
      <c r="C20" s="42" t="s">
        <v>267</v>
      </c>
      <c r="D20" s="42" t="s">
        <v>368</v>
      </c>
      <c r="E20" s="42">
        <v>0.4</v>
      </c>
      <c r="F20" s="42">
        <v>31.5</v>
      </c>
      <c r="G20" s="177">
        <f t="shared" si="0"/>
        <v>31.9</v>
      </c>
      <c r="H20" s="48">
        <f t="shared" si="1"/>
        <v>75.400000000000006</v>
      </c>
      <c r="I20" s="178">
        <f t="shared" si="2"/>
        <v>0.42307692307692302</v>
      </c>
      <c r="J20" s="42"/>
      <c r="K20" s="177"/>
      <c r="L20" s="179"/>
      <c r="M20" s="179"/>
    </row>
    <row r="21" spans="2:13" x14ac:dyDescent="0.25">
      <c r="B21" s="181"/>
      <c r="C21" s="182"/>
      <c r="D21" s="182" t="s">
        <v>62</v>
      </c>
      <c r="E21" s="182">
        <v>2.2000000000000002</v>
      </c>
      <c r="F21" s="182">
        <v>41.3</v>
      </c>
      <c r="G21" s="183">
        <f t="shared" si="0"/>
        <v>43.5</v>
      </c>
      <c r="H21" s="48"/>
      <c r="I21" s="178"/>
      <c r="J21" s="182"/>
      <c r="K21" s="183"/>
      <c r="L21" s="185"/>
      <c r="M21" s="185"/>
    </row>
    <row r="22" spans="2:13" x14ac:dyDescent="0.25">
      <c r="B22" s="176"/>
      <c r="C22" s="42" t="s">
        <v>268</v>
      </c>
      <c r="D22" s="42" t="s">
        <v>368</v>
      </c>
      <c r="E22" s="42">
        <v>0.3</v>
      </c>
      <c r="F22" s="42">
        <v>23.5</v>
      </c>
      <c r="G22" s="177">
        <f t="shared" si="0"/>
        <v>23.8</v>
      </c>
      <c r="H22" s="48">
        <f t="shared" si="1"/>
        <v>65.900000000000006</v>
      </c>
      <c r="I22" s="178">
        <f t="shared" si="2"/>
        <v>0.36115326251896812</v>
      </c>
      <c r="J22" s="42"/>
      <c r="K22" s="177"/>
      <c r="L22" s="179"/>
      <c r="M22" s="179"/>
    </row>
    <row r="23" spans="2:13" x14ac:dyDescent="0.25">
      <c r="B23" s="181"/>
      <c r="C23" s="182"/>
      <c r="D23" s="182" t="s">
        <v>62</v>
      </c>
      <c r="E23" s="182">
        <v>2.6</v>
      </c>
      <c r="F23" s="182">
        <v>39.5</v>
      </c>
      <c r="G23" s="183">
        <f t="shared" si="0"/>
        <v>42.1</v>
      </c>
      <c r="H23" s="48"/>
      <c r="I23" s="178"/>
      <c r="J23" s="182"/>
      <c r="K23" s="183"/>
      <c r="L23" s="185"/>
      <c r="M23" s="185"/>
    </row>
    <row r="24" spans="2:13" x14ac:dyDescent="0.25">
      <c r="B24" s="176"/>
      <c r="C24" s="42" t="s">
        <v>269</v>
      </c>
      <c r="D24" s="42" t="s">
        <v>368</v>
      </c>
      <c r="E24" s="42">
        <v>0.3</v>
      </c>
      <c r="F24" s="42">
        <v>23.5</v>
      </c>
      <c r="G24" s="177">
        <f t="shared" ref="G24:G29" si="3">SUM(E24:F24)</f>
        <v>23.8</v>
      </c>
      <c r="H24" s="48">
        <f t="shared" si="1"/>
        <v>65.900000000000006</v>
      </c>
      <c r="I24" s="178">
        <f t="shared" si="2"/>
        <v>0.36115326251896812</v>
      </c>
      <c r="J24" s="42"/>
      <c r="K24" s="177"/>
      <c r="L24" s="179"/>
      <c r="M24" s="179"/>
    </row>
    <row r="25" spans="2:13" x14ac:dyDescent="0.25">
      <c r="B25" s="181"/>
      <c r="C25" s="182"/>
      <c r="D25" s="182" t="s">
        <v>62</v>
      </c>
      <c r="E25" s="182">
        <v>2.6</v>
      </c>
      <c r="F25" s="182">
        <v>39.5</v>
      </c>
      <c r="G25" s="183">
        <f t="shared" si="3"/>
        <v>42.1</v>
      </c>
      <c r="H25" s="48"/>
      <c r="I25" s="178"/>
      <c r="J25" s="182"/>
      <c r="K25" s="183"/>
      <c r="L25" s="185"/>
      <c r="M25" s="185"/>
    </row>
    <row r="26" spans="2:13" x14ac:dyDescent="0.25">
      <c r="B26" s="176"/>
      <c r="C26" s="42" t="s">
        <v>270</v>
      </c>
      <c r="D26" s="42" t="s">
        <v>368</v>
      </c>
      <c r="E26" s="42">
        <v>0.3</v>
      </c>
      <c r="F26" s="42">
        <v>23.5</v>
      </c>
      <c r="G26" s="177">
        <f t="shared" si="3"/>
        <v>23.8</v>
      </c>
      <c r="H26" s="48">
        <f t="shared" si="1"/>
        <v>65.900000000000006</v>
      </c>
      <c r="I26" s="178">
        <f t="shared" si="2"/>
        <v>0.36115326251896812</v>
      </c>
      <c r="J26" s="42"/>
      <c r="K26" s="177"/>
      <c r="L26" s="179"/>
      <c r="M26" s="179"/>
    </row>
    <row r="27" spans="2:13" x14ac:dyDescent="0.25">
      <c r="B27" s="181"/>
      <c r="C27" s="182"/>
      <c r="D27" s="182" t="s">
        <v>62</v>
      </c>
      <c r="E27" s="182">
        <v>2.6</v>
      </c>
      <c r="F27" s="182">
        <v>39.5</v>
      </c>
      <c r="G27" s="183">
        <f t="shared" si="3"/>
        <v>42.1</v>
      </c>
      <c r="H27" s="48"/>
      <c r="I27" s="178"/>
      <c r="J27" s="182"/>
      <c r="K27" s="183"/>
      <c r="L27" s="185"/>
      <c r="M27" s="185"/>
    </row>
    <row r="28" spans="2:13" x14ac:dyDescent="0.25">
      <c r="B28" s="176"/>
      <c r="C28" s="42" t="s">
        <v>271</v>
      </c>
      <c r="D28" s="42" t="s">
        <v>368</v>
      </c>
      <c r="E28" s="42">
        <v>0.3</v>
      </c>
      <c r="F28" s="42">
        <v>23.5</v>
      </c>
      <c r="G28" s="177">
        <f t="shared" si="3"/>
        <v>23.8</v>
      </c>
      <c r="H28" s="48">
        <f t="shared" si="1"/>
        <v>65.900000000000006</v>
      </c>
      <c r="I28" s="178">
        <f t="shared" si="2"/>
        <v>0.36115326251896812</v>
      </c>
      <c r="J28" s="42"/>
      <c r="K28" s="177"/>
      <c r="L28" s="179"/>
      <c r="M28" s="179"/>
    </row>
    <row r="29" spans="2:13" x14ac:dyDescent="0.25">
      <c r="B29" s="181"/>
      <c r="C29" s="182"/>
      <c r="D29" s="182" t="s">
        <v>62</v>
      </c>
      <c r="E29" s="182">
        <v>2.6</v>
      </c>
      <c r="F29" s="182">
        <v>39.5</v>
      </c>
      <c r="G29" s="183">
        <f t="shared" si="3"/>
        <v>42.1</v>
      </c>
      <c r="H29" s="182"/>
      <c r="I29" s="184"/>
      <c r="J29" s="182"/>
      <c r="K29" s="183"/>
      <c r="L29" s="185"/>
      <c r="M29" s="185"/>
    </row>
    <row r="30" spans="2:13" x14ac:dyDescent="0.25">
      <c r="B30" s="176"/>
      <c r="C30" s="42" t="s">
        <v>370</v>
      </c>
      <c r="D30" s="42"/>
      <c r="E30" s="42"/>
      <c r="F30" s="42"/>
      <c r="G30" s="177"/>
      <c r="H30" s="48">
        <f>SUM(H6:H29)</f>
        <v>789.39999999999986</v>
      </c>
      <c r="I30" s="178"/>
      <c r="J30" s="42"/>
      <c r="K30" s="938" t="s">
        <v>476</v>
      </c>
      <c r="L30" s="652"/>
      <c r="M30" s="179"/>
    </row>
    <row r="31" spans="2:13" x14ac:dyDescent="0.25">
      <c r="B31" s="176"/>
      <c r="C31" s="42" t="s">
        <v>371</v>
      </c>
      <c r="D31" s="42"/>
      <c r="E31" s="42"/>
      <c r="F31" s="42"/>
      <c r="G31" s="177">
        <f>SUM(G6+G8+G10+G12+G14+G16+G18+G20+G22+G24+G26+G28)</f>
        <v>283.50000000000006</v>
      </c>
      <c r="H31" s="42"/>
      <c r="I31" s="178"/>
      <c r="J31" s="42"/>
      <c r="K31" s="939"/>
      <c r="L31" s="652"/>
      <c r="M31" s="179"/>
    </row>
    <row r="32" spans="2:13" x14ac:dyDescent="0.25">
      <c r="B32" s="176"/>
      <c r="C32" s="42" t="s">
        <v>665</v>
      </c>
      <c r="D32" s="42"/>
      <c r="E32" s="42"/>
      <c r="F32" s="42"/>
      <c r="G32" s="177"/>
      <c r="H32" s="48">
        <f>SUM(H30-G31)</f>
        <v>505.89999999999981</v>
      </c>
      <c r="I32" s="178"/>
      <c r="J32" s="42"/>
      <c r="K32" s="939"/>
      <c r="L32" s="652">
        <v>414</v>
      </c>
      <c r="M32" s="179">
        <f>SUM(L32*0.9091)</f>
        <v>376.36740000000003</v>
      </c>
    </row>
    <row r="33" spans="2:13" ht="16.5" thickBot="1" x14ac:dyDescent="0.3">
      <c r="B33" s="173"/>
      <c r="C33" s="36" t="s">
        <v>372</v>
      </c>
      <c r="D33" s="36"/>
      <c r="E33" s="36"/>
      <c r="F33" s="36"/>
      <c r="G33" s="174"/>
      <c r="H33" s="36"/>
      <c r="I33" s="180">
        <f>SUM(G31/H30)</f>
        <v>0.35913351912845215</v>
      </c>
      <c r="J33" s="394">
        <f>SUM(H30-G31)</f>
        <v>505.89999999999981</v>
      </c>
      <c r="K33" s="940"/>
      <c r="L33" s="653"/>
      <c r="M33" s="175"/>
    </row>
    <row r="34" spans="2:13" ht="16.5" thickBot="1" x14ac:dyDescent="0.3">
      <c r="B34" s="42"/>
      <c r="C34" s="42"/>
      <c r="D34" s="42"/>
      <c r="E34" s="42"/>
      <c r="F34" s="42"/>
      <c r="G34" s="42"/>
      <c r="H34" s="42"/>
      <c r="I34" s="534"/>
      <c r="J34" s="48"/>
      <c r="K34" s="535"/>
      <c r="L34" s="535"/>
      <c r="M34" s="42"/>
    </row>
    <row r="35" spans="2:13" ht="12.6" customHeight="1" x14ac:dyDescent="0.25">
      <c r="B35" s="169"/>
      <c r="C35" s="170"/>
      <c r="D35" s="170"/>
      <c r="E35" s="170"/>
      <c r="F35" s="170"/>
      <c r="G35" s="170"/>
      <c r="H35" s="170"/>
      <c r="I35" s="170"/>
      <c r="J35" s="170"/>
      <c r="K35" s="170"/>
      <c r="L35" s="170"/>
      <c r="M35" s="172"/>
    </row>
    <row r="36" spans="2:13" ht="12.6" customHeight="1" x14ac:dyDescent="0.25">
      <c r="B36" s="176"/>
      <c r="C36" s="42">
        <v>2020</v>
      </c>
      <c r="D36" s="42"/>
      <c r="E36" s="42"/>
      <c r="F36" s="42"/>
      <c r="G36" s="42"/>
      <c r="H36" s="42"/>
      <c r="I36" s="42"/>
      <c r="J36" s="42"/>
      <c r="K36" s="42"/>
      <c r="L36" s="42"/>
      <c r="M36" s="179"/>
    </row>
    <row r="37" spans="2:13" ht="12.6" customHeight="1" x14ac:dyDescent="0.25">
      <c r="B37" s="176"/>
      <c r="C37" s="42" t="s">
        <v>461</v>
      </c>
      <c r="D37" s="42"/>
      <c r="E37" s="42"/>
      <c r="F37" s="42"/>
      <c r="G37" s="42"/>
      <c r="H37" s="42"/>
      <c r="I37" s="42"/>
      <c r="J37" s="42"/>
      <c r="K37" s="42"/>
      <c r="L37" s="42"/>
      <c r="M37" s="179"/>
    </row>
    <row r="38" spans="2:13" ht="12.6" customHeight="1" x14ac:dyDescent="0.25">
      <c r="B38" s="176"/>
      <c r="C38" s="42"/>
      <c r="D38" s="42"/>
      <c r="E38" s="42"/>
      <c r="F38" s="42"/>
      <c r="G38" s="42"/>
      <c r="H38" s="42"/>
      <c r="I38" s="42"/>
      <c r="J38" s="42"/>
      <c r="K38" s="42"/>
      <c r="L38" s="42"/>
      <c r="M38" s="179"/>
    </row>
    <row r="39" spans="2:13" ht="12.6" customHeight="1" x14ac:dyDescent="0.25">
      <c r="B39" s="176"/>
      <c r="C39" s="2" t="s">
        <v>464</v>
      </c>
      <c r="D39" s="2"/>
      <c r="E39" s="2"/>
      <c r="F39" s="154">
        <v>26000</v>
      </c>
      <c r="G39" s="154">
        <v>26000</v>
      </c>
      <c r="H39" s="2"/>
      <c r="I39" s="2"/>
      <c r="J39" s="42"/>
      <c r="K39" s="42"/>
      <c r="L39" s="42"/>
      <c r="M39" s="179"/>
    </row>
    <row r="40" spans="2:13" ht="12.6" customHeight="1" x14ac:dyDescent="0.25">
      <c r="B40" s="176"/>
      <c r="C40" s="2" t="s">
        <v>465</v>
      </c>
      <c r="D40" s="2"/>
      <c r="E40" s="2"/>
      <c r="F40" s="2"/>
      <c r="G40" s="2">
        <v>7500</v>
      </c>
      <c r="H40" s="2"/>
      <c r="I40" s="2"/>
      <c r="J40" s="42"/>
      <c r="K40" s="42"/>
      <c r="L40" s="42"/>
      <c r="M40" s="179"/>
    </row>
    <row r="41" spans="2:13" ht="12.6" customHeight="1" x14ac:dyDescent="0.25">
      <c r="B41" s="176"/>
      <c r="C41" s="2" t="s">
        <v>466</v>
      </c>
      <c r="D41" s="2"/>
      <c r="E41" s="2"/>
      <c r="F41" s="2"/>
      <c r="G41" s="154">
        <v>10000</v>
      </c>
      <c r="H41" s="2"/>
      <c r="I41" s="2"/>
      <c r="J41" s="42"/>
      <c r="K41" s="42"/>
      <c r="L41" s="42"/>
      <c r="M41" s="179"/>
    </row>
    <row r="42" spans="2:13" ht="12.6" customHeight="1" x14ac:dyDescent="0.25">
      <c r="B42" s="176"/>
      <c r="C42" s="2"/>
      <c r="D42" s="2"/>
      <c r="E42" s="2"/>
      <c r="F42" s="2"/>
      <c r="G42" s="154">
        <f>SUM(G39:G41)</f>
        <v>43500</v>
      </c>
      <c r="H42" s="2">
        <f>SUM(G42/2000)</f>
        <v>21.75</v>
      </c>
      <c r="I42" s="2" t="s">
        <v>467</v>
      </c>
      <c r="J42" s="42"/>
      <c r="K42" s="42"/>
      <c r="L42" s="42"/>
      <c r="M42" s="179"/>
    </row>
    <row r="43" spans="2:13" ht="12.6" customHeight="1" x14ac:dyDescent="0.25">
      <c r="B43" s="176"/>
      <c r="C43" s="2"/>
      <c r="D43" s="2"/>
      <c r="E43" s="2"/>
      <c r="F43" s="2"/>
      <c r="G43" s="154"/>
      <c r="H43" s="2"/>
      <c r="I43" s="2"/>
      <c r="J43" s="42"/>
      <c r="K43" s="42"/>
      <c r="L43" s="42"/>
      <c r="M43" s="179"/>
    </row>
    <row r="44" spans="2:13" ht="12.6" customHeight="1" x14ac:dyDescent="0.25">
      <c r="B44" s="176"/>
      <c r="C44" s="2"/>
      <c r="D44" s="2"/>
      <c r="E44" s="2"/>
      <c r="F44" s="2"/>
      <c r="G44" s="154"/>
      <c r="H44" s="2"/>
      <c r="I44" s="2"/>
      <c r="J44" s="42"/>
      <c r="K44" s="42"/>
      <c r="L44" s="42"/>
      <c r="M44" s="179"/>
    </row>
    <row r="45" spans="2:13" ht="12.6" customHeight="1" x14ac:dyDescent="0.25">
      <c r="B45" s="176"/>
      <c r="C45" s="2" t="s">
        <v>477</v>
      </c>
      <c r="D45" s="2" t="s">
        <v>478</v>
      </c>
      <c r="E45" s="2"/>
      <c r="F45" s="2"/>
      <c r="G45" s="154" t="s">
        <v>707</v>
      </c>
      <c r="H45" s="2"/>
      <c r="I45" s="2"/>
      <c r="J45" s="42"/>
      <c r="K45" s="42"/>
      <c r="L45" s="42"/>
      <c r="M45" s="179"/>
    </row>
    <row r="46" spans="2:13" ht="12.6" customHeight="1" x14ac:dyDescent="0.25">
      <c r="B46" s="176"/>
      <c r="C46" s="2"/>
      <c r="D46" s="679" t="s">
        <v>702</v>
      </c>
      <c r="E46" s="2"/>
      <c r="F46" s="2"/>
      <c r="G46" s="154"/>
      <c r="H46" s="2"/>
      <c r="I46" s="2"/>
      <c r="J46" s="42"/>
      <c r="K46" s="42"/>
      <c r="L46" s="42"/>
      <c r="M46" s="179"/>
    </row>
    <row r="47" spans="2:13" ht="12.6" customHeight="1" x14ac:dyDescent="0.25">
      <c r="B47" s="176"/>
      <c r="C47" s="2"/>
      <c r="D47" s="2"/>
      <c r="E47" s="2"/>
      <c r="F47" s="2"/>
      <c r="G47" s="154"/>
      <c r="H47" s="2"/>
      <c r="I47" s="2"/>
      <c r="J47" s="42"/>
      <c r="K47" s="42"/>
      <c r="L47" s="42"/>
      <c r="M47" s="179"/>
    </row>
    <row r="48" spans="2:13" ht="12.6" customHeight="1" x14ac:dyDescent="0.25">
      <c r="B48" s="176"/>
      <c r="C48" s="2"/>
      <c r="D48" s="2" t="s">
        <v>479</v>
      </c>
      <c r="E48" s="2"/>
      <c r="F48" s="2">
        <f>SUM(25*150)</f>
        <v>3750</v>
      </c>
      <c r="G48" s="154" t="s">
        <v>480</v>
      </c>
      <c r="H48" s="2">
        <f>SUM(F48/2000)</f>
        <v>1.875</v>
      </c>
      <c r="I48" s="2" t="s">
        <v>703</v>
      </c>
      <c r="J48" s="42"/>
      <c r="K48" s="42"/>
      <c r="L48" s="42"/>
      <c r="M48" s="179"/>
    </row>
    <row r="49" spans="2:13" ht="12.6" customHeight="1" x14ac:dyDescent="0.25">
      <c r="B49" s="176"/>
      <c r="C49" s="2"/>
      <c r="D49" s="2"/>
      <c r="E49" s="2"/>
      <c r="F49" s="2"/>
      <c r="G49" s="154"/>
      <c r="H49" s="2"/>
      <c r="I49" s="2"/>
      <c r="J49" s="42"/>
      <c r="K49" s="42"/>
      <c r="L49" s="42"/>
      <c r="M49" s="179"/>
    </row>
    <row r="50" spans="2:13" ht="12.6" customHeight="1" x14ac:dyDescent="0.25">
      <c r="B50" s="176"/>
      <c r="C50" s="2"/>
      <c r="D50" s="2"/>
      <c r="E50" s="2"/>
      <c r="F50" s="2" t="s">
        <v>704</v>
      </c>
      <c r="G50" s="154"/>
      <c r="H50" s="2"/>
      <c r="I50" s="2"/>
      <c r="J50" s="42"/>
      <c r="K50" s="42"/>
      <c r="L50" s="42"/>
      <c r="M50" s="179"/>
    </row>
    <row r="51" spans="2:13" ht="12.6" customHeight="1" x14ac:dyDescent="0.25">
      <c r="B51" s="176"/>
      <c r="C51" s="2"/>
      <c r="D51" s="2"/>
      <c r="E51" s="2"/>
      <c r="F51" s="2" t="s">
        <v>705</v>
      </c>
      <c r="G51" s="154"/>
      <c r="H51" s="2">
        <v>1.875</v>
      </c>
      <c r="I51" s="2" t="s">
        <v>706</v>
      </c>
      <c r="J51" s="42"/>
      <c r="K51" s="42"/>
      <c r="L51" s="42"/>
      <c r="M51" s="179"/>
    </row>
    <row r="52" spans="2:13" ht="12.6" customHeight="1" x14ac:dyDescent="0.25">
      <c r="B52" s="176"/>
      <c r="C52" s="2" t="s">
        <v>599</v>
      </c>
      <c r="D52" s="2" t="s">
        <v>701</v>
      </c>
      <c r="E52" s="2"/>
      <c r="F52" s="2"/>
      <c r="G52" s="154"/>
      <c r="H52" s="2"/>
      <c r="I52" s="2"/>
      <c r="J52" s="42"/>
      <c r="K52" s="42"/>
      <c r="L52" s="42"/>
      <c r="M52" s="179"/>
    </row>
    <row r="53" spans="2:13" ht="12.6" customHeight="1" thickBot="1" x14ac:dyDescent="0.3">
      <c r="B53" s="173"/>
      <c r="C53" s="36"/>
      <c r="D53" s="36"/>
      <c r="E53" s="36"/>
      <c r="F53" s="36"/>
      <c r="G53" s="36"/>
      <c r="H53" s="36"/>
      <c r="I53" s="36"/>
      <c r="J53" s="36"/>
      <c r="K53" s="36"/>
      <c r="L53" s="36"/>
      <c r="M53" s="175"/>
    </row>
    <row r="54" spans="2:13" ht="12.6" customHeight="1" x14ac:dyDescent="0.25">
      <c r="B54" s="176"/>
      <c r="C54" s="42" t="s">
        <v>461</v>
      </c>
      <c r="D54" s="42"/>
      <c r="E54" s="42"/>
      <c r="F54" s="42"/>
      <c r="G54" s="42"/>
      <c r="H54" s="42"/>
      <c r="I54" s="42"/>
      <c r="J54" s="42"/>
      <c r="K54" s="42"/>
      <c r="L54" s="42"/>
      <c r="M54" s="179"/>
    </row>
    <row r="55" spans="2:13" ht="12.6" customHeight="1" x14ac:dyDescent="0.25">
      <c r="B55" s="176"/>
      <c r="C55" s="42"/>
      <c r="D55" s="42"/>
      <c r="E55" s="42"/>
      <c r="F55" s="42"/>
      <c r="G55" s="42"/>
      <c r="H55" s="42"/>
      <c r="I55" s="42"/>
      <c r="J55" s="42"/>
      <c r="K55" s="42"/>
      <c r="L55" s="42"/>
      <c r="M55" s="179"/>
    </row>
    <row r="56" spans="2:13" ht="12.6" customHeight="1" x14ac:dyDescent="0.25">
      <c r="B56" s="176"/>
      <c r="C56" s="2" t="s">
        <v>464</v>
      </c>
      <c r="D56" s="2"/>
      <c r="E56" s="2"/>
      <c r="F56" s="154">
        <v>26000</v>
      </c>
      <c r="G56" s="154">
        <v>26000</v>
      </c>
      <c r="H56" s="2"/>
      <c r="I56" s="2"/>
      <c r="J56" s="42"/>
      <c r="K56" s="42"/>
      <c r="L56" s="42"/>
      <c r="M56" s="179"/>
    </row>
    <row r="57" spans="2:13" ht="12.6" customHeight="1" x14ac:dyDescent="0.25">
      <c r="B57" s="176"/>
      <c r="C57" s="2" t="s">
        <v>465</v>
      </c>
      <c r="D57" s="2"/>
      <c r="E57" s="2"/>
      <c r="F57" s="2"/>
      <c r="G57" s="2">
        <v>7500</v>
      </c>
      <c r="H57" s="2"/>
      <c r="I57" s="2"/>
      <c r="J57" s="42"/>
      <c r="K57" s="42"/>
      <c r="L57" s="42"/>
      <c r="M57" s="179"/>
    </row>
    <row r="58" spans="2:13" ht="12.6" customHeight="1" x14ac:dyDescent="0.25">
      <c r="B58" s="176"/>
      <c r="C58" s="2" t="s">
        <v>466</v>
      </c>
      <c r="D58" s="2"/>
      <c r="E58" s="2"/>
      <c r="F58" s="2"/>
      <c r="G58" s="154">
        <v>10000</v>
      </c>
      <c r="H58" s="2"/>
      <c r="I58" s="2"/>
      <c r="J58" s="42"/>
      <c r="K58" s="42"/>
      <c r="L58" s="42"/>
      <c r="M58" s="179"/>
    </row>
    <row r="59" spans="2:13" ht="12.6" customHeight="1" x14ac:dyDescent="0.25">
      <c r="B59" s="176"/>
      <c r="C59" s="2"/>
      <c r="D59" s="2"/>
      <c r="E59" s="2"/>
      <c r="F59" s="2"/>
      <c r="G59" s="154">
        <f>SUM(G56:G58)</f>
        <v>43500</v>
      </c>
      <c r="H59" s="2">
        <f>SUM(G59/2000)</f>
        <v>21.75</v>
      </c>
      <c r="I59" s="2" t="s">
        <v>467</v>
      </c>
      <c r="J59" s="42"/>
      <c r="K59" s="42"/>
      <c r="L59" s="42"/>
      <c r="M59" s="179"/>
    </row>
    <row r="60" spans="2:13" ht="12.6" customHeight="1" x14ac:dyDescent="0.25">
      <c r="B60" s="176"/>
      <c r="C60" s="2"/>
      <c r="D60" s="2"/>
      <c r="E60" s="2"/>
      <c r="F60" s="2"/>
      <c r="G60" s="154"/>
      <c r="H60" s="2"/>
      <c r="I60" s="2"/>
      <c r="J60" s="42"/>
      <c r="K60" s="42"/>
      <c r="L60" s="42"/>
      <c r="M60" s="179"/>
    </row>
    <row r="61" spans="2:13" ht="12.6" customHeight="1" x14ac:dyDescent="0.25">
      <c r="B61" s="176"/>
      <c r="C61" s="2"/>
      <c r="D61" s="2"/>
      <c r="E61" s="2"/>
      <c r="F61" s="2"/>
      <c r="G61" s="154"/>
      <c r="H61" s="2"/>
      <c r="I61" s="2"/>
      <c r="J61" s="42"/>
      <c r="K61" s="42"/>
      <c r="L61" s="42"/>
      <c r="M61" s="179"/>
    </row>
    <row r="62" spans="2:13" ht="12.6" customHeight="1" x14ac:dyDescent="0.25">
      <c r="B62" s="176"/>
      <c r="C62" s="2" t="s">
        <v>477</v>
      </c>
      <c r="D62" s="2" t="s">
        <v>478</v>
      </c>
      <c r="E62" s="2"/>
      <c r="F62" s="2"/>
      <c r="G62" s="154"/>
      <c r="H62" s="2"/>
      <c r="I62" s="2"/>
      <c r="J62" s="42"/>
      <c r="K62" s="42"/>
      <c r="L62" s="42"/>
      <c r="M62" s="179"/>
    </row>
    <row r="63" spans="2:13" ht="12.6" customHeight="1" x14ac:dyDescent="0.25">
      <c r="B63" s="176"/>
      <c r="C63" s="2"/>
      <c r="D63" s="2"/>
      <c r="E63" s="2"/>
      <c r="F63" s="2"/>
      <c r="G63" s="154"/>
      <c r="H63" s="2"/>
      <c r="I63" s="2"/>
      <c r="J63" s="42"/>
      <c r="K63" s="42"/>
      <c r="L63" s="42"/>
      <c r="M63" s="179"/>
    </row>
    <row r="64" spans="2:13" ht="12.6" customHeight="1" x14ac:dyDescent="0.25">
      <c r="B64" s="176"/>
      <c r="C64" s="2"/>
      <c r="D64" s="2" t="s">
        <v>481</v>
      </c>
      <c r="E64" s="2"/>
      <c r="F64" s="2"/>
      <c r="G64" s="154"/>
      <c r="H64" s="2"/>
      <c r="I64" s="2"/>
      <c r="J64" s="42"/>
      <c r="K64" s="42"/>
      <c r="L64" s="42"/>
      <c r="M64" s="179"/>
    </row>
    <row r="65" spans="2:14" ht="12.6" customHeight="1" x14ac:dyDescent="0.25">
      <c r="B65" s="176"/>
      <c r="C65" s="2"/>
      <c r="D65" s="2"/>
      <c r="E65" s="2"/>
      <c r="F65" s="2"/>
      <c r="G65" s="154"/>
      <c r="H65" s="2"/>
      <c r="I65" s="2"/>
      <c r="J65" s="42"/>
      <c r="K65" s="42"/>
      <c r="L65" s="42"/>
      <c r="M65" s="179"/>
    </row>
    <row r="66" spans="2:14" ht="12.6" customHeight="1" x14ac:dyDescent="0.25">
      <c r="B66" s="176"/>
      <c r="C66" s="2"/>
      <c r="D66" s="2" t="s">
        <v>479</v>
      </c>
      <c r="E66" s="2"/>
      <c r="F66" s="2">
        <f>SUM(25*300)</f>
        <v>7500</v>
      </c>
      <c r="G66" s="154" t="s">
        <v>480</v>
      </c>
      <c r="H66" s="2">
        <f>SUM(F66/2000)</f>
        <v>3.75</v>
      </c>
      <c r="I66" s="2" t="s">
        <v>482</v>
      </c>
      <c r="J66" s="42"/>
      <c r="K66" s="42"/>
      <c r="L66" s="42"/>
      <c r="M66" s="179"/>
    </row>
    <row r="67" spans="2:14" ht="12.6" customHeight="1" x14ac:dyDescent="0.25">
      <c r="B67" s="176"/>
      <c r="C67" s="2"/>
      <c r="D67" s="2"/>
      <c r="E67" s="2"/>
      <c r="F67" s="2"/>
      <c r="G67" s="154"/>
      <c r="H67" s="2"/>
      <c r="I67" s="2"/>
      <c r="J67" s="42"/>
      <c r="K67" s="42"/>
      <c r="L67" s="42"/>
      <c r="M67" s="179"/>
    </row>
    <row r="68" spans="2:14" ht="12.6" customHeight="1" x14ac:dyDescent="0.25">
      <c r="B68" s="176"/>
      <c r="C68" s="2"/>
      <c r="D68" s="2"/>
      <c r="E68" s="2"/>
      <c r="F68" s="2" t="s">
        <v>483</v>
      </c>
      <c r="G68" s="154"/>
      <c r="H68" s="2"/>
      <c r="I68" s="2"/>
      <c r="J68" s="42"/>
      <c r="K68" s="42"/>
      <c r="L68" s="42"/>
      <c r="M68" s="179"/>
    </row>
    <row r="69" spans="2:14" ht="12.6" customHeight="1" x14ac:dyDescent="0.25">
      <c r="B69" s="176"/>
      <c r="C69" s="2"/>
      <c r="D69" s="2"/>
      <c r="E69" s="2"/>
      <c r="F69" s="2"/>
      <c r="G69" s="154"/>
      <c r="H69" s="2"/>
      <c r="I69" s="2"/>
      <c r="J69" s="42"/>
      <c r="K69" s="42"/>
      <c r="L69" s="42"/>
      <c r="M69" s="179"/>
    </row>
    <row r="70" spans="2:14" ht="12.6" customHeight="1" x14ac:dyDescent="0.25">
      <c r="B70" s="176"/>
      <c r="C70" s="2" t="s">
        <v>599</v>
      </c>
      <c r="D70" s="2" t="s">
        <v>600</v>
      </c>
      <c r="E70" s="2"/>
      <c r="F70" s="2"/>
      <c r="G70" s="154"/>
      <c r="H70" s="2"/>
      <c r="I70" s="2"/>
      <c r="J70" s="42"/>
      <c r="K70" s="42"/>
      <c r="L70" s="42"/>
      <c r="M70" s="179"/>
    </row>
    <row r="71" spans="2:14" ht="12.6" customHeight="1" thickBot="1" x14ac:dyDescent="0.3">
      <c r="B71" s="173"/>
      <c r="C71" s="36"/>
      <c r="D71" s="36"/>
      <c r="E71" s="36"/>
      <c r="F71" s="36"/>
      <c r="G71" s="36"/>
      <c r="H71" s="36"/>
      <c r="I71" s="36"/>
      <c r="J71" s="36"/>
      <c r="K71" s="36"/>
      <c r="L71" s="36"/>
      <c r="M71" s="175"/>
    </row>
    <row r="72" spans="2:14" ht="12.6" customHeight="1" x14ac:dyDescent="0.25">
      <c r="B72" s="42"/>
      <c r="C72" s="42"/>
      <c r="D72" s="42"/>
      <c r="E72" s="42"/>
      <c r="F72" s="42"/>
      <c r="G72" s="42"/>
      <c r="H72" s="42"/>
      <c r="I72" s="42"/>
      <c r="J72" s="42"/>
      <c r="K72" s="42"/>
      <c r="L72" s="42"/>
      <c r="M72" s="42"/>
    </row>
    <row r="73" spans="2:14" ht="12.6" customHeight="1" x14ac:dyDescent="0.25">
      <c r="B73" s="42"/>
      <c r="C73" s="42"/>
      <c r="D73" s="42"/>
      <c r="E73" s="42"/>
      <c r="F73" s="42"/>
      <c r="G73" s="42"/>
      <c r="H73" s="42"/>
      <c r="I73" s="42"/>
      <c r="J73" s="42"/>
      <c r="K73" s="42"/>
      <c r="L73" s="42"/>
      <c r="M73" s="42"/>
    </row>
    <row r="74" spans="2:14" ht="12.6" customHeight="1" x14ac:dyDescent="0.25">
      <c r="B74" s="42"/>
      <c r="C74" s="42"/>
      <c r="D74" s="42"/>
      <c r="E74" s="42"/>
      <c r="F74" s="42"/>
      <c r="G74" s="42"/>
      <c r="H74" s="42"/>
      <c r="I74" s="42"/>
      <c r="J74" s="42"/>
      <c r="K74" s="42"/>
      <c r="L74" s="42"/>
      <c r="M74" s="42"/>
    </row>
    <row r="75" spans="2:14" s="65" customFormat="1" ht="18.75" x14ac:dyDescent="0.3">
      <c r="B75" s="65" t="s">
        <v>250</v>
      </c>
    </row>
    <row r="76" spans="2:14" s="65" customFormat="1" ht="12.6" customHeight="1" thickBot="1" x14ac:dyDescent="0.35"/>
    <row r="77" spans="2:14" s="66" customFormat="1" ht="39.75" customHeight="1" x14ac:dyDescent="0.25">
      <c r="B77" s="66" t="s">
        <v>251</v>
      </c>
      <c r="C77" s="67" t="s">
        <v>252</v>
      </c>
      <c r="D77" s="67" t="s">
        <v>253</v>
      </c>
      <c r="E77" s="67" t="s">
        <v>254</v>
      </c>
      <c r="F77" s="67" t="s">
        <v>255</v>
      </c>
      <c r="G77" s="67" t="s">
        <v>256</v>
      </c>
      <c r="H77" s="67" t="s">
        <v>257</v>
      </c>
      <c r="I77" s="67" t="s">
        <v>258</v>
      </c>
      <c r="J77" s="67" t="s">
        <v>373</v>
      </c>
      <c r="K77" s="67"/>
      <c r="L77" s="67"/>
      <c r="M77" s="67" t="s">
        <v>374</v>
      </c>
      <c r="N77" s="156" t="s">
        <v>323</v>
      </c>
    </row>
    <row r="78" spans="2:14" s="65" customFormat="1" ht="18.75" x14ac:dyDescent="0.3">
      <c r="B78" s="65" t="s">
        <v>260</v>
      </c>
      <c r="C78" s="65">
        <v>90</v>
      </c>
      <c r="D78" s="65">
        <v>22</v>
      </c>
      <c r="E78" s="65">
        <v>22</v>
      </c>
      <c r="F78" s="65">
        <f t="shared" ref="F78:F84" si="4">SUM(D78:E78)</f>
        <v>44</v>
      </c>
      <c r="G78" s="65">
        <f t="shared" ref="G78:G91" si="5">SUM(F78/C78)</f>
        <v>0.48888888888888887</v>
      </c>
      <c r="H78" s="65">
        <f t="shared" ref="H78:H84" si="6">SUM(C78-F78--I78)</f>
        <v>55</v>
      </c>
      <c r="I78" s="65">
        <v>9</v>
      </c>
      <c r="J78" s="65">
        <v>17</v>
      </c>
      <c r="N78" s="157"/>
    </row>
    <row r="79" spans="2:14" s="65" customFormat="1" ht="18.75" x14ac:dyDescent="0.3">
      <c r="B79" s="65" t="s">
        <v>261</v>
      </c>
      <c r="C79" s="65">
        <v>89</v>
      </c>
      <c r="D79" s="65">
        <v>20</v>
      </c>
      <c r="E79" s="65">
        <v>16</v>
      </c>
      <c r="F79" s="65">
        <f t="shared" si="4"/>
        <v>36</v>
      </c>
      <c r="G79" s="65">
        <f t="shared" si="5"/>
        <v>0.4044943820224719</v>
      </c>
      <c r="H79" s="65">
        <f t="shared" si="6"/>
        <v>62</v>
      </c>
      <c r="I79" s="65">
        <v>9</v>
      </c>
      <c r="J79" s="65">
        <v>18</v>
      </c>
      <c r="N79" s="157"/>
    </row>
    <row r="80" spans="2:14" s="65" customFormat="1" ht="18.75" x14ac:dyDescent="0.3">
      <c r="B80" s="65" t="s">
        <v>262</v>
      </c>
      <c r="C80" s="65">
        <v>93</v>
      </c>
      <c r="D80" s="65">
        <v>21</v>
      </c>
      <c r="E80" s="65">
        <v>15</v>
      </c>
      <c r="F80" s="65">
        <f t="shared" si="4"/>
        <v>36</v>
      </c>
      <c r="G80" s="65">
        <f t="shared" si="5"/>
        <v>0.38709677419354838</v>
      </c>
      <c r="H80" s="65">
        <f t="shared" si="6"/>
        <v>66</v>
      </c>
      <c r="I80" s="65">
        <v>9</v>
      </c>
      <c r="J80" s="65">
        <v>14</v>
      </c>
      <c r="N80" s="157"/>
    </row>
    <row r="81" spans="2:17" s="65" customFormat="1" ht="18.75" x14ac:dyDescent="0.3">
      <c r="B81" s="65" t="s">
        <v>263</v>
      </c>
      <c r="C81" s="65">
        <v>83</v>
      </c>
      <c r="D81" s="65">
        <v>19</v>
      </c>
      <c r="E81" s="65">
        <v>12</v>
      </c>
      <c r="F81" s="65">
        <f t="shared" si="4"/>
        <v>31</v>
      </c>
      <c r="G81" s="65">
        <f t="shared" si="5"/>
        <v>0.37349397590361444</v>
      </c>
      <c r="H81" s="65">
        <f t="shared" si="6"/>
        <v>61</v>
      </c>
      <c r="I81" s="65">
        <v>9</v>
      </c>
      <c r="J81" s="65">
        <v>12</v>
      </c>
      <c r="N81" s="157"/>
    </row>
    <row r="82" spans="2:17" s="65" customFormat="1" ht="18.75" x14ac:dyDescent="0.3">
      <c r="B82" s="65" t="s">
        <v>264</v>
      </c>
      <c r="C82" s="65">
        <v>77</v>
      </c>
      <c r="D82" s="65">
        <v>17</v>
      </c>
      <c r="E82" s="65">
        <v>15</v>
      </c>
      <c r="F82" s="65">
        <f t="shared" si="4"/>
        <v>32</v>
      </c>
      <c r="G82" s="65">
        <f t="shared" si="5"/>
        <v>0.41558441558441561</v>
      </c>
      <c r="H82" s="65">
        <f t="shared" si="6"/>
        <v>52.5</v>
      </c>
      <c r="I82" s="65">
        <v>7.5</v>
      </c>
      <c r="J82" s="65">
        <v>103</v>
      </c>
      <c r="N82" s="157"/>
    </row>
    <row r="83" spans="2:17" s="65" customFormat="1" ht="18.75" x14ac:dyDescent="0.3">
      <c r="B83" s="65" t="s">
        <v>265</v>
      </c>
      <c r="C83" s="65">
        <v>58</v>
      </c>
      <c r="D83" s="65">
        <v>9</v>
      </c>
      <c r="E83" s="65">
        <v>9</v>
      </c>
      <c r="F83" s="65">
        <f t="shared" si="4"/>
        <v>18</v>
      </c>
      <c r="G83" s="65">
        <f t="shared" si="5"/>
        <v>0.31034482758620691</v>
      </c>
      <c r="H83" s="65">
        <f t="shared" si="6"/>
        <v>46</v>
      </c>
      <c r="I83" s="65">
        <v>6</v>
      </c>
      <c r="J83" s="65">
        <v>9</v>
      </c>
      <c r="N83" s="157"/>
    </row>
    <row r="84" spans="2:17" s="65" customFormat="1" ht="18.75" x14ac:dyDescent="0.3">
      <c r="B84" s="65" t="s">
        <v>266</v>
      </c>
      <c r="C84" s="65">
        <v>58</v>
      </c>
      <c r="D84" s="65">
        <v>9</v>
      </c>
      <c r="E84" s="65">
        <v>7</v>
      </c>
      <c r="F84" s="65">
        <f t="shared" si="4"/>
        <v>16</v>
      </c>
      <c r="G84" s="65">
        <f t="shared" si="5"/>
        <v>0.27586206896551724</v>
      </c>
      <c r="H84" s="65">
        <f t="shared" si="6"/>
        <v>48</v>
      </c>
      <c r="I84" s="65">
        <v>6</v>
      </c>
      <c r="J84" s="65">
        <v>31</v>
      </c>
      <c r="N84" s="157"/>
    </row>
    <row r="85" spans="2:17" s="65" customFormat="1" ht="18.75" x14ac:dyDescent="0.3">
      <c r="N85" s="157"/>
    </row>
    <row r="86" spans="2:17" s="65" customFormat="1" ht="18.75" x14ac:dyDescent="0.3">
      <c r="B86" s="65" t="s">
        <v>267</v>
      </c>
      <c r="C86" s="65">
        <v>118</v>
      </c>
      <c r="F86" s="65">
        <v>39</v>
      </c>
      <c r="G86" s="65">
        <f t="shared" si="5"/>
        <v>0.33050847457627119</v>
      </c>
      <c r="H86" s="65">
        <v>0</v>
      </c>
      <c r="I86" s="65">
        <v>79</v>
      </c>
      <c r="J86" s="65">
        <v>8</v>
      </c>
      <c r="N86" s="157"/>
    </row>
    <row r="87" spans="2:17" s="65" customFormat="1" ht="18.75" x14ac:dyDescent="0.3">
      <c r="B87" s="65" t="s">
        <v>268</v>
      </c>
      <c r="C87" s="65">
        <v>83</v>
      </c>
      <c r="F87" s="65">
        <v>29</v>
      </c>
      <c r="G87" s="65">
        <f t="shared" si="5"/>
        <v>0.3493975903614458</v>
      </c>
      <c r="H87" s="65">
        <v>0</v>
      </c>
      <c r="I87" s="65">
        <v>54</v>
      </c>
      <c r="J87" s="65">
        <v>7</v>
      </c>
      <c r="N87" s="157"/>
    </row>
    <row r="88" spans="2:17" s="65" customFormat="1" ht="18.75" x14ac:dyDescent="0.3">
      <c r="B88" s="65" t="s">
        <v>269</v>
      </c>
      <c r="C88" s="65">
        <v>100</v>
      </c>
      <c r="F88" s="65">
        <v>28</v>
      </c>
      <c r="G88" s="65">
        <f t="shared" si="5"/>
        <v>0.28000000000000003</v>
      </c>
      <c r="H88" s="65">
        <v>0</v>
      </c>
      <c r="I88" s="65">
        <v>72</v>
      </c>
      <c r="J88" s="65">
        <v>7</v>
      </c>
      <c r="N88" s="157"/>
    </row>
    <row r="89" spans="2:17" s="65" customFormat="1" ht="18.75" x14ac:dyDescent="0.3">
      <c r="B89" s="65" t="s">
        <v>270</v>
      </c>
      <c r="C89" s="65">
        <v>102</v>
      </c>
      <c r="F89" s="65">
        <v>29</v>
      </c>
      <c r="G89" s="65">
        <f t="shared" si="5"/>
        <v>0.28431372549019607</v>
      </c>
      <c r="H89" s="65">
        <v>0</v>
      </c>
      <c r="I89" s="65">
        <v>73</v>
      </c>
      <c r="J89" s="65">
        <v>8</v>
      </c>
      <c r="N89" s="157"/>
    </row>
    <row r="90" spans="2:17" s="65" customFormat="1" ht="18.75" x14ac:dyDescent="0.3">
      <c r="B90" s="65" t="s">
        <v>271</v>
      </c>
      <c r="C90" s="65">
        <v>105</v>
      </c>
      <c r="F90" s="65">
        <v>29</v>
      </c>
      <c r="G90" s="65">
        <f t="shared" si="5"/>
        <v>0.27619047619047621</v>
      </c>
      <c r="H90" s="65">
        <v>0</v>
      </c>
      <c r="I90" s="65">
        <v>76</v>
      </c>
      <c r="J90" s="65">
        <v>9</v>
      </c>
      <c r="N90" s="157"/>
    </row>
    <row r="91" spans="2:17" s="65" customFormat="1" ht="18.75" x14ac:dyDescent="0.3">
      <c r="B91" s="159" t="s">
        <v>324</v>
      </c>
      <c r="C91" s="160">
        <f>SUM(C78:C90)</f>
        <v>1056</v>
      </c>
      <c r="D91" s="160"/>
      <c r="E91" s="160"/>
      <c r="F91" s="160">
        <f>SUM(F78:F90)</f>
        <v>367</v>
      </c>
      <c r="G91" s="160">
        <f t="shared" si="5"/>
        <v>0.34753787878787878</v>
      </c>
      <c r="H91" s="160">
        <f>SUM(H78:H90)</f>
        <v>390.5</v>
      </c>
      <c r="I91" s="160">
        <f>SUM(I78:I90)</f>
        <v>409.5</v>
      </c>
      <c r="J91" s="65">
        <f>SUM(J78:J90)</f>
        <v>243</v>
      </c>
      <c r="M91" s="65">
        <f>SUM(J91*0.75)</f>
        <v>182.25</v>
      </c>
      <c r="N91" s="161"/>
      <c r="O91" s="160"/>
      <c r="P91" s="160"/>
      <c r="Q91" s="162"/>
    </row>
    <row r="92" spans="2:17" s="65" customFormat="1" ht="19.5" thickBot="1" x14ac:dyDescent="0.35">
      <c r="B92" s="65" t="s">
        <v>325</v>
      </c>
      <c r="C92" s="65">
        <v>30</v>
      </c>
      <c r="N92" s="158">
        <v>30</v>
      </c>
    </row>
    <row r="93" spans="2:17" s="65" customFormat="1" ht="18.75" x14ac:dyDescent="0.3">
      <c r="C93" s="65">
        <f>SUM(C91:C92)</f>
        <v>1086</v>
      </c>
      <c r="N93" s="163"/>
    </row>
    <row r="94" spans="2:17" s="65" customFormat="1" ht="18.75" x14ac:dyDescent="0.3">
      <c r="B94" s="65" t="s">
        <v>326</v>
      </c>
      <c r="C94" s="65">
        <v>8</v>
      </c>
      <c r="G94" s="65">
        <v>8</v>
      </c>
      <c r="N94" s="163"/>
    </row>
    <row r="95" spans="2:17" s="65" customFormat="1" ht="18.75" x14ac:dyDescent="0.3">
      <c r="B95" s="65" t="s">
        <v>375</v>
      </c>
    </row>
    <row r="96" spans="2:17" ht="16.5" thickBot="1" x14ac:dyDescent="0.3"/>
    <row r="97" spans="3:19" ht="16.5" thickBot="1" x14ac:dyDescent="0.3">
      <c r="C97" s="64"/>
      <c r="D97" s="941" t="s">
        <v>272</v>
      </c>
      <c r="E97" s="942"/>
      <c r="F97" s="942"/>
      <c r="G97" s="942"/>
      <c r="H97" s="942"/>
      <c r="I97" s="943"/>
      <c r="J97" s="64"/>
      <c r="K97" s="64"/>
      <c r="L97" s="64"/>
      <c r="M97" s="64"/>
      <c r="N97" s="64"/>
      <c r="O97" s="64"/>
      <c r="P97" s="64"/>
      <c r="Q97" s="64"/>
      <c r="R97" s="64"/>
      <c r="S97" s="64"/>
    </row>
    <row r="98" spans="3:19" x14ac:dyDescent="0.25">
      <c r="C98" s="64"/>
      <c r="D98" s="532" t="s">
        <v>273</v>
      </c>
      <c r="E98" s="532"/>
      <c r="F98" s="532"/>
      <c r="G98" s="64" t="s">
        <v>274</v>
      </c>
      <c r="H98" s="64" t="s">
        <v>275</v>
      </c>
      <c r="I98" s="64"/>
      <c r="J98" s="64"/>
      <c r="K98" s="64"/>
      <c r="L98" s="64"/>
      <c r="M98" s="64"/>
      <c r="N98" s="64"/>
      <c r="O98" s="64"/>
      <c r="P98" s="64"/>
      <c r="Q98" s="64"/>
      <c r="R98" s="64"/>
      <c r="S98" s="64"/>
    </row>
    <row r="99" spans="3:19" x14ac:dyDescent="0.25">
      <c r="C99" s="64"/>
      <c r="D99" s="532">
        <v>548</v>
      </c>
      <c r="E99" s="532"/>
      <c r="F99" s="532"/>
      <c r="G99" s="64">
        <v>405</v>
      </c>
      <c r="H99" s="64"/>
      <c r="I99" s="64"/>
      <c r="J99" s="64"/>
      <c r="K99" s="64"/>
      <c r="L99" s="64"/>
      <c r="M99" s="64"/>
      <c r="N99" s="64"/>
      <c r="O99" s="64"/>
      <c r="P99" s="64"/>
      <c r="Q99" s="64"/>
      <c r="R99" s="64"/>
      <c r="S99" s="64"/>
    </row>
    <row r="100" spans="3:19" x14ac:dyDescent="0.25">
      <c r="C100" s="64"/>
      <c r="D100" s="532">
        <v>508</v>
      </c>
      <c r="E100" s="532"/>
      <c r="F100" s="532"/>
      <c r="G100" s="64">
        <v>152</v>
      </c>
      <c r="H100" s="64"/>
      <c r="I100" s="64"/>
      <c r="J100" s="64"/>
      <c r="K100" s="64"/>
      <c r="L100" s="64"/>
      <c r="M100" s="64"/>
      <c r="N100" s="64"/>
      <c r="O100" s="64"/>
      <c r="P100" s="64"/>
      <c r="Q100" s="64"/>
      <c r="R100" s="64"/>
      <c r="S100" s="64"/>
    </row>
    <row r="101" spans="3:19" x14ac:dyDescent="0.25">
      <c r="C101" s="64"/>
      <c r="D101" s="532">
        <f>SUM(D99:D100)</f>
        <v>1056</v>
      </c>
      <c r="E101" s="532"/>
      <c r="F101" s="532"/>
      <c r="G101" s="64">
        <f>SUM(G99:G100)</f>
        <v>557</v>
      </c>
      <c r="H101" s="187">
        <v>0.53</v>
      </c>
      <c r="I101" s="64"/>
      <c r="J101" s="64"/>
      <c r="K101" s="64"/>
      <c r="L101" s="64"/>
      <c r="M101" s="64"/>
      <c r="N101" s="64"/>
      <c r="O101" s="64"/>
      <c r="P101" s="64"/>
      <c r="Q101" s="64"/>
      <c r="R101" s="64"/>
      <c r="S101" s="64"/>
    </row>
    <row r="102" spans="3:19" x14ac:dyDescent="0.25">
      <c r="C102" s="532" t="s">
        <v>276</v>
      </c>
      <c r="D102" s="64"/>
      <c r="E102" s="64"/>
      <c r="F102" s="64"/>
      <c r="G102" s="64"/>
      <c r="H102" s="64"/>
      <c r="I102" s="64"/>
      <c r="J102" s="64"/>
      <c r="K102" s="64"/>
      <c r="L102" s="64"/>
      <c r="M102" s="64"/>
      <c r="N102" s="64"/>
      <c r="O102" s="64"/>
      <c r="P102" s="64"/>
      <c r="Q102" s="64"/>
      <c r="R102" s="64"/>
      <c r="S102" s="64"/>
    </row>
    <row r="103" spans="3:19" x14ac:dyDescent="0.25">
      <c r="C103" s="532" t="s">
        <v>277</v>
      </c>
      <c r="D103" s="64"/>
      <c r="E103" s="64"/>
      <c r="F103" s="64"/>
      <c r="G103" s="64"/>
      <c r="H103" s="64"/>
      <c r="I103" s="64"/>
      <c r="J103" s="64"/>
      <c r="K103" s="64"/>
      <c r="L103" s="64"/>
      <c r="M103" s="64"/>
      <c r="N103" s="64"/>
      <c r="O103" s="64"/>
      <c r="P103" s="64"/>
      <c r="Q103" s="64"/>
      <c r="R103" s="64"/>
      <c r="S103" s="64"/>
    </row>
    <row r="104" spans="3:19" ht="12.6" customHeight="1" x14ac:dyDescent="0.25"/>
    <row r="105" spans="3:19" s="104" customFormat="1" ht="39" customHeight="1" x14ac:dyDescent="0.25">
      <c r="C105" s="104" t="s">
        <v>251</v>
      </c>
      <c r="D105" s="186" t="s">
        <v>252</v>
      </c>
      <c r="E105" s="186"/>
      <c r="F105" s="186"/>
      <c r="G105" s="186" t="s">
        <v>253</v>
      </c>
      <c r="H105" s="186" t="s">
        <v>254</v>
      </c>
      <c r="I105" s="186" t="s">
        <v>255</v>
      </c>
      <c r="J105" s="186" t="s">
        <v>256</v>
      </c>
      <c r="K105" s="186"/>
      <c r="L105" s="186"/>
      <c r="M105" s="186" t="s">
        <v>257</v>
      </c>
      <c r="N105" s="186" t="s">
        <v>258</v>
      </c>
      <c r="O105" s="104" t="s">
        <v>259</v>
      </c>
    </row>
    <row r="106" spans="3:19" x14ac:dyDescent="0.25">
      <c r="C106" s="168" t="s">
        <v>260</v>
      </c>
      <c r="D106" s="168">
        <v>90</v>
      </c>
      <c r="G106" s="168">
        <v>22</v>
      </c>
      <c r="H106" s="168">
        <v>22</v>
      </c>
      <c r="I106" s="168">
        <f>SUM(G106:H106)</f>
        <v>44</v>
      </c>
      <c r="J106" s="168">
        <f>SUM(I106/D106)</f>
        <v>0.48888888888888887</v>
      </c>
      <c r="M106" s="168">
        <f>SUM(D106-I106--N106)</f>
        <v>55</v>
      </c>
      <c r="N106" s="168">
        <v>9</v>
      </c>
      <c r="O106" s="168">
        <v>17</v>
      </c>
    </row>
    <row r="107" spans="3:19" x14ac:dyDescent="0.25">
      <c r="C107" s="168" t="s">
        <v>261</v>
      </c>
      <c r="D107" s="168">
        <v>89</v>
      </c>
      <c r="G107" s="168">
        <v>20</v>
      </c>
      <c r="H107" s="168">
        <v>16</v>
      </c>
      <c r="I107" s="168">
        <f>SUM(G107:H107)</f>
        <v>36</v>
      </c>
      <c r="J107" s="168">
        <f>SUM(I107/D107)</f>
        <v>0.4044943820224719</v>
      </c>
      <c r="M107" s="168">
        <f>SUM(D107-I107--N107)</f>
        <v>62</v>
      </c>
      <c r="N107" s="168">
        <v>9</v>
      </c>
      <c r="O107" s="168">
        <v>18</v>
      </c>
    </row>
    <row r="108" spans="3:19" x14ac:dyDescent="0.25">
      <c r="C108" s="168" t="s">
        <v>262</v>
      </c>
      <c r="D108" s="168">
        <v>93</v>
      </c>
      <c r="G108" s="168">
        <v>21</v>
      </c>
      <c r="H108" s="168">
        <v>15</v>
      </c>
      <c r="I108" s="168">
        <f>SUM(G108:H108)</f>
        <v>36</v>
      </c>
      <c r="J108" s="168">
        <f>SUM(I108/D108)</f>
        <v>0.38709677419354838</v>
      </c>
      <c r="M108" s="168">
        <f>SUM(D108-I108--N108)</f>
        <v>66</v>
      </c>
      <c r="N108" s="168">
        <v>9</v>
      </c>
      <c r="O108" s="168">
        <v>14</v>
      </c>
    </row>
    <row r="110" spans="3:19" x14ac:dyDescent="0.25">
      <c r="C110" s="168" t="s">
        <v>263</v>
      </c>
      <c r="D110" s="168">
        <v>83</v>
      </c>
      <c r="G110" s="168">
        <v>19</v>
      </c>
      <c r="H110" s="168">
        <v>12</v>
      </c>
      <c r="I110" s="168">
        <f>SUM(G110:H110)</f>
        <v>31</v>
      </c>
      <c r="J110" s="168">
        <f>SUM(I110/D110)</f>
        <v>0.37349397590361444</v>
      </c>
      <c r="M110" s="168">
        <f>SUM(D110-I110--N110)</f>
        <v>61</v>
      </c>
      <c r="N110" s="168">
        <v>9</v>
      </c>
      <c r="O110" s="168">
        <v>12</v>
      </c>
    </row>
    <row r="111" spans="3:19" x14ac:dyDescent="0.25">
      <c r="C111" s="168" t="s">
        <v>264</v>
      </c>
      <c r="D111" s="168">
        <v>77</v>
      </c>
      <c r="G111" s="168">
        <v>17</v>
      </c>
      <c r="H111" s="168">
        <v>15</v>
      </c>
      <c r="I111" s="168">
        <f>SUM(G111:H111)</f>
        <v>32</v>
      </c>
      <c r="J111" s="168">
        <f>SUM(I111/D111)</f>
        <v>0.41558441558441561</v>
      </c>
      <c r="M111" s="168">
        <f>SUM(D111-I111--N111)</f>
        <v>52.5</v>
      </c>
      <c r="N111" s="168">
        <v>7.5</v>
      </c>
      <c r="O111" s="168">
        <v>103</v>
      </c>
    </row>
    <row r="112" spans="3:19" x14ac:dyDescent="0.25">
      <c r="C112" s="168" t="s">
        <v>265</v>
      </c>
      <c r="D112" s="168">
        <v>58</v>
      </c>
      <c r="G112" s="168">
        <v>9</v>
      </c>
      <c r="H112" s="168">
        <v>9</v>
      </c>
      <c r="I112" s="168">
        <f>SUM(G112:H112)</f>
        <v>18</v>
      </c>
      <c r="J112" s="168">
        <f>SUM(I112/D112)</f>
        <v>0.31034482758620691</v>
      </c>
      <c r="M112" s="168">
        <f>SUM(D112-I112--N112)</f>
        <v>46</v>
      </c>
      <c r="N112" s="168">
        <v>6</v>
      </c>
      <c r="O112" s="168">
        <v>9</v>
      </c>
    </row>
    <row r="114" spans="2:15" x14ac:dyDescent="0.25">
      <c r="C114" s="168" t="s">
        <v>266</v>
      </c>
      <c r="D114" s="168">
        <v>58</v>
      </c>
      <c r="G114" s="168">
        <v>9</v>
      </c>
      <c r="H114" s="168">
        <v>7</v>
      </c>
      <c r="I114" s="168">
        <f>SUM(G114:H114)</f>
        <v>16</v>
      </c>
      <c r="J114" s="168">
        <f>SUM(I114/D114)</f>
        <v>0.27586206896551724</v>
      </c>
      <c r="M114" s="168">
        <f>SUM(D114-I114--N114)</f>
        <v>48</v>
      </c>
      <c r="N114" s="168">
        <v>6</v>
      </c>
      <c r="O114" s="168">
        <v>31</v>
      </c>
    </row>
    <row r="115" spans="2:15" x14ac:dyDescent="0.25">
      <c r="C115" s="168" t="s">
        <v>267</v>
      </c>
      <c r="D115" s="168">
        <v>80</v>
      </c>
      <c r="G115" s="168">
        <v>16</v>
      </c>
      <c r="H115" s="168">
        <v>19</v>
      </c>
      <c r="I115" s="168">
        <f>SUM(G115:H115)</f>
        <v>35</v>
      </c>
      <c r="J115" s="168">
        <f>SUM(I115/D115)</f>
        <v>0.4375</v>
      </c>
      <c r="M115" s="168">
        <f>SUM(D115-I115--N115)</f>
        <v>53</v>
      </c>
      <c r="N115" s="168">
        <v>8</v>
      </c>
      <c r="O115" s="168">
        <v>99</v>
      </c>
    </row>
    <row r="116" spans="2:15" x14ac:dyDescent="0.25">
      <c r="C116" s="168" t="s">
        <v>268</v>
      </c>
      <c r="D116" s="168">
        <v>74</v>
      </c>
      <c r="G116" s="168">
        <v>15</v>
      </c>
      <c r="H116" s="168">
        <v>14</v>
      </c>
      <c r="I116" s="168">
        <f>SUM(G116:H116)</f>
        <v>29</v>
      </c>
      <c r="J116" s="168">
        <f>SUM(I116/D116)</f>
        <v>0.39189189189189189</v>
      </c>
      <c r="M116" s="168">
        <f>SUM(D116-I116--N116)</f>
        <v>52</v>
      </c>
      <c r="N116" s="168">
        <v>7</v>
      </c>
      <c r="O116" s="168">
        <v>16</v>
      </c>
    </row>
    <row r="118" spans="2:15" x14ac:dyDescent="0.25">
      <c r="C118" s="168" t="s">
        <v>269</v>
      </c>
      <c r="D118" s="168">
        <v>67</v>
      </c>
      <c r="G118" s="168">
        <v>11</v>
      </c>
      <c r="H118" s="168">
        <v>12</v>
      </c>
      <c r="I118" s="168">
        <f>SUM(G118:H118)</f>
        <v>23</v>
      </c>
      <c r="J118" s="168">
        <f>SUM(I118/D118)</f>
        <v>0.34328358208955223</v>
      </c>
      <c r="M118" s="168">
        <f>SUM(D118-I118--N118)</f>
        <v>51</v>
      </c>
      <c r="N118" s="168">
        <v>7</v>
      </c>
      <c r="O118" s="168">
        <v>11</v>
      </c>
    </row>
    <row r="119" spans="2:15" x14ac:dyDescent="0.25">
      <c r="C119" s="168" t="s">
        <v>270</v>
      </c>
      <c r="D119" s="168">
        <v>81</v>
      </c>
      <c r="G119" s="168">
        <v>12</v>
      </c>
      <c r="H119" s="168">
        <v>6</v>
      </c>
      <c r="I119" s="168">
        <f>SUM(G119:H119)</f>
        <v>18</v>
      </c>
      <c r="J119" s="168">
        <f>SUM(I119/D119)</f>
        <v>0.22222222222222221</v>
      </c>
      <c r="M119" s="168">
        <f>SUM(D119-I119--N119)</f>
        <v>71</v>
      </c>
      <c r="N119" s="168">
        <v>8</v>
      </c>
      <c r="O119" s="168">
        <v>15</v>
      </c>
    </row>
    <row r="120" spans="2:15" x14ac:dyDescent="0.25">
      <c r="C120" s="168" t="s">
        <v>271</v>
      </c>
      <c r="D120" s="168">
        <v>93</v>
      </c>
      <c r="G120" s="168">
        <v>12</v>
      </c>
      <c r="H120" s="168">
        <v>13</v>
      </c>
      <c r="I120" s="168">
        <f>SUM(G120:H120)</f>
        <v>25</v>
      </c>
      <c r="J120" s="168">
        <f>SUM(I120/D120)</f>
        <v>0.26881720430107525</v>
      </c>
      <c r="M120" s="168">
        <f>SUM(D120-I120--N120)</f>
        <v>77</v>
      </c>
      <c r="N120" s="168">
        <v>9</v>
      </c>
      <c r="O120" s="168">
        <v>9</v>
      </c>
    </row>
    <row r="121" spans="2:15" x14ac:dyDescent="0.25">
      <c r="C121" s="168" t="s">
        <v>168</v>
      </c>
      <c r="D121" s="168">
        <f>SUM(D106:D120)</f>
        <v>943</v>
      </c>
      <c r="G121" s="168">
        <f>SUM(G106:G120)</f>
        <v>183</v>
      </c>
      <c r="H121" s="168">
        <f>SUM(H106:H120)</f>
        <v>160</v>
      </c>
      <c r="I121" s="168">
        <f>SUM(G121:H121)</f>
        <v>343</v>
      </c>
      <c r="J121" s="168">
        <f>SUM(I121/D121)</f>
        <v>0.36373276776246022</v>
      </c>
      <c r="M121" s="168">
        <f>SUM(D121-I121--N121)</f>
        <v>694.5</v>
      </c>
      <c r="N121" s="168">
        <f>SUM(N106:N120)</f>
        <v>94.5</v>
      </c>
      <c r="O121" s="168">
        <f>SUM(O106:O120)</f>
        <v>354</v>
      </c>
    </row>
    <row r="122" spans="2:15" x14ac:dyDescent="0.25">
      <c r="C122" s="168" t="s">
        <v>278</v>
      </c>
    </row>
    <row r="123" spans="2:15" x14ac:dyDescent="0.25">
      <c r="C123" s="168" t="s">
        <v>279</v>
      </c>
    </row>
    <row r="124" spans="2:15" x14ac:dyDescent="0.25">
      <c r="C124" s="168" t="s">
        <v>280</v>
      </c>
    </row>
    <row r="125" spans="2:15" x14ac:dyDescent="0.25">
      <c r="C125" s="168" t="s">
        <v>281</v>
      </c>
    </row>
    <row r="126" spans="2:15" x14ac:dyDescent="0.25">
      <c r="C126" s="168" t="s">
        <v>282</v>
      </c>
    </row>
    <row r="128" spans="2:15" s="65" customFormat="1" ht="18.75" x14ac:dyDescent="0.3">
      <c r="B128" s="65" t="s">
        <v>250</v>
      </c>
    </row>
    <row r="129" spans="2:16" s="65" customFormat="1" ht="12.6" customHeight="1" thickBot="1" x14ac:dyDescent="0.35"/>
    <row r="130" spans="2:16" s="66" customFormat="1" ht="39.75" customHeight="1" x14ac:dyDescent="0.25">
      <c r="B130" s="66" t="s">
        <v>251</v>
      </c>
      <c r="C130" s="67" t="s">
        <v>252</v>
      </c>
      <c r="D130" s="67" t="s">
        <v>253</v>
      </c>
      <c r="E130" s="67" t="s">
        <v>254</v>
      </c>
      <c r="F130" s="67" t="s">
        <v>255</v>
      </c>
      <c r="G130" s="67" t="s">
        <v>256</v>
      </c>
      <c r="H130" s="67" t="s">
        <v>257</v>
      </c>
      <c r="I130" s="67" t="s">
        <v>258</v>
      </c>
      <c r="J130" s="66" t="s">
        <v>259</v>
      </c>
      <c r="M130" s="156" t="s">
        <v>323</v>
      </c>
    </row>
    <row r="131" spans="2:16" s="65" customFormat="1" ht="18.75" x14ac:dyDescent="0.3">
      <c r="B131" s="65" t="s">
        <v>260</v>
      </c>
      <c r="C131" s="65">
        <v>90</v>
      </c>
      <c r="D131" s="65">
        <v>22</v>
      </c>
      <c r="E131" s="65">
        <v>22</v>
      </c>
      <c r="F131" s="65">
        <f t="shared" ref="F131:F137" si="7">SUM(D131:E131)</f>
        <v>44</v>
      </c>
      <c r="G131" s="65">
        <f t="shared" ref="G131:G144" si="8">SUM(F131/C131)</f>
        <v>0.48888888888888887</v>
      </c>
      <c r="H131" s="65">
        <f t="shared" ref="H131:H137" si="9">SUM(C131-F131--I131)</f>
        <v>55</v>
      </c>
      <c r="I131" s="65">
        <v>9</v>
      </c>
      <c r="J131" s="65">
        <v>17</v>
      </c>
      <c r="M131" s="157"/>
    </row>
    <row r="132" spans="2:16" s="65" customFormat="1" ht="18.75" x14ac:dyDescent="0.3">
      <c r="B132" s="65" t="s">
        <v>261</v>
      </c>
      <c r="C132" s="65">
        <v>89</v>
      </c>
      <c r="D132" s="65">
        <v>20</v>
      </c>
      <c r="E132" s="65">
        <v>16</v>
      </c>
      <c r="F132" s="65">
        <f t="shared" si="7"/>
        <v>36</v>
      </c>
      <c r="G132" s="65">
        <f t="shared" si="8"/>
        <v>0.4044943820224719</v>
      </c>
      <c r="H132" s="65">
        <f t="shared" si="9"/>
        <v>62</v>
      </c>
      <c r="I132" s="65">
        <v>9</v>
      </c>
      <c r="J132" s="65">
        <v>18</v>
      </c>
      <c r="M132" s="157"/>
    </row>
    <row r="133" spans="2:16" s="65" customFormat="1" ht="18.75" x14ac:dyDescent="0.3">
      <c r="B133" s="65" t="s">
        <v>262</v>
      </c>
      <c r="C133" s="65">
        <v>93</v>
      </c>
      <c r="D133" s="65">
        <v>21</v>
      </c>
      <c r="E133" s="65">
        <v>15</v>
      </c>
      <c r="F133" s="65">
        <f t="shared" si="7"/>
        <v>36</v>
      </c>
      <c r="G133" s="65">
        <f t="shared" si="8"/>
        <v>0.38709677419354838</v>
      </c>
      <c r="H133" s="65">
        <f t="shared" si="9"/>
        <v>66</v>
      </c>
      <c r="I133" s="65">
        <v>9</v>
      </c>
      <c r="J133" s="65">
        <v>14</v>
      </c>
      <c r="M133" s="157"/>
    </row>
    <row r="134" spans="2:16" s="65" customFormat="1" ht="18.75" x14ac:dyDescent="0.3">
      <c r="B134" s="65" t="s">
        <v>263</v>
      </c>
      <c r="C134" s="65">
        <v>83</v>
      </c>
      <c r="D134" s="65">
        <v>19</v>
      </c>
      <c r="E134" s="65">
        <v>12</v>
      </c>
      <c r="F134" s="65">
        <f t="shared" si="7"/>
        <v>31</v>
      </c>
      <c r="G134" s="65">
        <f t="shared" si="8"/>
        <v>0.37349397590361444</v>
      </c>
      <c r="H134" s="65">
        <f t="shared" si="9"/>
        <v>61</v>
      </c>
      <c r="I134" s="65">
        <v>9</v>
      </c>
      <c r="J134" s="65">
        <v>12</v>
      </c>
      <c r="M134" s="157"/>
    </row>
    <row r="135" spans="2:16" s="65" customFormat="1" ht="18.75" x14ac:dyDescent="0.3">
      <c r="B135" s="65" t="s">
        <v>264</v>
      </c>
      <c r="C135" s="65">
        <v>77</v>
      </c>
      <c r="D135" s="65">
        <v>17</v>
      </c>
      <c r="E135" s="65">
        <v>15</v>
      </c>
      <c r="F135" s="65">
        <f t="shared" si="7"/>
        <v>32</v>
      </c>
      <c r="G135" s="65">
        <f t="shared" si="8"/>
        <v>0.41558441558441561</v>
      </c>
      <c r="H135" s="65">
        <f t="shared" si="9"/>
        <v>52.5</v>
      </c>
      <c r="I135" s="65">
        <v>7.5</v>
      </c>
      <c r="J135" s="65">
        <v>103</v>
      </c>
      <c r="M135" s="157"/>
    </row>
    <row r="136" spans="2:16" s="65" customFormat="1" ht="18.75" x14ac:dyDescent="0.3">
      <c r="B136" s="65" t="s">
        <v>265</v>
      </c>
      <c r="C136" s="65">
        <v>58</v>
      </c>
      <c r="D136" s="65">
        <v>9</v>
      </c>
      <c r="E136" s="65">
        <v>9</v>
      </c>
      <c r="F136" s="65">
        <f t="shared" si="7"/>
        <v>18</v>
      </c>
      <c r="G136" s="65">
        <f t="shared" si="8"/>
        <v>0.31034482758620691</v>
      </c>
      <c r="H136" s="65">
        <f t="shared" si="9"/>
        <v>46</v>
      </c>
      <c r="I136" s="65">
        <v>6</v>
      </c>
      <c r="J136" s="65">
        <v>9</v>
      </c>
      <c r="M136" s="157"/>
    </row>
    <row r="137" spans="2:16" s="65" customFormat="1" ht="18.75" x14ac:dyDescent="0.3">
      <c r="B137" s="65" t="s">
        <v>266</v>
      </c>
      <c r="C137" s="65">
        <v>58</v>
      </c>
      <c r="D137" s="65">
        <v>9</v>
      </c>
      <c r="E137" s="65">
        <v>7</v>
      </c>
      <c r="F137" s="65">
        <f t="shared" si="7"/>
        <v>16</v>
      </c>
      <c r="G137" s="65">
        <f t="shared" si="8"/>
        <v>0.27586206896551724</v>
      </c>
      <c r="H137" s="65">
        <f t="shared" si="9"/>
        <v>48</v>
      </c>
      <c r="I137" s="65">
        <v>6</v>
      </c>
      <c r="J137" s="65">
        <v>31</v>
      </c>
      <c r="M137" s="157"/>
    </row>
    <row r="138" spans="2:16" s="65" customFormat="1" ht="18.75" x14ac:dyDescent="0.3">
      <c r="M138" s="157"/>
    </row>
    <row r="139" spans="2:16" s="65" customFormat="1" ht="18.75" x14ac:dyDescent="0.3">
      <c r="B139" s="65" t="s">
        <v>267</v>
      </c>
      <c r="C139" s="65">
        <v>118</v>
      </c>
      <c r="F139" s="65">
        <v>39</v>
      </c>
      <c r="G139" s="65">
        <f t="shared" si="8"/>
        <v>0.33050847457627119</v>
      </c>
      <c r="H139" s="65">
        <v>0</v>
      </c>
      <c r="I139" s="65">
        <v>79</v>
      </c>
      <c r="M139" s="157"/>
    </row>
    <row r="140" spans="2:16" s="65" customFormat="1" ht="18.75" x14ac:dyDescent="0.3">
      <c r="B140" s="65" t="s">
        <v>268</v>
      </c>
      <c r="C140" s="65">
        <v>83</v>
      </c>
      <c r="F140" s="65">
        <v>29</v>
      </c>
      <c r="G140" s="65">
        <f t="shared" si="8"/>
        <v>0.3493975903614458</v>
      </c>
      <c r="H140" s="65">
        <v>0</v>
      </c>
      <c r="I140" s="65">
        <v>54</v>
      </c>
      <c r="M140" s="157"/>
    </row>
    <row r="141" spans="2:16" s="65" customFormat="1" ht="18.75" x14ac:dyDescent="0.3">
      <c r="B141" s="65" t="s">
        <v>269</v>
      </c>
      <c r="C141" s="65">
        <v>100</v>
      </c>
      <c r="F141" s="65">
        <v>28</v>
      </c>
      <c r="G141" s="65">
        <f t="shared" si="8"/>
        <v>0.28000000000000003</v>
      </c>
      <c r="H141" s="65">
        <v>0</v>
      </c>
      <c r="I141" s="65">
        <v>72</v>
      </c>
      <c r="M141" s="157"/>
    </row>
    <row r="142" spans="2:16" s="65" customFormat="1" ht="18.75" x14ac:dyDescent="0.3">
      <c r="B142" s="65" t="s">
        <v>270</v>
      </c>
      <c r="C142" s="65">
        <v>102</v>
      </c>
      <c r="F142" s="65">
        <v>29</v>
      </c>
      <c r="G142" s="65">
        <f t="shared" si="8"/>
        <v>0.28431372549019607</v>
      </c>
      <c r="H142" s="65">
        <v>0</v>
      </c>
      <c r="I142" s="65">
        <v>73</v>
      </c>
      <c r="M142" s="157"/>
    </row>
    <row r="143" spans="2:16" s="65" customFormat="1" ht="18.75" x14ac:dyDescent="0.3">
      <c r="B143" s="65" t="s">
        <v>271</v>
      </c>
      <c r="C143" s="65">
        <v>105</v>
      </c>
      <c r="F143" s="65">
        <v>29</v>
      </c>
      <c r="G143" s="65">
        <f t="shared" si="8"/>
        <v>0.27619047619047621</v>
      </c>
      <c r="H143" s="65">
        <v>0</v>
      </c>
      <c r="I143" s="65">
        <v>76</v>
      </c>
      <c r="M143" s="157"/>
    </row>
    <row r="144" spans="2:16" s="65" customFormat="1" ht="18.75" x14ac:dyDescent="0.3">
      <c r="B144" s="159" t="s">
        <v>324</v>
      </c>
      <c r="C144" s="160">
        <f>SUM(C131:C143)</f>
        <v>1056</v>
      </c>
      <c r="D144" s="160"/>
      <c r="E144" s="160"/>
      <c r="F144" s="160">
        <f>SUM(F131:F143)</f>
        <v>367</v>
      </c>
      <c r="G144" s="160">
        <f t="shared" si="8"/>
        <v>0.34753787878787878</v>
      </c>
      <c r="H144" s="160">
        <f>SUM(H131:H143)</f>
        <v>390.5</v>
      </c>
      <c r="I144" s="160">
        <f>SUM(I131:I143)</f>
        <v>409.5</v>
      </c>
      <c r="J144" s="160"/>
      <c r="K144" s="160"/>
      <c r="L144" s="160"/>
      <c r="M144" s="161"/>
      <c r="N144" s="160"/>
      <c r="O144" s="160"/>
      <c r="P144" s="162"/>
    </row>
    <row r="145" spans="2:15" s="65" customFormat="1" ht="19.5" thickBot="1" x14ac:dyDescent="0.35">
      <c r="B145" s="65" t="s">
        <v>325</v>
      </c>
      <c r="C145" s="65">
        <v>30</v>
      </c>
      <c r="M145" s="158">
        <v>30</v>
      </c>
    </row>
    <row r="146" spans="2:15" s="65" customFormat="1" ht="18.75" x14ac:dyDescent="0.3">
      <c r="C146" s="65">
        <f>SUM(C144:C145)</f>
        <v>1086</v>
      </c>
      <c r="M146" s="163"/>
    </row>
    <row r="147" spans="2:15" s="65" customFormat="1" ht="18.75" x14ac:dyDescent="0.3">
      <c r="B147" s="65" t="s">
        <v>326</v>
      </c>
      <c r="C147" s="65">
        <v>8</v>
      </c>
      <c r="G147" s="65">
        <v>8</v>
      </c>
      <c r="M147" s="163"/>
    </row>
    <row r="148" spans="2:15" s="65" customFormat="1" ht="18.75" x14ac:dyDescent="0.3"/>
    <row r="149" spans="2:15" s="65" customFormat="1" ht="19.5" thickBot="1" x14ac:dyDescent="0.35"/>
    <row r="150" spans="2:15" s="65" customFormat="1" ht="19.5" thickBot="1" x14ac:dyDescent="0.35">
      <c r="B150" s="531"/>
      <c r="C150" s="944" t="s">
        <v>272</v>
      </c>
      <c r="D150" s="945"/>
      <c r="E150" s="945"/>
      <c r="F150" s="946"/>
      <c r="G150" s="531"/>
      <c r="H150" s="531"/>
      <c r="I150" s="531"/>
      <c r="J150" s="531"/>
      <c r="K150" s="531"/>
      <c r="L150" s="590"/>
      <c r="M150" s="531"/>
      <c r="N150" s="531"/>
      <c r="O150" s="531"/>
    </row>
    <row r="151" spans="2:15" s="65" customFormat="1" ht="18.75" x14ac:dyDescent="0.3">
      <c r="B151" s="531"/>
      <c r="C151" s="530" t="s">
        <v>273</v>
      </c>
      <c r="D151" s="531" t="s">
        <v>274</v>
      </c>
      <c r="E151" s="531" t="s">
        <v>275</v>
      </c>
      <c r="F151" s="531"/>
      <c r="G151" s="531"/>
      <c r="H151" s="531"/>
      <c r="I151" s="531"/>
      <c r="J151" s="531"/>
      <c r="K151" s="531"/>
      <c r="L151" s="590"/>
      <c r="M151" s="531"/>
      <c r="N151" s="531"/>
      <c r="O151" s="531"/>
    </row>
    <row r="152" spans="2:15" s="65" customFormat="1" ht="18.75" x14ac:dyDescent="0.3">
      <c r="B152" s="531"/>
      <c r="C152" s="530">
        <v>548</v>
      </c>
      <c r="D152" s="531">
        <v>405</v>
      </c>
      <c r="E152" s="531"/>
      <c r="F152" s="531"/>
      <c r="G152" s="531"/>
      <c r="H152" s="531"/>
      <c r="I152" s="531"/>
      <c r="J152" s="531"/>
      <c r="K152" s="531"/>
      <c r="L152" s="590"/>
      <c r="M152" s="531"/>
      <c r="N152" s="531"/>
      <c r="O152" s="531"/>
    </row>
    <row r="153" spans="2:15" s="65" customFormat="1" ht="18.75" x14ac:dyDescent="0.3">
      <c r="B153" s="531"/>
      <c r="C153" s="530">
        <v>508</v>
      </c>
      <c r="D153" s="531">
        <v>152</v>
      </c>
      <c r="E153" s="531"/>
      <c r="F153" s="531"/>
      <c r="G153" s="531"/>
      <c r="H153" s="531"/>
      <c r="I153" s="531"/>
      <c r="J153" s="531"/>
      <c r="K153" s="531"/>
      <c r="L153" s="590"/>
      <c r="M153" s="531"/>
      <c r="N153" s="531"/>
      <c r="O153" s="531"/>
    </row>
    <row r="154" spans="2:15" s="65" customFormat="1" ht="18.75" x14ac:dyDescent="0.3">
      <c r="B154" s="531"/>
      <c r="C154" s="530">
        <f>SUM(C152:C153)</f>
        <v>1056</v>
      </c>
      <c r="D154" s="531">
        <f>SUM(D152:D153)</f>
        <v>557</v>
      </c>
      <c r="E154" s="70">
        <v>0.53</v>
      </c>
      <c r="F154" s="531"/>
      <c r="G154" s="531"/>
      <c r="H154" s="531"/>
      <c r="I154" s="531"/>
      <c r="J154" s="531"/>
      <c r="K154" s="531"/>
      <c r="L154" s="590"/>
      <c r="M154" s="531"/>
      <c r="N154" s="531"/>
      <c r="O154" s="531"/>
    </row>
    <row r="155" spans="2:15" s="65" customFormat="1" ht="18.75" x14ac:dyDescent="0.3">
      <c r="B155" s="530" t="s">
        <v>276</v>
      </c>
      <c r="C155" s="531"/>
      <c r="D155" s="531"/>
      <c r="E155" s="531"/>
      <c r="F155" s="531"/>
      <c r="G155" s="531"/>
      <c r="H155" s="531"/>
      <c r="I155" s="531"/>
      <c r="J155" s="531"/>
      <c r="K155" s="531"/>
      <c r="L155" s="590"/>
      <c r="M155" s="531"/>
      <c r="N155" s="531"/>
      <c r="O155" s="531"/>
    </row>
    <row r="156" spans="2:15" s="65" customFormat="1" ht="18.75" x14ac:dyDescent="0.3">
      <c r="B156" s="530" t="s">
        <v>277</v>
      </c>
      <c r="C156" s="531"/>
      <c r="D156" s="531"/>
      <c r="E156" s="531"/>
      <c r="F156" s="531"/>
      <c r="G156" s="531"/>
      <c r="H156" s="531"/>
      <c r="I156" s="531"/>
      <c r="J156" s="531"/>
      <c r="K156" s="531"/>
      <c r="L156" s="590"/>
      <c r="M156" s="531"/>
      <c r="N156" s="531"/>
      <c r="O156" s="531"/>
    </row>
    <row r="157" spans="2:15" s="65" customFormat="1" ht="12.6" customHeight="1" x14ac:dyDescent="0.3"/>
    <row r="158" spans="2:15" s="66" customFormat="1" ht="39" customHeight="1" x14ac:dyDescent="0.25">
      <c r="B158" s="66" t="s">
        <v>251</v>
      </c>
      <c r="C158" s="67" t="s">
        <v>252</v>
      </c>
      <c r="D158" s="67" t="s">
        <v>253</v>
      </c>
      <c r="E158" s="67" t="s">
        <v>254</v>
      </c>
      <c r="F158" s="67" t="s">
        <v>255</v>
      </c>
      <c r="G158" s="67" t="s">
        <v>256</v>
      </c>
      <c r="H158" s="67" t="s">
        <v>257</v>
      </c>
      <c r="I158" s="67" t="s">
        <v>258</v>
      </c>
      <c r="J158" s="66" t="s">
        <v>259</v>
      </c>
    </row>
    <row r="159" spans="2:15" s="65" customFormat="1" ht="18.75" x14ac:dyDescent="0.3">
      <c r="B159" s="65" t="s">
        <v>260</v>
      </c>
      <c r="C159" s="65">
        <v>90</v>
      </c>
      <c r="D159" s="65">
        <v>22</v>
      </c>
      <c r="E159" s="65">
        <v>22</v>
      </c>
      <c r="F159" s="65">
        <f>SUM(D159:E159)</f>
        <v>44</v>
      </c>
      <c r="G159" s="65">
        <f>SUM(F159/C159)</f>
        <v>0.48888888888888887</v>
      </c>
      <c r="H159" s="65">
        <f>SUM(C159-F159--I159)</f>
        <v>55</v>
      </c>
      <c r="I159" s="65">
        <v>9</v>
      </c>
      <c r="J159" s="65">
        <v>17</v>
      </c>
    </row>
    <row r="160" spans="2:15" s="65" customFormat="1" ht="18.75" x14ac:dyDescent="0.3">
      <c r="B160" s="65" t="s">
        <v>261</v>
      </c>
      <c r="C160" s="65">
        <v>89</v>
      </c>
      <c r="D160" s="65">
        <v>20</v>
      </c>
      <c r="E160" s="65">
        <v>16</v>
      </c>
      <c r="F160" s="65">
        <f>SUM(D160:E160)</f>
        <v>36</v>
      </c>
      <c r="G160" s="65">
        <f>SUM(F160/C160)</f>
        <v>0.4044943820224719</v>
      </c>
      <c r="H160" s="65">
        <f>SUM(C160-F160--I160)</f>
        <v>62</v>
      </c>
      <c r="I160" s="65">
        <v>9</v>
      </c>
      <c r="J160" s="65">
        <v>18</v>
      </c>
    </row>
    <row r="161" spans="2:10" s="65" customFormat="1" ht="18.75" x14ac:dyDescent="0.3">
      <c r="B161" s="65" t="s">
        <v>262</v>
      </c>
      <c r="C161" s="65">
        <v>93</v>
      </c>
      <c r="D161" s="65">
        <v>21</v>
      </c>
      <c r="E161" s="65">
        <v>15</v>
      </c>
      <c r="F161" s="65">
        <f>SUM(D161:E161)</f>
        <v>36</v>
      </c>
      <c r="G161" s="65">
        <f>SUM(F161/C161)</f>
        <v>0.38709677419354838</v>
      </c>
      <c r="H161" s="65">
        <f>SUM(C161-F161--I161)</f>
        <v>66</v>
      </c>
      <c r="I161" s="65">
        <v>9</v>
      </c>
      <c r="J161" s="65">
        <v>14</v>
      </c>
    </row>
    <row r="162" spans="2:10" s="65" customFormat="1" ht="18.75" x14ac:dyDescent="0.3"/>
    <row r="163" spans="2:10" s="65" customFormat="1" ht="18.75" x14ac:dyDescent="0.3">
      <c r="B163" s="65" t="s">
        <v>263</v>
      </c>
      <c r="C163" s="65">
        <v>83</v>
      </c>
      <c r="D163" s="65">
        <v>19</v>
      </c>
      <c r="E163" s="65">
        <v>12</v>
      </c>
      <c r="F163" s="65">
        <f>SUM(D163:E163)</f>
        <v>31</v>
      </c>
      <c r="G163" s="65">
        <f>SUM(F163/C163)</f>
        <v>0.37349397590361444</v>
      </c>
      <c r="H163" s="65">
        <f>SUM(C163-F163--I163)</f>
        <v>61</v>
      </c>
      <c r="I163" s="65">
        <v>9</v>
      </c>
      <c r="J163" s="65">
        <v>12</v>
      </c>
    </row>
    <row r="164" spans="2:10" s="65" customFormat="1" ht="18.75" x14ac:dyDescent="0.3">
      <c r="B164" s="65" t="s">
        <v>264</v>
      </c>
      <c r="C164" s="65">
        <v>77</v>
      </c>
      <c r="D164" s="65">
        <v>17</v>
      </c>
      <c r="E164" s="65">
        <v>15</v>
      </c>
      <c r="F164" s="65">
        <f>SUM(D164:E164)</f>
        <v>32</v>
      </c>
      <c r="G164" s="65">
        <f>SUM(F164/C164)</f>
        <v>0.41558441558441561</v>
      </c>
      <c r="H164" s="65">
        <f>SUM(C164-F164--I164)</f>
        <v>52.5</v>
      </c>
      <c r="I164" s="65">
        <v>7.5</v>
      </c>
      <c r="J164" s="65">
        <v>103</v>
      </c>
    </row>
    <row r="165" spans="2:10" s="65" customFormat="1" ht="18.75" x14ac:dyDescent="0.3">
      <c r="B165" s="65" t="s">
        <v>265</v>
      </c>
      <c r="C165" s="65">
        <v>58</v>
      </c>
      <c r="D165" s="65">
        <v>9</v>
      </c>
      <c r="E165" s="65">
        <v>9</v>
      </c>
      <c r="F165" s="65">
        <f>SUM(D165:E165)</f>
        <v>18</v>
      </c>
      <c r="G165" s="65">
        <f>SUM(F165/C165)</f>
        <v>0.31034482758620691</v>
      </c>
      <c r="H165" s="65">
        <f>SUM(C165-F165--I165)</f>
        <v>46</v>
      </c>
      <c r="I165" s="65">
        <v>6</v>
      </c>
      <c r="J165" s="65">
        <v>9</v>
      </c>
    </row>
    <row r="166" spans="2:10" s="65" customFormat="1" ht="18.75" x14ac:dyDescent="0.3"/>
    <row r="167" spans="2:10" s="65" customFormat="1" ht="18.75" x14ac:dyDescent="0.3">
      <c r="B167" s="65" t="s">
        <v>266</v>
      </c>
      <c r="C167" s="65">
        <v>58</v>
      </c>
      <c r="D167" s="65">
        <v>9</v>
      </c>
      <c r="E167" s="65">
        <v>7</v>
      </c>
      <c r="F167" s="65">
        <f>SUM(D167:E167)</f>
        <v>16</v>
      </c>
      <c r="G167" s="65">
        <f>SUM(F167/C167)</f>
        <v>0.27586206896551724</v>
      </c>
      <c r="H167" s="65">
        <f>SUM(C167-F167--I167)</f>
        <v>48</v>
      </c>
      <c r="I167" s="65">
        <v>6</v>
      </c>
      <c r="J167" s="65">
        <v>31</v>
      </c>
    </row>
    <row r="168" spans="2:10" s="65" customFormat="1" ht="18.75" x14ac:dyDescent="0.3">
      <c r="B168" s="65" t="s">
        <v>267</v>
      </c>
      <c r="C168" s="65">
        <v>80</v>
      </c>
      <c r="D168" s="65">
        <v>16</v>
      </c>
      <c r="E168" s="65">
        <v>19</v>
      </c>
      <c r="F168" s="65">
        <f>SUM(D168:E168)</f>
        <v>35</v>
      </c>
      <c r="G168" s="65">
        <f>SUM(F168/C168)</f>
        <v>0.4375</v>
      </c>
      <c r="H168" s="65">
        <f>SUM(C168-F168--I168)</f>
        <v>53</v>
      </c>
      <c r="I168" s="65">
        <v>8</v>
      </c>
      <c r="J168" s="65">
        <v>99</v>
      </c>
    </row>
    <row r="169" spans="2:10" s="65" customFormat="1" ht="18.75" x14ac:dyDescent="0.3">
      <c r="B169" s="65" t="s">
        <v>268</v>
      </c>
      <c r="C169" s="65">
        <v>74</v>
      </c>
      <c r="D169" s="65">
        <v>15</v>
      </c>
      <c r="E169" s="65">
        <v>14</v>
      </c>
      <c r="F169" s="65">
        <f>SUM(D169:E169)</f>
        <v>29</v>
      </c>
      <c r="G169" s="65">
        <f>SUM(F169/C169)</f>
        <v>0.39189189189189189</v>
      </c>
      <c r="H169" s="65">
        <f>SUM(C169-F169--I169)</f>
        <v>52</v>
      </c>
      <c r="I169" s="65">
        <v>7</v>
      </c>
      <c r="J169" s="65">
        <v>16</v>
      </c>
    </row>
    <row r="170" spans="2:10" s="65" customFormat="1" ht="18.75" x14ac:dyDescent="0.3"/>
    <row r="171" spans="2:10" s="65" customFormat="1" ht="18.75" x14ac:dyDescent="0.3">
      <c r="B171" s="65" t="s">
        <v>269</v>
      </c>
      <c r="C171" s="65">
        <v>67</v>
      </c>
      <c r="D171" s="65">
        <v>11</v>
      </c>
      <c r="E171" s="65">
        <v>12</v>
      </c>
      <c r="F171" s="65">
        <f>SUM(D171:E171)</f>
        <v>23</v>
      </c>
      <c r="G171" s="65">
        <f>SUM(F171/C171)</f>
        <v>0.34328358208955223</v>
      </c>
      <c r="H171" s="65">
        <f>SUM(C171-F171--I171)</f>
        <v>51</v>
      </c>
      <c r="I171" s="65">
        <v>7</v>
      </c>
      <c r="J171" s="65">
        <v>11</v>
      </c>
    </row>
    <row r="172" spans="2:10" s="65" customFormat="1" ht="18.75" x14ac:dyDescent="0.3">
      <c r="B172" s="65" t="s">
        <v>270</v>
      </c>
      <c r="C172" s="65">
        <v>81</v>
      </c>
      <c r="D172" s="65">
        <v>12</v>
      </c>
      <c r="E172" s="65">
        <v>6</v>
      </c>
      <c r="F172" s="65">
        <f>SUM(D172:E172)</f>
        <v>18</v>
      </c>
      <c r="G172" s="65">
        <f>SUM(F172/C172)</f>
        <v>0.22222222222222221</v>
      </c>
      <c r="H172" s="65">
        <f>SUM(C172-F172--I172)</f>
        <v>71</v>
      </c>
      <c r="I172" s="65">
        <v>8</v>
      </c>
      <c r="J172" s="65">
        <v>15</v>
      </c>
    </row>
    <row r="173" spans="2:10" s="65" customFormat="1" ht="18.75" x14ac:dyDescent="0.3">
      <c r="B173" s="65" t="s">
        <v>271</v>
      </c>
      <c r="C173" s="65">
        <v>93</v>
      </c>
      <c r="D173" s="65">
        <v>12</v>
      </c>
      <c r="E173" s="65">
        <v>13</v>
      </c>
      <c r="F173" s="65">
        <f>SUM(D173:E173)</f>
        <v>25</v>
      </c>
      <c r="G173" s="65">
        <f>SUM(F173/C173)</f>
        <v>0.26881720430107525</v>
      </c>
      <c r="H173" s="65">
        <f>SUM(C173-F173--I173)</f>
        <v>77</v>
      </c>
      <c r="I173" s="65">
        <v>9</v>
      </c>
      <c r="J173" s="65">
        <v>9</v>
      </c>
    </row>
    <row r="174" spans="2:10" s="65" customFormat="1" ht="18.75" x14ac:dyDescent="0.3">
      <c r="B174" s="65" t="s">
        <v>168</v>
      </c>
      <c r="C174" s="65">
        <f>SUM(C159:C173)</f>
        <v>943</v>
      </c>
      <c r="D174" s="65">
        <f>SUM(D159:D173)</f>
        <v>183</v>
      </c>
      <c r="E174" s="65">
        <f>SUM(E159:E173)</f>
        <v>160</v>
      </c>
      <c r="F174" s="65">
        <f>SUM(D174:E174)</f>
        <v>343</v>
      </c>
      <c r="G174" s="65">
        <f>SUM(F174/C174)</f>
        <v>0.36373276776246022</v>
      </c>
      <c r="H174" s="65">
        <f>SUM(C174-F174--I174)</f>
        <v>694.5</v>
      </c>
      <c r="I174" s="65">
        <f>SUM(I159:I173)</f>
        <v>94.5</v>
      </c>
      <c r="J174" s="65">
        <f>SUM(J159:J173)</f>
        <v>354</v>
      </c>
    </row>
    <row r="175" spans="2:10" s="65" customFormat="1" ht="18.75" x14ac:dyDescent="0.3">
      <c r="B175" s="65" t="s">
        <v>278</v>
      </c>
    </row>
    <row r="176" spans="2:10" s="65" customFormat="1" ht="18.75" x14ac:dyDescent="0.3">
      <c r="B176" s="65" t="s">
        <v>279</v>
      </c>
    </row>
    <row r="177" spans="2:8" s="65" customFormat="1" ht="18.75" x14ac:dyDescent="0.3">
      <c r="B177" s="65" t="s">
        <v>280</v>
      </c>
    </row>
    <row r="178" spans="2:8" s="65" customFormat="1" ht="18.75" x14ac:dyDescent="0.3">
      <c r="B178" s="65" t="s">
        <v>281</v>
      </c>
    </row>
    <row r="179" spans="2:8" s="65" customFormat="1" ht="18.75" x14ac:dyDescent="0.3">
      <c r="B179" s="65" t="s">
        <v>282</v>
      </c>
    </row>
    <row r="180" spans="2:8" s="65" customFormat="1" ht="18.75" x14ac:dyDescent="0.3"/>
    <row r="181" spans="2:8" s="65" customFormat="1" ht="18.75" x14ac:dyDescent="0.3">
      <c r="H181" s="71"/>
    </row>
    <row r="182" spans="2:8" s="65" customFormat="1" ht="18.75" x14ac:dyDescent="0.3"/>
    <row r="183" spans="2:8" s="65" customFormat="1" ht="18.75" x14ac:dyDescent="0.3"/>
    <row r="184" spans="2:8" s="65" customFormat="1" ht="18.75" x14ac:dyDescent="0.3"/>
    <row r="185" spans="2:8" s="65" customFormat="1" ht="18.75" x14ac:dyDescent="0.3"/>
    <row r="186" spans="2:8" s="65" customFormat="1" ht="18.75" x14ac:dyDescent="0.3"/>
  </sheetData>
  <mergeCells count="3">
    <mergeCell ref="K30:K33"/>
    <mergeCell ref="D97:I97"/>
    <mergeCell ref="C150:F150"/>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U97"/>
  <sheetViews>
    <sheetView topLeftCell="C1" workbookViewId="0">
      <selection activeCell="L6" sqref="L6"/>
    </sheetView>
  </sheetViews>
  <sheetFormatPr defaultColWidth="8.7109375" defaultRowHeight="15" x14ac:dyDescent="0.25"/>
  <cols>
    <col min="1" max="1" width="2.7109375" style="72" customWidth="1"/>
    <col min="2" max="2" width="5.5703125" style="72" customWidth="1"/>
    <col min="3" max="3" width="8.7109375" style="393"/>
    <col min="4" max="5" width="23.85546875" style="72" customWidth="1"/>
    <col min="6" max="6" width="18.7109375" style="72" customWidth="1"/>
    <col min="7" max="7" width="20.5703125" style="72" customWidth="1"/>
    <col min="8" max="10" width="18.7109375" style="72" customWidth="1"/>
    <col min="11" max="11" width="21.7109375" style="72" customWidth="1"/>
    <col min="12" max="12" width="15.42578125" style="72" customWidth="1"/>
    <col min="13" max="16384" width="8.7109375" style="72"/>
  </cols>
  <sheetData>
    <row r="2" spans="3:21" x14ac:dyDescent="0.25">
      <c r="C2" s="391" t="s">
        <v>910</v>
      </c>
    </row>
    <row r="3" spans="3:21" ht="15.75" thickBot="1" x14ac:dyDescent="0.3"/>
    <row r="4" spans="3:21" x14ac:dyDescent="0.25">
      <c r="C4" s="393" t="s">
        <v>933</v>
      </c>
      <c r="D4" s="436" t="s">
        <v>931</v>
      </c>
      <c r="E4" s="446"/>
      <c r="F4" s="446"/>
      <c r="G4" s="446" t="s">
        <v>912</v>
      </c>
      <c r="H4" s="446"/>
      <c r="I4" s="446"/>
      <c r="J4" s="446"/>
      <c r="K4" s="437"/>
    </row>
    <row r="5" spans="3:21" x14ac:dyDescent="0.25">
      <c r="D5" s="857" t="s">
        <v>932</v>
      </c>
      <c r="E5" s="450"/>
      <c r="F5" s="450"/>
      <c r="G5" s="450" t="s">
        <v>934</v>
      </c>
      <c r="H5" s="450"/>
      <c r="I5" s="450"/>
      <c r="J5" s="450"/>
      <c r="K5" s="441"/>
    </row>
    <row r="6" spans="3:21" x14ac:dyDescent="0.25">
      <c r="D6" s="857" t="s">
        <v>935</v>
      </c>
      <c r="E6" s="450"/>
      <c r="F6" s="450"/>
      <c r="G6" s="450" t="s">
        <v>936</v>
      </c>
      <c r="H6" s="450"/>
      <c r="I6" s="450"/>
      <c r="J6" s="450"/>
      <c r="K6" s="441"/>
    </row>
    <row r="7" spans="3:21" x14ac:dyDescent="0.25">
      <c r="D7" s="440"/>
      <c r="E7" s="450"/>
      <c r="F7" s="450"/>
      <c r="G7" s="450"/>
      <c r="H7" s="450"/>
      <c r="I7" s="450"/>
      <c r="J7" s="450"/>
      <c r="K7" s="441"/>
      <c r="N7" s="75" t="s">
        <v>977</v>
      </c>
    </row>
    <row r="8" spans="3:21" ht="15.75" thickBot="1" x14ac:dyDescent="0.3">
      <c r="D8" s="442"/>
      <c r="E8" s="855"/>
      <c r="F8" s="855"/>
      <c r="G8" s="855"/>
      <c r="H8" s="855"/>
      <c r="I8" s="855"/>
      <c r="J8" s="855"/>
      <c r="K8" s="443"/>
      <c r="N8" s="75" t="s">
        <v>969</v>
      </c>
      <c r="U8" s="523">
        <v>166250</v>
      </c>
    </row>
    <row r="9" spans="3:21" s="393" customFormat="1" x14ac:dyDescent="0.25">
      <c r="C9" s="393" t="s">
        <v>283</v>
      </c>
      <c r="E9" s="393" t="s">
        <v>291</v>
      </c>
      <c r="N9" s="391" t="s">
        <v>970</v>
      </c>
      <c r="U9" s="893">
        <v>28500</v>
      </c>
    </row>
    <row r="10" spans="3:21" s="393" customFormat="1" ht="15.75" thickBot="1" x14ac:dyDescent="0.3">
      <c r="E10" s="393" t="s">
        <v>911</v>
      </c>
      <c r="F10" s="393" t="s">
        <v>912</v>
      </c>
      <c r="I10" s="393" t="s">
        <v>913</v>
      </c>
      <c r="K10" s="391" t="s">
        <v>607</v>
      </c>
      <c r="N10" s="391" t="s">
        <v>971</v>
      </c>
      <c r="U10" s="893">
        <v>6000</v>
      </c>
    </row>
    <row r="11" spans="3:21" s="393" customFormat="1" x14ac:dyDescent="0.25">
      <c r="C11" s="524" t="s">
        <v>603</v>
      </c>
      <c r="D11" s="525" t="s">
        <v>604</v>
      </c>
      <c r="E11" s="526">
        <v>1780000</v>
      </c>
      <c r="F11" s="526">
        <v>265500</v>
      </c>
      <c r="G11" s="525"/>
      <c r="H11" s="525"/>
      <c r="I11" s="525"/>
      <c r="J11" s="525"/>
      <c r="K11" s="526">
        <v>1335000</v>
      </c>
      <c r="L11" s="527"/>
      <c r="N11" s="391" t="s">
        <v>972</v>
      </c>
      <c r="U11" s="393">
        <v>970</v>
      </c>
    </row>
    <row r="12" spans="3:21" s="393" customFormat="1" x14ac:dyDescent="0.25">
      <c r="C12" s="438"/>
      <c r="D12" s="449" t="s">
        <v>605</v>
      </c>
      <c r="E12" s="528">
        <v>1450000</v>
      </c>
      <c r="F12" s="528">
        <v>225000</v>
      </c>
      <c r="G12" s="449"/>
      <c r="H12" s="449"/>
      <c r="I12" s="449"/>
      <c r="J12" s="449"/>
      <c r="K12" s="449">
        <v>1087500</v>
      </c>
      <c r="L12" s="439"/>
      <c r="N12" s="391" t="s">
        <v>973</v>
      </c>
      <c r="U12" s="393">
        <v>1200</v>
      </c>
    </row>
    <row r="13" spans="3:21" s="393" customFormat="1" x14ac:dyDescent="0.25">
      <c r="C13" s="438"/>
      <c r="D13" s="449" t="s">
        <v>606</v>
      </c>
      <c r="E13" s="528">
        <v>330000</v>
      </c>
      <c r="F13" s="528">
        <v>40500</v>
      </c>
      <c r="G13" s="449"/>
      <c r="H13" s="449"/>
      <c r="I13" s="449"/>
      <c r="J13" s="449"/>
      <c r="K13" s="528">
        <v>247500</v>
      </c>
      <c r="L13" s="439"/>
      <c r="N13" s="391" t="s">
        <v>974</v>
      </c>
      <c r="U13" s="393">
        <v>3180</v>
      </c>
    </row>
    <row r="14" spans="3:21" s="393" customFormat="1" x14ac:dyDescent="0.25">
      <c r="C14" s="438"/>
      <c r="D14" s="449"/>
      <c r="E14" s="528">
        <f>SUM(E12:E13)</f>
        <v>1780000</v>
      </c>
      <c r="F14" s="528">
        <f>SUM(F12:F13)</f>
        <v>265500</v>
      </c>
      <c r="G14" s="449"/>
      <c r="H14" s="449"/>
      <c r="I14" s="449"/>
      <c r="J14" s="449"/>
      <c r="K14" s="449"/>
      <c r="L14" s="439"/>
      <c r="N14" s="391" t="s">
        <v>975</v>
      </c>
      <c r="U14" s="893">
        <v>58500</v>
      </c>
    </row>
    <row r="15" spans="3:21" s="393" customFormat="1" x14ac:dyDescent="0.25">
      <c r="C15" s="438"/>
      <c r="D15" s="449"/>
      <c r="E15" s="449"/>
      <c r="F15" s="449"/>
      <c r="G15" s="449"/>
      <c r="H15" s="449"/>
      <c r="I15" s="449"/>
      <c r="J15" s="449"/>
      <c r="K15" s="449"/>
      <c r="L15" s="439"/>
      <c r="N15" s="391" t="s">
        <v>976</v>
      </c>
      <c r="U15" s="393">
        <v>900</v>
      </c>
    </row>
    <row r="16" spans="3:21" s="393" customFormat="1" ht="15.75" thickBot="1" x14ac:dyDescent="0.3">
      <c r="C16" s="529"/>
      <c r="D16" s="452"/>
      <c r="E16" s="452"/>
      <c r="F16" s="452"/>
      <c r="G16" s="452"/>
      <c r="H16" s="452"/>
      <c r="I16" s="452"/>
      <c r="J16" s="452"/>
      <c r="K16" s="452"/>
      <c r="L16" s="453"/>
      <c r="U16" s="893">
        <f>SUM(U8:U15)</f>
        <v>265500</v>
      </c>
    </row>
    <row r="17" spans="3:20" s="393" customFormat="1" x14ac:dyDescent="0.25">
      <c r="C17" s="449"/>
      <c r="D17" s="449"/>
      <c r="E17" s="449"/>
      <c r="F17" s="449"/>
      <c r="G17" s="449"/>
      <c r="H17" s="449"/>
      <c r="I17" s="449"/>
      <c r="J17" s="449"/>
      <c r="K17" s="449"/>
      <c r="L17" s="449"/>
    </row>
    <row r="18" spans="3:20" s="393" customFormat="1" ht="15.75" thickBot="1" x14ac:dyDescent="0.3"/>
    <row r="19" spans="3:20" x14ac:dyDescent="0.25">
      <c r="C19" s="393" t="s">
        <v>284</v>
      </c>
      <c r="D19" s="436" t="s">
        <v>611</v>
      </c>
      <c r="E19" s="446"/>
      <c r="F19" s="447"/>
      <c r="G19" s="437"/>
      <c r="H19" s="436" t="s">
        <v>912</v>
      </c>
      <c r="I19" s="437"/>
      <c r="J19" s="446"/>
      <c r="K19" s="436" t="s">
        <v>561</v>
      </c>
      <c r="L19" s="437"/>
      <c r="M19" s="393">
        <v>2018</v>
      </c>
      <c r="N19" s="393"/>
      <c r="O19" s="393"/>
      <c r="P19" s="393"/>
      <c r="Q19" s="393" t="s">
        <v>556</v>
      </c>
      <c r="R19" s="393"/>
      <c r="S19" s="393" t="s">
        <v>557</v>
      </c>
    </row>
    <row r="20" spans="3:20" x14ac:dyDescent="0.25">
      <c r="D20" s="440" t="s">
        <v>292</v>
      </c>
      <c r="E20" s="448">
        <v>0.5</v>
      </c>
      <c r="F20" s="449" t="s">
        <v>285</v>
      </c>
      <c r="G20" s="439" t="s">
        <v>286</v>
      </c>
      <c r="H20" s="438" t="s">
        <v>285</v>
      </c>
      <c r="I20" s="439" t="s">
        <v>286</v>
      </c>
      <c r="J20" s="449"/>
      <c r="K20" s="438" t="s">
        <v>285</v>
      </c>
      <c r="L20" s="439" t="s">
        <v>286</v>
      </c>
      <c r="N20" s="72" t="s">
        <v>552</v>
      </c>
    </row>
    <row r="21" spans="3:20" x14ac:dyDescent="0.25">
      <c r="D21" s="440"/>
      <c r="E21" s="450"/>
      <c r="F21" s="450"/>
      <c r="G21" s="441"/>
      <c r="H21" s="444">
        <v>95000</v>
      </c>
      <c r="I21" s="445">
        <v>46500</v>
      </c>
      <c r="J21" s="852"/>
      <c r="K21" s="444">
        <v>83747</v>
      </c>
      <c r="L21" s="445">
        <f>SUM(K21/2)</f>
        <v>41873.5</v>
      </c>
      <c r="O21" s="72" t="s">
        <v>549</v>
      </c>
      <c r="Q21" s="72">
        <v>912</v>
      </c>
      <c r="T21" s="72" t="s">
        <v>553</v>
      </c>
    </row>
    <row r="22" spans="3:20" x14ac:dyDescent="0.25">
      <c r="D22" s="440"/>
      <c r="E22" s="450"/>
      <c r="F22" s="450"/>
      <c r="G22" s="441"/>
      <c r="H22" s="440"/>
      <c r="I22" s="441"/>
      <c r="J22" s="450"/>
      <c r="K22" s="440"/>
      <c r="L22" s="441"/>
      <c r="O22" s="72" t="s">
        <v>550</v>
      </c>
      <c r="Q22" s="72">
        <v>915</v>
      </c>
      <c r="T22" s="72" t="s">
        <v>554</v>
      </c>
    </row>
    <row r="23" spans="3:20" x14ac:dyDescent="0.25">
      <c r="D23" s="440"/>
      <c r="E23" s="448">
        <v>0.9</v>
      </c>
      <c r="F23" s="449" t="s">
        <v>287</v>
      </c>
      <c r="G23" s="439" t="s">
        <v>288</v>
      </c>
      <c r="H23" s="438" t="s">
        <v>287</v>
      </c>
      <c r="I23" s="439" t="s">
        <v>288</v>
      </c>
      <c r="J23" s="449"/>
      <c r="K23" s="438" t="s">
        <v>287</v>
      </c>
      <c r="L23" s="439" t="s">
        <v>288</v>
      </c>
      <c r="O23" s="72" t="s">
        <v>551</v>
      </c>
      <c r="Q23" s="72">
        <v>137</v>
      </c>
      <c r="T23" s="72" t="s">
        <v>555</v>
      </c>
    </row>
    <row r="24" spans="3:20" ht="15.75" thickBot="1" x14ac:dyDescent="0.3">
      <c r="D24" s="858"/>
      <c r="E24" s="859"/>
      <c r="F24" s="860">
        <v>13000</v>
      </c>
      <c r="G24" s="861"/>
      <c r="H24" s="862">
        <v>76000</v>
      </c>
      <c r="I24" s="863">
        <v>68000</v>
      </c>
      <c r="J24" s="852"/>
      <c r="K24" s="862">
        <v>83747</v>
      </c>
      <c r="L24" s="863">
        <f>SUM(K24*0.9)</f>
        <v>75372.3</v>
      </c>
    </row>
    <row r="25" spans="3:20" x14ac:dyDescent="0.25">
      <c r="D25" s="454" t="s">
        <v>917</v>
      </c>
      <c r="F25" s="528"/>
      <c r="G25" s="439"/>
      <c r="H25" s="852"/>
      <c r="I25" s="852" t="s">
        <v>924</v>
      </c>
      <c r="J25" s="864"/>
      <c r="K25" s="444"/>
      <c r="L25" s="445"/>
      <c r="N25" s="393" t="s">
        <v>608</v>
      </c>
    </row>
    <row r="26" spans="3:20" x14ac:dyDescent="0.25">
      <c r="D26" s="440"/>
      <c r="F26" s="528">
        <v>13000</v>
      </c>
      <c r="G26" s="439" t="s">
        <v>918</v>
      </c>
      <c r="H26" s="852" t="s">
        <v>920</v>
      </c>
      <c r="I26" s="852"/>
      <c r="J26" s="865"/>
      <c r="K26" s="444"/>
      <c r="L26" s="445"/>
      <c r="N26" s="393" t="s">
        <v>609</v>
      </c>
    </row>
    <row r="27" spans="3:20" x14ac:dyDescent="0.25">
      <c r="D27" s="454"/>
      <c r="E27" s="448" t="s">
        <v>914</v>
      </c>
      <c r="F27" s="449">
        <v>9330</v>
      </c>
      <c r="G27" s="439" t="s">
        <v>919</v>
      </c>
      <c r="H27" s="449">
        <f>SUM(G29*0.5)</f>
        <v>5294</v>
      </c>
      <c r="I27" s="449">
        <f>SUM(H27*0.25)</f>
        <v>1323.5</v>
      </c>
      <c r="J27" s="866"/>
      <c r="K27" s="440"/>
      <c r="L27" s="445"/>
      <c r="Q27" s="72" t="s">
        <v>558</v>
      </c>
    </row>
    <row r="28" spans="3:20" x14ac:dyDescent="0.25">
      <c r="D28" s="454"/>
      <c r="E28" s="448" t="s">
        <v>915</v>
      </c>
      <c r="F28" s="449">
        <v>4140</v>
      </c>
      <c r="G28" s="869" t="s">
        <v>925</v>
      </c>
      <c r="H28" s="449" t="s">
        <v>921</v>
      </c>
      <c r="I28" s="449"/>
      <c r="J28" s="866"/>
      <c r="K28" s="454" t="s">
        <v>562</v>
      </c>
      <c r="L28" s="441"/>
    </row>
    <row r="29" spans="3:20" ht="15.75" thickBot="1" x14ac:dyDescent="0.3">
      <c r="D29" s="442"/>
      <c r="E29" s="451" t="s">
        <v>916</v>
      </c>
      <c r="F29" s="856">
        <f>SUM(F26:F28)</f>
        <v>26470</v>
      </c>
      <c r="G29" s="453">
        <f>SUM(F29*0.4)</f>
        <v>10588</v>
      </c>
      <c r="H29" s="452">
        <v>5294</v>
      </c>
      <c r="I29" s="452">
        <f t="shared" ref="I29" si="0">SUM(H29*0.25)</f>
        <v>1323.5</v>
      </c>
      <c r="J29" s="867"/>
      <c r="K29" s="442"/>
      <c r="L29" s="443"/>
      <c r="N29" s="72" t="s">
        <v>610</v>
      </c>
      <c r="Q29" s="72" t="s">
        <v>608</v>
      </c>
      <c r="S29" s="523">
        <v>14907</v>
      </c>
    </row>
    <row r="30" spans="3:20" x14ac:dyDescent="0.25">
      <c r="D30" s="436"/>
      <c r="E30" s="868"/>
      <c r="F30" s="526"/>
      <c r="G30" s="525" t="s">
        <v>922</v>
      </c>
      <c r="H30" s="526">
        <f>SUM(H21+H27)</f>
        <v>100294</v>
      </c>
      <c r="I30" s="526">
        <f>SUM(I21+I27)</f>
        <v>47823.5</v>
      </c>
      <c r="J30" s="526"/>
      <c r="K30" s="446"/>
      <c r="L30" s="437"/>
      <c r="S30" s="523"/>
    </row>
    <row r="31" spans="3:20" x14ac:dyDescent="0.25">
      <c r="D31" s="440"/>
      <c r="E31" s="448"/>
      <c r="F31" s="528"/>
      <c r="G31" s="449" t="s">
        <v>923</v>
      </c>
      <c r="H31" s="528">
        <f>SUM(H24+H29)</f>
        <v>81294</v>
      </c>
      <c r="I31" s="528">
        <f>SUM(I24+I29)</f>
        <v>69323.5</v>
      </c>
      <c r="J31" s="528"/>
      <c r="K31" s="450"/>
      <c r="L31" s="441"/>
      <c r="S31" s="523"/>
    </row>
    <row r="32" spans="3:20" ht="15.75" thickBot="1" x14ac:dyDescent="0.3">
      <c r="D32" s="442"/>
      <c r="E32" s="451"/>
      <c r="F32" s="856"/>
      <c r="G32" s="452"/>
      <c r="H32" s="452"/>
      <c r="I32" s="452"/>
      <c r="J32" s="452"/>
      <c r="K32" s="855"/>
      <c r="L32" s="443"/>
      <c r="S32" s="523"/>
    </row>
    <row r="33" spans="1:21" ht="15.75" thickBot="1" x14ac:dyDescent="0.3">
      <c r="D33" s="450"/>
      <c r="E33" s="448"/>
      <c r="F33" s="528"/>
      <c r="G33" s="449"/>
      <c r="H33" s="449"/>
      <c r="I33" s="449"/>
      <c r="J33" s="449"/>
      <c r="K33" s="450"/>
      <c r="L33" s="450"/>
      <c r="S33" s="523"/>
    </row>
    <row r="34" spans="1:21" x14ac:dyDescent="0.25">
      <c r="D34" s="436"/>
      <c r="E34" s="868"/>
      <c r="F34" s="526"/>
      <c r="G34" s="525"/>
      <c r="H34" s="525"/>
      <c r="I34" s="525"/>
      <c r="J34" s="525"/>
      <c r="K34" s="446"/>
      <c r="L34" s="437"/>
      <c r="S34" s="523"/>
    </row>
    <row r="35" spans="1:21" x14ac:dyDescent="0.25">
      <c r="C35" s="393" t="s">
        <v>454</v>
      </c>
      <c r="D35" s="438" t="s">
        <v>453</v>
      </c>
      <c r="E35" s="854" t="s">
        <v>927</v>
      </c>
      <c r="F35" s="449"/>
      <c r="G35" s="449"/>
      <c r="H35" s="449"/>
      <c r="I35" s="449"/>
      <c r="J35" s="449"/>
      <c r="K35" s="450"/>
      <c r="L35" s="441"/>
      <c r="Q35" s="72" t="s">
        <v>609</v>
      </c>
      <c r="S35" s="523">
        <v>152587</v>
      </c>
    </row>
    <row r="36" spans="1:21" x14ac:dyDescent="0.25">
      <c r="D36" s="857" t="s">
        <v>930</v>
      </c>
      <c r="E36" s="448"/>
      <c r="F36" s="449"/>
      <c r="G36" s="449"/>
      <c r="H36" s="449"/>
      <c r="I36" s="449"/>
      <c r="J36" s="449"/>
      <c r="K36" s="450"/>
      <c r="L36" s="441"/>
      <c r="Q36" s="523"/>
      <c r="S36" s="523">
        <f>SUM(S29:S35)</f>
        <v>167494</v>
      </c>
      <c r="T36" s="72">
        <f>SUM(S36/2)</f>
        <v>83747</v>
      </c>
    </row>
    <row r="37" spans="1:21" x14ac:dyDescent="0.25">
      <c r="D37" s="438" t="s">
        <v>926</v>
      </c>
      <c r="E37" s="853"/>
      <c r="F37" s="450"/>
      <c r="G37" s="449" t="s">
        <v>928</v>
      </c>
      <c r="H37" s="528">
        <v>22500</v>
      </c>
      <c r="I37" s="449"/>
      <c r="J37" s="449"/>
      <c r="K37" s="852">
        <v>22500</v>
      </c>
      <c r="L37" s="441"/>
    </row>
    <row r="38" spans="1:21" x14ac:dyDescent="0.25">
      <c r="D38" s="438"/>
      <c r="E38" s="853"/>
      <c r="F38" s="450"/>
      <c r="G38" s="449" t="s">
        <v>929</v>
      </c>
      <c r="H38" s="449">
        <v>3750</v>
      </c>
      <c r="I38" s="449"/>
      <c r="J38" s="449"/>
      <c r="K38" s="450">
        <v>3750</v>
      </c>
      <c r="L38" s="441"/>
    </row>
    <row r="39" spans="1:21" x14ac:dyDescent="0.25">
      <c r="D39" s="438"/>
      <c r="E39" s="853"/>
      <c r="F39" s="450"/>
      <c r="G39" s="449"/>
      <c r="H39" s="449"/>
      <c r="I39" s="449"/>
      <c r="J39" s="449"/>
      <c r="K39" s="450"/>
      <c r="L39" s="441"/>
    </row>
    <row r="40" spans="1:21" x14ac:dyDescent="0.25">
      <c r="D40" s="438"/>
      <c r="E40" s="853"/>
      <c r="F40" s="450"/>
      <c r="G40" s="449"/>
      <c r="H40" s="449"/>
      <c r="I40" s="449"/>
      <c r="J40" s="449"/>
      <c r="K40" s="450"/>
      <c r="L40" s="441"/>
    </row>
    <row r="41" spans="1:21" x14ac:dyDescent="0.25">
      <c r="D41" s="438"/>
      <c r="E41" s="853"/>
      <c r="F41" s="450"/>
      <c r="G41" s="449"/>
      <c r="H41" s="449"/>
      <c r="I41" s="449"/>
      <c r="J41" s="449"/>
      <c r="K41" s="450"/>
      <c r="L41" s="441"/>
    </row>
    <row r="42" spans="1:21" ht="15.75" thickBot="1" x14ac:dyDescent="0.3">
      <c r="D42" s="870"/>
      <c r="E42" s="451"/>
      <c r="F42" s="452"/>
      <c r="G42" s="452"/>
      <c r="H42" s="452"/>
      <c r="I42" s="452"/>
      <c r="J42" s="452"/>
      <c r="K42" s="855"/>
      <c r="L42" s="443"/>
      <c r="Q42" s="523"/>
    </row>
    <row r="43" spans="1:21" ht="15.75" thickBot="1" x14ac:dyDescent="0.3"/>
    <row r="44" spans="1:21" x14ac:dyDescent="0.25">
      <c r="B44" s="436"/>
      <c r="C44" s="850" t="s">
        <v>452</v>
      </c>
      <c r="D44" s="851"/>
      <c r="E44" s="446"/>
      <c r="F44" s="446"/>
      <c r="G44" s="446"/>
      <c r="H44" s="446"/>
      <c r="I44" s="446"/>
      <c r="J44" s="446"/>
      <c r="K44" s="446"/>
      <c r="L44" s="446"/>
      <c r="M44" s="446"/>
      <c r="N44" s="446"/>
      <c r="O44" s="446"/>
      <c r="P44" s="446"/>
      <c r="Q44" s="446"/>
      <c r="R44" s="446"/>
      <c r="S44" s="446"/>
      <c r="T44" s="446"/>
      <c r="U44" s="437"/>
    </row>
    <row r="45" spans="1:21" s="392" customFormat="1" x14ac:dyDescent="0.25">
      <c r="A45" s="393"/>
      <c r="B45" s="438"/>
      <c r="C45" s="449" t="s">
        <v>283</v>
      </c>
      <c r="D45" s="449"/>
      <c r="E45" s="449" t="s">
        <v>291</v>
      </c>
      <c r="F45" s="449"/>
      <c r="G45" s="449"/>
      <c r="H45" s="449"/>
      <c r="I45" s="449"/>
      <c r="J45" s="449"/>
      <c r="K45" s="449"/>
      <c r="L45" s="449"/>
      <c r="M45" s="449"/>
      <c r="N45" s="449"/>
      <c r="O45" s="449"/>
      <c r="P45" s="449"/>
      <c r="Q45" s="449"/>
      <c r="R45" s="449"/>
      <c r="S45" s="449"/>
      <c r="T45" s="449"/>
      <c r="U45" s="439"/>
    </row>
    <row r="46" spans="1:21" s="393" customFormat="1" ht="15.75" thickBot="1" x14ac:dyDescent="0.3">
      <c r="B46" s="438"/>
      <c r="C46" s="449"/>
      <c r="D46" s="449"/>
      <c r="E46" s="449"/>
      <c r="F46" s="449"/>
      <c r="G46" s="449"/>
      <c r="H46" s="449"/>
      <c r="I46" s="449"/>
      <c r="J46" s="449"/>
      <c r="K46" s="449" t="s">
        <v>607</v>
      </c>
      <c r="L46" s="449"/>
      <c r="M46" s="449"/>
      <c r="N46" s="449"/>
      <c r="O46" s="449"/>
      <c r="P46" s="449" t="s">
        <v>608</v>
      </c>
      <c r="Q46" s="449"/>
      <c r="R46" s="449"/>
      <c r="S46" s="449"/>
      <c r="T46" s="449"/>
      <c r="U46" s="439"/>
    </row>
    <row r="47" spans="1:21" s="393" customFormat="1" x14ac:dyDescent="0.25">
      <c r="B47" s="438"/>
      <c r="C47" s="524" t="s">
        <v>603</v>
      </c>
      <c r="D47" s="525" t="s">
        <v>604</v>
      </c>
      <c r="E47" s="526">
        <v>1780000</v>
      </c>
      <c r="F47" s="525"/>
      <c r="G47" s="525"/>
      <c r="H47" s="525"/>
      <c r="I47" s="525"/>
      <c r="J47" s="525"/>
      <c r="K47" s="526">
        <v>1335000</v>
      </c>
      <c r="L47" s="527"/>
      <c r="M47" s="449"/>
      <c r="N47" s="449"/>
      <c r="O47" s="449"/>
      <c r="P47" s="449" t="s">
        <v>609</v>
      </c>
      <c r="Q47" s="449"/>
      <c r="R47" s="449"/>
      <c r="S47" s="449"/>
      <c r="T47" s="449"/>
      <c r="U47" s="439"/>
    </row>
    <row r="48" spans="1:21" s="393" customFormat="1" x14ac:dyDescent="0.25">
      <c r="B48" s="438"/>
      <c r="C48" s="438"/>
      <c r="D48" s="449" t="s">
        <v>605</v>
      </c>
      <c r="E48" s="528">
        <v>1450000</v>
      </c>
      <c r="F48" s="449"/>
      <c r="G48" s="449"/>
      <c r="H48" s="449"/>
      <c r="I48" s="449"/>
      <c r="J48" s="449"/>
      <c r="K48" s="449">
        <v>1087500</v>
      </c>
      <c r="L48" s="439"/>
      <c r="M48" s="449"/>
      <c r="N48" s="449"/>
      <c r="O48" s="449"/>
      <c r="P48" s="449"/>
      <c r="Q48" s="449"/>
      <c r="R48" s="449"/>
      <c r="S48" s="449"/>
      <c r="T48" s="449"/>
      <c r="U48" s="439"/>
    </row>
    <row r="49" spans="2:21" s="393" customFormat="1" x14ac:dyDescent="0.25">
      <c r="B49" s="438"/>
      <c r="C49" s="438"/>
      <c r="D49" s="449" t="s">
        <v>606</v>
      </c>
      <c r="E49" s="528">
        <v>330000</v>
      </c>
      <c r="F49" s="449"/>
      <c r="G49" s="449"/>
      <c r="H49" s="449"/>
      <c r="I49" s="449"/>
      <c r="J49" s="449"/>
      <c r="K49" s="528">
        <v>247500</v>
      </c>
      <c r="L49" s="439"/>
      <c r="M49" s="449"/>
      <c r="N49" s="449"/>
      <c r="O49" s="449"/>
      <c r="P49" s="449"/>
      <c r="Q49" s="449"/>
      <c r="R49" s="449"/>
      <c r="S49" s="449"/>
      <c r="T49" s="449"/>
      <c r="U49" s="439"/>
    </row>
    <row r="50" spans="2:21" s="393" customFormat="1" x14ac:dyDescent="0.25">
      <c r="B50" s="438"/>
      <c r="C50" s="438"/>
      <c r="D50" s="449"/>
      <c r="E50" s="449"/>
      <c r="F50" s="449"/>
      <c r="G50" s="449"/>
      <c r="H50" s="449"/>
      <c r="I50" s="449"/>
      <c r="J50" s="449"/>
      <c r="K50" s="449"/>
      <c r="L50" s="439"/>
      <c r="M50" s="449"/>
      <c r="N50" s="449"/>
      <c r="O50" s="449"/>
      <c r="P50" s="449"/>
      <c r="Q50" s="449"/>
      <c r="R50" s="449"/>
      <c r="S50" s="449"/>
      <c r="T50" s="449"/>
      <c r="U50" s="439"/>
    </row>
    <row r="51" spans="2:21" s="393" customFormat="1" x14ac:dyDescent="0.25">
      <c r="B51" s="438"/>
      <c r="C51" s="438"/>
      <c r="D51" s="449"/>
      <c r="E51" s="449"/>
      <c r="F51" s="449"/>
      <c r="G51" s="449"/>
      <c r="H51" s="449"/>
      <c r="I51" s="449"/>
      <c r="J51" s="449"/>
      <c r="K51" s="449"/>
      <c r="L51" s="439"/>
      <c r="M51" s="449"/>
      <c r="N51" s="449"/>
      <c r="O51" s="449"/>
      <c r="P51" s="449"/>
      <c r="Q51" s="449"/>
      <c r="R51" s="449"/>
      <c r="S51" s="449"/>
      <c r="T51" s="449"/>
      <c r="U51" s="439"/>
    </row>
    <row r="52" spans="2:21" s="393" customFormat="1" ht="15.75" thickBot="1" x14ac:dyDescent="0.3">
      <c r="B52" s="438"/>
      <c r="C52" s="529"/>
      <c r="D52" s="452"/>
      <c r="E52" s="452"/>
      <c r="F52" s="452"/>
      <c r="G52" s="452"/>
      <c r="H52" s="452"/>
      <c r="I52" s="452"/>
      <c r="J52" s="452"/>
      <c r="K52" s="452"/>
      <c r="L52" s="453"/>
      <c r="M52" s="449"/>
      <c r="N52" s="449"/>
      <c r="O52" s="449"/>
      <c r="P52" s="449"/>
      <c r="Q52" s="449"/>
      <c r="R52" s="449"/>
      <c r="S52" s="449"/>
      <c r="T52" s="449"/>
      <c r="U52" s="439"/>
    </row>
    <row r="53" spans="2:21" s="393" customFormat="1" ht="15.75" thickBot="1" x14ac:dyDescent="0.3">
      <c r="B53" s="438"/>
      <c r="C53" s="449"/>
      <c r="D53" s="449"/>
      <c r="E53" s="449"/>
      <c r="F53" s="449"/>
      <c r="G53" s="449"/>
      <c r="H53" s="449"/>
      <c r="I53" s="449"/>
      <c r="J53" s="449"/>
      <c r="K53" s="449"/>
      <c r="L53" s="449"/>
      <c r="M53" s="449"/>
      <c r="N53" s="449"/>
      <c r="O53" s="449"/>
      <c r="P53" s="449"/>
      <c r="Q53" s="449"/>
      <c r="R53" s="449"/>
      <c r="S53" s="449"/>
      <c r="T53" s="449"/>
      <c r="U53" s="439"/>
    </row>
    <row r="54" spans="2:21" x14ac:dyDescent="0.25">
      <c r="B54" s="440"/>
      <c r="C54" s="449" t="s">
        <v>284</v>
      </c>
      <c r="D54" s="436" t="s">
        <v>611</v>
      </c>
      <c r="E54" s="446"/>
      <c r="F54" s="447"/>
      <c r="G54" s="437"/>
      <c r="H54" s="446"/>
      <c r="I54" s="446"/>
      <c r="J54" s="446"/>
      <c r="K54" s="436" t="s">
        <v>561</v>
      </c>
      <c r="L54" s="437"/>
      <c r="M54" s="449">
        <v>2018</v>
      </c>
      <c r="N54" s="449"/>
      <c r="O54" s="449"/>
      <c r="P54" s="449"/>
      <c r="Q54" s="449" t="s">
        <v>556</v>
      </c>
      <c r="R54" s="449"/>
      <c r="S54" s="449" t="s">
        <v>557</v>
      </c>
      <c r="T54" s="450"/>
      <c r="U54" s="441"/>
    </row>
    <row r="55" spans="2:21" x14ac:dyDescent="0.25">
      <c r="B55" s="440"/>
      <c r="C55" s="449"/>
      <c r="D55" s="440" t="s">
        <v>292</v>
      </c>
      <c r="E55" s="448">
        <v>0.5</v>
      </c>
      <c r="F55" s="449" t="s">
        <v>285</v>
      </c>
      <c r="G55" s="439" t="s">
        <v>286</v>
      </c>
      <c r="H55" s="449"/>
      <c r="I55" s="449"/>
      <c r="J55" s="449"/>
      <c r="K55" s="438" t="s">
        <v>285</v>
      </c>
      <c r="L55" s="439" t="s">
        <v>286</v>
      </c>
      <c r="M55" s="450"/>
      <c r="N55" s="450" t="s">
        <v>552</v>
      </c>
      <c r="O55" s="450"/>
      <c r="P55" s="450"/>
      <c r="Q55" s="450"/>
      <c r="R55" s="450"/>
      <c r="S55" s="450"/>
      <c r="T55" s="450"/>
      <c r="U55" s="441"/>
    </row>
    <row r="56" spans="2:21" x14ac:dyDescent="0.25">
      <c r="B56" s="440"/>
      <c r="C56" s="449"/>
      <c r="D56" s="440"/>
      <c r="E56" s="450"/>
      <c r="F56" s="450"/>
      <c r="G56" s="441"/>
      <c r="H56" s="450"/>
      <c r="I56" s="450"/>
      <c r="J56" s="450"/>
      <c r="K56" s="444">
        <v>83747</v>
      </c>
      <c r="L56" s="445">
        <f>SUM(K56/2)</f>
        <v>41873.5</v>
      </c>
      <c r="M56" s="450"/>
      <c r="N56" s="450"/>
      <c r="O56" s="450" t="s">
        <v>549</v>
      </c>
      <c r="P56" s="450"/>
      <c r="Q56" s="450">
        <v>912</v>
      </c>
      <c r="R56" s="450"/>
      <c r="S56" s="450"/>
      <c r="T56" s="450" t="s">
        <v>553</v>
      </c>
      <c r="U56" s="441"/>
    </row>
    <row r="57" spans="2:21" x14ac:dyDescent="0.25">
      <c r="B57" s="440"/>
      <c r="C57" s="449"/>
      <c r="D57" s="440"/>
      <c r="E57" s="450"/>
      <c r="F57" s="450"/>
      <c r="G57" s="441"/>
      <c r="H57" s="450"/>
      <c r="I57" s="450"/>
      <c r="J57" s="450"/>
      <c r="K57" s="440"/>
      <c r="L57" s="441"/>
      <c r="M57" s="450"/>
      <c r="N57" s="450"/>
      <c r="O57" s="450" t="s">
        <v>550</v>
      </c>
      <c r="P57" s="450"/>
      <c r="Q57" s="450">
        <v>915</v>
      </c>
      <c r="R57" s="450"/>
      <c r="S57" s="450"/>
      <c r="T57" s="450" t="s">
        <v>554</v>
      </c>
      <c r="U57" s="441"/>
    </row>
    <row r="58" spans="2:21" x14ac:dyDescent="0.25">
      <c r="B58" s="440"/>
      <c r="C58" s="449"/>
      <c r="D58" s="440"/>
      <c r="E58" s="448">
        <v>0.9</v>
      </c>
      <c r="F58" s="449" t="s">
        <v>287</v>
      </c>
      <c r="G58" s="439" t="s">
        <v>288</v>
      </c>
      <c r="H58" s="449"/>
      <c r="I58" s="449"/>
      <c r="J58" s="449"/>
      <c r="K58" s="438" t="s">
        <v>287</v>
      </c>
      <c r="L58" s="439" t="s">
        <v>288</v>
      </c>
      <c r="M58" s="450"/>
      <c r="N58" s="450"/>
      <c r="O58" s="450" t="s">
        <v>551</v>
      </c>
      <c r="P58" s="450"/>
      <c r="Q58" s="450">
        <v>137</v>
      </c>
      <c r="R58" s="450"/>
      <c r="S58" s="450"/>
      <c r="T58" s="450" t="s">
        <v>555</v>
      </c>
      <c r="U58" s="441"/>
    </row>
    <row r="59" spans="2:21" x14ac:dyDescent="0.25">
      <c r="B59" s="440"/>
      <c r="C59" s="449"/>
      <c r="D59" s="440"/>
      <c r="E59" s="448"/>
      <c r="F59" s="449"/>
      <c r="G59" s="439"/>
      <c r="H59" s="449"/>
      <c r="I59" s="449"/>
      <c r="J59" s="449"/>
      <c r="K59" s="444">
        <v>83747</v>
      </c>
      <c r="L59" s="445">
        <f>SUM(K59*0.9)</f>
        <v>75372.3</v>
      </c>
      <c r="M59" s="450"/>
      <c r="N59" s="450"/>
      <c r="O59" s="450"/>
      <c r="P59" s="450"/>
      <c r="Q59" s="450"/>
      <c r="R59" s="450"/>
      <c r="S59" s="450"/>
      <c r="T59" s="450"/>
      <c r="U59" s="441"/>
    </row>
    <row r="60" spans="2:21" x14ac:dyDescent="0.25">
      <c r="B60" s="440"/>
      <c r="C60" s="449"/>
      <c r="D60" s="454"/>
      <c r="E60" s="448"/>
      <c r="F60" s="449"/>
      <c r="G60" s="439"/>
      <c r="H60" s="449"/>
      <c r="I60" s="449"/>
      <c r="J60" s="449"/>
      <c r="K60" s="440"/>
      <c r="L60" s="445"/>
      <c r="M60" s="450"/>
      <c r="N60" s="450"/>
      <c r="O60" s="450"/>
      <c r="P60" s="450"/>
      <c r="Q60" s="450" t="s">
        <v>558</v>
      </c>
      <c r="R60" s="450"/>
      <c r="S60" s="450"/>
      <c r="T60" s="450"/>
      <c r="U60" s="441"/>
    </row>
    <row r="61" spans="2:21" x14ac:dyDescent="0.25">
      <c r="B61" s="440"/>
      <c r="C61" s="449"/>
      <c r="D61" s="454" t="s">
        <v>562</v>
      </c>
      <c r="E61" s="448"/>
      <c r="F61" s="449"/>
      <c r="G61" s="439"/>
      <c r="H61" s="449"/>
      <c r="I61" s="449"/>
      <c r="J61" s="449"/>
      <c r="K61" s="440"/>
      <c r="L61" s="441"/>
      <c r="M61" s="450"/>
      <c r="N61" s="450"/>
      <c r="O61" s="450"/>
      <c r="P61" s="450"/>
      <c r="Q61" s="450"/>
      <c r="R61" s="450"/>
      <c r="S61" s="450"/>
      <c r="T61" s="450"/>
      <c r="U61" s="441"/>
    </row>
    <row r="62" spans="2:21" ht="15.75" thickBot="1" x14ac:dyDescent="0.3">
      <c r="B62" s="440"/>
      <c r="C62" s="449"/>
      <c r="D62" s="442"/>
      <c r="E62" s="451"/>
      <c r="F62" s="452"/>
      <c r="G62" s="453"/>
      <c r="H62" s="452"/>
      <c r="I62" s="452"/>
      <c r="J62" s="452"/>
      <c r="K62" s="442"/>
      <c r="L62" s="443"/>
      <c r="M62" s="450"/>
      <c r="N62" s="450" t="s">
        <v>610</v>
      </c>
      <c r="O62" s="450"/>
      <c r="P62" s="450"/>
      <c r="Q62" s="450" t="s">
        <v>608</v>
      </c>
      <c r="R62" s="450"/>
      <c r="S62" s="852">
        <v>14907</v>
      </c>
      <c r="T62" s="450"/>
      <c r="U62" s="441"/>
    </row>
    <row r="63" spans="2:21" x14ac:dyDescent="0.25">
      <c r="B63" s="440"/>
      <c r="C63" s="449" t="s">
        <v>454</v>
      </c>
      <c r="D63" s="449" t="s">
        <v>453</v>
      </c>
      <c r="E63" s="448"/>
      <c r="F63" s="449" t="s">
        <v>460</v>
      </c>
      <c r="G63" s="449"/>
      <c r="H63" s="449"/>
      <c r="I63" s="449"/>
      <c r="J63" s="449"/>
      <c r="K63" s="450"/>
      <c r="L63" s="450"/>
      <c r="M63" s="450"/>
      <c r="N63" s="450"/>
      <c r="O63" s="450"/>
      <c r="P63" s="450"/>
      <c r="Q63" s="450" t="s">
        <v>609</v>
      </c>
      <c r="R63" s="450"/>
      <c r="S63" s="852">
        <v>152587</v>
      </c>
      <c r="T63" s="450"/>
      <c r="U63" s="441"/>
    </row>
    <row r="64" spans="2:21" x14ac:dyDescent="0.25">
      <c r="B64" s="440"/>
      <c r="C64" s="449"/>
      <c r="D64" s="450"/>
      <c r="E64" s="448"/>
      <c r="F64" s="449"/>
      <c r="G64" s="449"/>
      <c r="H64" s="449"/>
      <c r="I64" s="449"/>
      <c r="J64" s="449"/>
      <c r="K64" s="450"/>
      <c r="L64" s="450"/>
      <c r="M64" s="450"/>
      <c r="N64" s="450"/>
      <c r="O64" s="450"/>
      <c r="P64" s="450"/>
      <c r="Q64" s="852"/>
      <c r="R64" s="450"/>
      <c r="S64" s="852">
        <f>SUM(S62:S63)</f>
        <v>167494</v>
      </c>
      <c r="T64" s="450">
        <f>SUM(S64/2)</f>
        <v>83747</v>
      </c>
      <c r="U64" s="441"/>
    </row>
    <row r="65" spans="1:21" x14ac:dyDescent="0.25">
      <c r="B65" s="440"/>
      <c r="C65" s="449"/>
      <c r="D65" s="450" t="s">
        <v>546</v>
      </c>
      <c r="E65" s="853">
        <v>1395</v>
      </c>
      <c r="F65" s="449" t="s">
        <v>547</v>
      </c>
      <c r="G65" s="449" t="s">
        <v>548</v>
      </c>
      <c r="H65" s="449"/>
      <c r="I65" s="449"/>
      <c r="J65" s="449"/>
      <c r="K65" s="450"/>
      <c r="L65" s="450"/>
      <c r="M65" s="450"/>
      <c r="N65" s="450"/>
      <c r="O65" s="450"/>
      <c r="P65" s="450"/>
      <c r="Q65" s="450"/>
      <c r="R65" s="450"/>
      <c r="S65" s="450"/>
      <c r="T65" s="450"/>
      <c r="U65" s="441"/>
    </row>
    <row r="66" spans="1:21" x14ac:dyDescent="0.25">
      <c r="B66" s="440"/>
      <c r="C66" s="449"/>
      <c r="D66" s="854" t="s">
        <v>559</v>
      </c>
      <c r="E66" s="448"/>
      <c r="F66" s="449"/>
      <c r="G66" s="449"/>
      <c r="H66" s="449"/>
      <c r="I66" s="449"/>
      <c r="J66" s="449"/>
      <c r="K66" s="450"/>
      <c r="L66" s="450"/>
      <c r="M66" s="450"/>
      <c r="N66" s="450"/>
      <c r="O66" s="450"/>
      <c r="P66" s="450"/>
      <c r="Q66" s="852"/>
      <c r="R66" s="450"/>
      <c r="S66" s="450"/>
      <c r="T66" s="450"/>
      <c r="U66" s="441"/>
    </row>
    <row r="67" spans="1:21" x14ac:dyDescent="0.25">
      <c r="B67" s="440"/>
      <c r="C67" s="449"/>
      <c r="D67" s="450"/>
      <c r="E67" s="448"/>
      <c r="F67" s="449"/>
      <c r="G67" s="449"/>
      <c r="H67" s="449"/>
      <c r="I67" s="449"/>
      <c r="J67" s="449"/>
      <c r="K67" s="450"/>
      <c r="L67" s="450"/>
      <c r="M67" s="450"/>
      <c r="N67" s="450"/>
      <c r="O67" s="450"/>
      <c r="P67" s="450"/>
      <c r="Q67" s="450"/>
      <c r="R67" s="450"/>
      <c r="S67" s="450"/>
      <c r="T67" s="450"/>
      <c r="U67" s="441"/>
    </row>
    <row r="68" spans="1:21" x14ac:dyDescent="0.25">
      <c r="B68" s="440"/>
      <c r="C68" s="449"/>
      <c r="D68" s="450"/>
      <c r="E68" s="448"/>
      <c r="F68" s="449"/>
      <c r="G68" s="449"/>
      <c r="H68" s="449"/>
      <c r="I68" s="449"/>
      <c r="J68" s="449"/>
      <c r="K68" s="450"/>
      <c r="L68" s="450"/>
      <c r="M68" s="450"/>
      <c r="N68" s="450"/>
      <c r="O68" s="450"/>
      <c r="P68" s="450"/>
      <c r="Q68" s="450"/>
      <c r="R68" s="450"/>
      <c r="S68" s="450"/>
      <c r="T68" s="450"/>
      <c r="U68" s="441"/>
    </row>
    <row r="69" spans="1:21" x14ac:dyDescent="0.25">
      <c r="B69" s="440"/>
      <c r="C69" s="449"/>
      <c r="D69" s="450"/>
      <c r="E69" s="448"/>
      <c r="F69" s="449"/>
      <c r="G69" s="449"/>
      <c r="H69" s="449"/>
      <c r="I69" s="449"/>
      <c r="J69" s="449"/>
      <c r="K69" s="450"/>
      <c r="L69" s="450"/>
      <c r="M69" s="450"/>
      <c r="N69" s="450"/>
      <c r="O69" s="450"/>
      <c r="P69" s="450"/>
      <c r="Q69" s="450"/>
      <c r="R69" s="450"/>
      <c r="S69" s="450"/>
      <c r="T69" s="450"/>
      <c r="U69" s="441"/>
    </row>
    <row r="70" spans="1:21" ht="15.75" thickBot="1" x14ac:dyDescent="0.3">
      <c r="B70" s="442"/>
      <c r="C70" s="452"/>
      <c r="D70" s="855"/>
      <c r="E70" s="855"/>
      <c r="F70" s="855"/>
      <c r="G70" s="855"/>
      <c r="H70" s="855"/>
      <c r="I70" s="855"/>
      <c r="J70" s="855"/>
      <c r="K70" s="855"/>
      <c r="L70" s="855"/>
      <c r="M70" s="855"/>
      <c r="N70" s="855"/>
      <c r="O70" s="855"/>
      <c r="P70" s="855"/>
      <c r="Q70" s="855"/>
      <c r="R70" s="855"/>
      <c r="S70" s="855"/>
      <c r="T70" s="855"/>
      <c r="U70" s="443"/>
    </row>
    <row r="75" spans="1:21" ht="15.75" thickBot="1" x14ac:dyDescent="0.3"/>
    <row r="76" spans="1:21" x14ac:dyDescent="0.25">
      <c r="C76" s="391" t="s">
        <v>299</v>
      </c>
      <c r="D76" s="75"/>
      <c r="K76" s="436" t="s">
        <v>560</v>
      </c>
      <c r="L76" s="437"/>
    </row>
    <row r="77" spans="1:21" s="1" customFormat="1" x14ac:dyDescent="0.25">
      <c r="A77" s="393"/>
      <c r="C77" s="393" t="s">
        <v>283</v>
      </c>
      <c r="E77" s="1" t="s">
        <v>291</v>
      </c>
      <c r="H77" s="393"/>
      <c r="I77" s="393"/>
      <c r="J77" s="393"/>
      <c r="K77" s="438"/>
      <c r="L77" s="439"/>
    </row>
    <row r="78" spans="1:21" x14ac:dyDescent="0.25">
      <c r="C78" s="393" t="s">
        <v>284</v>
      </c>
      <c r="D78" s="72" t="s">
        <v>55</v>
      </c>
      <c r="F78" s="73">
        <v>175000</v>
      </c>
      <c r="K78" s="522"/>
      <c r="L78" s="441"/>
    </row>
    <row r="79" spans="1:21" x14ac:dyDescent="0.25">
      <c r="D79" s="72" t="s">
        <v>292</v>
      </c>
      <c r="E79" s="74">
        <v>0.5</v>
      </c>
      <c r="F79" s="1" t="s">
        <v>285</v>
      </c>
      <c r="G79" s="1" t="s">
        <v>286</v>
      </c>
      <c r="H79" s="393"/>
      <c r="I79" s="393"/>
      <c r="J79" s="393"/>
      <c r="K79" s="438" t="s">
        <v>285</v>
      </c>
      <c r="L79" s="439" t="s">
        <v>286</v>
      </c>
    </row>
    <row r="80" spans="1:21" x14ac:dyDescent="0.25">
      <c r="F80" s="72">
        <v>87500</v>
      </c>
      <c r="G80" s="72">
        <f>SUM(F80*0.5)</f>
        <v>43750</v>
      </c>
      <c r="K80" s="440">
        <f>SUM(F80*0.75)</f>
        <v>65625</v>
      </c>
      <c r="L80" s="441">
        <f>SUM(G80*0.75)</f>
        <v>32812.5</v>
      </c>
    </row>
    <row r="81" spans="3:12" x14ac:dyDescent="0.25">
      <c r="K81" s="440"/>
      <c r="L81" s="441"/>
    </row>
    <row r="82" spans="3:12" x14ac:dyDescent="0.25">
      <c r="E82" s="74">
        <v>0.9</v>
      </c>
      <c r="F82" s="1" t="s">
        <v>287</v>
      </c>
      <c r="G82" s="1" t="s">
        <v>288</v>
      </c>
      <c r="H82" s="393"/>
      <c r="I82" s="393"/>
      <c r="J82" s="393"/>
      <c r="K82" s="438" t="s">
        <v>287</v>
      </c>
      <c r="L82" s="439" t="s">
        <v>288</v>
      </c>
    </row>
    <row r="83" spans="3:12" x14ac:dyDescent="0.25">
      <c r="F83" s="72">
        <v>87500</v>
      </c>
      <c r="G83" s="72">
        <f>SUM(F83*0.9)</f>
        <v>78750</v>
      </c>
      <c r="K83" s="440">
        <f>SUM(F83*0.75)</f>
        <v>65625</v>
      </c>
      <c r="L83" s="441">
        <f>SUM(G83*0.75)</f>
        <v>59062.5</v>
      </c>
    </row>
    <row r="84" spans="3:12" x14ac:dyDescent="0.25">
      <c r="D84" s="72" t="s">
        <v>290</v>
      </c>
      <c r="F84" s="72" t="s">
        <v>289</v>
      </c>
      <c r="K84" s="440"/>
      <c r="L84" s="441"/>
    </row>
    <row r="85" spans="3:12" x14ac:dyDescent="0.25">
      <c r="D85" s="75" t="s">
        <v>298</v>
      </c>
      <c r="K85" s="440"/>
      <c r="L85" s="441"/>
    </row>
    <row r="86" spans="3:12" x14ac:dyDescent="0.25">
      <c r="D86" s="75" t="s">
        <v>293</v>
      </c>
      <c r="K86" s="440"/>
      <c r="L86" s="441"/>
    </row>
    <row r="87" spans="3:12" x14ac:dyDescent="0.25">
      <c r="D87" s="75" t="s">
        <v>294</v>
      </c>
      <c r="K87" s="440"/>
      <c r="L87" s="441"/>
    </row>
    <row r="88" spans="3:12" x14ac:dyDescent="0.25">
      <c r="D88" s="75" t="s">
        <v>295</v>
      </c>
      <c r="K88" s="440"/>
      <c r="L88" s="441"/>
    </row>
    <row r="89" spans="3:12" x14ac:dyDescent="0.25">
      <c r="D89" s="75" t="s">
        <v>296</v>
      </c>
      <c r="K89" s="440"/>
      <c r="L89" s="441"/>
    </row>
    <row r="90" spans="3:12" x14ac:dyDescent="0.25">
      <c r="D90" s="75" t="s">
        <v>297</v>
      </c>
      <c r="K90" s="440"/>
      <c r="L90" s="441"/>
    </row>
    <row r="91" spans="3:12" x14ac:dyDescent="0.25">
      <c r="D91" s="75"/>
      <c r="K91" s="440"/>
      <c r="L91" s="441"/>
    </row>
    <row r="92" spans="3:12" x14ac:dyDescent="0.25">
      <c r="C92" s="393" t="s">
        <v>454</v>
      </c>
      <c r="D92" s="393" t="s">
        <v>453</v>
      </c>
      <c r="K92" s="440"/>
      <c r="L92" s="441"/>
    </row>
    <row r="93" spans="3:12" x14ac:dyDescent="0.25">
      <c r="D93" s="389" t="s">
        <v>455</v>
      </c>
      <c r="F93" s="523">
        <v>30000</v>
      </c>
      <c r="G93" s="72" t="s">
        <v>602</v>
      </c>
      <c r="K93" s="444">
        <v>22500</v>
      </c>
      <c r="L93" s="441">
        <v>3750</v>
      </c>
    </row>
    <row r="94" spans="3:12" x14ac:dyDescent="0.25">
      <c r="D94" s="389" t="s">
        <v>456</v>
      </c>
      <c r="K94" s="440"/>
      <c r="L94" s="441"/>
    </row>
    <row r="95" spans="3:12" x14ac:dyDescent="0.25">
      <c r="D95" s="389" t="s">
        <v>601</v>
      </c>
      <c r="K95" s="440"/>
      <c r="L95" s="441"/>
    </row>
    <row r="96" spans="3:12" x14ac:dyDescent="0.25">
      <c r="D96" s="389"/>
      <c r="E96" s="72" t="s">
        <v>457</v>
      </c>
      <c r="K96" s="440"/>
      <c r="L96" s="441"/>
    </row>
    <row r="97" spans="4:12" ht="15.75" thickBot="1" x14ac:dyDescent="0.3">
      <c r="D97" s="389" t="s">
        <v>458</v>
      </c>
      <c r="E97" s="72" t="s">
        <v>459</v>
      </c>
      <c r="K97" s="442"/>
      <c r="L97" s="443"/>
    </row>
  </sheetData>
  <pageMargins left="0.2" right="0.2" top="0.25" bottom="0"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S73"/>
  <sheetViews>
    <sheetView topLeftCell="A19" zoomScaleNormal="100" workbookViewId="0">
      <selection activeCell="I28" sqref="I28"/>
    </sheetView>
  </sheetViews>
  <sheetFormatPr defaultColWidth="9.140625" defaultRowHeight="15" x14ac:dyDescent="0.25"/>
  <cols>
    <col min="1" max="1" width="9.140625" style="389"/>
    <col min="2" max="2" width="51.28515625" style="389" customWidth="1"/>
    <col min="3" max="3" width="10.7109375" style="389" customWidth="1"/>
    <col min="4" max="4" width="12" style="389" customWidth="1"/>
    <col min="5" max="5" width="11.5703125" style="389" customWidth="1"/>
    <col min="6" max="6" width="9" style="389" customWidth="1"/>
    <col min="7" max="7" width="6" style="389" customWidth="1"/>
    <col min="8" max="8" width="13.5703125" style="389" customWidth="1"/>
    <col min="9" max="9" width="9.5703125" style="389" customWidth="1"/>
    <col min="10" max="10" width="9.7109375" style="389" customWidth="1"/>
    <col min="11" max="11" width="19.42578125" style="389" customWidth="1"/>
    <col min="12" max="13" width="9.140625" style="389"/>
    <col min="14" max="14" width="21" style="389" customWidth="1"/>
    <col min="15" max="16384" width="9.140625" style="389"/>
  </cols>
  <sheetData>
    <row r="2" spans="2:19" ht="15.75" thickBot="1" x14ac:dyDescent="0.3"/>
    <row r="3" spans="2:19" ht="15.75" thickBot="1" x14ac:dyDescent="0.3">
      <c r="B3" s="389" t="s">
        <v>333</v>
      </c>
      <c r="C3" s="951">
        <v>2020</v>
      </c>
      <c r="D3" s="952"/>
      <c r="E3" s="953"/>
      <c r="F3" s="951">
        <v>2019</v>
      </c>
      <c r="G3" s="952"/>
      <c r="H3" s="952"/>
      <c r="I3" s="953"/>
      <c r="J3" s="848"/>
      <c r="K3" s="679">
        <v>2018</v>
      </c>
    </row>
    <row r="4" spans="2:19" ht="15.75" thickBot="1" x14ac:dyDescent="0.3">
      <c r="B4" s="461"/>
      <c r="C4" s="462" t="s">
        <v>661</v>
      </c>
      <c r="D4" s="462" t="s">
        <v>662</v>
      </c>
      <c r="E4" s="642" t="s">
        <v>350</v>
      </c>
      <c r="F4" s="462" t="s">
        <v>569</v>
      </c>
      <c r="G4" s="462"/>
      <c r="H4" s="462" t="s">
        <v>568</v>
      </c>
      <c r="I4" s="462" t="s">
        <v>8</v>
      </c>
      <c r="J4" s="479"/>
      <c r="K4" s="947" t="s">
        <v>566</v>
      </c>
      <c r="L4" s="948"/>
      <c r="M4" s="949"/>
      <c r="N4" s="950" t="s">
        <v>567</v>
      </c>
      <c r="O4" s="948"/>
      <c r="P4" s="949"/>
      <c r="Q4" s="464"/>
      <c r="R4" s="465"/>
      <c r="S4" s="465"/>
    </row>
    <row r="5" spans="2:19" x14ac:dyDescent="0.25">
      <c r="B5" s="461" t="s">
        <v>901</v>
      </c>
      <c r="C5" s="466">
        <v>4158</v>
      </c>
      <c r="D5" s="466"/>
      <c r="E5" s="463"/>
      <c r="F5" s="466"/>
      <c r="G5" s="466"/>
      <c r="H5" s="466"/>
      <c r="I5" s="466"/>
      <c r="J5" s="463"/>
      <c r="K5" s="462"/>
      <c r="L5" s="464"/>
      <c r="M5" s="468"/>
      <c r="N5" s="467"/>
      <c r="O5" s="465"/>
      <c r="P5" s="468"/>
      <c r="Q5" s="464"/>
      <c r="R5" s="465"/>
      <c r="S5" s="465"/>
    </row>
    <row r="6" spans="2:19" x14ac:dyDescent="0.25">
      <c r="B6" s="461" t="s">
        <v>902</v>
      </c>
      <c r="C6" s="466">
        <v>3989</v>
      </c>
      <c r="D6" s="466">
        <v>1044</v>
      </c>
      <c r="E6" s="463"/>
      <c r="F6" s="466">
        <v>4698</v>
      </c>
      <c r="G6" s="466"/>
      <c r="H6" s="466">
        <v>1103</v>
      </c>
      <c r="I6" s="466"/>
      <c r="J6" s="463"/>
      <c r="K6" s="466">
        <v>4829</v>
      </c>
      <c r="L6" s="464"/>
      <c r="M6" s="468"/>
      <c r="N6" s="467">
        <v>1096</v>
      </c>
      <c r="O6" s="465"/>
      <c r="P6" s="468"/>
      <c r="Q6" s="464"/>
      <c r="R6" s="465"/>
      <c r="S6" s="465"/>
    </row>
    <row r="7" spans="2:19" x14ac:dyDescent="0.25">
      <c r="B7" s="461"/>
      <c r="C7" s="466"/>
      <c r="D7" s="466"/>
      <c r="E7" s="463"/>
      <c r="F7" s="466"/>
      <c r="G7" s="466"/>
      <c r="H7" s="466"/>
      <c r="I7" s="466"/>
      <c r="J7" s="463"/>
      <c r="K7" s="466"/>
      <c r="L7" s="464"/>
      <c r="M7" s="468"/>
      <c r="N7" s="467"/>
      <c r="O7" s="465"/>
      <c r="P7" s="468"/>
      <c r="Q7" s="464"/>
      <c r="R7" s="465"/>
      <c r="S7" s="465"/>
    </row>
    <row r="8" spans="2:19" x14ac:dyDescent="0.25">
      <c r="B8" s="847" t="s">
        <v>329</v>
      </c>
      <c r="C8" s="466">
        <v>123</v>
      </c>
      <c r="D8" s="466"/>
      <c r="E8" s="463"/>
      <c r="F8" s="466">
        <v>1814</v>
      </c>
      <c r="G8" s="466"/>
      <c r="H8" s="466">
        <v>11</v>
      </c>
      <c r="I8" s="466"/>
      <c r="J8" s="463"/>
      <c r="K8" s="466">
        <v>1783</v>
      </c>
      <c r="L8" s="464"/>
      <c r="M8" s="468"/>
      <c r="N8" s="467">
        <v>11</v>
      </c>
      <c r="O8" s="465"/>
      <c r="P8" s="468"/>
      <c r="Q8" s="464"/>
      <c r="R8" s="465"/>
      <c r="S8" s="465"/>
    </row>
    <row r="9" spans="2:19" x14ac:dyDescent="0.25">
      <c r="B9" s="461"/>
      <c r="C9" s="466"/>
      <c r="D9" s="466"/>
      <c r="E9" s="463"/>
      <c r="F9" s="466"/>
      <c r="G9" s="466"/>
      <c r="H9" s="466"/>
      <c r="I9" s="466"/>
      <c r="J9" s="463"/>
      <c r="K9" s="466"/>
      <c r="L9" s="464"/>
      <c r="M9" s="468"/>
      <c r="N9" s="467"/>
      <c r="O9" s="465"/>
      <c r="P9" s="468"/>
      <c r="Q9" s="464"/>
      <c r="R9" s="465"/>
      <c r="S9" s="465"/>
    </row>
    <row r="10" spans="2:19" x14ac:dyDescent="0.25">
      <c r="B10" s="461" t="s">
        <v>330</v>
      </c>
      <c r="C10" s="466">
        <v>51</v>
      </c>
      <c r="D10" s="466">
        <v>221</v>
      </c>
      <c r="E10" s="463"/>
      <c r="F10" s="466">
        <v>167</v>
      </c>
      <c r="G10" s="466"/>
      <c r="H10" s="466">
        <v>396</v>
      </c>
      <c r="I10" s="466"/>
      <c r="J10" s="463"/>
      <c r="K10" s="466">
        <v>162</v>
      </c>
      <c r="L10" s="464"/>
      <c r="M10" s="468"/>
      <c r="N10" s="467">
        <v>401</v>
      </c>
      <c r="O10" s="465"/>
      <c r="P10" s="468"/>
      <c r="Q10" s="464"/>
      <c r="R10" s="465"/>
      <c r="S10" s="465"/>
    </row>
    <row r="11" spans="2:19" x14ac:dyDescent="0.25">
      <c r="B11" s="461"/>
      <c r="C11" s="466"/>
      <c r="D11" s="466"/>
      <c r="E11" s="463"/>
      <c r="F11" s="466"/>
      <c r="G11" s="466"/>
      <c r="H11" s="466"/>
      <c r="I11" s="466"/>
      <c r="J11" s="463"/>
      <c r="K11" s="466"/>
      <c r="L11" s="464"/>
      <c r="M11" s="468"/>
      <c r="N11" s="467"/>
      <c r="O11" s="465"/>
      <c r="P11" s="468"/>
      <c r="Q11" s="464"/>
      <c r="R11" s="465"/>
      <c r="S11" s="465"/>
    </row>
    <row r="12" spans="2:19" ht="30" x14ac:dyDescent="0.25">
      <c r="B12" s="459" t="s">
        <v>331</v>
      </c>
      <c r="C12" s="460"/>
      <c r="D12" s="460"/>
      <c r="E12" s="480"/>
      <c r="F12" s="474">
        <v>0.1</v>
      </c>
      <c r="G12" s="460">
        <f>SUM(F6-F8)*1/10</f>
        <v>288.39999999999998</v>
      </c>
      <c r="H12" s="460" t="s">
        <v>570</v>
      </c>
      <c r="I12" s="460"/>
      <c r="J12" s="480"/>
      <c r="K12" s="482">
        <v>0.1</v>
      </c>
      <c r="L12" s="464">
        <f>SUM(K6-K8)*0.1</f>
        <v>304.60000000000002</v>
      </c>
      <c r="M12" s="468"/>
      <c r="N12" s="467" t="s">
        <v>335</v>
      </c>
      <c r="O12" s="465" t="s">
        <v>334</v>
      </c>
      <c r="P12" s="468"/>
      <c r="Q12" s="464"/>
      <c r="R12" s="465"/>
      <c r="S12" s="465"/>
    </row>
    <row r="13" spans="2:19" x14ac:dyDescent="0.25">
      <c r="B13" s="461"/>
      <c r="C13" s="466"/>
      <c r="D13" s="466"/>
      <c r="E13" s="463"/>
      <c r="F13" s="466"/>
      <c r="G13" s="466"/>
      <c r="H13" s="466"/>
      <c r="I13" s="466"/>
      <c r="J13" s="463"/>
      <c r="K13" s="466"/>
      <c r="L13" s="464"/>
      <c r="M13" s="468"/>
      <c r="N13" s="467"/>
      <c r="O13" s="465"/>
      <c r="P13" s="468"/>
      <c r="Q13" s="464"/>
      <c r="R13" s="465"/>
      <c r="S13" s="465"/>
    </row>
    <row r="14" spans="2:19" x14ac:dyDescent="0.25">
      <c r="B14" s="461" t="s">
        <v>571</v>
      </c>
      <c r="C14" s="466"/>
      <c r="D14" s="466"/>
      <c r="E14" s="463"/>
      <c r="F14" s="466"/>
      <c r="G14" s="466"/>
      <c r="H14" s="466"/>
      <c r="I14" s="466"/>
      <c r="J14" s="463"/>
      <c r="K14" s="466" t="s">
        <v>572</v>
      </c>
      <c r="L14" s="464"/>
      <c r="M14" s="468"/>
      <c r="N14" s="467" t="s">
        <v>336</v>
      </c>
      <c r="O14" s="465">
        <f>SUM(401+68)</f>
        <v>469</v>
      </c>
      <c r="P14" s="468" t="s">
        <v>342</v>
      </c>
      <c r="Q14" s="464"/>
      <c r="R14" s="465"/>
      <c r="S14" s="465"/>
    </row>
    <row r="15" spans="2:19" x14ac:dyDescent="0.25">
      <c r="B15" s="461"/>
      <c r="C15" s="466"/>
      <c r="D15" s="466"/>
      <c r="E15" s="463"/>
      <c r="F15" s="461" t="s">
        <v>332</v>
      </c>
      <c r="G15" s="466"/>
      <c r="H15" s="466"/>
      <c r="I15" s="466"/>
      <c r="J15" s="463"/>
      <c r="K15" s="466"/>
      <c r="L15" s="464"/>
      <c r="M15" s="468"/>
      <c r="N15" s="467" t="s">
        <v>337</v>
      </c>
      <c r="O15" s="465"/>
      <c r="P15" s="468"/>
      <c r="Q15" s="464"/>
      <c r="R15" s="465"/>
      <c r="S15" s="465"/>
    </row>
    <row r="16" spans="2:19" x14ac:dyDescent="0.25">
      <c r="B16" s="461"/>
      <c r="C16" s="466"/>
      <c r="D16" s="466"/>
      <c r="E16" s="463"/>
      <c r="F16" s="461" t="s">
        <v>338</v>
      </c>
      <c r="G16" s="466"/>
      <c r="H16" s="466"/>
      <c r="I16" s="466"/>
      <c r="J16" s="463"/>
      <c r="K16" s="466">
        <v>96.5</v>
      </c>
      <c r="L16" s="464"/>
      <c r="M16" s="468"/>
      <c r="N16" s="467"/>
      <c r="O16" s="465"/>
      <c r="P16" s="468"/>
      <c r="Q16" s="464"/>
      <c r="R16" s="465"/>
      <c r="S16" s="465"/>
    </row>
    <row r="17" spans="1:19" x14ac:dyDescent="0.25">
      <c r="A17" s="389" t="s">
        <v>668</v>
      </c>
      <c r="B17" s="461"/>
      <c r="C17" s="466"/>
      <c r="D17" s="466"/>
      <c r="E17" s="463"/>
      <c r="F17" s="466"/>
      <c r="G17" s="466"/>
      <c r="H17" s="466"/>
      <c r="I17" s="466"/>
      <c r="J17" s="463"/>
      <c r="K17" s="466"/>
      <c r="L17" s="464"/>
      <c r="M17" s="468"/>
      <c r="N17" s="467"/>
      <c r="O17" s="465"/>
      <c r="P17" s="468"/>
      <c r="Q17" s="464"/>
      <c r="R17" s="465"/>
      <c r="S17" s="465"/>
    </row>
    <row r="18" spans="1:19" x14ac:dyDescent="0.25">
      <c r="B18" s="847" t="s">
        <v>339</v>
      </c>
      <c r="C18" s="466" t="s">
        <v>958</v>
      </c>
      <c r="D18" s="466"/>
      <c r="E18" s="463"/>
      <c r="F18" s="466"/>
      <c r="G18" s="466"/>
      <c r="H18" s="466"/>
      <c r="I18" s="466"/>
      <c r="J18" s="463"/>
      <c r="K18" s="466"/>
      <c r="L18" s="464"/>
      <c r="M18" s="468"/>
      <c r="N18" s="467"/>
      <c r="O18" s="465"/>
      <c r="P18" s="468"/>
      <c r="Q18" s="464"/>
      <c r="R18" s="465"/>
      <c r="S18" s="465"/>
    </row>
    <row r="19" spans="1:19" x14ac:dyDescent="0.25">
      <c r="B19" s="461"/>
      <c r="C19" s="466" t="s">
        <v>959</v>
      </c>
      <c r="D19" s="466"/>
      <c r="E19" s="463"/>
      <c r="F19" s="461" t="s">
        <v>343</v>
      </c>
      <c r="G19" s="466"/>
      <c r="H19" s="466"/>
      <c r="I19" s="466"/>
      <c r="J19" s="463"/>
      <c r="K19" s="466"/>
      <c r="L19" s="464"/>
      <c r="M19" s="468"/>
      <c r="N19" s="467" t="s">
        <v>340</v>
      </c>
      <c r="O19" s="465"/>
      <c r="P19" s="469">
        <v>0.56999999999999995</v>
      </c>
      <c r="Q19" s="464"/>
      <c r="R19" s="465"/>
      <c r="S19" s="465"/>
    </row>
    <row r="20" spans="1:19" x14ac:dyDescent="0.25">
      <c r="B20" s="461"/>
      <c r="C20" s="466"/>
      <c r="D20" s="466"/>
      <c r="E20" s="463"/>
      <c r="F20" s="461" t="s">
        <v>344</v>
      </c>
      <c r="G20" s="466"/>
      <c r="H20" s="466"/>
      <c r="I20" s="466"/>
      <c r="J20" s="463"/>
      <c r="K20" s="466"/>
      <c r="L20" s="464"/>
      <c r="M20" s="468"/>
      <c r="N20" s="467" t="s">
        <v>341</v>
      </c>
      <c r="O20" s="465"/>
      <c r="P20" s="468"/>
      <c r="Q20" s="464"/>
      <c r="R20" s="465"/>
      <c r="S20" s="465"/>
    </row>
    <row r="21" spans="1:19" x14ac:dyDescent="0.25">
      <c r="B21" s="461"/>
      <c r="C21" s="466"/>
      <c r="D21" s="466"/>
      <c r="E21" s="463"/>
      <c r="F21" s="466"/>
      <c r="G21" s="466"/>
      <c r="H21" s="466"/>
      <c r="I21" s="466"/>
      <c r="J21" s="463"/>
      <c r="K21" s="466"/>
      <c r="L21" s="464"/>
      <c r="M21" s="468"/>
      <c r="N21" s="467"/>
      <c r="O21" s="465"/>
      <c r="P21" s="468"/>
      <c r="Q21" s="464"/>
      <c r="R21" s="465"/>
      <c r="S21" s="465"/>
    </row>
    <row r="22" spans="1:19" x14ac:dyDescent="0.25">
      <c r="B22" s="461" t="s">
        <v>669</v>
      </c>
      <c r="C22" s="466"/>
      <c r="D22" s="466"/>
      <c r="E22" s="463">
        <v>62.5</v>
      </c>
      <c r="F22" s="466"/>
      <c r="G22" s="466"/>
      <c r="H22" s="466"/>
      <c r="I22" s="466">
        <v>250</v>
      </c>
      <c r="J22" s="463"/>
      <c r="K22" s="466"/>
      <c r="L22" s="464"/>
      <c r="M22" s="468"/>
      <c r="N22" s="467"/>
      <c r="O22" s="465"/>
      <c r="P22" s="468"/>
      <c r="Q22" s="464"/>
      <c r="R22" s="465"/>
      <c r="S22" s="465"/>
    </row>
    <row r="23" spans="1:19" x14ac:dyDescent="0.25">
      <c r="B23" s="461" t="s">
        <v>670</v>
      </c>
      <c r="C23" s="466"/>
      <c r="D23" s="466"/>
      <c r="E23" s="463"/>
      <c r="F23" s="466"/>
      <c r="G23" s="466"/>
      <c r="H23" s="466"/>
      <c r="I23" s="466"/>
      <c r="J23" s="463"/>
      <c r="K23" s="466"/>
      <c r="L23" s="464"/>
      <c r="M23" s="468"/>
      <c r="N23" s="467"/>
      <c r="O23" s="465"/>
      <c r="P23" s="468"/>
      <c r="Q23" s="464"/>
      <c r="R23" s="465"/>
      <c r="S23" s="465"/>
    </row>
    <row r="24" spans="1:19" x14ac:dyDescent="0.25">
      <c r="B24" s="461" t="s">
        <v>671</v>
      </c>
      <c r="C24" s="466"/>
      <c r="D24" s="466"/>
      <c r="E24" s="463">
        <v>75.2</v>
      </c>
      <c r="F24" s="466"/>
      <c r="G24" s="466"/>
      <c r="H24" s="466"/>
      <c r="I24" s="466">
        <v>188</v>
      </c>
      <c r="J24" s="463"/>
      <c r="K24" s="466"/>
      <c r="L24" s="464"/>
      <c r="M24" s="468"/>
      <c r="N24" s="467"/>
      <c r="O24" s="465"/>
      <c r="P24" s="468"/>
      <c r="Q24" s="464"/>
      <c r="R24" s="465"/>
      <c r="S24" s="465"/>
    </row>
    <row r="25" spans="1:19" x14ac:dyDescent="0.25">
      <c r="B25" s="483"/>
      <c r="C25" s="484"/>
      <c r="D25" s="484"/>
      <c r="E25" s="643"/>
      <c r="F25" s="484"/>
      <c r="G25" s="484"/>
      <c r="H25" s="484"/>
      <c r="I25" s="484"/>
      <c r="J25" s="643"/>
      <c r="K25" s="484"/>
      <c r="L25" s="645"/>
      <c r="M25" s="646"/>
      <c r="N25" s="647"/>
      <c r="O25" s="648"/>
      <c r="P25" s="646"/>
      <c r="Q25" s="464"/>
      <c r="R25" s="465"/>
      <c r="S25" s="465"/>
    </row>
    <row r="26" spans="1:19" x14ac:dyDescent="0.25">
      <c r="B26" s="849" t="s">
        <v>903</v>
      </c>
      <c r="C26" s="484"/>
      <c r="D26" s="484"/>
      <c r="E26" s="643"/>
      <c r="F26" s="484"/>
      <c r="G26" s="484"/>
      <c r="H26" s="484"/>
      <c r="I26" s="484"/>
      <c r="J26" s="643"/>
      <c r="K26" s="484"/>
      <c r="L26" s="645"/>
      <c r="M26" s="646"/>
      <c r="N26" s="647"/>
      <c r="O26" s="648"/>
      <c r="P26" s="646"/>
      <c r="Q26" s="464"/>
      <c r="R26" s="465"/>
      <c r="S26" s="465"/>
    </row>
    <row r="27" spans="1:19" x14ac:dyDescent="0.25">
      <c r="B27" s="483" t="s">
        <v>906</v>
      </c>
      <c r="C27" s="484">
        <v>139</v>
      </c>
      <c r="D27" s="484"/>
      <c r="E27" s="643"/>
      <c r="F27" s="484"/>
      <c r="G27" s="484"/>
      <c r="H27" s="484"/>
      <c r="I27" s="484"/>
      <c r="J27" s="643"/>
      <c r="K27" s="484"/>
      <c r="L27" s="645"/>
      <c r="M27" s="646"/>
      <c r="N27" s="647"/>
      <c r="O27" s="648"/>
      <c r="P27" s="646"/>
      <c r="Q27" s="464"/>
      <c r="R27" s="465"/>
      <c r="S27" s="465"/>
    </row>
    <row r="28" spans="1:19" x14ac:dyDescent="0.25">
      <c r="B28" s="483" t="s">
        <v>909</v>
      </c>
      <c r="C28" s="484">
        <v>46</v>
      </c>
      <c r="D28" s="484"/>
      <c r="E28" s="643"/>
      <c r="F28" s="484"/>
      <c r="G28" s="484"/>
      <c r="H28" s="484"/>
      <c r="I28" s="484"/>
      <c r="J28" s="643"/>
      <c r="K28" s="484"/>
      <c r="L28" s="645"/>
      <c r="M28" s="646"/>
      <c r="N28" s="647"/>
      <c r="O28" s="648"/>
      <c r="P28" s="646"/>
      <c r="Q28" s="464"/>
      <c r="R28" s="465"/>
      <c r="S28" s="465"/>
    </row>
    <row r="29" spans="1:19" x14ac:dyDescent="0.25">
      <c r="B29" s="483" t="s">
        <v>907</v>
      </c>
      <c r="C29" s="484">
        <v>18</v>
      </c>
      <c r="D29" s="484"/>
      <c r="E29" s="643"/>
      <c r="F29" s="484"/>
      <c r="G29" s="484"/>
      <c r="H29" s="484"/>
      <c r="I29" s="484"/>
      <c r="J29" s="643"/>
      <c r="K29" s="484"/>
      <c r="L29" s="645"/>
      <c r="M29" s="646"/>
      <c r="N29" s="647"/>
      <c r="O29" s="648"/>
      <c r="P29" s="646"/>
      <c r="Q29" s="464"/>
      <c r="R29" s="465"/>
      <c r="S29" s="465"/>
    </row>
    <row r="30" spans="1:19" x14ac:dyDescent="0.25">
      <c r="B30" s="483" t="s">
        <v>908</v>
      </c>
      <c r="C30" s="484">
        <v>14</v>
      </c>
      <c r="D30" s="484"/>
      <c r="E30" s="643"/>
      <c r="F30" s="484"/>
      <c r="G30" s="484"/>
      <c r="H30" s="484"/>
      <c r="I30" s="484"/>
      <c r="J30" s="643"/>
      <c r="K30" s="484"/>
      <c r="L30" s="645"/>
      <c r="M30" s="646"/>
      <c r="N30" s="647"/>
      <c r="O30" s="648"/>
      <c r="P30" s="646"/>
      <c r="Q30" s="464"/>
      <c r="R30" s="465"/>
      <c r="S30" s="465"/>
    </row>
    <row r="31" spans="1:19" x14ac:dyDescent="0.25">
      <c r="B31" s="483" t="s">
        <v>486</v>
      </c>
      <c r="C31" s="484">
        <v>121</v>
      </c>
      <c r="D31" s="484"/>
      <c r="E31" s="643"/>
      <c r="F31" s="484"/>
      <c r="G31" s="484"/>
      <c r="H31" s="484"/>
      <c r="I31" s="484"/>
      <c r="J31" s="643"/>
      <c r="K31" s="484"/>
      <c r="L31" s="645"/>
      <c r="M31" s="646"/>
      <c r="N31" s="647"/>
      <c r="O31" s="648"/>
      <c r="P31" s="646"/>
      <c r="Q31" s="464"/>
      <c r="R31" s="465"/>
      <c r="S31" s="465"/>
    </row>
    <row r="32" spans="1:19" x14ac:dyDescent="0.25">
      <c r="B32" s="483" t="s">
        <v>155</v>
      </c>
      <c r="C32" s="484">
        <v>103</v>
      </c>
      <c r="D32" s="484"/>
      <c r="E32" s="643"/>
      <c r="F32" s="484"/>
      <c r="G32" s="484"/>
      <c r="H32" s="484"/>
      <c r="I32" s="484"/>
      <c r="J32" s="643"/>
      <c r="K32" s="484"/>
      <c r="L32" s="645"/>
      <c r="M32" s="646"/>
      <c r="N32" s="647"/>
      <c r="O32" s="648"/>
      <c r="P32" s="646"/>
      <c r="Q32" s="464"/>
      <c r="R32" s="465"/>
      <c r="S32" s="465"/>
    </row>
    <row r="33" spans="2:19" x14ac:dyDescent="0.25">
      <c r="B33" s="849" t="s">
        <v>168</v>
      </c>
      <c r="C33" s="484">
        <f>SUM(C27:C32)</f>
        <v>441</v>
      </c>
      <c r="D33" s="484"/>
      <c r="E33" s="643"/>
      <c r="F33" s="484"/>
      <c r="G33" s="484"/>
      <c r="H33" s="484"/>
      <c r="I33" s="484"/>
      <c r="J33" s="643"/>
      <c r="K33" s="484"/>
      <c r="L33" s="645"/>
      <c r="M33" s="646"/>
      <c r="N33" s="647"/>
      <c r="O33" s="648"/>
      <c r="P33" s="646"/>
      <c r="Q33" s="464"/>
      <c r="R33" s="465"/>
      <c r="S33" s="465"/>
    </row>
    <row r="34" spans="2:19" x14ac:dyDescent="0.25">
      <c r="B34" s="849"/>
      <c r="C34" s="484"/>
      <c r="D34" s="484"/>
      <c r="E34" s="643"/>
      <c r="F34" s="484"/>
      <c r="G34" s="484"/>
      <c r="H34" s="484"/>
      <c r="I34" s="484"/>
      <c r="J34" s="643"/>
      <c r="K34" s="484"/>
      <c r="L34" s="645"/>
      <c r="M34" s="646"/>
      <c r="N34" s="647"/>
      <c r="O34" s="648"/>
      <c r="P34" s="646"/>
      <c r="Q34" s="464"/>
      <c r="R34" s="465"/>
      <c r="S34" s="465"/>
    </row>
    <row r="35" spans="2:19" x14ac:dyDescent="0.25">
      <c r="B35" s="849" t="s">
        <v>944</v>
      </c>
      <c r="C35" s="484"/>
      <c r="D35" s="484"/>
      <c r="E35" s="643"/>
      <c r="F35" s="484"/>
      <c r="G35" s="484"/>
      <c r="H35" s="484"/>
      <c r="I35" s="484"/>
      <c r="J35" s="643"/>
      <c r="K35" s="484"/>
      <c r="L35" s="645"/>
      <c r="M35" s="646"/>
      <c r="N35" s="647"/>
      <c r="O35" s="648"/>
      <c r="P35" s="646"/>
      <c r="Q35" s="464"/>
      <c r="R35" s="465"/>
      <c r="S35" s="465"/>
    </row>
    <row r="36" spans="2:19" x14ac:dyDescent="0.25">
      <c r="B36" s="849" t="s">
        <v>945</v>
      </c>
      <c r="C36" s="484"/>
      <c r="D36" s="484"/>
      <c r="E36" s="643"/>
      <c r="F36" s="484"/>
      <c r="G36" s="484"/>
      <c r="H36" s="484"/>
      <c r="I36" s="484"/>
      <c r="J36" s="643"/>
      <c r="K36" s="484"/>
      <c r="L36" s="645"/>
      <c r="M36" s="646"/>
      <c r="N36" s="647"/>
      <c r="O36" s="648"/>
      <c r="P36" s="646"/>
      <c r="Q36" s="464"/>
      <c r="R36" s="465"/>
      <c r="S36" s="465"/>
    </row>
    <row r="37" spans="2:19" x14ac:dyDescent="0.25">
      <c r="B37" s="483" t="s">
        <v>946</v>
      </c>
      <c r="C37" s="484"/>
      <c r="D37" s="484"/>
      <c r="E37" s="643"/>
      <c r="F37" s="484"/>
      <c r="G37" s="484"/>
      <c r="H37" s="484"/>
      <c r="I37" s="484"/>
      <c r="J37" s="643"/>
      <c r="K37" s="484"/>
      <c r="L37" s="645"/>
      <c r="M37" s="646"/>
      <c r="N37" s="647"/>
      <c r="O37" s="648"/>
      <c r="P37" s="646"/>
      <c r="Q37" s="464"/>
      <c r="R37" s="465"/>
      <c r="S37" s="465"/>
    </row>
    <row r="38" spans="2:19" x14ac:dyDescent="0.25">
      <c r="B38" s="483" t="s">
        <v>904</v>
      </c>
      <c r="C38" s="484" t="s">
        <v>905</v>
      </c>
      <c r="D38" s="484"/>
      <c r="E38" s="643"/>
      <c r="F38" s="484"/>
      <c r="G38" s="484"/>
      <c r="H38" s="484"/>
      <c r="I38" s="484"/>
      <c r="J38" s="643"/>
      <c r="K38" s="484"/>
      <c r="L38" s="645"/>
      <c r="M38" s="646"/>
      <c r="N38" s="647"/>
      <c r="O38" s="648"/>
      <c r="P38" s="646"/>
      <c r="Q38" s="464"/>
      <c r="R38" s="465"/>
      <c r="S38" s="465"/>
    </row>
    <row r="39" spans="2:19" ht="15.75" thickBot="1" x14ac:dyDescent="0.3">
      <c r="B39" s="644"/>
      <c r="C39" s="470"/>
      <c r="D39" s="470"/>
      <c r="E39" s="481"/>
      <c r="F39" s="470"/>
      <c r="G39" s="470"/>
      <c r="H39" s="470"/>
      <c r="I39" s="470"/>
      <c r="J39" s="481"/>
      <c r="K39" s="470"/>
      <c r="L39" s="475"/>
      <c r="M39" s="473"/>
      <c r="N39" s="471"/>
      <c r="O39" s="472"/>
      <c r="P39" s="473"/>
      <c r="Q39" s="464"/>
      <c r="R39" s="465"/>
      <c r="S39" s="465"/>
    </row>
    <row r="40" spans="2:19" x14ac:dyDescent="0.25">
      <c r="B40" s="486"/>
      <c r="C40" s="486"/>
      <c r="D40" s="486"/>
      <c r="E40" s="486"/>
      <c r="F40" s="486"/>
      <c r="G40" s="486"/>
      <c r="H40" s="486"/>
      <c r="I40" s="487"/>
      <c r="J40" s="486"/>
      <c r="K40" s="486"/>
      <c r="L40" s="486"/>
      <c r="M40" s="486"/>
      <c r="N40" s="486"/>
      <c r="O40" s="486"/>
      <c r="P40" s="486"/>
      <c r="Q40" s="486"/>
      <c r="R40" s="486"/>
      <c r="S40" s="486"/>
    </row>
    <row r="41" spans="2:19" x14ac:dyDescent="0.25">
      <c r="B41" s="389" t="s">
        <v>947</v>
      </c>
      <c r="C41" s="486"/>
      <c r="D41" s="486"/>
      <c r="E41" s="486" t="s">
        <v>83</v>
      </c>
      <c r="F41" s="486"/>
      <c r="G41" s="486"/>
      <c r="H41" s="486"/>
      <c r="I41" s="487"/>
      <c r="J41" s="486" t="s">
        <v>966</v>
      </c>
      <c r="K41" s="486"/>
      <c r="L41" s="486"/>
      <c r="M41" s="486"/>
      <c r="N41" s="486"/>
      <c r="O41" s="486"/>
      <c r="P41" s="486"/>
      <c r="Q41" s="486"/>
      <c r="R41" s="486"/>
      <c r="S41" s="486"/>
    </row>
    <row r="42" spans="2:19" x14ac:dyDescent="0.25">
      <c r="B42" s="389" t="s">
        <v>948</v>
      </c>
      <c r="C42" s="486"/>
      <c r="D42" s="486"/>
      <c r="E42" s="486" t="s">
        <v>897</v>
      </c>
      <c r="F42" s="486"/>
      <c r="G42" s="486"/>
      <c r="H42" s="486"/>
      <c r="I42" s="487"/>
      <c r="J42" s="486"/>
      <c r="K42" s="486" t="s">
        <v>573</v>
      </c>
      <c r="L42" s="486"/>
      <c r="M42" s="486"/>
      <c r="N42" s="486"/>
      <c r="O42" s="486"/>
      <c r="P42" s="486"/>
      <c r="Q42" s="486"/>
      <c r="R42" s="486"/>
      <c r="S42" s="486"/>
    </row>
    <row r="43" spans="2:19" x14ac:dyDescent="0.25">
      <c r="B43" s="389" t="s">
        <v>949</v>
      </c>
      <c r="C43" s="486">
        <f>SUM(0.2*441)</f>
        <v>88.2</v>
      </c>
      <c r="D43" s="486"/>
      <c r="E43" s="486" t="s">
        <v>898</v>
      </c>
      <c r="F43" s="486"/>
      <c r="G43" s="486"/>
      <c r="H43" s="486"/>
      <c r="I43" s="487"/>
      <c r="J43" s="486"/>
      <c r="K43" s="486" t="s">
        <v>960</v>
      </c>
      <c r="L43" s="486"/>
      <c r="M43" s="486"/>
      <c r="N43" s="486"/>
      <c r="O43" s="486"/>
      <c r="P43" s="486"/>
      <c r="Q43" s="486"/>
      <c r="R43" s="486"/>
      <c r="S43" s="486"/>
    </row>
    <row r="44" spans="2:19" x14ac:dyDescent="0.25">
      <c r="B44" s="389" t="s">
        <v>950</v>
      </c>
      <c r="C44" s="486">
        <f>SUM(0.4*441)</f>
        <v>176.4</v>
      </c>
      <c r="D44" s="486"/>
      <c r="E44" s="486" t="s">
        <v>899</v>
      </c>
      <c r="F44" s="486"/>
      <c r="G44" s="486"/>
      <c r="H44" s="486"/>
      <c r="I44" s="487"/>
      <c r="J44" s="486"/>
      <c r="K44" s="486" t="s">
        <v>961</v>
      </c>
      <c r="L44" s="486"/>
      <c r="M44" s="486"/>
      <c r="N44" s="486"/>
      <c r="O44" s="486"/>
      <c r="P44" s="486"/>
      <c r="Q44" s="486"/>
      <c r="R44" s="486"/>
      <c r="S44" s="486"/>
    </row>
    <row r="45" spans="2:19" x14ac:dyDescent="0.25">
      <c r="B45" s="389" t="s">
        <v>952</v>
      </c>
      <c r="C45" s="486">
        <f>SUM(C43+C44)/2</f>
        <v>132.30000000000001</v>
      </c>
      <c r="D45" s="486"/>
      <c r="E45" s="486" t="s">
        <v>900</v>
      </c>
      <c r="F45" s="486"/>
      <c r="G45" s="486"/>
      <c r="H45" s="486"/>
      <c r="I45" s="487"/>
      <c r="J45" s="486"/>
      <c r="K45" s="486" t="s">
        <v>962</v>
      </c>
      <c r="L45" s="486"/>
      <c r="M45" s="486"/>
      <c r="N45" s="486"/>
      <c r="O45" s="486"/>
      <c r="P45" s="486"/>
      <c r="Q45" s="486"/>
      <c r="R45" s="486"/>
      <c r="S45" s="486"/>
    </row>
    <row r="46" spans="2:19" x14ac:dyDescent="0.25">
      <c r="B46" s="486" t="s">
        <v>951</v>
      </c>
      <c r="C46" s="486"/>
      <c r="D46" s="486"/>
      <c r="E46" s="486"/>
      <c r="F46" s="486"/>
      <c r="G46" s="486"/>
      <c r="H46" s="486"/>
      <c r="I46" s="487"/>
      <c r="J46" s="486"/>
      <c r="K46" s="486" t="s">
        <v>963</v>
      </c>
      <c r="L46" s="486"/>
      <c r="M46" s="486"/>
      <c r="N46" s="486"/>
      <c r="O46" s="486"/>
      <c r="P46" s="486"/>
      <c r="Q46" s="486"/>
      <c r="R46" s="486"/>
      <c r="S46" s="486"/>
    </row>
    <row r="47" spans="2:19" x14ac:dyDescent="0.25">
      <c r="B47" s="486" t="s">
        <v>953</v>
      </c>
      <c r="C47" s="486"/>
      <c r="D47" s="486"/>
      <c r="E47" s="486"/>
      <c r="F47" s="486"/>
      <c r="G47" s="486"/>
      <c r="H47" s="486"/>
      <c r="I47" s="487"/>
      <c r="J47" s="486"/>
      <c r="K47" s="486" t="s">
        <v>964</v>
      </c>
      <c r="L47" s="486"/>
      <c r="M47" s="486"/>
      <c r="N47" s="486"/>
      <c r="O47" s="486"/>
      <c r="P47" s="486"/>
      <c r="Q47" s="486"/>
      <c r="R47" s="486"/>
      <c r="S47" s="486"/>
    </row>
    <row r="48" spans="2:19" x14ac:dyDescent="0.25">
      <c r="B48" s="486" t="s">
        <v>954</v>
      </c>
      <c r="C48" s="486"/>
      <c r="D48" s="486"/>
      <c r="E48" s="486"/>
      <c r="F48" s="486"/>
      <c r="G48" s="486"/>
      <c r="H48" s="486"/>
      <c r="I48" s="487"/>
      <c r="J48" s="486"/>
      <c r="K48" s="486" t="s">
        <v>965</v>
      </c>
      <c r="L48" s="486"/>
      <c r="M48" s="486"/>
      <c r="N48" s="486"/>
      <c r="O48" s="486"/>
      <c r="P48" s="486"/>
      <c r="Q48" s="486"/>
      <c r="R48" s="486"/>
      <c r="S48" s="486"/>
    </row>
    <row r="49" spans="2:19" x14ac:dyDescent="0.25">
      <c r="B49" s="389" t="s">
        <v>955</v>
      </c>
      <c r="C49" s="486" t="s">
        <v>956</v>
      </c>
      <c r="D49" s="486"/>
      <c r="E49" s="486"/>
      <c r="F49" s="486"/>
      <c r="G49" s="486"/>
      <c r="H49" s="486"/>
      <c r="I49" s="487"/>
      <c r="J49" s="486"/>
      <c r="K49" s="486"/>
      <c r="L49" s="486"/>
      <c r="M49" s="486"/>
      <c r="N49" s="486"/>
      <c r="O49" s="486"/>
      <c r="P49" s="486"/>
      <c r="Q49" s="486"/>
      <c r="R49" s="486"/>
      <c r="S49" s="486"/>
    </row>
    <row r="50" spans="2:19" x14ac:dyDescent="0.25">
      <c r="B50" s="389" t="s">
        <v>957</v>
      </c>
      <c r="C50" s="486"/>
      <c r="D50" s="486"/>
      <c r="E50" s="486"/>
      <c r="F50" s="486"/>
      <c r="G50" s="486"/>
      <c r="H50" s="486"/>
      <c r="I50" s="487"/>
      <c r="J50" s="486"/>
      <c r="K50" s="486" t="s">
        <v>967</v>
      </c>
      <c r="L50" s="486"/>
      <c r="M50" s="486"/>
      <c r="N50" s="486"/>
      <c r="O50" s="486"/>
      <c r="P50" s="486"/>
      <c r="Q50" s="486"/>
      <c r="R50" s="486"/>
      <c r="S50" s="486"/>
    </row>
    <row r="51" spans="2:19" ht="15.75" thickBot="1" x14ac:dyDescent="0.3">
      <c r="B51" s="486"/>
      <c r="C51" s="486"/>
      <c r="D51" s="486"/>
      <c r="E51" s="486"/>
      <c r="F51" s="486"/>
      <c r="G51" s="486"/>
      <c r="H51" s="486"/>
      <c r="I51" s="487"/>
      <c r="J51" s="486"/>
      <c r="K51" s="486" t="s">
        <v>968</v>
      </c>
      <c r="L51" s="486"/>
      <c r="M51" s="486"/>
      <c r="N51" s="486"/>
      <c r="O51" s="486"/>
      <c r="P51" s="486"/>
      <c r="Q51" s="486"/>
      <c r="R51" s="486"/>
      <c r="S51" s="486"/>
    </row>
    <row r="52" spans="2:19" x14ac:dyDescent="0.25">
      <c r="B52" s="476"/>
      <c r="C52" s="477"/>
      <c r="D52" s="477"/>
      <c r="E52" s="477"/>
      <c r="F52" s="477"/>
      <c r="G52" s="477"/>
      <c r="H52" s="477"/>
      <c r="I52" s="478"/>
    </row>
    <row r="53" spans="2:19" x14ac:dyDescent="0.25">
      <c r="B53" s="485">
        <v>2019</v>
      </c>
      <c r="C53" s="486">
        <v>2020</v>
      </c>
      <c r="D53" s="486"/>
      <c r="E53" s="486"/>
      <c r="F53" s="486"/>
      <c r="G53" s="486"/>
      <c r="H53" s="486"/>
      <c r="I53" s="487"/>
    </row>
    <row r="54" spans="2:19" x14ac:dyDescent="0.25">
      <c r="B54" s="485" t="s">
        <v>580</v>
      </c>
      <c r="C54" s="486"/>
      <c r="D54" s="486"/>
      <c r="E54" s="486"/>
      <c r="F54" s="486"/>
      <c r="G54" s="486"/>
      <c r="H54" s="486"/>
      <c r="I54" s="487"/>
    </row>
    <row r="55" spans="2:19" x14ac:dyDescent="0.25">
      <c r="B55" s="485" t="s">
        <v>659</v>
      </c>
      <c r="C55" s="486">
        <v>51</v>
      </c>
      <c r="D55" s="486"/>
      <c r="E55" s="486"/>
      <c r="F55" s="486"/>
      <c r="G55" s="486"/>
      <c r="H55" s="486"/>
      <c r="I55" s="487"/>
    </row>
    <row r="56" spans="2:19" x14ac:dyDescent="0.25">
      <c r="B56" s="485" t="s">
        <v>660</v>
      </c>
      <c r="C56" s="486">
        <v>221</v>
      </c>
      <c r="D56" s="486"/>
      <c r="E56" s="486"/>
      <c r="F56" s="486"/>
      <c r="G56" s="486"/>
      <c r="H56" s="486"/>
      <c r="I56" s="487"/>
    </row>
    <row r="57" spans="2:19" x14ac:dyDescent="0.25">
      <c r="B57" s="485"/>
      <c r="C57" s="486"/>
      <c r="D57" s="486"/>
      <c r="E57" s="486"/>
      <c r="F57" s="486"/>
      <c r="G57" s="486"/>
      <c r="H57" s="486"/>
      <c r="I57" s="487"/>
    </row>
    <row r="58" spans="2:19" x14ac:dyDescent="0.25">
      <c r="B58" s="485" t="s">
        <v>573</v>
      </c>
      <c r="C58" s="486"/>
      <c r="D58" s="486"/>
      <c r="E58" s="486"/>
      <c r="F58" s="486"/>
      <c r="G58" s="486"/>
      <c r="H58" s="486"/>
      <c r="I58" s="487"/>
    </row>
    <row r="59" spans="2:19" x14ac:dyDescent="0.25">
      <c r="B59" s="485" t="s">
        <v>574</v>
      </c>
      <c r="C59" s="486"/>
      <c r="D59" s="486"/>
      <c r="E59" s="486"/>
      <c r="F59" s="486"/>
      <c r="G59" s="486"/>
      <c r="H59" s="486"/>
      <c r="I59" s="487"/>
    </row>
    <row r="60" spans="2:19" x14ac:dyDescent="0.25">
      <c r="B60" s="485" t="s">
        <v>575</v>
      </c>
      <c r="C60" s="486"/>
      <c r="D60" s="486"/>
      <c r="E60" s="486"/>
      <c r="F60" s="486"/>
      <c r="G60" s="486"/>
      <c r="H60" s="486"/>
      <c r="I60" s="487"/>
    </row>
    <row r="61" spans="2:19" x14ac:dyDescent="0.25">
      <c r="B61" s="485" t="s">
        <v>576</v>
      </c>
      <c r="C61" s="486"/>
      <c r="D61" s="486"/>
      <c r="E61" s="486"/>
      <c r="F61" s="486"/>
      <c r="G61" s="486"/>
      <c r="H61" s="486"/>
      <c r="I61" s="487"/>
    </row>
    <row r="62" spans="2:19" x14ac:dyDescent="0.25">
      <c r="B62" s="485" t="s">
        <v>577</v>
      </c>
      <c r="C62" s="486"/>
      <c r="D62" s="486"/>
      <c r="E62" s="486"/>
      <c r="F62" s="486"/>
      <c r="G62" s="486"/>
      <c r="H62" s="486"/>
      <c r="I62" s="487"/>
    </row>
    <row r="63" spans="2:19" x14ac:dyDescent="0.25">
      <c r="B63" s="485" t="s">
        <v>578</v>
      </c>
      <c r="C63" s="486"/>
      <c r="D63" s="486"/>
      <c r="E63" s="486"/>
      <c r="F63" s="486"/>
      <c r="G63" s="486"/>
      <c r="H63" s="486"/>
      <c r="I63" s="487"/>
    </row>
    <row r="64" spans="2:19" x14ac:dyDescent="0.25">
      <c r="B64" s="485" t="s">
        <v>579</v>
      </c>
      <c r="C64" s="486"/>
      <c r="D64" s="486"/>
      <c r="E64" s="486"/>
      <c r="F64" s="486"/>
      <c r="G64" s="486"/>
      <c r="H64" s="486"/>
      <c r="I64" s="487"/>
    </row>
    <row r="65" spans="2:9" x14ac:dyDescent="0.25">
      <c r="B65" s="485"/>
      <c r="C65" s="486"/>
      <c r="D65" s="486"/>
      <c r="E65" s="486"/>
      <c r="F65" s="486"/>
      <c r="G65" s="486"/>
      <c r="H65" s="486"/>
      <c r="I65" s="487"/>
    </row>
    <row r="66" spans="2:9" x14ac:dyDescent="0.25">
      <c r="B66" s="485" t="s">
        <v>581</v>
      </c>
      <c r="C66" s="486"/>
      <c r="D66" s="486"/>
      <c r="E66" s="486"/>
      <c r="F66" s="486"/>
      <c r="G66" s="486"/>
      <c r="H66" s="486"/>
      <c r="I66" s="487"/>
    </row>
    <row r="67" spans="2:9" x14ac:dyDescent="0.25">
      <c r="B67" s="485" t="s">
        <v>582</v>
      </c>
      <c r="C67" s="486"/>
      <c r="D67" s="486"/>
      <c r="E67" s="486"/>
      <c r="F67" s="486"/>
      <c r="G67" s="486"/>
      <c r="H67" s="486"/>
      <c r="I67" s="487"/>
    </row>
    <row r="68" spans="2:9" x14ac:dyDescent="0.25">
      <c r="B68" s="485" t="s">
        <v>583</v>
      </c>
      <c r="C68" s="486"/>
      <c r="D68" s="486"/>
      <c r="E68" s="486"/>
      <c r="F68" s="486"/>
      <c r="G68" s="486"/>
      <c r="H68" s="486"/>
      <c r="I68" s="487"/>
    </row>
    <row r="69" spans="2:9" x14ac:dyDescent="0.25">
      <c r="B69" s="485" t="s">
        <v>584</v>
      </c>
      <c r="C69" s="486"/>
      <c r="D69" s="486"/>
      <c r="E69" s="486"/>
      <c r="F69" s="486"/>
      <c r="G69" s="486"/>
      <c r="H69" s="486"/>
      <c r="I69" s="487"/>
    </row>
    <row r="70" spans="2:9" x14ac:dyDescent="0.25">
      <c r="B70" s="485" t="s">
        <v>585</v>
      </c>
      <c r="C70" s="486"/>
      <c r="D70" s="486"/>
      <c r="E70" s="486"/>
      <c r="F70" s="486"/>
      <c r="G70" s="486"/>
      <c r="H70" s="486"/>
      <c r="I70" s="487"/>
    </row>
    <row r="71" spans="2:9" x14ac:dyDescent="0.25">
      <c r="B71" s="485" t="s">
        <v>586</v>
      </c>
      <c r="C71" s="486"/>
      <c r="D71" s="486"/>
      <c r="E71" s="486"/>
      <c r="F71" s="486"/>
      <c r="G71" s="486"/>
      <c r="H71" s="486"/>
      <c r="I71" s="487"/>
    </row>
    <row r="72" spans="2:9" x14ac:dyDescent="0.25">
      <c r="B72" s="485" t="s">
        <v>587</v>
      </c>
      <c r="C72" s="486"/>
      <c r="D72" s="486"/>
      <c r="E72" s="486"/>
      <c r="F72" s="486"/>
      <c r="G72" s="486"/>
      <c r="H72" s="486"/>
      <c r="I72" s="487"/>
    </row>
    <row r="73" spans="2:9" ht="15.75" thickBot="1" x14ac:dyDescent="0.3">
      <c r="B73" s="488"/>
      <c r="C73" s="489"/>
      <c r="D73" s="489"/>
      <c r="E73" s="489"/>
      <c r="F73" s="489"/>
      <c r="G73" s="489"/>
      <c r="H73" s="489"/>
      <c r="I73" s="490"/>
    </row>
  </sheetData>
  <mergeCells count="4">
    <mergeCell ref="K4:M4"/>
    <mergeCell ref="N4:P4"/>
    <mergeCell ref="F3:I3"/>
    <mergeCell ref="C3:E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Mtgs</vt:lpstr>
      <vt:lpstr>STARS Cat</vt:lpstr>
      <vt:lpstr>Data Submit 2020</vt:lpstr>
      <vt:lpstr>Emissions - NOX,etc</vt:lpstr>
      <vt:lpstr>Util Sum 20</vt:lpstr>
      <vt:lpstr>Water 20</vt:lpstr>
      <vt:lpstr>SW 20</vt:lpstr>
      <vt:lpstr>Purchase</vt:lpstr>
      <vt:lpstr>Transport 20</vt:lpstr>
      <vt:lpstr>NYC GHG 20</vt:lpstr>
      <vt:lpstr>Util Sum 19</vt:lpstr>
      <vt:lpstr>SW 19</vt:lpstr>
      <vt:lpstr>Water 19</vt:lpstr>
      <vt:lpstr>Landscape, BioD</vt:lpstr>
      <vt:lpstr>NYC GHG 07 - 18</vt:lpstr>
    </vt:vector>
  </TitlesOfParts>
  <Company>Pratt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Pratt Institute</dc:creator>
  <cp:lastModifiedBy>Pratt Institute</cp:lastModifiedBy>
  <cp:lastPrinted>2020-02-07T14:41:04Z</cp:lastPrinted>
  <dcterms:created xsi:type="dcterms:W3CDTF">2019-06-18T20:43:20Z</dcterms:created>
  <dcterms:modified xsi:type="dcterms:W3CDTF">2022-03-04T21:53:11Z</dcterms:modified>
</cp:coreProperties>
</file>